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ng26\Desktop\original data from Bloomberg\exxon mobile\"/>
    </mc:Choice>
  </mc:AlternateContent>
  <bookViews>
    <workbookView xWindow="10395" yWindow="-105" windowWidth="14850" windowHeight="12735"/>
  </bookViews>
  <sheets>
    <sheet name="Income - Adjusted" sheetId="2" r:id="rId1"/>
    <sheet name="Bal Sheet - Standardized" sheetId="3" r:id="rId2"/>
    <sheet name="Cash Flow - Standardized" sheetId="4" r:id="rId3"/>
    <sheet name="Per Share" sheetId="5" r:id="rId4"/>
    <sheet name="Stock Value" sheetId="6" r:id="rId5"/>
  </sheets>
  <calcPr calcId="152511"/>
</workbook>
</file>

<file path=xl/calcChain.xml><?xml version="1.0" encoding="utf-8"?>
<calcChain xmlns="http://schemas.openxmlformats.org/spreadsheetml/2006/main">
  <c r="AP14" i="6" l="1"/>
  <c r="AH14" i="6"/>
  <c r="Z14" i="6"/>
  <c r="R14" i="6"/>
  <c r="J14" i="6"/>
  <c r="AP13" i="6"/>
  <c r="AH13" i="6"/>
  <c r="Z13" i="6"/>
  <c r="R13" i="6"/>
  <c r="J13" i="6"/>
  <c r="AP12" i="6"/>
  <c r="AH12" i="6"/>
  <c r="Z12" i="6"/>
  <c r="R12" i="6"/>
  <c r="J12" i="6"/>
  <c r="AP10" i="6"/>
  <c r="AH10" i="6"/>
  <c r="Z10" i="6"/>
  <c r="R10" i="6"/>
  <c r="J10" i="6"/>
  <c r="AP9" i="6"/>
  <c r="AH9" i="6"/>
  <c r="Z9" i="6"/>
  <c r="R9" i="6"/>
  <c r="J9" i="6"/>
  <c r="AP8" i="6"/>
  <c r="AH8" i="6"/>
  <c r="Z8" i="6"/>
  <c r="R8" i="6"/>
  <c r="J8" i="6"/>
  <c r="AP7" i="6"/>
  <c r="AH7" i="6"/>
  <c r="Z7" i="6"/>
  <c r="R7" i="6"/>
  <c r="J7" i="6"/>
  <c r="AP6" i="6"/>
  <c r="AH6" i="6"/>
  <c r="Z6" i="6"/>
  <c r="R6" i="6"/>
  <c r="J6" i="6"/>
  <c r="AP27" i="5"/>
  <c r="AH27" i="5"/>
  <c r="Z27" i="5"/>
  <c r="R27" i="5"/>
  <c r="J27" i="5"/>
  <c r="AP26" i="5"/>
  <c r="AH26" i="5"/>
  <c r="Z26" i="5"/>
  <c r="R26" i="5"/>
  <c r="J26" i="5"/>
  <c r="AP25" i="5"/>
  <c r="AH25" i="5"/>
  <c r="Z25" i="5"/>
  <c r="R25" i="5"/>
  <c r="J25" i="5"/>
  <c r="AP23" i="5"/>
  <c r="AH23" i="5"/>
  <c r="Z23" i="5"/>
  <c r="R23" i="5"/>
  <c r="J23" i="5"/>
  <c r="AP22" i="5"/>
  <c r="AH22" i="5"/>
  <c r="Z22" i="5"/>
  <c r="R22" i="5"/>
  <c r="J22" i="5"/>
  <c r="AP20" i="5"/>
  <c r="AH20" i="5"/>
  <c r="Z20" i="5"/>
  <c r="R20" i="5"/>
  <c r="J20" i="5"/>
  <c r="AP19" i="5"/>
  <c r="AH19" i="5"/>
  <c r="Z19" i="5"/>
  <c r="R19" i="5"/>
  <c r="J19" i="5"/>
  <c r="AP18" i="5"/>
  <c r="AH18" i="5"/>
  <c r="Z18" i="5"/>
  <c r="R18" i="5"/>
  <c r="J18" i="5"/>
  <c r="AP17" i="5"/>
  <c r="AH17" i="5"/>
  <c r="Z17" i="5"/>
  <c r="R17" i="5"/>
  <c r="J17" i="5"/>
  <c r="AP16" i="5"/>
  <c r="AH16" i="5"/>
  <c r="Z16" i="5"/>
  <c r="R16" i="5"/>
  <c r="J16" i="5"/>
  <c r="AP15" i="5"/>
  <c r="AH15" i="5"/>
  <c r="Z15" i="5"/>
  <c r="R15" i="5"/>
  <c r="J15" i="5"/>
  <c r="AP14" i="5"/>
  <c r="AH14" i="5"/>
  <c r="Z14" i="5"/>
  <c r="R14" i="5"/>
  <c r="J14" i="5"/>
  <c r="AP13" i="5"/>
  <c r="AH13" i="5"/>
  <c r="Z13" i="5"/>
  <c r="R13" i="5"/>
  <c r="J13" i="5"/>
  <c r="AP12" i="5"/>
  <c r="AH12" i="5"/>
  <c r="Z12" i="5"/>
  <c r="R12" i="5"/>
  <c r="J12" i="5"/>
  <c r="AP11" i="5"/>
  <c r="AH11" i="5"/>
  <c r="Z11" i="5"/>
  <c r="R11" i="5"/>
  <c r="J11" i="5"/>
  <c r="AP8" i="5"/>
  <c r="AH8" i="5"/>
  <c r="Z8" i="5"/>
  <c r="AO14" i="6"/>
  <c r="AG14" i="6"/>
  <c r="Y14" i="6"/>
  <c r="Q14" i="6"/>
  <c r="I14" i="6"/>
  <c r="AO13" i="6"/>
  <c r="AG13" i="6"/>
  <c r="Y13" i="6"/>
  <c r="Q13" i="6"/>
  <c r="I13" i="6"/>
  <c r="AO12" i="6"/>
  <c r="AG12" i="6"/>
  <c r="Y12" i="6"/>
  <c r="Q12" i="6"/>
  <c r="I12" i="6"/>
  <c r="AO10" i="6"/>
  <c r="AG10" i="6"/>
  <c r="Y10" i="6"/>
  <c r="Q10" i="6"/>
  <c r="I10" i="6"/>
  <c r="AO9" i="6"/>
  <c r="AG9" i="6"/>
  <c r="Y9" i="6"/>
  <c r="Q9" i="6"/>
  <c r="I9" i="6"/>
  <c r="AO8" i="6"/>
  <c r="AG8" i="6"/>
  <c r="Y8" i="6"/>
  <c r="Q8" i="6"/>
  <c r="I8" i="6"/>
  <c r="AO7" i="6"/>
  <c r="AG7" i="6"/>
  <c r="Y7" i="6"/>
  <c r="Q7" i="6"/>
  <c r="I7" i="6"/>
  <c r="AO6" i="6"/>
  <c r="AG6" i="6"/>
  <c r="Y6" i="6"/>
  <c r="Q6" i="6"/>
  <c r="I6" i="6"/>
  <c r="AO27" i="5"/>
  <c r="AG27" i="5"/>
  <c r="Y27" i="5"/>
  <c r="Q27" i="5"/>
  <c r="I27" i="5"/>
  <c r="AO26" i="5"/>
  <c r="AG26" i="5"/>
  <c r="Y26" i="5"/>
  <c r="Q26" i="5"/>
  <c r="I26" i="5"/>
  <c r="AO25" i="5"/>
  <c r="AG25" i="5"/>
  <c r="Y25" i="5"/>
  <c r="Q25" i="5"/>
  <c r="I25" i="5"/>
  <c r="AO23" i="5"/>
  <c r="AG23" i="5"/>
  <c r="Y23" i="5"/>
  <c r="Q23" i="5"/>
  <c r="I23" i="5"/>
  <c r="AO22" i="5"/>
  <c r="AG22" i="5"/>
  <c r="Y22" i="5"/>
  <c r="Q22" i="5"/>
  <c r="I22" i="5"/>
  <c r="AO20" i="5"/>
  <c r="AG20" i="5"/>
  <c r="Y20" i="5"/>
  <c r="Q20" i="5"/>
  <c r="I20" i="5"/>
  <c r="AO19" i="5"/>
  <c r="AG19" i="5"/>
  <c r="Y19" i="5"/>
  <c r="Q19" i="5"/>
  <c r="I19" i="5"/>
  <c r="AO18" i="5"/>
  <c r="AG18" i="5"/>
  <c r="Y18" i="5"/>
  <c r="Q18" i="5"/>
  <c r="I18" i="5"/>
  <c r="AO17" i="5"/>
  <c r="AG17" i="5"/>
  <c r="Y17" i="5"/>
  <c r="Q17" i="5"/>
  <c r="I17" i="5"/>
  <c r="AO16" i="5"/>
  <c r="AN14" i="6"/>
  <c r="AF14" i="6"/>
  <c r="X14" i="6"/>
  <c r="P14" i="6"/>
  <c r="H14" i="6"/>
  <c r="AN13" i="6"/>
  <c r="AF13" i="6"/>
  <c r="X13" i="6"/>
  <c r="P13" i="6"/>
  <c r="H13" i="6"/>
  <c r="AN12" i="6"/>
  <c r="AF12" i="6"/>
  <c r="X12" i="6"/>
  <c r="P12" i="6"/>
  <c r="H12" i="6"/>
  <c r="AN10" i="6"/>
  <c r="AF10" i="6"/>
  <c r="X10" i="6"/>
  <c r="P10" i="6"/>
  <c r="H10" i="6"/>
  <c r="AN9" i="6"/>
  <c r="AF9" i="6"/>
  <c r="X9" i="6"/>
  <c r="P9" i="6"/>
  <c r="H9" i="6"/>
  <c r="AN8" i="6"/>
  <c r="AF8" i="6"/>
  <c r="X8" i="6"/>
  <c r="P8" i="6"/>
  <c r="H8" i="6"/>
  <c r="AN7" i="6"/>
  <c r="AF7" i="6"/>
  <c r="X7" i="6"/>
  <c r="P7" i="6"/>
  <c r="H7" i="6"/>
  <c r="AN6" i="6"/>
  <c r="AF6" i="6"/>
  <c r="X6" i="6"/>
  <c r="P6" i="6"/>
  <c r="H6" i="6"/>
  <c r="AN27" i="5"/>
  <c r="AF27" i="5"/>
  <c r="X27" i="5"/>
  <c r="P27" i="5"/>
  <c r="H27" i="5"/>
  <c r="AN26" i="5"/>
  <c r="AF26" i="5"/>
  <c r="X26" i="5"/>
  <c r="P26" i="5"/>
  <c r="H26" i="5"/>
  <c r="AN25" i="5"/>
  <c r="AF25" i="5"/>
  <c r="X25" i="5"/>
  <c r="P25" i="5"/>
  <c r="H25" i="5"/>
  <c r="AN23" i="5"/>
  <c r="AF23" i="5"/>
  <c r="X23" i="5"/>
  <c r="P23" i="5"/>
  <c r="H23" i="5"/>
  <c r="AN22" i="5"/>
  <c r="AF22" i="5"/>
  <c r="X22" i="5"/>
  <c r="P22" i="5"/>
  <c r="H22" i="5"/>
  <c r="AN20" i="5"/>
  <c r="AF20" i="5"/>
  <c r="X20" i="5"/>
  <c r="P20" i="5"/>
  <c r="H20" i="5"/>
  <c r="AN19" i="5"/>
  <c r="AF19" i="5"/>
  <c r="X19" i="5"/>
  <c r="P19" i="5"/>
  <c r="H19" i="5"/>
  <c r="AN18" i="5"/>
  <c r="AF18" i="5"/>
  <c r="X18" i="5"/>
  <c r="P18" i="5"/>
  <c r="H18" i="5"/>
  <c r="AN17" i="5"/>
  <c r="AF17" i="5"/>
  <c r="X17" i="5"/>
  <c r="P17" i="5"/>
  <c r="H17" i="5"/>
  <c r="AN16" i="5"/>
  <c r="AF16" i="5"/>
  <c r="X16" i="5"/>
  <c r="P16" i="5"/>
  <c r="H16" i="5"/>
  <c r="AN15" i="5"/>
  <c r="AF15" i="5"/>
  <c r="X15" i="5"/>
  <c r="P15" i="5"/>
  <c r="H15" i="5"/>
  <c r="AN14" i="5"/>
  <c r="AF14" i="5"/>
  <c r="X14" i="5"/>
  <c r="P14" i="5"/>
  <c r="H14" i="5"/>
  <c r="AN13" i="5"/>
  <c r="AF13" i="5"/>
  <c r="X13" i="5"/>
  <c r="P13" i="5"/>
  <c r="H13" i="5"/>
  <c r="AN12" i="5"/>
  <c r="AF12" i="5"/>
  <c r="X12" i="5"/>
  <c r="P12" i="5"/>
  <c r="H12" i="5"/>
  <c r="AN11" i="5"/>
  <c r="AF11" i="5"/>
  <c r="X11" i="5"/>
  <c r="P11" i="5"/>
  <c r="H11" i="5"/>
  <c r="AN8" i="5"/>
  <c r="AF8" i="5"/>
  <c r="X8" i="5"/>
  <c r="P8" i="5"/>
  <c r="H8" i="5"/>
  <c r="AN7" i="5"/>
  <c r="AF7" i="5"/>
  <c r="X7" i="5"/>
  <c r="P7" i="5"/>
  <c r="H7" i="5"/>
  <c r="AN6" i="5"/>
  <c r="AF6" i="5"/>
  <c r="AM14" i="6"/>
  <c r="AE14" i="6"/>
  <c r="W14" i="6"/>
  <c r="O14" i="6"/>
  <c r="G14" i="6"/>
  <c r="AM13" i="6"/>
  <c r="AE13" i="6"/>
  <c r="W13" i="6"/>
  <c r="O13" i="6"/>
  <c r="G13" i="6"/>
  <c r="AM12" i="6"/>
  <c r="AE12" i="6"/>
  <c r="W12" i="6"/>
  <c r="O12" i="6"/>
  <c r="G12" i="6"/>
  <c r="AM10" i="6"/>
  <c r="AE10" i="6"/>
  <c r="W10" i="6"/>
  <c r="O10" i="6"/>
  <c r="G10" i="6"/>
  <c r="AM9" i="6"/>
  <c r="AE9" i="6"/>
  <c r="W9" i="6"/>
  <c r="O9" i="6"/>
  <c r="G9" i="6"/>
  <c r="AM8" i="6"/>
  <c r="AE8" i="6"/>
  <c r="W8" i="6"/>
  <c r="O8" i="6"/>
  <c r="G8" i="6"/>
  <c r="AM7" i="6"/>
  <c r="AE7" i="6"/>
  <c r="W7" i="6"/>
  <c r="O7" i="6"/>
  <c r="G7" i="6"/>
  <c r="AM6" i="6"/>
  <c r="AE6" i="6"/>
  <c r="W6" i="6"/>
  <c r="O6" i="6"/>
  <c r="G6" i="6"/>
  <c r="AM27" i="5"/>
  <c r="AE27" i="5"/>
  <c r="W27" i="5"/>
  <c r="O27" i="5"/>
  <c r="G27" i="5"/>
  <c r="AM26" i="5"/>
  <c r="AE26" i="5"/>
  <c r="W26" i="5"/>
  <c r="O26" i="5"/>
  <c r="G26" i="5"/>
  <c r="AM25" i="5"/>
  <c r="AE25" i="5"/>
  <c r="W25" i="5"/>
  <c r="O25" i="5"/>
  <c r="G25" i="5"/>
  <c r="AM23" i="5"/>
  <c r="AE23" i="5"/>
  <c r="W23" i="5"/>
  <c r="O23" i="5"/>
  <c r="G23" i="5"/>
  <c r="AM22" i="5"/>
  <c r="AE22" i="5"/>
  <c r="W22" i="5"/>
  <c r="O22" i="5"/>
  <c r="G22" i="5"/>
  <c r="AM20" i="5"/>
  <c r="AE20" i="5"/>
  <c r="W20" i="5"/>
  <c r="O20" i="5"/>
  <c r="G20" i="5"/>
  <c r="AM19" i="5"/>
  <c r="AE19" i="5"/>
  <c r="W19" i="5"/>
  <c r="O19" i="5"/>
  <c r="G19" i="5"/>
  <c r="AM18" i="5"/>
  <c r="AE18" i="5"/>
  <c r="W18" i="5"/>
  <c r="O18" i="5"/>
  <c r="G18" i="5"/>
  <c r="AM17" i="5"/>
  <c r="AE17" i="5"/>
  <c r="W17" i="5"/>
  <c r="O17" i="5"/>
  <c r="G17" i="5"/>
  <c r="AM16" i="5"/>
  <c r="AE16" i="5"/>
  <c r="W16" i="5"/>
  <c r="O16" i="5"/>
  <c r="G16" i="5"/>
  <c r="AM15" i="5"/>
  <c r="AE15" i="5"/>
  <c r="W15" i="5"/>
  <c r="O15" i="5"/>
  <c r="G15" i="5"/>
  <c r="AM14" i="5"/>
  <c r="AE14" i="5"/>
  <c r="W14" i="5"/>
  <c r="O14" i="5"/>
  <c r="G14" i="5"/>
  <c r="AM13" i="5"/>
  <c r="AE13" i="5"/>
  <c r="W13" i="5"/>
  <c r="O13" i="5"/>
  <c r="G13" i="5"/>
  <c r="AM12" i="5"/>
  <c r="AE12" i="5"/>
  <c r="W12" i="5"/>
  <c r="O12" i="5"/>
  <c r="G12" i="5"/>
  <c r="AM11" i="5"/>
  <c r="AE11" i="5"/>
  <c r="W11" i="5"/>
  <c r="O11" i="5"/>
  <c r="G11" i="5"/>
  <c r="AM8" i="5"/>
  <c r="AL14" i="6"/>
  <c r="AD14" i="6"/>
  <c r="V14" i="6"/>
  <c r="N14" i="6"/>
  <c r="F14" i="6"/>
  <c r="AL13" i="6"/>
  <c r="AD13" i="6"/>
  <c r="V13" i="6"/>
  <c r="N13" i="6"/>
  <c r="F13" i="6"/>
  <c r="AL12" i="6"/>
  <c r="AD12" i="6"/>
  <c r="V12" i="6"/>
  <c r="N12" i="6"/>
  <c r="F12" i="6"/>
  <c r="AL10" i="6"/>
  <c r="AD10" i="6"/>
  <c r="V10" i="6"/>
  <c r="N10" i="6"/>
  <c r="F10" i="6"/>
  <c r="AL9" i="6"/>
  <c r="AD9" i="6"/>
  <c r="V9" i="6"/>
  <c r="N9" i="6"/>
  <c r="F9" i="6"/>
  <c r="AL8" i="6"/>
  <c r="AD8" i="6"/>
  <c r="V8" i="6"/>
  <c r="N8" i="6"/>
  <c r="F8" i="6"/>
  <c r="AL7" i="6"/>
  <c r="AD7" i="6"/>
  <c r="V7" i="6"/>
  <c r="N7" i="6"/>
  <c r="F7" i="6"/>
  <c r="AL6" i="6"/>
  <c r="AD6" i="6"/>
  <c r="V6" i="6"/>
  <c r="N6" i="6"/>
  <c r="F6" i="6"/>
  <c r="AL27" i="5"/>
  <c r="AD27" i="5"/>
  <c r="V27" i="5"/>
  <c r="N27" i="5"/>
  <c r="F27" i="5"/>
  <c r="AL26" i="5"/>
  <c r="AD26" i="5"/>
  <c r="V26" i="5"/>
  <c r="N26" i="5"/>
  <c r="F26" i="5"/>
  <c r="AL25" i="5"/>
  <c r="AD25" i="5"/>
  <c r="V25" i="5"/>
  <c r="N25" i="5"/>
  <c r="F25" i="5"/>
  <c r="AL23" i="5"/>
  <c r="AD23" i="5"/>
  <c r="V23" i="5"/>
  <c r="N23" i="5"/>
  <c r="F23" i="5"/>
  <c r="AL22" i="5"/>
  <c r="AD22" i="5"/>
  <c r="V22" i="5"/>
  <c r="N22" i="5"/>
  <c r="F22" i="5"/>
  <c r="AL20" i="5"/>
  <c r="AD20" i="5"/>
  <c r="V20" i="5"/>
  <c r="N20" i="5"/>
  <c r="F20" i="5"/>
  <c r="AL19" i="5"/>
  <c r="AD19" i="5"/>
  <c r="V19" i="5"/>
  <c r="N19" i="5"/>
  <c r="F19" i="5"/>
  <c r="AL18" i="5"/>
  <c r="AD18" i="5"/>
  <c r="V18" i="5"/>
  <c r="N18" i="5"/>
  <c r="F18" i="5"/>
  <c r="AL17" i="5"/>
  <c r="AD17" i="5"/>
  <c r="V17" i="5"/>
  <c r="N17" i="5"/>
  <c r="F17" i="5"/>
  <c r="AL16" i="5"/>
  <c r="AD16" i="5"/>
  <c r="V16" i="5"/>
  <c r="N16" i="5"/>
  <c r="F16" i="5"/>
  <c r="AL15" i="5"/>
  <c r="AD15" i="5"/>
  <c r="V15" i="5"/>
  <c r="N15" i="5"/>
  <c r="AK14" i="6"/>
  <c r="AC14" i="6"/>
  <c r="U14" i="6"/>
  <c r="M14" i="6"/>
  <c r="E14" i="6"/>
  <c r="AK13" i="6"/>
  <c r="AC13" i="6"/>
  <c r="U13" i="6"/>
  <c r="M13" i="6"/>
  <c r="E13" i="6"/>
  <c r="AK12" i="6"/>
  <c r="AC12" i="6"/>
  <c r="U12" i="6"/>
  <c r="M12" i="6"/>
  <c r="E12" i="6"/>
  <c r="AK10" i="6"/>
  <c r="AC10" i="6"/>
  <c r="U10" i="6"/>
  <c r="M10" i="6"/>
  <c r="E10" i="6"/>
  <c r="AK9" i="6"/>
  <c r="AC9" i="6"/>
  <c r="U9" i="6"/>
  <c r="M9" i="6"/>
  <c r="E9" i="6"/>
  <c r="AK8" i="6"/>
  <c r="AC8" i="6"/>
  <c r="U8" i="6"/>
  <c r="M8" i="6"/>
  <c r="E8" i="6"/>
  <c r="AK7" i="6"/>
  <c r="AC7" i="6"/>
  <c r="U7" i="6"/>
  <c r="M7" i="6"/>
  <c r="E7" i="6"/>
  <c r="AK6" i="6"/>
  <c r="AC6" i="6"/>
  <c r="U6" i="6"/>
  <c r="M6" i="6"/>
  <c r="E6" i="6"/>
  <c r="AK27" i="5"/>
  <c r="AC27" i="5"/>
  <c r="U27" i="5"/>
  <c r="M27" i="5"/>
  <c r="E27" i="5"/>
  <c r="AK26" i="5"/>
  <c r="AC26" i="5"/>
  <c r="U26" i="5"/>
  <c r="M26" i="5"/>
  <c r="E26" i="5"/>
  <c r="AK25" i="5"/>
  <c r="AC25" i="5"/>
  <c r="U25" i="5"/>
  <c r="M25" i="5"/>
  <c r="E25" i="5"/>
  <c r="AK23" i="5"/>
  <c r="AC23" i="5"/>
  <c r="U23" i="5"/>
  <c r="M23" i="5"/>
  <c r="E23" i="5"/>
  <c r="AK22" i="5"/>
  <c r="AC22" i="5"/>
  <c r="U22" i="5"/>
  <c r="M22" i="5"/>
  <c r="E22" i="5"/>
  <c r="AK20" i="5"/>
  <c r="AC20" i="5"/>
  <c r="U20" i="5"/>
  <c r="M20" i="5"/>
  <c r="E20" i="5"/>
  <c r="AK19" i="5"/>
  <c r="AC19" i="5"/>
  <c r="U19" i="5"/>
  <c r="M19" i="5"/>
  <c r="E19" i="5"/>
  <c r="AK18" i="5"/>
  <c r="AC18" i="5"/>
  <c r="U18" i="5"/>
  <c r="M18" i="5"/>
  <c r="E18" i="5"/>
  <c r="AK17" i="5"/>
  <c r="AC17" i="5"/>
  <c r="U17" i="5"/>
  <c r="M17" i="5"/>
  <c r="E17" i="5"/>
  <c r="AK16" i="5"/>
  <c r="AC16" i="5"/>
  <c r="U16" i="5"/>
  <c r="M16" i="5"/>
  <c r="E16" i="5"/>
  <c r="AK15" i="5"/>
  <c r="AC15" i="5"/>
  <c r="U15" i="5"/>
  <c r="M15" i="5"/>
  <c r="E15" i="5"/>
  <c r="AK14" i="5"/>
  <c r="AC14" i="5"/>
  <c r="U14" i="5"/>
  <c r="M14" i="5"/>
  <c r="E14" i="5"/>
  <c r="AK13" i="5"/>
  <c r="AC13" i="5"/>
  <c r="U13" i="5"/>
  <c r="M13" i="5"/>
  <c r="E13" i="5"/>
  <c r="AK12" i="5"/>
  <c r="AC12" i="5"/>
  <c r="U12" i="5"/>
  <c r="M12" i="5"/>
  <c r="E12" i="5"/>
  <c r="AK11" i="5"/>
  <c r="AC11" i="5"/>
  <c r="U11" i="5"/>
  <c r="M11" i="5"/>
  <c r="E11" i="5"/>
  <c r="AK8" i="5"/>
  <c r="AJ14" i="6"/>
  <c r="AB14" i="6"/>
  <c r="T14" i="6"/>
  <c r="L14" i="6"/>
  <c r="D14" i="6"/>
  <c r="AJ13" i="6"/>
  <c r="AB13" i="6"/>
  <c r="T13" i="6"/>
  <c r="L13" i="6"/>
  <c r="D13" i="6"/>
  <c r="AJ12" i="6"/>
  <c r="AB12" i="6"/>
  <c r="T12" i="6"/>
  <c r="L12" i="6"/>
  <c r="D12" i="6"/>
  <c r="AJ10" i="6"/>
  <c r="AB10" i="6"/>
  <c r="T10" i="6"/>
  <c r="L10" i="6"/>
  <c r="D10" i="6"/>
  <c r="AJ9" i="6"/>
  <c r="AB9" i="6"/>
  <c r="T9" i="6"/>
  <c r="L9" i="6"/>
  <c r="D9" i="6"/>
  <c r="AJ8" i="6"/>
  <c r="AB8" i="6"/>
  <c r="T8" i="6"/>
  <c r="L8" i="6"/>
  <c r="D8" i="6"/>
  <c r="AJ7" i="6"/>
  <c r="AB7" i="6"/>
  <c r="T7" i="6"/>
  <c r="L7" i="6"/>
  <c r="D7" i="6"/>
  <c r="AJ6" i="6"/>
  <c r="AB6" i="6"/>
  <c r="T6" i="6"/>
  <c r="L6" i="6"/>
  <c r="D6" i="6"/>
  <c r="AJ27" i="5"/>
  <c r="AB27" i="5"/>
  <c r="T27" i="5"/>
  <c r="L27" i="5"/>
  <c r="D27" i="5"/>
  <c r="AJ26" i="5"/>
  <c r="AB26" i="5"/>
  <c r="T26" i="5"/>
  <c r="L26" i="5"/>
  <c r="D26" i="5"/>
  <c r="AJ25" i="5"/>
  <c r="AB25" i="5"/>
  <c r="T25" i="5"/>
  <c r="L25" i="5"/>
  <c r="D25" i="5"/>
  <c r="AJ23" i="5"/>
  <c r="AB23" i="5"/>
  <c r="T23" i="5"/>
  <c r="L23" i="5"/>
  <c r="D23" i="5"/>
  <c r="AJ22" i="5"/>
  <c r="AB22" i="5"/>
  <c r="T22" i="5"/>
  <c r="L22" i="5"/>
  <c r="D22" i="5"/>
  <c r="AJ20" i="5"/>
  <c r="AB20" i="5"/>
  <c r="T20" i="5"/>
  <c r="L20" i="5"/>
  <c r="D20" i="5"/>
  <c r="AJ19" i="5"/>
  <c r="AB19" i="5"/>
  <c r="T19" i="5"/>
  <c r="L19" i="5"/>
  <c r="D19" i="5"/>
  <c r="AJ18" i="5"/>
  <c r="AB18" i="5"/>
  <c r="T18" i="5"/>
  <c r="L18" i="5"/>
  <c r="D18" i="5"/>
  <c r="AJ17" i="5"/>
  <c r="AB17" i="5"/>
  <c r="T17" i="5"/>
  <c r="L17" i="5"/>
  <c r="D17" i="5"/>
  <c r="AJ16" i="5"/>
  <c r="AB16" i="5"/>
  <c r="T16" i="5"/>
  <c r="L16" i="5"/>
  <c r="D16" i="5"/>
  <c r="AJ15" i="5"/>
  <c r="AB15" i="5"/>
  <c r="T15" i="5"/>
  <c r="L15" i="5"/>
  <c r="D15" i="5"/>
  <c r="AJ14" i="5"/>
  <c r="AB14" i="5"/>
  <c r="T14" i="5"/>
  <c r="L14" i="5"/>
  <c r="D14" i="5"/>
  <c r="AJ13" i="5"/>
  <c r="AB13" i="5"/>
  <c r="T13" i="5"/>
  <c r="L13" i="5"/>
  <c r="D13" i="5"/>
  <c r="AJ12" i="5"/>
  <c r="AB12" i="5"/>
  <c r="T12" i="5"/>
  <c r="L12" i="5"/>
  <c r="D12" i="5"/>
  <c r="AJ11" i="5"/>
  <c r="AB11" i="5"/>
  <c r="T11" i="5"/>
  <c r="L11" i="5"/>
  <c r="D11" i="5"/>
  <c r="AJ8" i="5"/>
  <c r="AB8" i="5"/>
  <c r="T8" i="5"/>
  <c r="L8" i="5"/>
  <c r="D8" i="5"/>
  <c r="AJ7" i="5"/>
  <c r="AB7" i="5"/>
  <c r="T7" i="5"/>
  <c r="L7" i="5"/>
  <c r="D7" i="5"/>
  <c r="AJ6" i="5"/>
  <c r="AB6" i="5"/>
  <c r="AI14" i="6"/>
  <c r="K13" i="6"/>
  <c r="AA10" i="6"/>
  <c r="C9" i="6"/>
  <c r="S7" i="6"/>
  <c r="AI27" i="5"/>
  <c r="K26" i="5"/>
  <c r="AA23" i="5"/>
  <c r="C22" i="5"/>
  <c r="S19" i="5"/>
  <c r="AI17" i="5"/>
  <c r="Y16" i="5"/>
  <c r="AG15" i="5"/>
  <c r="C15" i="5"/>
  <c r="V14" i="5"/>
  <c r="AO13" i="5"/>
  <c r="S13" i="5"/>
  <c r="AL12" i="5"/>
  <c r="Q12" i="5"/>
  <c r="AI11" i="5"/>
  <c r="N11" i="5"/>
  <c r="AG8" i="5"/>
  <c r="U8" i="5"/>
  <c r="J8" i="5"/>
  <c r="AM7" i="5"/>
  <c r="AC7" i="5"/>
  <c r="R7" i="5"/>
  <c r="G7" i="5"/>
  <c r="AK6" i="5"/>
  <c r="Z6" i="5"/>
  <c r="R6" i="5"/>
  <c r="J6" i="5"/>
  <c r="AP68" i="4"/>
  <c r="AH68" i="4"/>
  <c r="Z68" i="4"/>
  <c r="R68" i="4"/>
  <c r="J68" i="4"/>
  <c r="AP67" i="4"/>
  <c r="AH67" i="4"/>
  <c r="Z67" i="4"/>
  <c r="R67" i="4"/>
  <c r="J67" i="4"/>
  <c r="AP66" i="4"/>
  <c r="AH66" i="4"/>
  <c r="Z66" i="4"/>
  <c r="R66" i="4"/>
  <c r="J66" i="4"/>
  <c r="AP65" i="4"/>
  <c r="AH65" i="4"/>
  <c r="Z65" i="4"/>
  <c r="R65" i="4"/>
  <c r="J65" i="4"/>
  <c r="AP64" i="4"/>
  <c r="AH64" i="4"/>
  <c r="Z64" i="4"/>
  <c r="R64" i="4"/>
  <c r="J64" i="4"/>
  <c r="AP63" i="4"/>
  <c r="AH63" i="4"/>
  <c r="Z63" i="4"/>
  <c r="R63" i="4"/>
  <c r="J63" i="4"/>
  <c r="AP62" i="4"/>
  <c r="AH62" i="4"/>
  <c r="Z62" i="4"/>
  <c r="R62" i="4"/>
  <c r="J62" i="4"/>
  <c r="AP61" i="4"/>
  <c r="AH61" i="4"/>
  <c r="Z61" i="4"/>
  <c r="R61" i="4"/>
  <c r="J61" i="4"/>
  <c r="AP60" i="4"/>
  <c r="AH60" i="4"/>
  <c r="Z60" i="4"/>
  <c r="R60" i="4"/>
  <c r="J60" i="4"/>
  <c r="AP59" i="4"/>
  <c r="AH59" i="4"/>
  <c r="Z59" i="4"/>
  <c r="R59" i="4"/>
  <c r="J59" i="4"/>
  <c r="AP56" i="4"/>
  <c r="AH56" i="4"/>
  <c r="Z56" i="4"/>
  <c r="R56" i="4"/>
  <c r="J56" i="4"/>
  <c r="AP55" i="4"/>
  <c r="AH55" i="4"/>
  <c r="Z55" i="4"/>
  <c r="R55" i="4"/>
  <c r="J55" i="4"/>
  <c r="AP53" i="4"/>
  <c r="AH53" i="4"/>
  <c r="Z53" i="4"/>
  <c r="R53" i="4"/>
  <c r="J53" i="4"/>
  <c r="AP51" i="4"/>
  <c r="AH51" i="4"/>
  <c r="Z51" i="4"/>
  <c r="R51" i="4"/>
  <c r="J51" i="4"/>
  <c r="AP49" i="4"/>
  <c r="AH49" i="4"/>
  <c r="Z49" i="4"/>
  <c r="R49" i="4"/>
  <c r="J49" i="4"/>
  <c r="AP48" i="4"/>
  <c r="AH48" i="4"/>
  <c r="Z48" i="4"/>
  <c r="R48" i="4"/>
  <c r="J48" i="4"/>
  <c r="AP47" i="4"/>
  <c r="AH47" i="4"/>
  <c r="Z47" i="4"/>
  <c r="R47" i="4"/>
  <c r="J47" i="4"/>
  <c r="AP46" i="4"/>
  <c r="AH46" i="4"/>
  <c r="Z46" i="4"/>
  <c r="R46" i="4"/>
  <c r="J46" i="4"/>
  <c r="AP45" i="4"/>
  <c r="AH45" i="4"/>
  <c r="Z45" i="4"/>
  <c r="R45" i="4"/>
  <c r="J45" i="4"/>
  <c r="AA14" i="6"/>
  <c r="C13" i="6"/>
  <c r="S10" i="6"/>
  <c r="AI8" i="6"/>
  <c r="K7" i="6"/>
  <c r="AA27" i="5"/>
  <c r="C26" i="5"/>
  <c r="S23" i="5"/>
  <c r="AI20" i="5"/>
  <c r="K19" i="5"/>
  <c r="AA17" i="5"/>
  <c r="S16" i="5"/>
  <c r="AA15" i="5"/>
  <c r="AO14" i="5"/>
  <c r="S14" i="5"/>
  <c r="AL13" i="5"/>
  <c r="Q13" i="5"/>
  <c r="AI12" i="5"/>
  <c r="N12" i="5"/>
  <c r="AG11" i="5"/>
  <c r="K11" i="5"/>
  <c r="AE8" i="5"/>
  <c r="S8" i="5"/>
  <c r="I8" i="5"/>
  <c r="AL7" i="5"/>
  <c r="AA7" i="5"/>
  <c r="Q7" i="5"/>
  <c r="F7" i="5"/>
  <c r="AI6" i="5"/>
  <c r="Y6" i="5"/>
  <c r="Q6" i="5"/>
  <c r="I6" i="5"/>
  <c r="AO68" i="4"/>
  <c r="AG68" i="4"/>
  <c r="Y68" i="4"/>
  <c r="Q68" i="4"/>
  <c r="I68" i="4"/>
  <c r="AO67" i="4"/>
  <c r="AG67" i="4"/>
  <c r="Y67" i="4"/>
  <c r="Q67" i="4"/>
  <c r="I67" i="4"/>
  <c r="AO66" i="4"/>
  <c r="AG66" i="4"/>
  <c r="Y66" i="4"/>
  <c r="Q66" i="4"/>
  <c r="I66" i="4"/>
  <c r="AO65" i="4"/>
  <c r="AG65" i="4"/>
  <c r="Y65" i="4"/>
  <c r="Q65" i="4"/>
  <c r="I65" i="4"/>
  <c r="AO64" i="4"/>
  <c r="AG64" i="4"/>
  <c r="Y64" i="4"/>
  <c r="Q64" i="4"/>
  <c r="I64" i="4"/>
  <c r="AO63" i="4"/>
  <c r="AG63" i="4"/>
  <c r="Y63" i="4"/>
  <c r="Q63" i="4"/>
  <c r="I63" i="4"/>
  <c r="AO62" i="4"/>
  <c r="AG62" i="4"/>
  <c r="Y62" i="4"/>
  <c r="Q62" i="4"/>
  <c r="I62" i="4"/>
  <c r="AO61" i="4"/>
  <c r="AG61" i="4"/>
  <c r="Y61" i="4"/>
  <c r="Q61" i="4"/>
  <c r="I61" i="4"/>
  <c r="AO60" i="4"/>
  <c r="AG60" i="4"/>
  <c r="Y60" i="4"/>
  <c r="Q60" i="4"/>
  <c r="I60" i="4"/>
  <c r="AO59" i="4"/>
  <c r="AG59" i="4"/>
  <c r="Y59" i="4"/>
  <c r="Q59" i="4"/>
  <c r="I59" i="4"/>
  <c r="AO56" i="4"/>
  <c r="AG56" i="4"/>
  <c r="Y56" i="4"/>
  <c r="Q56" i="4"/>
  <c r="I56" i="4"/>
  <c r="AO55" i="4"/>
  <c r="AG55" i="4"/>
  <c r="Y55" i="4"/>
  <c r="Q55" i="4"/>
  <c r="I55" i="4"/>
  <c r="AO53" i="4"/>
  <c r="AG53" i="4"/>
  <c r="Y53" i="4"/>
  <c r="Q53" i="4"/>
  <c r="I53" i="4"/>
  <c r="AO51" i="4"/>
  <c r="AG51" i="4"/>
  <c r="Y51" i="4"/>
  <c r="Q51" i="4"/>
  <c r="I51" i="4"/>
  <c r="AO49" i="4"/>
  <c r="AG49" i="4"/>
  <c r="Y49" i="4"/>
  <c r="Q49" i="4"/>
  <c r="I49" i="4"/>
  <c r="AO48" i="4"/>
  <c r="AG48" i="4"/>
  <c r="Y48" i="4"/>
  <c r="Q48" i="4"/>
  <c r="I48" i="4"/>
  <c r="AO47" i="4"/>
  <c r="AG47" i="4"/>
  <c r="Y47" i="4"/>
  <c r="Q47" i="4"/>
  <c r="I47" i="4"/>
  <c r="AO46" i="4"/>
  <c r="AG46" i="4"/>
  <c r="Y46" i="4"/>
  <c r="Q46" i="4"/>
  <c r="I46" i="4"/>
  <c r="AO45" i="4"/>
  <c r="AG45" i="4"/>
  <c r="Y45" i="4"/>
  <c r="Q45" i="4"/>
  <c r="I45" i="4"/>
  <c r="S14" i="6"/>
  <c r="AI12" i="6"/>
  <c r="K10" i="6"/>
  <c r="AA8" i="6"/>
  <c r="C7" i="6"/>
  <c r="S27" i="5"/>
  <c r="AI25" i="5"/>
  <c r="K23" i="5"/>
  <c r="AA20" i="5"/>
  <c r="C19" i="5"/>
  <c r="S17" i="5"/>
  <c r="Q16" i="5"/>
  <c r="Y15" i="5"/>
  <c r="AL14" i="5"/>
  <c r="Q14" i="5"/>
  <c r="AI13" i="5"/>
  <c r="N13" i="5"/>
  <c r="AG12" i="5"/>
  <c r="K12" i="5"/>
  <c r="AD11" i="5"/>
  <c r="I11" i="5"/>
  <c r="AD8" i="5"/>
  <c r="R8" i="5"/>
  <c r="G8" i="5"/>
  <c r="AK7" i="5"/>
  <c r="Z7" i="5"/>
  <c r="O7" i="5"/>
  <c r="E7" i="5"/>
  <c r="AH6" i="5"/>
  <c r="X6" i="5"/>
  <c r="P6" i="5"/>
  <c r="H6" i="5"/>
  <c r="AN68" i="4"/>
  <c r="AF68" i="4"/>
  <c r="X68" i="4"/>
  <c r="P68" i="4"/>
  <c r="H68" i="4"/>
  <c r="AN67" i="4"/>
  <c r="AF67" i="4"/>
  <c r="X67" i="4"/>
  <c r="P67" i="4"/>
  <c r="H67" i="4"/>
  <c r="AN66" i="4"/>
  <c r="AF66" i="4"/>
  <c r="X66" i="4"/>
  <c r="P66" i="4"/>
  <c r="H66" i="4"/>
  <c r="AN65" i="4"/>
  <c r="AF65" i="4"/>
  <c r="X65" i="4"/>
  <c r="P65" i="4"/>
  <c r="H65" i="4"/>
  <c r="AN64" i="4"/>
  <c r="AF64" i="4"/>
  <c r="X64" i="4"/>
  <c r="P64" i="4"/>
  <c r="H64" i="4"/>
  <c r="AN63" i="4"/>
  <c r="AF63" i="4"/>
  <c r="X63" i="4"/>
  <c r="P63" i="4"/>
  <c r="H63" i="4"/>
  <c r="AN62" i="4"/>
  <c r="AF62" i="4"/>
  <c r="X62" i="4"/>
  <c r="P62" i="4"/>
  <c r="H62" i="4"/>
  <c r="AN61" i="4"/>
  <c r="AF61" i="4"/>
  <c r="X61" i="4"/>
  <c r="P61" i="4"/>
  <c r="H61" i="4"/>
  <c r="AN60" i="4"/>
  <c r="AF60" i="4"/>
  <c r="X60" i="4"/>
  <c r="P60" i="4"/>
  <c r="H60" i="4"/>
  <c r="AN59" i="4"/>
  <c r="AF59" i="4"/>
  <c r="X59" i="4"/>
  <c r="P59" i="4"/>
  <c r="H59" i="4"/>
  <c r="AN56" i="4"/>
  <c r="AF56" i="4"/>
  <c r="X56" i="4"/>
  <c r="P56" i="4"/>
  <c r="H56" i="4"/>
  <c r="AN55" i="4"/>
  <c r="AF55" i="4"/>
  <c r="X55" i="4"/>
  <c r="P55" i="4"/>
  <c r="H55" i="4"/>
  <c r="AN53" i="4"/>
  <c r="AF53" i="4"/>
  <c r="X53" i="4"/>
  <c r="P53" i="4"/>
  <c r="H53" i="4"/>
  <c r="AN51" i="4"/>
  <c r="AF51" i="4"/>
  <c r="X51" i="4"/>
  <c r="P51" i="4"/>
  <c r="H51" i="4"/>
  <c r="AN49" i="4"/>
  <c r="AF49" i="4"/>
  <c r="X49" i="4"/>
  <c r="P49" i="4"/>
  <c r="H49" i="4"/>
  <c r="AN48" i="4"/>
  <c r="AF48" i="4"/>
  <c r="X48" i="4"/>
  <c r="P48" i="4"/>
  <c r="H48" i="4"/>
  <c r="AN47" i="4"/>
  <c r="AF47" i="4"/>
  <c r="X47" i="4"/>
  <c r="P47" i="4"/>
  <c r="H47" i="4"/>
  <c r="AN46" i="4"/>
  <c r="AF46" i="4"/>
  <c r="X46" i="4"/>
  <c r="P46" i="4"/>
  <c r="H46" i="4"/>
  <c r="AN45" i="4"/>
  <c r="AF45" i="4"/>
  <c r="X45" i="4"/>
  <c r="P45" i="4"/>
  <c r="H45" i="4"/>
  <c r="K14" i="6"/>
  <c r="AA12" i="6"/>
  <c r="C10" i="6"/>
  <c r="S8" i="6"/>
  <c r="AI6" i="6"/>
  <c r="K27" i="5"/>
  <c r="AA25" i="5"/>
  <c r="C23" i="5"/>
  <c r="S20" i="5"/>
  <c r="AI18" i="5"/>
  <c r="K17" i="5"/>
  <c r="K16" i="5"/>
  <c r="S15" i="5"/>
  <c r="AI14" i="5"/>
  <c r="N14" i="5"/>
  <c r="AG13" i="5"/>
  <c r="K13" i="5"/>
  <c r="AD12" i="5"/>
  <c r="I12" i="5"/>
  <c r="AA11" i="5"/>
  <c r="F11" i="5"/>
  <c r="AC8" i="5"/>
  <c r="Q8" i="5"/>
  <c r="F8" i="5"/>
  <c r="AI7" i="5"/>
  <c r="Y7" i="5"/>
  <c r="N7" i="5"/>
  <c r="C7" i="5"/>
  <c r="AG6" i="5"/>
  <c r="W6" i="5"/>
  <c r="O6" i="5"/>
  <c r="G6" i="5"/>
  <c r="AM68" i="4"/>
  <c r="AE68" i="4"/>
  <c r="W68" i="4"/>
  <c r="O68" i="4"/>
  <c r="G68" i="4"/>
  <c r="AM67" i="4"/>
  <c r="AE67" i="4"/>
  <c r="W67" i="4"/>
  <c r="O67" i="4"/>
  <c r="G67" i="4"/>
  <c r="AM66" i="4"/>
  <c r="AE66" i="4"/>
  <c r="W66" i="4"/>
  <c r="O66" i="4"/>
  <c r="G66" i="4"/>
  <c r="AM65" i="4"/>
  <c r="AE65" i="4"/>
  <c r="W65" i="4"/>
  <c r="O65" i="4"/>
  <c r="G65" i="4"/>
  <c r="AM64" i="4"/>
  <c r="AE64" i="4"/>
  <c r="W64" i="4"/>
  <c r="O64" i="4"/>
  <c r="G64" i="4"/>
  <c r="AM63" i="4"/>
  <c r="AE63" i="4"/>
  <c r="W63" i="4"/>
  <c r="O63" i="4"/>
  <c r="G63" i="4"/>
  <c r="AM62" i="4"/>
  <c r="AE62" i="4"/>
  <c r="W62" i="4"/>
  <c r="O62" i="4"/>
  <c r="G62" i="4"/>
  <c r="AM61" i="4"/>
  <c r="AE61" i="4"/>
  <c r="W61" i="4"/>
  <c r="O61" i="4"/>
  <c r="G61" i="4"/>
  <c r="AM60" i="4"/>
  <c r="AE60" i="4"/>
  <c r="W60" i="4"/>
  <c r="O60" i="4"/>
  <c r="G60" i="4"/>
  <c r="AM59" i="4"/>
  <c r="AE59" i="4"/>
  <c r="W59" i="4"/>
  <c r="O59" i="4"/>
  <c r="G59" i="4"/>
  <c r="AM56" i="4"/>
  <c r="AE56" i="4"/>
  <c r="W56" i="4"/>
  <c r="O56" i="4"/>
  <c r="G56" i="4"/>
  <c r="AM55" i="4"/>
  <c r="AE55" i="4"/>
  <c r="W55" i="4"/>
  <c r="O55" i="4"/>
  <c r="G55" i="4"/>
  <c r="AM53" i="4"/>
  <c r="AE53" i="4"/>
  <c r="W53" i="4"/>
  <c r="O53" i="4"/>
  <c r="G53" i="4"/>
  <c r="AM51" i="4"/>
  <c r="AE51" i="4"/>
  <c r="W51" i="4"/>
  <c r="O51" i="4"/>
  <c r="G51" i="4"/>
  <c r="AM49" i="4"/>
  <c r="AE49" i="4"/>
  <c r="W49" i="4"/>
  <c r="O49" i="4"/>
  <c r="G49" i="4"/>
  <c r="AM48" i="4"/>
  <c r="AE48" i="4"/>
  <c r="W48" i="4"/>
  <c r="O48" i="4"/>
  <c r="G48" i="4"/>
  <c r="AM47" i="4"/>
  <c r="AE47" i="4"/>
  <c r="W47" i="4"/>
  <c r="O47" i="4"/>
  <c r="G47" i="4"/>
  <c r="AM46" i="4"/>
  <c r="AE46" i="4"/>
  <c r="W46" i="4"/>
  <c r="O46" i="4"/>
  <c r="G46" i="4"/>
  <c r="AM45" i="4"/>
  <c r="AE45" i="4"/>
  <c r="C14" i="6"/>
  <c r="S12" i="6"/>
  <c r="AI9" i="6"/>
  <c r="K8" i="6"/>
  <c r="AA6" i="6"/>
  <c r="C27" i="5"/>
  <c r="S25" i="5"/>
  <c r="AI22" i="5"/>
  <c r="K20" i="5"/>
  <c r="AA18" i="5"/>
  <c r="C17" i="5"/>
  <c r="I16" i="5"/>
  <c r="Q15" i="5"/>
  <c r="AG14" i="5"/>
  <c r="K14" i="5"/>
  <c r="AD13" i="5"/>
  <c r="I13" i="5"/>
  <c r="AA12" i="5"/>
  <c r="F12" i="5"/>
  <c r="Y11" i="5"/>
  <c r="C11" i="5"/>
  <c r="AA8" i="5"/>
  <c r="O8" i="5"/>
  <c r="E8" i="5"/>
  <c r="AH7" i="5"/>
  <c r="W7" i="5"/>
  <c r="M7" i="5"/>
  <c r="AP6" i="5"/>
  <c r="AE6" i="5"/>
  <c r="V6" i="5"/>
  <c r="N6" i="5"/>
  <c r="F6" i="5"/>
  <c r="AL68" i="4"/>
  <c r="AD68" i="4"/>
  <c r="V68" i="4"/>
  <c r="N68" i="4"/>
  <c r="F68" i="4"/>
  <c r="AL67" i="4"/>
  <c r="AD67" i="4"/>
  <c r="V67" i="4"/>
  <c r="N67" i="4"/>
  <c r="F67" i="4"/>
  <c r="AL66" i="4"/>
  <c r="AD66" i="4"/>
  <c r="V66" i="4"/>
  <c r="N66" i="4"/>
  <c r="F66" i="4"/>
  <c r="AL65" i="4"/>
  <c r="AD65" i="4"/>
  <c r="V65" i="4"/>
  <c r="N65" i="4"/>
  <c r="F65" i="4"/>
  <c r="AL64" i="4"/>
  <c r="AD64" i="4"/>
  <c r="V64" i="4"/>
  <c r="N64" i="4"/>
  <c r="F64" i="4"/>
  <c r="AL63" i="4"/>
  <c r="AD63" i="4"/>
  <c r="V63" i="4"/>
  <c r="N63" i="4"/>
  <c r="F63" i="4"/>
  <c r="AL62" i="4"/>
  <c r="AD62" i="4"/>
  <c r="V62" i="4"/>
  <c r="N62" i="4"/>
  <c r="F62" i="4"/>
  <c r="AL61" i="4"/>
  <c r="AD61" i="4"/>
  <c r="V61" i="4"/>
  <c r="N61" i="4"/>
  <c r="F61" i="4"/>
  <c r="AL60" i="4"/>
  <c r="AD60" i="4"/>
  <c r="V60" i="4"/>
  <c r="N60" i="4"/>
  <c r="F60" i="4"/>
  <c r="AL59" i="4"/>
  <c r="AD59" i="4"/>
  <c r="V59" i="4"/>
  <c r="N59" i="4"/>
  <c r="F59" i="4"/>
  <c r="AL56" i="4"/>
  <c r="AD56" i="4"/>
  <c r="V56" i="4"/>
  <c r="N56" i="4"/>
  <c r="F56" i="4"/>
  <c r="AL55" i="4"/>
  <c r="AD55" i="4"/>
  <c r="V55" i="4"/>
  <c r="N55" i="4"/>
  <c r="F55" i="4"/>
  <c r="AL53" i="4"/>
  <c r="AD53" i="4"/>
  <c r="V53" i="4"/>
  <c r="N53" i="4"/>
  <c r="F53" i="4"/>
  <c r="AL51" i="4"/>
  <c r="AD51" i="4"/>
  <c r="V51" i="4"/>
  <c r="N51" i="4"/>
  <c r="F51" i="4"/>
  <c r="AL49" i="4"/>
  <c r="AD49" i="4"/>
  <c r="V49" i="4"/>
  <c r="N49" i="4"/>
  <c r="F49" i="4"/>
  <c r="AL48" i="4"/>
  <c r="AD48" i="4"/>
  <c r="V48" i="4"/>
  <c r="N48" i="4"/>
  <c r="F48" i="4"/>
  <c r="AL47" i="4"/>
  <c r="AD47" i="4"/>
  <c r="V47" i="4"/>
  <c r="N47" i="4"/>
  <c r="F47" i="4"/>
  <c r="AL46" i="4"/>
  <c r="AD46" i="4"/>
  <c r="V46" i="4"/>
  <c r="N46" i="4"/>
  <c r="F46" i="4"/>
  <c r="AL45" i="4"/>
  <c r="AD45" i="4"/>
  <c r="V45" i="4"/>
  <c r="N45" i="4"/>
  <c r="F45" i="4"/>
  <c r="AI13" i="6"/>
  <c r="K12" i="6"/>
  <c r="AA9" i="6"/>
  <c r="C8" i="6"/>
  <c r="S6" i="6"/>
  <c r="AI26" i="5"/>
  <c r="K25" i="5"/>
  <c r="AA22" i="5"/>
  <c r="C20" i="5"/>
  <c r="S18" i="5"/>
  <c r="AI16" i="5"/>
  <c r="C16" i="5"/>
  <c r="K15" i="5"/>
  <c r="AD14" i="5"/>
  <c r="I14" i="5"/>
  <c r="AA13" i="5"/>
  <c r="F13" i="5"/>
  <c r="Y12" i="5"/>
  <c r="AA13" i="6"/>
  <c r="K6" i="6"/>
  <c r="AI19" i="5"/>
  <c r="I15" i="5"/>
  <c r="C13" i="5"/>
  <c r="S11" i="5"/>
  <c r="N8" i="5"/>
  <c r="AD7" i="5"/>
  <c r="AM6" i="5"/>
  <c r="M6" i="5"/>
  <c r="AI68" i="4"/>
  <c r="L68" i="4"/>
  <c r="AC67" i="4"/>
  <c r="K67" i="4"/>
  <c r="AB66" i="4"/>
  <c r="E66" i="4"/>
  <c r="AA65" i="4"/>
  <c r="D65" i="4"/>
  <c r="U64" i="4"/>
  <c r="C64" i="4"/>
  <c r="T63" i="4"/>
  <c r="AK62" i="4"/>
  <c r="S62" i="4"/>
  <c r="AJ61" i="4"/>
  <c r="M61" i="4"/>
  <c r="AI60" i="4"/>
  <c r="L60" i="4"/>
  <c r="AC59" i="4"/>
  <c r="K59" i="4"/>
  <c r="AB56" i="4"/>
  <c r="E56" i="4"/>
  <c r="AA55" i="4"/>
  <c r="D55" i="4"/>
  <c r="U53" i="4"/>
  <c r="C53" i="4"/>
  <c r="T51" i="4"/>
  <c r="AK49" i="4"/>
  <c r="S49" i="4"/>
  <c r="AJ48" i="4"/>
  <c r="M48" i="4"/>
  <c r="AI47" i="4"/>
  <c r="L47" i="4"/>
  <c r="AC46" i="4"/>
  <c r="K46" i="4"/>
  <c r="AB45" i="4"/>
  <c r="L45" i="4"/>
  <c r="AN44" i="4"/>
  <c r="AF44" i="4"/>
  <c r="X44" i="4"/>
  <c r="P44" i="4"/>
  <c r="H44" i="4"/>
  <c r="AN43" i="4"/>
  <c r="AF43" i="4"/>
  <c r="X43" i="4"/>
  <c r="P43" i="4"/>
  <c r="H43" i="4"/>
  <c r="AN42" i="4"/>
  <c r="AF42" i="4"/>
  <c r="X42" i="4"/>
  <c r="P42" i="4"/>
  <c r="H42" i="4"/>
  <c r="AN41" i="4"/>
  <c r="AF41" i="4"/>
  <c r="X41" i="4"/>
  <c r="P41" i="4"/>
  <c r="H41" i="4"/>
  <c r="AN40" i="4"/>
  <c r="AF40" i="4"/>
  <c r="X40" i="4"/>
  <c r="P40" i="4"/>
  <c r="H40" i="4"/>
  <c r="AN39" i="4"/>
  <c r="AF39" i="4"/>
  <c r="X39" i="4"/>
  <c r="P39" i="4"/>
  <c r="H39" i="4"/>
  <c r="AN36" i="4"/>
  <c r="AF36" i="4"/>
  <c r="X36" i="4"/>
  <c r="P36" i="4"/>
  <c r="H36" i="4"/>
  <c r="AN35" i="4"/>
  <c r="AF35" i="4"/>
  <c r="X35" i="4"/>
  <c r="P35" i="4"/>
  <c r="H35" i="4"/>
  <c r="AN34" i="4"/>
  <c r="AF34" i="4"/>
  <c r="X34" i="4"/>
  <c r="P34" i="4"/>
  <c r="H34" i="4"/>
  <c r="AN33" i="4"/>
  <c r="AF33" i="4"/>
  <c r="X33" i="4"/>
  <c r="P33" i="4"/>
  <c r="H33" i="4"/>
  <c r="AN32" i="4"/>
  <c r="AF32" i="4"/>
  <c r="X32" i="4"/>
  <c r="P32" i="4"/>
  <c r="H32" i="4"/>
  <c r="AN31" i="4"/>
  <c r="AF31" i="4"/>
  <c r="X31" i="4"/>
  <c r="P31" i="4"/>
  <c r="H31" i="4"/>
  <c r="AN30" i="4"/>
  <c r="AF30" i="4"/>
  <c r="X30" i="4"/>
  <c r="P30" i="4"/>
  <c r="H30" i="4"/>
  <c r="AN29" i="4"/>
  <c r="AF29" i="4"/>
  <c r="X29" i="4"/>
  <c r="P29" i="4"/>
  <c r="H29" i="4"/>
  <c r="AN28" i="4"/>
  <c r="AF28" i="4"/>
  <c r="X28" i="4"/>
  <c r="P28" i="4"/>
  <c r="H28" i="4"/>
  <c r="AN27" i="4"/>
  <c r="AF27" i="4"/>
  <c r="X27" i="4"/>
  <c r="P27" i="4"/>
  <c r="H27" i="4"/>
  <c r="AN26" i="4"/>
  <c r="S13" i="6"/>
  <c r="C6" i="6"/>
  <c r="AA19" i="5"/>
  <c r="F15" i="5"/>
  <c r="AO12" i="5"/>
  <c r="Q11" i="5"/>
  <c r="M8" i="5"/>
  <c r="V7" i="5"/>
  <c r="AL6" i="5"/>
  <c r="L6" i="5"/>
  <c r="AC68" i="4"/>
  <c r="K68" i="4"/>
  <c r="AB67" i="4"/>
  <c r="E67" i="4"/>
  <c r="AA66" i="4"/>
  <c r="D66" i="4"/>
  <c r="U65" i="4"/>
  <c r="C65" i="4"/>
  <c r="T64" i="4"/>
  <c r="AK63" i="4"/>
  <c r="S63" i="4"/>
  <c r="AJ62" i="4"/>
  <c r="M62" i="4"/>
  <c r="AI61" i="4"/>
  <c r="L61" i="4"/>
  <c r="AC60" i="4"/>
  <c r="K60" i="4"/>
  <c r="AB59" i="4"/>
  <c r="E59" i="4"/>
  <c r="AA56" i="4"/>
  <c r="D56" i="4"/>
  <c r="U55" i="4"/>
  <c r="C55" i="4"/>
  <c r="T53" i="4"/>
  <c r="AK51" i="4"/>
  <c r="S51" i="4"/>
  <c r="AJ49" i="4"/>
  <c r="M49" i="4"/>
  <c r="AI48" i="4"/>
  <c r="L48" i="4"/>
  <c r="AC47" i="4"/>
  <c r="K47" i="4"/>
  <c r="AB46" i="4"/>
  <c r="E46" i="4"/>
  <c r="AA45" i="4"/>
  <c r="K45" i="4"/>
  <c r="AM44" i="4"/>
  <c r="AE44" i="4"/>
  <c r="W44" i="4"/>
  <c r="O44" i="4"/>
  <c r="G44" i="4"/>
  <c r="AM43" i="4"/>
  <c r="AE43" i="4"/>
  <c r="W43" i="4"/>
  <c r="O43" i="4"/>
  <c r="G43" i="4"/>
  <c r="AM42" i="4"/>
  <c r="AE42" i="4"/>
  <c r="W42" i="4"/>
  <c r="O42" i="4"/>
  <c r="G42" i="4"/>
  <c r="AM41" i="4"/>
  <c r="AE41" i="4"/>
  <c r="W41" i="4"/>
  <c r="O41" i="4"/>
  <c r="G41" i="4"/>
  <c r="AM40" i="4"/>
  <c r="AE40" i="4"/>
  <c r="W40" i="4"/>
  <c r="O40" i="4"/>
  <c r="G40" i="4"/>
  <c r="AM39" i="4"/>
  <c r="AE39" i="4"/>
  <c r="W39" i="4"/>
  <c r="O39" i="4"/>
  <c r="G39" i="4"/>
  <c r="AM36" i="4"/>
  <c r="AE36" i="4"/>
  <c r="W36" i="4"/>
  <c r="O36" i="4"/>
  <c r="G36" i="4"/>
  <c r="AM35" i="4"/>
  <c r="AE35" i="4"/>
  <c r="W35" i="4"/>
  <c r="O35" i="4"/>
  <c r="G35" i="4"/>
  <c r="AM34" i="4"/>
  <c r="AE34" i="4"/>
  <c r="W34" i="4"/>
  <c r="O34" i="4"/>
  <c r="G34" i="4"/>
  <c r="AM33" i="4"/>
  <c r="AE33" i="4"/>
  <c r="W33" i="4"/>
  <c r="O33" i="4"/>
  <c r="G33" i="4"/>
  <c r="AM32" i="4"/>
  <c r="AE32" i="4"/>
  <c r="W32" i="4"/>
  <c r="O32" i="4"/>
  <c r="G32" i="4"/>
  <c r="AM31" i="4"/>
  <c r="AE31" i="4"/>
  <c r="W31" i="4"/>
  <c r="O31" i="4"/>
  <c r="G31" i="4"/>
  <c r="AM30" i="4"/>
  <c r="AE30" i="4"/>
  <c r="W30" i="4"/>
  <c r="O30" i="4"/>
  <c r="G30" i="4"/>
  <c r="AM29" i="4"/>
  <c r="AE29" i="4"/>
  <c r="W29" i="4"/>
  <c r="O29" i="4"/>
  <c r="G29" i="4"/>
  <c r="AM28" i="4"/>
  <c r="AE28" i="4"/>
  <c r="W28" i="4"/>
  <c r="O28" i="4"/>
  <c r="C12" i="6"/>
  <c r="AA26" i="5"/>
  <c r="K18" i="5"/>
  <c r="AA14" i="5"/>
  <c r="V12" i="5"/>
  <c r="AO8" i="5"/>
  <c r="K8" i="5"/>
  <c r="U7" i="5"/>
  <c r="AD6" i="5"/>
  <c r="K6" i="5"/>
  <c r="AB68" i="4"/>
  <c r="E68" i="4"/>
  <c r="AA67" i="4"/>
  <c r="D67" i="4"/>
  <c r="U66" i="4"/>
  <c r="C66" i="4"/>
  <c r="T65" i="4"/>
  <c r="AK64" i="4"/>
  <c r="S64" i="4"/>
  <c r="AJ63" i="4"/>
  <c r="M63" i="4"/>
  <c r="AI62" i="4"/>
  <c r="L62" i="4"/>
  <c r="AC61" i="4"/>
  <c r="K61" i="4"/>
  <c r="AB60" i="4"/>
  <c r="E60" i="4"/>
  <c r="AA59" i="4"/>
  <c r="D59" i="4"/>
  <c r="U56" i="4"/>
  <c r="C56" i="4"/>
  <c r="T55" i="4"/>
  <c r="AK53" i="4"/>
  <c r="S53" i="4"/>
  <c r="AJ51" i="4"/>
  <c r="M51" i="4"/>
  <c r="AI49" i="4"/>
  <c r="L49" i="4"/>
  <c r="AC48" i="4"/>
  <c r="K48" i="4"/>
  <c r="AB47" i="4"/>
  <c r="E47" i="4"/>
  <c r="AA46" i="4"/>
  <c r="D46" i="4"/>
  <c r="W45" i="4"/>
  <c r="G45" i="4"/>
  <c r="AL44" i="4"/>
  <c r="AD44" i="4"/>
  <c r="V44" i="4"/>
  <c r="N44" i="4"/>
  <c r="F44" i="4"/>
  <c r="AL43" i="4"/>
  <c r="AD43" i="4"/>
  <c r="V43" i="4"/>
  <c r="N43" i="4"/>
  <c r="F43" i="4"/>
  <c r="AL42" i="4"/>
  <c r="AD42" i="4"/>
  <c r="V42" i="4"/>
  <c r="N42" i="4"/>
  <c r="F42" i="4"/>
  <c r="AL41" i="4"/>
  <c r="AD41" i="4"/>
  <c r="V41" i="4"/>
  <c r="N41" i="4"/>
  <c r="F41" i="4"/>
  <c r="AL40" i="4"/>
  <c r="AD40" i="4"/>
  <c r="V40" i="4"/>
  <c r="N40" i="4"/>
  <c r="F40" i="4"/>
  <c r="AL39" i="4"/>
  <c r="AD39" i="4"/>
  <c r="V39" i="4"/>
  <c r="N39" i="4"/>
  <c r="F39" i="4"/>
  <c r="AL36" i="4"/>
  <c r="AD36" i="4"/>
  <c r="V36" i="4"/>
  <c r="N36" i="4"/>
  <c r="F36" i="4"/>
  <c r="AL35" i="4"/>
  <c r="AD35" i="4"/>
  <c r="V35" i="4"/>
  <c r="N35" i="4"/>
  <c r="F35" i="4"/>
  <c r="AL34" i="4"/>
  <c r="AD34" i="4"/>
  <c r="V34" i="4"/>
  <c r="N34" i="4"/>
  <c r="F34" i="4"/>
  <c r="AL33" i="4"/>
  <c r="AD33" i="4"/>
  <c r="V33" i="4"/>
  <c r="N33" i="4"/>
  <c r="F33" i="4"/>
  <c r="AL32" i="4"/>
  <c r="AD32" i="4"/>
  <c r="V32" i="4"/>
  <c r="N32" i="4"/>
  <c r="F32" i="4"/>
  <c r="AL31" i="4"/>
  <c r="AD31" i="4"/>
  <c r="V31" i="4"/>
  <c r="N31" i="4"/>
  <c r="F31" i="4"/>
  <c r="AL30" i="4"/>
  <c r="AD30" i="4"/>
  <c r="V30" i="4"/>
  <c r="N30" i="4"/>
  <c r="F30" i="4"/>
  <c r="AL29" i="4"/>
  <c r="AD29" i="4"/>
  <c r="V29" i="4"/>
  <c r="N29" i="4"/>
  <c r="F29" i="4"/>
  <c r="AL28" i="4"/>
  <c r="AD28" i="4"/>
  <c r="V28" i="4"/>
  <c r="N28" i="4"/>
  <c r="F28" i="4"/>
  <c r="AI10" i="6"/>
  <c r="S26" i="5"/>
  <c r="C18" i="5"/>
  <c r="Y14" i="5"/>
  <c r="S12" i="5"/>
  <c r="AL8" i="5"/>
  <c r="C8" i="5"/>
  <c r="S7" i="5"/>
  <c r="AC6" i="5"/>
  <c r="E6" i="5"/>
  <c r="AA68" i="4"/>
  <c r="D68" i="4"/>
  <c r="U67" i="4"/>
  <c r="C67" i="4"/>
  <c r="T66" i="4"/>
  <c r="AK65" i="4"/>
  <c r="S65" i="4"/>
  <c r="AJ64" i="4"/>
  <c r="M64" i="4"/>
  <c r="AI63" i="4"/>
  <c r="L63" i="4"/>
  <c r="AC62" i="4"/>
  <c r="K62" i="4"/>
  <c r="AB61" i="4"/>
  <c r="E61" i="4"/>
  <c r="AA60" i="4"/>
  <c r="D60" i="4"/>
  <c r="U59" i="4"/>
  <c r="C59" i="4"/>
  <c r="T56" i="4"/>
  <c r="AK55" i="4"/>
  <c r="S55" i="4"/>
  <c r="AJ53" i="4"/>
  <c r="M53" i="4"/>
  <c r="AI51" i="4"/>
  <c r="L51" i="4"/>
  <c r="AC49" i="4"/>
  <c r="K49" i="4"/>
  <c r="AB48" i="4"/>
  <c r="E48" i="4"/>
  <c r="AA47" i="4"/>
  <c r="D47" i="4"/>
  <c r="U46" i="4"/>
  <c r="C46" i="4"/>
  <c r="U45" i="4"/>
  <c r="E45" i="4"/>
  <c r="AK44" i="4"/>
  <c r="AC44" i="4"/>
  <c r="U44" i="4"/>
  <c r="M44" i="4"/>
  <c r="E44" i="4"/>
  <c r="AK43" i="4"/>
  <c r="AC43" i="4"/>
  <c r="U43" i="4"/>
  <c r="M43" i="4"/>
  <c r="E43" i="4"/>
  <c r="AK42" i="4"/>
  <c r="AC42" i="4"/>
  <c r="U42" i="4"/>
  <c r="M42" i="4"/>
  <c r="E42" i="4"/>
  <c r="AK41" i="4"/>
  <c r="AC41" i="4"/>
  <c r="U41" i="4"/>
  <c r="M41" i="4"/>
  <c r="E41" i="4"/>
  <c r="AK40" i="4"/>
  <c r="AC40" i="4"/>
  <c r="U40" i="4"/>
  <c r="M40" i="4"/>
  <c r="E40" i="4"/>
  <c r="AK39" i="4"/>
  <c r="AC39" i="4"/>
  <c r="U39" i="4"/>
  <c r="M39" i="4"/>
  <c r="E39" i="4"/>
  <c r="AK36" i="4"/>
  <c r="AC36" i="4"/>
  <c r="U36" i="4"/>
  <c r="M36" i="4"/>
  <c r="E36" i="4"/>
  <c r="AK35" i="4"/>
  <c r="AC35" i="4"/>
  <c r="U35" i="4"/>
  <c r="M35" i="4"/>
  <c r="E35" i="4"/>
  <c r="AK34" i="4"/>
  <c r="AC34" i="4"/>
  <c r="U34" i="4"/>
  <c r="M34" i="4"/>
  <c r="E34" i="4"/>
  <c r="AK33" i="4"/>
  <c r="AC33" i="4"/>
  <c r="U33" i="4"/>
  <c r="M33" i="4"/>
  <c r="E33" i="4"/>
  <c r="AK32" i="4"/>
  <c r="AC32" i="4"/>
  <c r="U32" i="4"/>
  <c r="M32" i="4"/>
  <c r="E32" i="4"/>
  <c r="AK31" i="4"/>
  <c r="AC31" i="4"/>
  <c r="U31" i="4"/>
  <c r="M31" i="4"/>
  <c r="E31" i="4"/>
  <c r="AK30" i="4"/>
  <c r="AC30" i="4"/>
  <c r="U30" i="4"/>
  <c r="M30" i="4"/>
  <c r="E30" i="4"/>
  <c r="AK29" i="4"/>
  <c r="AC29" i="4"/>
  <c r="U29" i="4"/>
  <c r="M29" i="4"/>
  <c r="E29" i="4"/>
  <c r="AK28" i="4"/>
  <c r="AC28" i="4"/>
  <c r="U28" i="4"/>
  <c r="M28" i="4"/>
  <c r="E28" i="4"/>
  <c r="S9" i="6"/>
  <c r="C25" i="5"/>
  <c r="AG16" i="5"/>
  <c r="F14" i="5"/>
  <c r="C12" i="5"/>
  <c r="AI8" i="5"/>
  <c r="AP7" i="5"/>
  <c r="K7" i="5"/>
  <c r="AA6" i="5"/>
  <c r="D6" i="5"/>
  <c r="U68" i="4"/>
  <c r="C68" i="4"/>
  <c r="T67" i="4"/>
  <c r="AK66" i="4"/>
  <c r="S66" i="4"/>
  <c r="AJ65" i="4"/>
  <c r="M65" i="4"/>
  <c r="AI64" i="4"/>
  <c r="L64" i="4"/>
  <c r="AC63" i="4"/>
  <c r="K63" i="4"/>
  <c r="AB62" i="4"/>
  <c r="E62" i="4"/>
  <c r="AA61" i="4"/>
  <c r="D61" i="4"/>
  <c r="U60" i="4"/>
  <c r="C60" i="4"/>
  <c r="T59" i="4"/>
  <c r="AK56" i="4"/>
  <c r="S56" i="4"/>
  <c r="AJ55" i="4"/>
  <c r="M55" i="4"/>
  <c r="AI53" i="4"/>
  <c r="L53" i="4"/>
  <c r="AC51" i="4"/>
  <c r="K51" i="4"/>
  <c r="AB49" i="4"/>
  <c r="E49" i="4"/>
  <c r="AA48" i="4"/>
  <c r="D48" i="4"/>
  <c r="U47" i="4"/>
  <c r="C47" i="4"/>
  <c r="T46" i="4"/>
  <c r="AK45" i="4"/>
  <c r="T45" i="4"/>
  <c r="D45" i="4"/>
  <c r="AJ44" i="4"/>
  <c r="AB44" i="4"/>
  <c r="T44" i="4"/>
  <c r="L44" i="4"/>
  <c r="D44" i="4"/>
  <c r="AJ43" i="4"/>
  <c r="AB43" i="4"/>
  <c r="T43" i="4"/>
  <c r="L43" i="4"/>
  <c r="D43" i="4"/>
  <c r="AJ42" i="4"/>
  <c r="AB42" i="4"/>
  <c r="T42" i="4"/>
  <c r="L42" i="4"/>
  <c r="D42" i="4"/>
  <c r="AJ41" i="4"/>
  <c r="AB41" i="4"/>
  <c r="T41" i="4"/>
  <c r="L41" i="4"/>
  <c r="D41" i="4"/>
  <c r="AJ40" i="4"/>
  <c r="AB40" i="4"/>
  <c r="T40" i="4"/>
  <c r="L40" i="4"/>
  <c r="D40" i="4"/>
  <c r="AJ39" i="4"/>
  <c r="AB39" i="4"/>
  <c r="T39" i="4"/>
  <c r="L39" i="4"/>
  <c r="D39" i="4"/>
  <c r="AJ36" i="4"/>
  <c r="AB36" i="4"/>
  <c r="T36" i="4"/>
  <c r="L36" i="4"/>
  <c r="D36" i="4"/>
  <c r="AJ35" i="4"/>
  <c r="AB35" i="4"/>
  <c r="T35" i="4"/>
  <c r="L35" i="4"/>
  <c r="D35" i="4"/>
  <c r="AJ34" i="4"/>
  <c r="AB34" i="4"/>
  <c r="T34" i="4"/>
  <c r="L34" i="4"/>
  <c r="D34" i="4"/>
  <c r="AJ33" i="4"/>
  <c r="AB33" i="4"/>
  <c r="T33" i="4"/>
  <c r="L33" i="4"/>
  <c r="D33" i="4"/>
  <c r="AJ32" i="4"/>
  <c r="AB32" i="4"/>
  <c r="T32" i="4"/>
  <c r="L32" i="4"/>
  <c r="D32" i="4"/>
  <c r="AJ31" i="4"/>
  <c r="AB31" i="4"/>
  <c r="T31" i="4"/>
  <c r="L31" i="4"/>
  <c r="D31" i="4"/>
  <c r="AJ30" i="4"/>
  <c r="AB30" i="4"/>
  <c r="T30" i="4"/>
  <c r="L30" i="4"/>
  <c r="D30" i="4"/>
  <c r="AJ29" i="4"/>
  <c r="AB29" i="4"/>
  <c r="T29" i="4"/>
  <c r="L29" i="4"/>
  <c r="D29" i="4"/>
  <c r="AJ28" i="4"/>
  <c r="AB28" i="4"/>
  <c r="T28" i="4"/>
  <c r="L28" i="4"/>
  <c r="D28" i="4"/>
  <c r="K9" i="6"/>
  <c r="AI23" i="5"/>
  <c r="AA16" i="5"/>
  <c r="C14" i="5"/>
  <c r="AO11" i="5"/>
  <c r="Y8" i="5"/>
  <c r="AO7" i="5"/>
  <c r="J7" i="5"/>
  <c r="U6" i="5"/>
  <c r="C6" i="5"/>
  <c r="T68" i="4"/>
  <c r="AK67" i="4"/>
  <c r="S67" i="4"/>
  <c r="AJ66" i="4"/>
  <c r="M66" i="4"/>
  <c r="AI65" i="4"/>
  <c r="L65" i="4"/>
  <c r="AC64" i="4"/>
  <c r="K64" i="4"/>
  <c r="AB63" i="4"/>
  <c r="E63" i="4"/>
  <c r="AA62" i="4"/>
  <c r="D62" i="4"/>
  <c r="U61" i="4"/>
  <c r="C61" i="4"/>
  <c r="T60" i="4"/>
  <c r="AK59" i="4"/>
  <c r="S59" i="4"/>
  <c r="AJ56" i="4"/>
  <c r="M56" i="4"/>
  <c r="AI55" i="4"/>
  <c r="L55" i="4"/>
  <c r="AC53" i="4"/>
  <c r="K53" i="4"/>
  <c r="AB51" i="4"/>
  <c r="E51" i="4"/>
  <c r="AA49" i="4"/>
  <c r="D49" i="4"/>
  <c r="U48" i="4"/>
  <c r="C48" i="4"/>
  <c r="T47" i="4"/>
  <c r="AK46" i="4"/>
  <c r="S46" i="4"/>
  <c r="AJ45" i="4"/>
  <c r="S45" i="4"/>
  <c r="C45" i="4"/>
  <c r="AI44" i="4"/>
  <c r="AA44" i="4"/>
  <c r="S44" i="4"/>
  <c r="K44" i="4"/>
  <c r="C44" i="4"/>
  <c r="AI43" i="4"/>
  <c r="AA43" i="4"/>
  <c r="S43" i="4"/>
  <c r="K43" i="4"/>
  <c r="C43" i="4"/>
  <c r="AI42" i="4"/>
  <c r="AA42" i="4"/>
  <c r="S42" i="4"/>
  <c r="K42" i="4"/>
  <c r="C42" i="4"/>
  <c r="AI41" i="4"/>
  <c r="AA41" i="4"/>
  <c r="S41" i="4"/>
  <c r="K41" i="4"/>
  <c r="C41" i="4"/>
  <c r="AI40" i="4"/>
  <c r="AA40" i="4"/>
  <c r="S40" i="4"/>
  <c r="K40" i="4"/>
  <c r="C40" i="4"/>
  <c r="AI39" i="4"/>
  <c r="AA39" i="4"/>
  <c r="S39" i="4"/>
  <c r="K39" i="4"/>
  <c r="C39" i="4"/>
  <c r="AI36" i="4"/>
  <c r="AA36" i="4"/>
  <c r="S36" i="4"/>
  <c r="K36" i="4"/>
  <c r="C36" i="4"/>
  <c r="AI35" i="4"/>
  <c r="AA35" i="4"/>
  <c r="S35" i="4"/>
  <c r="K35" i="4"/>
  <c r="C35" i="4"/>
  <c r="AI34" i="4"/>
  <c r="AA34" i="4"/>
  <c r="S34" i="4"/>
  <c r="K34" i="4"/>
  <c r="C34" i="4"/>
  <c r="AI33" i="4"/>
  <c r="AA33" i="4"/>
  <c r="S33" i="4"/>
  <c r="K33" i="4"/>
  <c r="C33" i="4"/>
  <c r="AI32" i="4"/>
  <c r="AA32" i="4"/>
  <c r="S32" i="4"/>
  <c r="K32" i="4"/>
  <c r="C32" i="4"/>
  <c r="AI31" i="4"/>
  <c r="AA31" i="4"/>
  <c r="S31" i="4"/>
  <c r="K31" i="4"/>
  <c r="C31" i="4"/>
  <c r="AI30" i="4"/>
  <c r="AA30" i="4"/>
  <c r="S30" i="4"/>
  <c r="K30" i="4"/>
  <c r="C30" i="4"/>
  <c r="AI29" i="4"/>
  <c r="AA29" i="4"/>
  <c r="S29" i="4"/>
  <c r="K29" i="4"/>
  <c r="C29" i="4"/>
  <c r="AI28" i="4"/>
  <c r="AA28" i="4"/>
  <c r="S28" i="4"/>
  <c r="AI7" i="6"/>
  <c r="AL11" i="5"/>
  <c r="T6" i="5"/>
  <c r="M67" i="4"/>
  <c r="K65" i="4"/>
  <c r="D63" i="4"/>
  <c r="AK60" i="4"/>
  <c r="AI56" i="4"/>
  <c r="AB53" i="4"/>
  <c r="U49" i="4"/>
  <c r="S47" i="4"/>
  <c r="O45" i="4"/>
  <c r="R44" i="4"/>
  <c r="Z43" i="4"/>
  <c r="AH42" i="4"/>
  <c r="AP41" i="4"/>
  <c r="J41" i="4"/>
  <c r="R40" i="4"/>
  <c r="Z39" i="4"/>
  <c r="AH36" i="4"/>
  <c r="AP35" i="4"/>
  <c r="J35" i="4"/>
  <c r="R34" i="4"/>
  <c r="Z33" i="4"/>
  <c r="AH32" i="4"/>
  <c r="AP31" i="4"/>
  <c r="J31" i="4"/>
  <c r="R30" i="4"/>
  <c r="Z29" i="4"/>
  <c r="AH28" i="4"/>
  <c r="I28" i="4"/>
  <c r="AJ27" i="4"/>
  <c r="AA27" i="4"/>
  <c r="R27" i="4"/>
  <c r="I27" i="4"/>
  <c r="AM26" i="4"/>
  <c r="AE26" i="4"/>
  <c r="W26" i="4"/>
  <c r="O26" i="4"/>
  <c r="G26" i="4"/>
  <c r="AM25" i="4"/>
  <c r="AE25" i="4"/>
  <c r="W25" i="4"/>
  <c r="O25" i="4"/>
  <c r="G25" i="4"/>
  <c r="AM24" i="4"/>
  <c r="AE24" i="4"/>
  <c r="W24" i="4"/>
  <c r="O24" i="4"/>
  <c r="G24" i="4"/>
  <c r="AM23" i="4"/>
  <c r="AE23" i="4"/>
  <c r="W23" i="4"/>
  <c r="O23" i="4"/>
  <c r="G23" i="4"/>
  <c r="AM22" i="4"/>
  <c r="AE22" i="4"/>
  <c r="W22" i="4"/>
  <c r="O22" i="4"/>
  <c r="G22" i="4"/>
  <c r="AM21" i="4"/>
  <c r="AE21" i="4"/>
  <c r="W21" i="4"/>
  <c r="O21" i="4"/>
  <c r="G21" i="4"/>
  <c r="AM20" i="4"/>
  <c r="AE20" i="4"/>
  <c r="W20" i="4"/>
  <c r="O20" i="4"/>
  <c r="G20" i="4"/>
  <c r="AM17" i="4"/>
  <c r="AE17" i="4"/>
  <c r="W17" i="4"/>
  <c r="O17" i="4"/>
  <c r="G17" i="4"/>
  <c r="AM16" i="4"/>
  <c r="AE16" i="4"/>
  <c r="W16" i="4"/>
  <c r="O16" i="4"/>
  <c r="G16" i="4"/>
  <c r="AM15" i="4"/>
  <c r="AE15" i="4"/>
  <c r="W15" i="4"/>
  <c r="O15" i="4"/>
  <c r="G15" i="4"/>
  <c r="AM14" i="4"/>
  <c r="AE14" i="4"/>
  <c r="W14" i="4"/>
  <c r="O14" i="4"/>
  <c r="G14" i="4"/>
  <c r="AM13" i="4"/>
  <c r="AE13" i="4"/>
  <c r="W13" i="4"/>
  <c r="O13" i="4"/>
  <c r="G13" i="4"/>
  <c r="AM12" i="4"/>
  <c r="AE12" i="4"/>
  <c r="W12" i="4"/>
  <c r="O12" i="4"/>
  <c r="G12" i="4"/>
  <c r="AM11" i="4"/>
  <c r="AE11" i="4"/>
  <c r="W11" i="4"/>
  <c r="O11" i="4"/>
  <c r="G11" i="4"/>
  <c r="AM10" i="4"/>
  <c r="AE10" i="4"/>
  <c r="W10" i="4"/>
  <c r="O10" i="4"/>
  <c r="G10" i="4"/>
  <c r="AM9" i="4"/>
  <c r="AE9" i="4"/>
  <c r="W9" i="4"/>
  <c r="O9" i="4"/>
  <c r="G9" i="4"/>
  <c r="AM8" i="4"/>
  <c r="AE8" i="4"/>
  <c r="W8" i="4"/>
  <c r="O8" i="4"/>
  <c r="G8" i="4"/>
  <c r="AM7" i="4"/>
  <c r="AE7" i="4"/>
  <c r="W7" i="4"/>
  <c r="O7" i="4"/>
  <c r="G7" i="4"/>
  <c r="AM91" i="3"/>
  <c r="AE91" i="3"/>
  <c r="W91" i="3"/>
  <c r="O91" i="3"/>
  <c r="G91" i="3"/>
  <c r="AM90" i="3"/>
  <c r="AE90" i="3"/>
  <c r="AA7" i="6"/>
  <c r="V11" i="5"/>
  <c r="S6" i="5"/>
  <c r="L67" i="4"/>
  <c r="E65" i="4"/>
  <c r="C63" i="4"/>
  <c r="AJ60" i="4"/>
  <c r="AC56" i="4"/>
  <c r="AA53" i="4"/>
  <c r="T49" i="4"/>
  <c r="M47" i="4"/>
  <c r="M45" i="4"/>
  <c r="Q44" i="4"/>
  <c r="Y43" i="4"/>
  <c r="AG42" i="4"/>
  <c r="AO41" i="4"/>
  <c r="I41" i="4"/>
  <c r="Q40" i="4"/>
  <c r="Y39" i="4"/>
  <c r="AG36" i="4"/>
  <c r="AO35" i="4"/>
  <c r="I35" i="4"/>
  <c r="Q34" i="4"/>
  <c r="Y33" i="4"/>
  <c r="AG32" i="4"/>
  <c r="AO31" i="4"/>
  <c r="I31" i="4"/>
  <c r="Q30" i="4"/>
  <c r="Y29" i="4"/>
  <c r="AG28" i="4"/>
  <c r="G28" i="4"/>
  <c r="AI27" i="4"/>
  <c r="Z27" i="4"/>
  <c r="Q27" i="4"/>
  <c r="G27" i="4"/>
  <c r="AL26" i="4"/>
  <c r="AD26" i="4"/>
  <c r="V26" i="4"/>
  <c r="N26" i="4"/>
  <c r="F26" i="4"/>
  <c r="AL25" i="4"/>
  <c r="AD25" i="4"/>
  <c r="V25" i="4"/>
  <c r="N25" i="4"/>
  <c r="F25" i="4"/>
  <c r="AL24" i="4"/>
  <c r="AD24" i="4"/>
  <c r="V24" i="4"/>
  <c r="N24" i="4"/>
  <c r="F24" i="4"/>
  <c r="AL23" i="4"/>
  <c r="AD23" i="4"/>
  <c r="V23" i="4"/>
  <c r="N23" i="4"/>
  <c r="F23" i="4"/>
  <c r="AL22" i="4"/>
  <c r="AD22" i="4"/>
  <c r="V22" i="4"/>
  <c r="N22" i="4"/>
  <c r="F22" i="4"/>
  <c r="AL21" i="4"/>
  <c r="AD21" i="4"/>
  <c r="V21" i="4"/>
  <c r="N21" i="4"/>
  <c r="F21" i="4"/>
  <c r="AL20" i="4"/>
  <c r="AD20" i="4"/>
  <c r="V20" i="4"/>
  <c r="N20" i="4"/>
  <c r="F20" i="4"/>
  <c r="AL17" i="4"/>
  <c r="AD17" i="4"/>
  <c r="V17" i="4"/>
  <c r="N17" i="4"/>
  <c r="F17" i="4"/>
  <c r="AL16" i="4"/>
  <c r="AD16" i="4"/>
  <c r="V16" i="4"/>
  <c r="N16" i="4"/>
  <c r="F16" i="4"/>
  <c r="AL15" i="4"/>
  <c r="AD15" i="4"/>
  <c r="V15" i="4"/>
  <c r="N15" i="4"/>
  <c r="F15" i="4"/>
  <c r="AL14" i="4"/>
  <c r="AD14" i="4"/>
  <c r="V14" i="4"/>
  <c r="N14" i="4"/>
  <c r="F14" i="4"/>
  <c r="AL13" i="4"/>
  <c r="AD13" i="4"/>
  <c r="V13" i="4"/>
  <c r="N13" i="4"/>
  <c r="F13" i="4"/>
  <c r="AL12" i="4"/>
  <c r="AD12" i="4"/>
  <c r="V12" i="4"/>
  <c r="N12" i="4"/>
  <c r="F12" i="4"/>
  <c r="AL11" i="4"/>
  <c r="AD11" i="4"/>
  <c r="V11" i="4"/>
  <c r="N11" i="4"/>
  <c r="F11" i="4"/>
  <c r="AL10" i="4"/>
  <c r="AD10" i="4"/>
  <c r="V10" i="4"/>
  <c r="N10" i="4"/>
  <c r="F10" i="4"/>
  <c r="AL9" i="4"/>
  <c r="AD9" i="4"/>
  <c r="V9" i="4"/>
  <c r="N9" i="4"/>
  <c r="F9" i="4"/>
  <c r="AL8" i="4"/>
  <c r="AD8" i="4"/>
  <c r="V8" i="4"/>
  <c r="N8" i="4"/>
  <c r="F8" i="4"/>
  <c r="AL7" i="4"/>
  <c r="AD7" i="4"/>
  <c r="V7" i="4"/>
  <c r="N7" i="4"/>
  <c r="F7" i="4"/>
  <c r="AL91" i="3"/>
  <c r="AD91" i="3"/>
  <c r="S22" i="5"/>
  <c r="W8" i="5"/>
  <c r="AK68" i="4"/>
  <c r="AI66" i="4"/>
  <c r="AB64" i="4"/>
  <c r="U62" i="4"/>
  <c r="S60" i="4"/>
  <c r="L56" i="4"/>
  <c r="E53" i="4"/>
  <c r="C49" i="4"/>
  <c r="AJ46" i="4"/>
  <c r="AP44" i="4"/>
  <c r="J44" i="4"/>
  <c r="R43" i="4"/>
  <c r="Z42" i="4"/>
  <c r="AH41" i="4"/>
  <c r="AP40" i="4"/>
  <c r="J40" i="4"/>
  <c r="R39" i="4"/>
  <c r="Z36" i="4"/>
  <c r="AH35" i="4"/>
  <c r="AP34" i="4"/>
  <c r="J34" i="4"/>
  <c r="R33" i="4"/>
  <c r="Z32" i="4"/>
  <c r="AH31" i="4"/>
  <c r="AP30" i="4"/>
  <c r="J30" i="4"/>
  <c r="R29" i="4"/>
  <c r="Z28" i="4"/>
  <c r="C28" i="4"/>
  <c r="AH27" i="4"/>
  <c r="Y27" i="4"/>
  <c r="O27" i="4"/>
  <c r="F27" i="4"/>
  <c r="AK26" i="4"/>
  <c r="AC26" i="4"/>
  <c r="U26" i="4"/>
  <c r="M26" i="4"/>
  <c r="E26" i="4"/>
  <c r="AK25" i="4"/>
  <c r="AC25" i="4"/>
  <c r="U25" i="4"/>
  <c r="M25" i="4"/>
  <c r="E25" i="4"/>
  <c r="AK24" i="4"/>
  <c r="AC24" i="4"/>
  <c r="U24" i="4"/>
  <c r="M24" i="4"/>
  <c r="E24" i="4"/>
  <c r="AK23" i="4"/>
  <c r="AC23" i="4"/>
  <c r="U23" i="4"/>
  <c r="M23" i="4"/>
  <c r="E23" i="4"/>
  <c r="AK22" i="4"/>
  <c r="AC22" i="4"/>
  <c r="U22" i="4"/>
  <c r="M22" i="4"/>
  <c r="E22" i="4"/>
  <c r="AK21" i="4"/>
  <c r="AC21" i="4"/>
  <c r="U21" i="4"/>
  <c r="M21" i="4"/>
  <c r="E21" i="4"/>
  <c r="AK20" i="4"/>
  <c r="AC20" i="4"/>
  <c r="U20" i="4"/>
  <c r="M20" i="4"/>
  <c r="E20" i="4"/>
  <c r="AK17" i="4"/>
  <c r="AC17" i="4"/>
  <c r="U17" i="4"/>
  <c r="M17" i="4"/>
  <c r="E17" i="4"/>
  <c r="AK16" i="4"/>
  <c r="AC16" i="4"/>
  <c r="U16" i="4"/>
  <c r="M16" i="4"/>
  <c r="E16" i="4"/>
  <c r="AK15" i="4"/>
  <c r="AC15" i="4"/>
  <c r="U15" i="4"/>
  <c r="M15" i="4"/>
  <c r="E15" i="4"/>
  <c r="AK14" i="4"/>
  <c r="AC14" i="4"/>
  <c r="U14" i="4"/>
  <c r="M14" i="4"/>
  <c r="E14" i="4"/>
  <c r="AK13" i="4"/>
  <c r="AC13" i="4"/>
  <c r="U13" i="4"/>
  <c r="M13" i="4"/>
  <c r="E13" i="4"/>
  <c r="AK12" i="4"/>
  <c r="AC12" i="4"/>
  <c r="U12" i="4"/>
  <c r="M12" i="4"/>
  <c r="E12" i="4"/>
  <c r="AK11" i="4"/>
  <c r="AC11" i="4"/>
  <c r="U11" i="4"/>
  <c r="M11" i="4"/>
  <c r="E11" i="4"/>
  <c r="AK10" i="4"/>
  <c r="AC10" i="4"/>
  <c r="U10" i="4"/>
  <c r="M10" i="4"/>
  <c r="E10" i="4"/>
  <c r="AK9" i="4"/>
  <c r="AC9" i="4"/>
  <c r="U9" i="4"/>
  <c r="M9" i="4"/>
  <c r="E9" i="4"/>
  <c r="AK8" i="4"/>
  <c r="AC8" i="4"/>
  <c r="U8" i="4"/>
  <c r="M8" i="4"/>
  <c r="E8" i="4"/>
  <c r="AK7" i="4"/>
  <c r="AC7" i="4"/>
  <c r="U7" i="4"/>
  <c r="M7" i="4"/>
  <c r="E7" i="4"/>
  <c r="AK91" i="3"/>
  <c r="AC91" i="3"/>
  <c r="K22" i="5"/>
  <c r="V8" i="5"/>
  <c r="AJ68" i="4"/>
  <c r="AC66" i="4"/>
  <c r="AA64" i="4"/>
  <c r="T62" i="4"/>
  <c r="M60" i="4"/>
  <c r="K56" i="4"/>
  <c r="D53" i="4"/>
  <c r="AK48" i="4"/>
  <c r="AI46" i="4"/>
  <c r="AO44" i="4"/>
  <c r="I44" i="4"/>
  <c r="Q43" i="4"/>
  <c r="Y42" i="4"/>
  <c r="AG41" i="4"/>
  <c r="AO40" i="4"/>
  <c r="I40" i="4"/>
  <c r="Q39" i="4"/>
  <c r="Y36" i="4"/>
  <c r="AG35" i="4"/>
  <c r="AO34" i="4"/>
  <c r="I34" i="4"/>
  <c r="Q33" i="4"/>
  <c r="Y32" i="4"/>
  <c r="AG31" i="4"/>
  <c r="AO30" i="4"/>
  <c r="I30" i="4"/>
  <c r="Q29" i="4"/>
  <c r="Y28" i="4"/>
  <c r="AP27" i="4"/>
  <c r="AG27" i="4"/>
  <c r="W27" i="4"/>
  <c r="N27" i="4"/>
  <c r="E27" i="4"/>
  <c r="AJ26" i="4"/>
  <c r="AB26" i="4"/>
  <c r="T26" i="4"/>
  <c r="L26" i="4"/>
  <c r="D26" i="4"/>
  <c r="AJ25" i="4"/>
  <c r="AB25" i="4"/>
  <c r="T25" i="4"/>
  <c r="L25" i="4"/>
  <c r="D25" i="4"/>
  <c r="AJ24" i="4"/>
  <c r="AB24" i="4"/>
  <c r="T24" i="4"/>
  <c r="L24" i="4"/>
  <c r="D24" i="4"/>
  <c r="AJ23" i="4"/>
  <c r="AB23" i="4"/>
  <c r="T23" i="4"/>
  <c r="L23" i="4"/>
  <c r="D23" i="4"/>
  <c r="AJ22" i="4"/>
  <c r="AB22" i="4"/>
  <c r="T22" i="4"/>
  <c r="L22" i="4"/>
  <c r="D22" i="4"/>
  <c r="AJ21" i="4"/>
  <c r="AB21" i="4"/>
  <c r="T21" i="4"/>
  <c r="L21" i="4"/>
  <c r="D21" i="4"/>
  <c r="AJ20" i="4"/>
  <c r="AB20" i="4"/>
  <c r="T20" i="4"/>
  <c r="L20" i="4"/>
  <c r="D20" i="4"/>
  <c r="AJ17" i="4"/>
  <c r="AB17" i="4"/>
  <c r="T17" i="4"/>
  <c r="L17" i="4"/>
  <c r="D17" i="4"/>
  <c r="AJ16" i="4"/>
  <c r="AB16" i="4"/>
  <c r="T16" i="4"/>
  <c r="L16" i="4"/>
  <c r="D16" i="4"/>
  <c r="AJ15" i="4"/>
  <c r="AB15" i="4"/>
  <c r="T15" i="4"/>
  <c r="L15" i="4"/>
  <c r="D15" i="4"/>
  <c r="AJ14" i="4"/>
  <c r="AB14" i="4"/>
  <c r="T14" i="4"/>
  <c r="L14" i="4"/>
  <c r="D14" i="4"/>
  <c r="AJ13" i="4"/>
  <c r="AB13" i="4"/>
  <c r="T13" i="4"/>
  <c r="L13" i="4"/>
  <c r="D13" i="4"/>
  <c r="AJ12" i="4"/>
  <c r="AB12" i="4"/>
  <c r="T12" i="4"/>
  <c r="L12" i="4"/>
  <c r="D12" i="4"/>
  <c r="AJ11" i="4"/>
  <c r="AB11" i="4"/>
  <c r="T11" i="4"/>
  <c r="L11" i="4"/>
  <c r="D11" i="4"/>
  <c r="AJ10" i="4"/>
  <c r="AB10" i="4"/>
  <c r="T10" i="4"/>
  <c r="L10" i="4"/>
  <c r="D10" i="4"/>
  <c r="AJ9" i="4"/>
  <c r="AB9" i="4"/>
  <c r="T9" i="4"/>
  <c r="L9" i="4"/>
  <c r="D9" i="4"/>
  <c r="AJ8" i="4"/>
  <c r="AB8" i="4"/>
  <c r="T8" i="4"/>
  <c r="L8" i="4"/>
  <c r="D8" i="4"/>
  <c r="AJ7" i="4"/>
  <c r="AB7" i="4"/>
  <c r="T7" i="4"/>
  <c r="L7" i="4"/>
  <c r="D7" i="4"/>
  <c r="AJ91" i="3"/>
  <c r="AB91" i="3"/>
  <c r="AO15" i="5"/>
  <c r="AG7" i="5"/>
  <c r="S68" i="4"/>
  <c r="L66" i="4"/>
  <c r="E64" i="4"/>
  <c r="C62" i="4"/>
  <c r="AJ59" i="4"/>
  <c r="AC55" i="4"/>
  <c r="AA51" i="4"/>
  <c r="T48" i="4"/>
  <c r="M46" i="4"/>
  <c r="AH44" i="4"/>
  <c r="AP43" i="4"/>
  <c r="J43" i="4"/>
  <c r="R42" i="4"/>
  <c r="Z41" i="4"/>
  <c r="AH40" i="4"/>
  <c r="AP39" i="4"/>
  <c r="J39" i="4"/>
  <c r="R36" i="4"/>
  <c r="Z35" i="4"/>
  <c r="AH34" i="4"/>
  <c r="AP33" i="4"/>
  <c r="J33" i="4"/>
  <c r="R32" i="4"/>
  <c r="Z31" i="4"/>
  <c r="AH30" i="4"/>
  <c r="AP29" i="4"/>
  <c r="J29" i="4"/>
  <c r="R28" i="4"/>
  <c r="AO27" i="4"/>
  <c r="AE27" i="4"/>
  <c r="V27" i="4"/>
  <c r="M27" i="4"/>
  <c r="D27" i="4"/>
  <c r="AI26" i="4"/>
  <c r="AA26" i="4"/>
  <c r="S26" i="4"/>
  <c r="K26" i="4"/>
  <c r="C26" i="4"/>
  <c r="AI25" i="4"/>
  <c r="AA25" i="4"/>
  <c r="S25" i="4"/>
  <c r="K25" i="4"/>
  <c r="C25" i="4"/>
  <c r="AI24" i="4"/>
  <c r="AA24" i="4"/>
  <c r="S24" i="4"/>
  <c r="K24" i="4"/>
  <c r="C24" i="4"/>
  <c r="AI23" i="4"/>
  <c r="AA23" i="4"/>
  <c r="S23" i="4"/>
  <c r="K23" i="4"/>
  <c r="C23" i="4"/>
  <c r="AI22" i="4"/>
  <c r="AA22" i="4"/>
  <c r="S22" i="4"/>
  <c r="K22" i="4"/>
  <c r="C22" i="4"/>
  <c r="AI21" i="4"/>
  <c r="AA21" i="4"/>
  <c r="S21" i="4"/>
  <c r="K21" i="4"/>
  <c r="C21" i="4"/>
  <c r="AI20" i="4"/>
  <c r="AA20" i="4"/>
  <c r="S20" i="4"/>
  <c r="K20" i="4"/>
  <c r="C20" i="4"/>
  <c r="AI17" i="4"/>
  <c r="AA17" i="4"/>
  <c r="S17" i="4"/>
  <c r="K17" i="4"/>
  <c r="C17" i="4"/>
  <c r="AI16" i="4"/>
  <c r="AA16" i="4"/>
  <c r="S16" i="4"/>
  <c r="K16" i="4"/>
  <c r="C16" i="4"/>
  <c r="AI15" i="4"/>
  <c r="AA15" i="4"/>
  <c r="S15" i="4"/>
  <c r="K15" i="4"/>
  <c r="C15" i="4"/>
  <c r="AI14" i="4"/>
  <c r="AA14" i="4"/>
  <c r="S14" i="4"/>
  <c r="K14" i="4"/>
  <c r="C14" i="4"/>
  <c r="AI13" i="4"/>
  <c r="AA13" i="4"/>
  <c r="S13" i="4"/>
  <c r="K13" i="4"/>
  <c r="C13" i="4"/>
  <c r="AI12" i="4"/>
  <c r="AA12" i="4"/>
  <c r="S12" i="4"/>
  <c r="K12" i="4"/>
  <c r="C12" i="4"/>
  <c r="AI11" i="4"/>
  <c r="AA11" i="4"/>
  <c r="S11" i="4"/>
  <c r="K11" i="4"/>
  <c r="C11" i="4"/>
  <c r="AI10" i="4"/>
  <c r="AA10" i="4"/>
  <c r="S10" i="4"/>
  <c r="K10" i="4"/>
  <c r="C10" i="4"/>
  <c r="AI9" i="4"/>
  <c r="AA9" i="4"/>
  <c r="S9" i="4"/>
  <c r="K9" i="4"/>
  <c r="C9" i="4"/>
  <c r="AI8" i="4"/>
  <c r="AA8" i="4"/>
  <c r="S8" i="4"/>
  <c r="K8" i="4"/>
  <c r="C8" i="4"/>
  <c r="AI7" i="4"/>
  <c r="AA7" i="4"/>
  <c r="S7" i="4"/>
  <c r="K7" i="4"/>
  <c r="C7" i="4"/>
  <c r="AI91" i="3"/>
  <c r="AA91" i="3"/>
  <c r="AI15" i="5"/>
  <c r="AE7" i="5"/>
  <c r="M68" i="4"/>
  <c r="K66" i="4"/>
  <c r="D64" i="4"/>
  <c r="AK61" i="4"/>
  <c r="AI59" i="4"/>
  <c r="AB55" i="4"/>
  <c r="U51" i="4"/>
  <c r="S48" i="4"/>
  <c r="L46" i="4"/>
  <c r="AG44" i="4"/>
  <c r="AO43" i="4"/>
  <c r="I43" i="4"/>
  <c r="Q42" i="4"/>
  <c r="Y41" i="4"/>
  <c r="AG40" i="4"/>
  <c r="AO39" i="4"/>
  <c r="I39" i="4"/>
  <c r="Q36" i="4"/>
  <c r="Y35" i="4"/>
  <c r="AG34" i="4"/>
  <c r="AO33" i="4"/>
  <c r="I33" i="4"/>
  <c r="Q32" i="4"/>
  <c r="Y31" i="4"/>
  <c r="AG30" i="4"/>
  <c r="AO29" i="4"/>
  <c r="I29" i="4"/>
  <c r="Q28" i="4"/>
  <c r="AM27" i="4"/>
  <c r="AD27" i="4"/>
  <c r="U27" i="4"/>
  <c r="L27" i="4"/>
  <c r="C27" i="4"/>
  <c r="AH26" i="4"/>
  <c r="Z26" i="4"/>
  <c r="R26" i="4"/>
  <c r="J26" i="4"/>
  <c r="AP25" i="4"/>
  <c r="AH25" i="4"/>
  <c r="Z25" i="4"/>
  <c r="R25" i="4"/>
  <c r="J25" i="4"/>
  <c r="AP24" i="4"/>
  <c r="AH24" i="4"/>
  <c r="Z24" i="4"/>
  <c r="R24" i="4"/>
  <c r="J24" i="4"/>
  <c r="AP23" i="4"/>
  <c r="AH23" i="4"/>
  <c r="Z23" i="4"/>
  <c r="R23" i="4"/>
  <c r="J23" i="4"/>
  <c r="AP22" i="4"/>
  <c r="AH22" i="4"/>
  <c r="Z22" i="4"/>
  <c r="R22" i="4"/>
  <c r="J22" i="4"/>
  <c r="AP21" i="4"/>
  <c r="AH21" i="4"/>
  <c r="Z21" i="4"/>
  <c r="R21" i="4"/>
  <c r="J21" i="4"/>
  <c r="AP20" i="4"/>
  <c r="AH20" i="4"/>
  <c r="Z20" i="4"/>
  <c r="R20" i="4"/>
  <c r="J20" i="4"/>
  <c r="AP17" i="4"/>
  <c r="AH17" i="4"/>
  <c r="Z17" i="4"/>
  <c r="R17" i="4"/>
  <c r="J17" i="4"/>
  <c r="AP16" i="4"/>
  <c r="AH16" i="4"/>
  <c r="Z16" i="4"/>
  <c r="R16" i="4"/>
  <c r="J16" i="4"/>
  <c r="AP15" i="4"/>
  <c r="AH15" i="4"/>
  <c r="Z15" i="4"/>
  <c r="R15" i="4"/>
  <c r="J15" i="4"/>
  <c r="AP14" i="4"/>
  <c r="AH14" i="4"/>
  <c r="Z14" i="4"/>
  <c r="R14" i="4"/>
  <c r="J14" i="4"/>
  <c r="AP13" i="4"/>
  <c r="AH13" i="4"/>
  <c r="Z13" i="4"/>
  <c r="R13" i="4"/>
  <c r="J13" i="4"/>
  <c r="AP12" i="4"/>
  <c r="AH12" i="4"/>
  <c r="Z12" i="4"/>
  <c r="R12" i="4"/>
  <c r="J12" i="4"/>
  <c r="AP11" i="4"/>
  <c r="AH11" i="4"/>
  <c r="Z11" i="4"/>
  <c r="R11" i="4"/>
  <c r="J11" i="4"/>
  <c r="AP10" i="4"/>
  <c r="AH10" i="4"/>
  <c r="Z10" i="4"/>
  <c r="R10" i="4"/>
  <c r="J10" i="4"/>
  <c r="AP9" i="4"/>
  <c r="AH9" i="4"/>
  <c r="Z9" i="4"/>
  <c r="R9" i="4"/>
  <c r="J9" i="4"/>
  <c r="AP8" i="4"/>
  <c r="AH8" i="4"/>
  <c r="Z8" i="4"/>
  <c r="R8" i="4"/>
  <c r="J8" i="4"/>
  <c r="AP7" i="4"/>
  <c r="AH7" i="4"/>
  <c r="Z7" i="4"/>
  <c r="R7" i="4"/>
  <c r="J7" i="4"/>
  <c r="AP91" i="3"/>
  <c r="AH91" i="3"/>
  <c r="Y13" i="5"/>
  <c r="AA63" i="4"/>
  <c r="D51" i="4"/>
  <c r="AH43" i="4"/>
  <c r="Z40" i="4"/>
  <c r="R35" i="4"/>
  <c r="J32" i="4"/>
  <c r="AP28" i="4"/>
  <c r="T27" i="4"/>
  <c r="Y26" i="4"/>
  <c r="AG25" i="4"/>
  <c r="AO24" i="4"/>
  <c r="I24" i="4"/>
  <c r="Q23" i="4"/>
  <c r="Y22" i="4"/>
  <c r="AG21" i="4"/>
  <c r="AO20" i="4"/>
  <c r="I20" i="4"/>
  <c r="Q17" i="4"/>
  <c r="Y16" i="4"/>
  <c r="AG15" i="4"/>
  <c r="AO14" i="4"/>
  <c r="I14" i="4"/>
  <c r="Q13" i="4"/>
  <c r="Y12" i="4"/>
  <c r="AG11" i="4"/>
  <c r="AO10" i="4"/>
  <c r="I10" i="4"/>
  <c r="Q9" i="4"/>
  <c r="Y8" i="4"/>
  <c r="AG7" i="4"/>
  <c r="AO91" i="3"/>
  <c r="U91" i="3"/>
  <c r="L91" i="3"/>
  <c r="C91" i="3"/>
  <c r="AH90" i="3"/>
  <c r="Y90" i="3"/>
  <c r="Q90" i="3"/>
  <c r="I90" i="3"/>
  <c r="AO89" i="3"/>
  <c r="AG89" i="3"/>
  <c r="Y89" i="3"/>
  <c r="Q89" i="3"/>
  <c r="I89" i="3"/>
  <c r="AO88" i="3"/>
  <c r="AG88" i="3"/>
  <c r="Y88" i="3"/>
  <c r="Q88" i="3"/>
  <c r="I88" i="3"/>
  <c r="AO87" i="3"/>
  <c r="AG87" i="3"/>
  <c r="Y87" i="3"/>
  <c r="Q87" i="3"/>
  <c r="I87" i="3"/>
  <c r="AO86" i="3"/>
  <c r="AG86" i="3"/>
  <c r="Y86" i="3"/>
  <c r="Q86" i="3"/>
  <c r="I86" i="3"/>
  <c r="AO85" i="3"/>
  <c r="AG85" i="3"/>
  <c r="Y85" i="3"/>
  <c r="Q85" i="3"/>
  <c r="I85" i="3"/>
  <c r="AO84" i="3"/>
  <c r="AG84" i="3"/>
  <c r="Y84" i="3"/>
  <c r="Q84" i="3"/>
  <c r="I84" i="3"/>
  <c r="AO83" i="3"/>
  <c r="AG83" i="3"/>
  <c r="Y83" i="3"/>
  <c r="Q83" i="3"/>
  <c r="I83" i="3"/>
  <c r="AO82" i="3"/>
  <c r="AG82" i="3"/>
  <c r="Y82" i="3"/>
  <c r="Q82" i="3"/>
  <c r="I82" i="3"/>
  <c r="AO81" i="3"/>
  <c r="AG81" i="3"/>
  <c r="Y81" i="3"/>
  <c r="Q81" i="3"/>
  <c r="I81" i="3"/>
  <c r="AO80" i="3"/>
  <c r="AG80" i="3"/>
  <c r="Y80" i="3"/>
  <c r="Q80" i="3"/>
  <c r="I80" i="3"/>
  <c r="AO79" i="3"/>
  <c r="AG79" i="3"/>
  <c r="Y79" i="3"/>
  <c r="Q79" i="3"/>
  <c r="I79" i="3"/>
  <c r="AO75" i="3"/>
  <c r="AG75" i="3"/>
  <c r="Y75" i="3"/>
  <c r="Q75" i="3"/>
  <c r="I75" i="3"/>
  <c r="AO74" i="3"/>
  <c r="AG74" i="3"/>
  <c r="Y74" i="3"/>
  <c r="Q74" i="3"/>
  <c r="I74" i="3"/>
  <c r="AO73" i="3"/>
  <c r="AG73" i="3"/>
  <c r="Y73" i="3"/>
  <c r="Q73" i="3"/>
  <c r="I73" i="3"/>
  <c r="AO72" i="3"/>
  <c r="AG72" i="3"/>
  <c r="Y72" i="3"/>
  <c r="Q72" i="3"/>
  <c r="I72" i="3"/>
  <c r="AO71" i="3"/>
  <c r="AG71" i="3"/>
  <c r="Y71" i="3"/>
  <c r="Q71" i="3"/>
  <c r="I71" i="3"/>
  <c r="AO70" i="3"/>
  <c r="AG70" i="3"/>
  <c r="Y70" i="3"/>
  <c r="Q70" i="3"/>
  <c r="I70" i="3"/>
  <c r="AO69" i="3"/>
  <c r="AG69" i="3"/>
  <c r="Y69" i="3"/>
  <c r="Q69" i="3"/>
  <c r="I69" i="3"/>
  <c r="AO68" i="3"/>
  <c r="AG68" i="3"/>
  <c r="V13" i="5"/>
  <c r="U63" i="4"/>
  <c r="C51" i="4"/>
  <c r="AG43" i="4"/>
  <c r="Y40" i="4"/>
  <c r="Q35" i="4"/>
  <c r="I32" i="4"/>
  <c r="AO28" i="4"/>
  <c r="S27" i="4"/>
  <c r="X26" i="4"/>
  <c r="AF25" i="4"/>
  <c r="AN24" i="4"/>
  <c r="H24" i="4"/>
  <c r="P23" i="4"/>
  <c r="X22" i="4"/>
  <c r="AF21" i="4"/>
  <c r="AN20" i="4"/>
  <c r="H20" i="4"/>
  <c r="P17" i="4"/>
  <c r="X16" i="4"/>
  <c r="AF15" i="4"/>
  <c r="AN14" i="4"/>
  <c r="H14" i="4"/>
  <c r="P13" i="4"/>
  <c r="X12" i="4"/>
  <c r="AF11" i="4"/>
  <c r="AN10" i="4"/>
  <c r="H10" i="4"/>
  <c r="P9" i="4"/>
  <c r="X8" i="4"/>
  <c r="AF7" i="4"/>
  <c r="AN91" i="3"/>
  <c r="T91" i="3"/>
  <c r="K91" i="3"/>
  <c r="AP90" i="3"/>
  <c r="AG90" i="3"/>
  <c r="X90" i="3"/>
  <c r="P90" i="3"/>
  <c r="H90" i="3"/>
  <c r="AN89" i="3"/>
  <c r="AF89" i="3"/>
  <c r="X89" i="3"/>
  <c r="P89" i="3"/>
  <c r="H89" i="3"/>
  <c r="AN88" i="3"/>
  <c r="AF88" i="3"/>
  <c r="X88" i="3"/>
  <c r="P88" i="3"/>
  <c r="H88" i="3"/>
  <c r="AN87" i="3"/>
  <c r="AF87" i="3"/>
  <c r="X87" i="3"/>
  <c r="P87" i="3"/>
  <c r="H87" i="3"/>
  <c r="AN86" i="3"/>
  <c r="AF86" i="3"/>
  <c r="X86" i="3"/>
  <c r="P86" i="3"/>
  <c r="H86" i="3"/>
  <c r="AN85" i="3"/>
  <c r="AF85" i="3"/>
  <c r="X85" i="3"/>
  <c r="P85" i="3"/>
  <c r="H85" i="3"/>
  <c r="AN84" i="3"/>
  <c r="AF84" i="3"/>
  <c r="X84" i="3"/>
  <c r="P84" i="3"/>
  <c r="H84" i="3"/>
  <c r="AN83" i="3"/>
  <c r="AF83" i="3"/>
  <c r="X83" i="3"/>
  <c r="P83" i="3"/>
  <c r="I7" i="5"/>
  <c r="T61" i="4"/>
  <c r="AK47" i="4"/>
  <c r="AP42" i="4"/>
  <c r="AH39" i="4"/>
  <c r="Z34" i="4"/>
  <c r="R31" i="4"/>
  <c r="K28" i="4"/>
  <c r="K27" i="4"/>
  <c r="Q26" i="4"/>
  <c r="Y25" i="4"/>
  <c r="AG24" i="4"/>
  <c r="AO23" i="4"/>
  <c r="I23" i="4"/>
  <c r="Q22" i="4"/>
  <c r="Y21" i="4"/>
  <c r="AG20" i="4"/>
  <c r="AO17" i="4"/>
  <c r="I17" i="4"/>
  <c r="Q16" i="4"/>
  <c r="Y15" i="4"/>
  <c r="AG14" i="4"/>
  <c r="AO13" i="4"/>
  <c r="I13" i="4"/>
  <c r="Q12" i="4"/>
  <c r="Y11" i="4"/>
  <c r="AG10" i="4"/>
  <c r="AO9" i="4"/>
  <c r="I9" i="4"/>
  <c r="Q8" i="4"/>
  <c r="Y7" i="4"/>
  <c r="AG91" i="3"/>
  <c r="S91" i="3"/>
  <c r="J91" i="3"/>
  <c r="AO90" i="3"/>
  <c r="AF90" i="3"/>
  <c r="W90" i="3"/>
  <c r="O90" i="3"/>
  <c r="G90" i="3"/>
  <c r="AM89" i="3"/>
  <c r="AE89" i="3"/>
  <c r="W89" i="3"/>
  <c r="O89" i="3"/>
  <c r="G89" i="3"/>
  <c r="AM88" i="3"/>
  <c r="AE88" i="3"/>
  <c r="W88" i="3"/>
  <c r="O88" i="3"/>
  <c r="G88" i="3"/>
  <c r="AM87" i="3"/>
  <c r="AE87" i="3"/>
  <c r="W87" i="3"/>
  <c r="O87" i="3"/>
  <c r="G87" i="3"/>
  <c r="AM86" i="3"/>
  <c r="AE86" i="3"/>
  <c r="W86" i="3"/>
  <c r="O86" i="3"/>
  <c r="G86" i="3"/>
  <c r="AM85" i="3"/>
  <c r="AE85" i="3"/>
  <c r="W85" i="3"/>
  <c r="O85" i="3"/>
  <c r="G85" i="3"/>
  <c r="AM84" i="3"/>
  <c r="AE84" i="3"/>
  <c r="W84" i="3"/>
  <c r="O84" i="3"/>
  <c r="G84" i="3"/>
  <c r="AM83" i="3"/>
  <c r="AE83" i="3"/>
  <c r="W83" i="3"/>
  <c r="O83" i="3"/>
  <c r="G83" i="3"/>
  <c r="AM82" i="3"/>
  <c r="AE82" i="3"/>
  <c r="W82" i="3"/>
  <c r="O82" i="3"/>
  <c r="G82" i="3"/>
  <c r="AM81" i="3"/>
  <c r="AE81" i="3"/>
  <c r="W81" i="3"/>
  <c r="O81" i="3"/>
  <c r="G81" i="3"/>
  <c r="AM80" i="3"/>
  <c r="AE80" i="3"/>
  <c r="W80" i="3"/>
  <c r="O80" i="3"/>
  <c r="G80" i="3"/>
  <c r="AM79" i="3"/>
  <c r="AE79" i="3"/>
  <c r="W79" i="3"/>
  <c r="O79" i="3"/>
  <c r="G79" i="3"/>
  <c r="AM75" i="3"/>
  <c r="AE75" i="3"/>
  <c r="W75" i="3"/>
  <c r="O75" i="3"/>
  <c r="G75" i="3"/>
  <c r="AM74" i="3"/>
  <c r="AE74" i="3"/>
  <c r="W74" i="3"/>
  <c r="O74" i="3"/>
  <c r="G74" i="3"/>
  <c r="AM73" i="3"/>
  <c r="AE73" i="3"/>
  <c r="W73" i="3"/>
  <c r="O73" i="3"/>
  <c r="G73" i="3"/>
  <c r="AM72" i="3"/>
  <c r="AE72" i="3"/>
  <c r="W72" i="3"/>
  <c r="O72" i="3"/>
  <c r="G72" i="3"/>
  <c r="AM71" i="3"/>
  <c r="AE71" i="3"/>
  <c r="W71" i="3"/>
  <c r="O71" i="3"/>
  <c r="G71" i="3"/>
  <c r="AM70" i="3"/>
  <c r="AE70" i="3"/>
  <c r="W70" i="3"/>
  <c r="O70" i="3"/>
  <c r="G70" i="3"/>
  <c r="AM69" i="3"/>
  <c r="AE69" i="3"/>
  <c r="W69" i="3"/>
  <c r="AO6" i="5"/>
  <c r="S61" i="4"/>
  <c r="AJ47" i="4"/>
  <c r="AO42" i="4"/>
  <c r="AG39" i="4"/>
  <c r="Y34" i="4"/>
  <c r="Q31" i="4"/>
  <c r="J28" i="4"/>
  <c r="J27" i="4"/>
  <c r="P26" i="4"/>
  <c r="X25" i="4"/>
  <c r="AF24" i="4"/>
  <c r="AN23" i="4"/>
  <c r="H23" i="4"/>
  <c r="P22" i="4"/>
  <c r="X21" i="4"/>
  <c r="AF20" i="4"/>
  <c r="AN17" i="4"/>
  <c r="H17" i="4"/>
  <c r="P16" i="4"/>
  <c r="X15" i="4"/>
  <c r="AF14" i="4"/>
  <c r="AN13" i="4"/>
  <c r="H13" i="4"/>
  <c r="P12" i="4"/>
  <c r="X11" i="4"/>
  <c r="AF10" i="4"/>
  <c r="AN9" i="4"/>
  <c r="H9" i="4"/>
  <c r="P8" i="4"/>
  <c r="X7" i="4"/>
  <c r="AF91" i="3"/>
  <c r="R91" i="3"/>
  <c r="I91" i="3"/>
  <c r="AN90" i="3"/>
  <c r="AD90" i="3"/>
  <c r="V90" i="3"/>
  <c r="N90" i="3"/>
  <c r="F90" i="3"/>
  <c r="AL89" i="3"/>
  <c r="AD89" i="3"/>
  <c r="V89" i="3"/>
  <c r="N89" i="3"/>
  <c r="F89" i="3"/>
  <c r="AL88" i="3"/>
  <c r="AD88" i="3"/>
  <c r="V88" i="3"/>
  <c r="N88" i="3"/>
  <c r="F88" i="3"/>
  <c r="AL87" i="3"/>
  <c r="AD87" i="3"/>
  <c r="V87" i="3"/>
  <c r="N87" i="3"/>
  <c r="F87" i="3"/>
  <c r="AL86" i="3"/>
  <c r="AD86" i="3"/>
  <c r="V86" i="3"/>
  <c r="N86" i="3"/>
  <c r="F86" i="3"/>
  <c r="AL85" i="3"/>
  <c r="AD85" i="3"/>
  <c r="V85" i="3"/>
  <c r="N85" i="3"/>
  <c r="F85" i="3"/>
  <c r="AL84" i="3"/>
  <c r="AD84" i="3"/>
  <c r="V84" i="3"/>
  <c r="N84" i="3"/>
  <c r="F84" i="3"/>
  <c r="AL83" i="3"/>
  <c r="AD83" i="3"/>
  <c r="V83" i="3"/>
  <c r="N83" i="3"/>
  <c r="F83" i="3"/>
  <c r="AL82" i="3"/>
  <c r="AD82" i="3"/>
  <c r="V82" i="3"/>
  <c r="N82" i="3"/>
  <c r="F82" i="3"/>
  <c r="AL81" i="3"/>
  <c r="AD81" i="3"/>
  <c r="V81" i="3"/>
  <c r="N81" i="3"/>
  <c r="F81" i="3"/>
  <c r="AL80" i="3"/>
  <c r="AD80" i="3"/>
  <c r="V80" i="3"/>
  <c r="N80" i="3"/>
  <c r="F80" i="3"/>
  <c r="AL79" i="3"/>
  <c r="AD79" i="3"/>
  <c r="V79" i="3"/>
  <c r="N79" i="3"/>
  <c r="F79" i="3"/>
  <c r="AL75" i="3"/>
  <c r="AD75" i="3"/>
  <c r="V75" i="3"/>
  <c r="N75" i="3"/>
  <c r="F75" i="3"/>
  <c r="AL74" i="3"/>
  <c r="AD74" i="3"/>
  <c r="V74" i="3"/>
  <c r="N74" i="3"/>
  <c r="F74" i="3"/>
  <c r="AL73" i="3"/>
  <c r="AD73" i="3"/>
  <c r="V73" i="3"/>
  <c r="N73" i="3"/>
  <c r="F73" i="3"/>
  <c r="AL72" i="3"/>
  <c r="AD72" i="3"/>
  <c r="V72" i="3"/>
  <c r="N72" i="3"/>
  <c r="F72" i="3"/>
  <c r="AL71" i="3"/>
  <c r="AD71" i="3"/>
  <c r="V71" i="3"/>
  <c r="N71" i="3"/>
  <c r="F71" i="3"/>
  <c r="AL70" i="3"/>
  <c r="AD70" i="3"/>
  <c r="V70" i="3"/>
  <c r="N70" i="3"/>
  <c r="F70" i="3"/>
  <c r="AL69" i="3"/>
  <c r="AD69" i="3"/>
  <c r="AJ67" i="4"/>
  <c r="M59" i="4"/>
  <c r="AI45" i="4"/>
  <c r="J42" i="4"/>
  <c r="AP36" i="4"/>
  <c r="AH33" i="4"/>
  <c r="Z30" i="4"/>
  <c r="AL27" i="4"/>
  <c r="AP26" i="4"/>
  <c r="I26" i="4"/>
  <c r="Q25" i="4"/>
  <c r="Y24" i="4"/>
  <c r="AG23" i="4"/>
  <c r="AO22" i="4"/>
  <c r="I22" i="4"/>
  <c r="Q21" i="4"/>
  <c r="Y20" i="4"/>
  <c r="AG17" i="4"/>
  <c r="AO16" i="4"/>
  <c r="I16" i="4"/>
  <c r="Q15" i="4"/>
  <c r="Y14" i="4"/>
  <c r="AG13" i="4"/>
  <c r="AO12" i="4"/>
  <c r="I12" i="4"/>
  <c r="Q11" i="4"/>
  <c r="Y10" i="4"/>
  <c r="AG9" i="4"/>
  <c r="AO8" i="4"/>
  <c r="I8" i="4"/>
  <c r="Q7" i="4"/>
  <c r="Z91" i="3"/>
  <c r="Q91" i="3"/>
  <c r="H91" i="3"/>
  <c r="AL90" i="3"/>
  <c r="AC90" i="3"/>
  <c r="U90" i="3"/>
  <c r="M90" i="3"/>
  <c r="E90" i="3"/>
  <c r="AK89" i="3"/>
  <c r="AC89" i="3"/>
  <c r="U89" i="3"/>
  <c r="M89" i="3"/>
  <c r="E89" i="3"/>
  <c r="AK88" i="3"/>
  <c r="AC88" i="3"/>
  <c r="U88" i="3"/>
  <c r="M88" i="3"/>
  <c r="E88" i="3"/>
  <c r="AK87" i="3"/>
  <c r="AC87" i="3"/>
  <c r="U87" i="3"/>
  <c r="M87" i="3"/>
  <c r="E87" i="3"/>
  <c r="AK86" i="3"/>
  <c r="AC86" i="3"/>
  <c r="U86" i="3"/>
  <c r="M86" i="3"/>
  <c r="E86" i="3"/>
  <c r="AK85" i="3"/>
  <c r="AC85" i="3"/>
  <c r="U85" i="3"/>
  <c r="M85" i="3"/>
  <c r="E85" i="3"/>
  <c r="AK84" i="3"/>
  <c r="AC84" i="3"/>
  <c r="U84" i="3"/>
  <c r="M84" i="3"/>
  <c r="E84" i="3"/>
  <c r="AK83" i="3"/>
  <c r="AC83" i="3"/>
  <c r="U83" i="3"/>
  <c r="M83" i="3"/>
  <c r="E83" i="3"/>
  <c r="AK82" i="3"/>
  <c r="AC82" i="3"/>
  <c r="U82" i="3"/>
  <c r="M82" i="3"/>
  <c r="E82" i="3"/>
  <c r="AK81" i="3"/>
  <c r="AC81" i="3"/>
  <c r="U81" i="3"/>
  <c r="M81" i="3"/>
  <c r="E81" i="3"/>
  <c r="AK80" i="3"/>
  <c r="AC80" i="3"/>
  <c r="U80" i="3"/>
  <c r="M80" i="3"/>
  <c r="E80" i="3"/>
  <c r="AK79" i="3"/>
  <c r="AC79" i="3"/>
  <c r="U79" i="3"/>
  <c r="M79" i="3"/>
  <c r="E79" i="3"/>
  <c r="AK75" i="3"/>
  <c r="AC75" i="3"/>
  <c r="U75" i="3"/>
  <c r="M75" i="3"/>
  <c r="E75" i="3"/>
  <c r="AK74" i="3"/>
  <c r="AC74" i="3"/>
  <c r="U74" i="3"/>
  <c r="M74" i="3"/>
  <c r="E74" i="3"/>
  <c r="AK73" i="3"/>
  <c r="AC73" i="3"/>
  <c r="U73" i="3"/>
  <c r="M73" i="3"/>
  <c r="E73" i="3"/>
  <c r="AK72" i="3"/>
  <c r="AC72" i="3"/>
  <c r="U72" i="3"/>
  <c r="M72" i="3"/>
  <c r="E72" i="3"/>
  <c r="AK71" i="3"/>
  <c r="AC71" i="3"/>
  <c r="U71" i="3"/>
  <c r="M71" i="3"/>
  <c r="E71" i="3"/>
  <c r="AK70" i="3"/>
  <c r="AC70" i="3"/>
  <c r="U70" i="3"/>
  <c r="M70" i="3"/>
  <c r="E70" i="3"/>
  <c r="AK69" i="3"/>
  <c r="AC69" i="3"/>
  <c r="U69" i="3"/>
  <c r="AI67" i="4"/>
  <c r="L59" i="4"/>
  <c r="AC45" i="4"/>
  <c r="I42" i="4"/>
  <c r="AO36" i="4"/>
  <c r="AG33" i="4"/>
  <c r="Y30" i="4"/>
  <c r="AK27" i="4"/>
  <c r="AO26" i="4"/>
  <c r="H26" i="4"/>
  <c r="P25" i="4"/>
  <c r="X24" i="4"/>
  <c r="AF23" i="4"/>
  <c r="AN22" i="4"/>
  <c r="H22" i="4"/>
  <c r="P21" i="4"/>
  <c r="X20" i="4"/>
  <c r="AF17" i="4"/>
  <c r="AN16" i="4"/>
  <c r="H16" i="4"/>
  <c r="P15" i="4"/>
  <c r="X14" i="4"/>
  <c r="AF13" i="4"/>
  <c r="AN12" i="4"/>
  <c r="H12" i="4"/>
  <c r="P11" i="4"/>
  <c r="X10" i="4"/>
  <c r="AF9" i="4"/>
  <c r="AN8" i="4"/>
  <c r="H8" i="4"/>
  <c r="P7" i="4"/>
  <c r="Y91" i="3"/>
  <c r="P91" i="3"/>
  <c r="F91" i="3"/>
  <c r="AK90" i="3"/>
  <c r="AB90" i="3"/>
  <c r="T90" i="3"/>
  <c r="L90" i="3"/>
  <c r="D90" i="3"/>
  <c r="AJ89" i="3"/>
  <c r="AB89" i="3"/>
  <c r="T89" i="3"/>
  <c r="L89" i="3"/>
  <c r="D89" i="3"/>
  <c r="AJ88" i="3"/>
  <c r="AB88" i="3"/>
  <c r="T88" i="3"/>
  <c r="L88" i="3"/>
  <c r="D88" i="3"/>
  <c r="AJ87" i="3"/>
  <c r="AB87" i="3"/>
  <c r="T87" i="3"/>
  <c r="L87" i="3"/>
  <c r="D87" i="3"/>
  <c r="AJ86" i="3"/>
  <c r="AB86" i="3"/>
  <c r="T86" i="3"/>
  <c r="L86" i="3"/>
  <c r="D86" i="3"/>
  <c r="AJ85" i="3"/>
  <c r="AB85" i="3"/>
  <c r="T85" i="3"/>
  <c r="L85" i="3"/>
  <c r="D85" i="3"/>
  <c r="AJ84" i="3"/>
  <c r="AB84" i="3"/>
  <c r="T84" i="3"/>
  <c r="L84" i="3"/>
  <c r="D84" i="3"/>
  <c r="AJ83" i="3"/>
  <c r="AB83" i="3"/>
  <c r="T83" i="3"/>
  <c r="L83" i="3"/>
  <c r="D83" i="3"/>
  <c r="AJ82" i="3"/>
  <c r="AB82" i="3"/>
  <c r="T82" i="3"/>
  <c r="L82" i="3"/>
  <c r="D82" i="3"/>
  <c r="AJ81" i="3"/>
  <c r="AB81" i="3"/>
  <c r="T81" i="3"/>
  <c r="L81" i="3"/>
  <c r="D81" i="3"/>
  <c r="AJ80" i="3"/>
  <c r="AB80" i="3"/>
  <c r="T80" i="3"/>
  <c r="L80" i="3"/>
  <c r="D80" i="3"/>
  <c r="AJ79" i="3"/>
  <c r="AB79" i="3"/>
  <c r="T79" i="3"/>
  <c r="L79" i="3"/>
  <c r="D79" i="3"/>
  <c r="AJ75" i="3"/>
  <c r="AB75" i="3"/>
  <c r="T75" i="3"/>
  <c r="L75" i="3"/>
  <c r="D75" i="3"/>
  <c r="AJ74" i="3"/>
  <c r="AB74" i="3"/>
  <c r="T74" i="3"/>
  <c r="L74" i="3"/>
  <c r="D74" i="3"/>
  <c r="AJ73" i="3"/>
  <c r="AB73" i="3"/>
  <c r="T73" i="3"/>
  <c r="L73" i="3"/>
  <c r="D73" i="3"/>
  <c r="AJ72" i="3"/>
  <c r="AB72" i="3"/>
  <c r="T72" i="3"/>
  <c r="L72" i="3"/>
  <c r="D72" i="3"/>
  <c r="AJ71" i="3"/>
  <c r="AB71" i="3"/>
  <c r="T71" i="3"/>
  <c r="L71" i="3"/>
  <c r="D71" i="3"/>
  <c r="AJ70" i="3"/>
  <c r="AB70" i="3"/>
  <c r="T70" i="3"/>
  <c r="L70" i="3"/>
  <c r="D70" i="3"/>
  <c r="AJ69" i="3"/>
  <c r="AB69" i="3"/>
  <c r="T69" i="3"/>
  <c r="AC65" i="4"/>
  <c r="J36" i="4"/>
  <c r="AG26" i="4"/>
  <c r="Y23" i="4"/>
  <c r="Q20" i="4"/>
  <c r="I15" i="4"/>
  <c r="AO11" i="4"/>
  <c r="AG8" i="4"/>
  <c r="N91" i="3"/>
  <c r="S90" i="3"/>
  <c r="AA89" i="3"/>
  <c r="AI88" i="3"/>
  <c r="C88" i="3"/>
  <c r="K87" i="3"/>
  <c r="S86" i="3"/>
  <c r="AA85" i="3"/>
  <c r="AI84" i="3"/>
  <c r="C84" i="3"/>
  <c r="K83" i="3"/>
  <c r="AF82" i="3"/>
  <c r="J82" i="3"/>
  <c r="AA81" i="3"/>
  <c r="H81" i="3"/>
  <c r="Z80" i="3"/>
  <c r="C80" i="3"/>
  <c r="X79" i="3"/>
  <c r="AP75" i="3"/>
  <c r="S75" i="3"/>
  <c r="AN74" i="3"/>
  <c r="R74" i="3"/>
  <c r="AI73" i="3"/>
  <c r="P73" i="3"/>
  <c r="AH72" i="3"/>
  <c r="K72" i="3"/>
  <c r="AF71" i="3"/>
  <c r="J71" i="3"/>
  <c r="AA70" i="3"/>
  <c r="H70" i="3"/>
  <c r="Z69" i="3"/>
  <c r="M69" i="3"/>
  <c r="D69" i="3"/>
  <c r="AI68" i="3"/>
  <c r="Z68" i="3"/>
  <c r="R68" i="3"/>
  <c r="J68" i="3"/>
  <c r="AP67" i="3"/>
  <c r="AH67" i="3"/>
  <c r="Z67" i="3"/>
  <c r="R67" i="3"/>
  <c r="J67" i="3"/>
  <c r="AP66" i="3"/>
  <c r="AH66" i="3"/>
  <c r="Z66" i="3"/>
  <c r="R66" i="3"/>
  <c r="J66" i="3"/>
  <c r="AP65" i="3"/>
  <c r="AH65" i="3"/>
  <c r="Z65" i="3"/>
  <c r="R65" i="3"/>
  <c r="J65" i="3"/>
  <c r="AP64" i="3"/>
  <c r="AH64" i="3"/>
  <c r="Z64" i="3"/>
  <c r="R64" i="3"/>
  <c r="J64" i="3"/>
  <c r="AP63" i="3"/>
  <c r="AH63" i="3"/>
  <c r="Z63" i="3"/>
  <c r="R63" i="3"/>
  <c r="J63" i="3"/>
  <c r="AP62" i="3"/>
  <c r="AH62" i="3"/>
  <c r="Z62" i="3"/>
  <c r="R62" i="3"/>
  <c r="J62" i="3"/>
  <c r="AP61" i="3"/>
  <c r="AH61" i="3"/>
  <c r="Z61" i="3"/>
  <c r="R61" i="3"/>
  <c r="J61" i="3"/>
  <c r="AP60" i="3"/>
  <c r="AH60" i="3"/>
  <c r="Z60" i="3"/>
  <c r="R60" i="3"/>
  <c r="J60" i="3"/>
  <c r="AP59" i="3"/>
  <c r="AH59" i="3"/>
  <c r="Z59" i="3"/>
  <c r="R59" i="3"/>
  <c r="J59" i="3"/>
  <c r="AP58" i="3"/>
  <c r="AH58" i="3"/>
  <c r="Z58" i="3"/>
  <c r="R58" i="3"/>
  <c r="J58" i="3"/>
  <c r="AP57" i="3"/>
  <c r="AH57" i="3"/>
  <c r="Z57" i="3"/>
  <c r="R57" i="3"/>
  <c r="J57" i="3"/>
  <c r="AP56" i="3"/>
  <c r="AH56" i="3"/>
  <c r="Z56" i="3"/>
  <c r="R56" i="3"/>
  <c r="J56" i="3"/>
  <c r="AP55" i="3"/>
  <c r="AH55" i="3"/>
  <c r="Z55" i="3"/>
  <c r="R55" i="3"/>
  <c r="J55" i="3"/>
  <c r="AP54" i="3"/>
  <c r="AH54" i="3"/>
  <c r="Z54" i="3"/>
  <c r="R54" i="3"/>
  <c r="J54" i="3"/>
  <c r="AP53" i="3"/>
  <c r="AH53" i="3"/>
  <c r="Z53" i="3"/>
  <c r="R53" i="3"/>
  <c r="J53" i="3"/>
  <c r="AP52" i="3"/>
  <c r="AH52" i="3"/>
  <c r="Z52" i="3"/>
  <c r="R52" i="3"/>
  <c r="J52" i="3"/>
  <c r="AP51" i="3"/>
  <c r="AH51" i="3"/>
  <c r="Z51" i="3"/>
  <c r="R51" i="3"/>
  <c r="J51" i="3"/>
  <c r="AP50" i="3"/>
  <c r="AH50" i="3"/>
  <c r="Z50" i="3"/>
  <c r="R50" i="3"/>
  <c r="AB65" i="4"/>
  <c r="I36" i="4"/>
  <c r="AF26" i="4"/>
  <c r="X23" i="4"/>
  <c r="P20" i="4"/>
  <c r="H15" i="4"/>
  <c r="AN11" i="4"/>
  <c r="AF8" i="4"/>
  <c r="M91" i="3"/>
  <c r="R90" i="3"/>
  <c r="Z89" i="3"/>
  <c r="AH88" i="3"/>
  <c r="AP87" i="3"/>
  <c r="J87" i="3"/>
  <c r="R86" i="3"/>
  <c r="Z85" i="3"/>
  <c r="AH84" i="3"/>
  <c r="AP83" i="3"/>
  <c r="J83" i="3"/>
  <c r="AA82" i="3"/>
  <c r="H82" i="3"/>
  <c r="Z81" i="3"/>
  <c r="C81" i="3"/>
  <c r="X80" i="3"/>
  <c r="AP79" i="3"/>
  <c r="S79" i="3"/>
  <c r="AN75" i="3"/>
  <c r="R75" i="3"/>
  <c r="AI74" i="3"/>
  <c r="P74" i="3"/>
  <c r="AH73" i="3"/>
  <c r="K73" i="3"/>
  <c r="AF72" i="3"/>
  <c r="J72" i="3"/>
  <c r="AA71" i="3"/>
  <c r="H71" i="3"/>
  <c r="Z70" i="3"/>
  <c r="C70" i="3"/>
  <c r="X69" i="3"/>
  <c r="L69" i="3"/>
  <c r="C69" i="3"/>
  <c r="AH68" i="3"/>
  <c r="Y68" i="3"/>
  <c r="Q68" i="3"/>
  <c r="I68" i="3"/>
  <c r="AO67" i="3"/>
  <c r="AG67" i="3"/>
  <c r="Y67" i="3"/>
  <c r="Q67" i="3"/>
  <c r="I67" i="3"/>
  <c r="AO66" i="3"/>
  <c r="AG66" i="3"/>
  <c r="Y66" i="3"/>
  <c r="Q66" i="3"/>
  <c r="I66" i="3"/>
  <c r="AO65" i="3"/>
  <c r="AG65" i="3"/>
  <c r="Y65" i="3"/>
  <c r="Q65" i="3"/>
  <c r="I65" i="3"/>
  <c r="AO64" i="3"/>
  <c r="AG64" i="3"/>
  <c r="Y64" i="3"/>
  <c r="Q64" i="3"/>
  <c r="I64" i="3"/>
  <c r="AO63" i="3"/>
  <c r="AG63" i="3"/>
  <c r="Y63" i="3"/>
  <c r="Q63" i="3"/>
  <c r="I63" i="3"/>
  <c r="AO62" i="3"/>
  <c r="AG62" i="3"/>
  <c r="Y62" i="3"/>
  <c r="Q62" i="3"/>
  <c r="I62" i="3"/>
  <c r="AO61" i="3"/>
  <c r="AG61" i="3"/>
  <c r="Y61" i="3"/>
  <c r="Q61" i="3"/>
  <c r="I61" i="3"/>
  <c r="AO60" i="3"/>
  <c r="AG60" i="3"/>
  <c r="Y60" i="3"/>
  <c r="Q60" i="3"/>
  <c r="I60" i="3"/>
  <c r="AO59" i="3"/>
  <c r="AG59" i="3"/>
  <c r="Y59" i="3"/>
  <c r="Q59" i="3"/>
  <c r="I59" i="3"/>
  <c r="AO58" i="3"/>
  <c r="AG58" i="3"/>
  <c r="Y58" i="3"/>
  <c r="Q58" i="3"/>
  <c r="I58" i="3"/>
  <c r="AO57" i="3"/>
  <c r="AG57" i="3"/>
  <c r="Y57" i="3"/>
  <c r="Q57" i="3"/>
  <c r="I57" i="3"/>
  <c r="AO56" i="3"/>
  <c r="AG56" i="3"/>
  <c r="Y56" i="3"/>
  <c r="Q56" i="3"/>
  <c r="I56" i="3"/>
  <c r="AO55" i="3"/>
  <c r="AG55" i="3"/>
  <c r="Y55" i="3"/>
  <c r="Q55" i="3"/>
  <c r="I55" i="3"/>
  <c r="AO54" i="3"/>
  <c r="AG54" i="3"/>
  <c r="Y54" i="3"/>
  <c r="Q54" i="3"/>
  <c r="I54" i="3"/>
  <c r="AO53" i="3"/>
  <c r="AG53" i="3"/>
  <c r="Y53" i="3"/>
  <c r="Q53" i="3"/>
  <c r="I53" i="3"/>
  <c r="AO52" i="3"/>
  <c r="AG52" i="3"/>
  <c r="Y52" i="3"/>
  <c r="Q52" i="3"/>
  <c r="I52" i="3"/>
  <c r="AO51" i="3"/>
  <c r="K55" i="4"/>
  <c r="AP32" i="4"/>
  <c r="AO25" i="4"/>
  <c r="AG22" i="4"/>
  <c r="Y17" i="4"/>
  <c r="Q14" i="4"/>
  <c r="I11" i="4"/>
  <c r="AO7" i="4"/>
  <c r="E91" i="3"/>
  <c r="K90" i="3"/>
  <c r="S89" i="3"/>
  <c r="AA88" i="3"/>
  <c r="AI87" i="3"/>
  <c r="C87" i="3"/>
  <c r="K86" i="3"/>
  <c r="S85" i="3"/>
  <c r="AA84" i="3"/>
  <c r="AI83" i="3"/>
  <c r="H83" i="3"/>
  <c r="Z82" i="3"/>
  <c r="C82" i="3"/>
  <c r="X81" i="3"/>
  <c r="AP80" i="3"/>
  <c r="S80" i="3"/>
  <c r="AN79" i="3"/>
  <c r="R79" i="3"/>
  <c r="AI75" i="3"/>
  <c r="P75" i="3"/>
  <c r="AH74" i="3"/>
  <c r="K74" i="3"/>
  <c r="AF73" i="3"/>
  <c r="J73" i="3"/>
  <c r="AA72" i="3"/>
  <c r="H72" i="3"/>
  <c r="Z71" i="3"/>
  <c r="C71" i="3"/>
  <c r="X70" i="3"/>
  <c r="AP69" i="3"/>
  <c r="V69" i="3"/>
  <c r="K69" i="3"/>
  <c r="AP68" i="3"/>
  <c r="AF68" i="3"/>
  <c r="X68" i="3"/>
  <c r="P68" i="3"/>
  <c r="H68" i="3"/>
  <c r="AN67" i="3"/>
  <c r="AF67" i="3"/>
  <c r="X67" i="3"/>
  <c r="P67" i="3"/>
  <c r="H67" i="3"/>
  <c r="AN66" i="3"/>
  <c r="AF66" i="3"/>
  <c r="X66" i="3"/>
  <c r="P66" i="3"/>
  <c r="H66" i="3"/>
  <c r="AN65" i="3"/>
  <c r="AF65" i="3"/>
  <c r="X65" i="3"/>
  <c r="P65" i="3"/>
  <c r="H65" i="3"/>
  <c r="AN64" i="3"/>
  <c r="AF64" i="3"/>
  <c r="X64" i="3"/>
  <c r="P64" i="3"/>
  <c r="H64" i="3"/>
  <c r="AN63" i="3"/>
  <c r="AF63" i="3"/>
  <c r="X63" i="3"/>
  <c r="P63" i="3"/>
  <c r="H63" i="3"/>
  <c r="AN62" i="3"/>
  <c r="AF62" i="3"/>
  <c r="X62" i="3"/>
  <c r="P62" i="3"/>
  <c r="H62" i="3"/>
  <c r="AN61" i="3"/>
  <c r="AF61" i="3"/>
  <c r="X61" i="3"/>
  <c r="P61" i="3"/>
  <c r="H61" i="3"/>
  <c r="AN60" i="3"/>
  <c r="AF60" i="3"/>
  <c r="X60" i="3"/>
  <c r="P60" i="3"/>
  <c r="H60" i="3"/>
  <c r="AN59" i="3"/>
  <c r="AF59" i="3"/>
  <c r="X59" i="3"/>
  <c r="P59" i="3"/>
  <c r="H59" i="3"/>
  <c r="AN58" i="3"/>
  <c r="AF58" i="3"/>
  <c r="X58" i="3"/>
  <c r="P58" i="3"/>
  <c r="H58" i="3"/>
  <c r="AN57" i="3"/>
  <c r="AF57" i="3"/>
  <c r="X57" i="3"/>
  <c r="P57" i="3"/>
  <c r="H57" i="3"/>
  <c r="AN56" i="3"/>
  <c r="AF56" i="3"/>
  <c r="X56" i="3"/>
  <c r="P56" i="3"/>
  <c r="H56" i="3"/>
  <c r="AN55" i="3"/>
  <c r="AF55" i="3"/>
  <c r="X55" i="3"/>
  <c r="P55" i="3"/>
  <c r="H55" i="3"/>
  <c r="AN54" i="3"/>
  <c r="AF54" i="3"/>
  <c r="X54" i="3"/>
  <c r="P54" i="3"/>
  <c r="H54" i="3"/>
  <c r="AN53" i="3"/>
  <c r="AF53" i="3"/>
  <c r="X53" i="3"/>
  <c r="P53" i="3"/>
  <c r="H53" i="3"/>
  <c r="AN52" i="3"/>
  <c r="AF52" i="3"/>
  <c r="X52" i="3"/>
  <c r="P52" i="3"/>
  <c r="H52" i="3"/>
  <c r="AN51" i="3"/>
  <c r="AF51" i="3"/>
  <c r="X51" i="3"/>
  <c r="P51" i="3"/>
  <c r="E55" i="4"/>
  <c r="AO32" i="4"/>
  <c r="AN25" i="4"/>
  <c r="AF22" i="4"/>
  <c r="X17" i="4"/>
  <c r="P14" i="4"/>
  <c r="H11" i="4"/>
  <c r="AN7" i="4"/>
  <c r="D91" i="3"/>
  <c r="J90" i="3"/>
  <c r="R89" i="3"/>
  <c r="Z88" i="3"/>
  <c r="AH87" i="3"/>
  <c r="AP86" i="3"/>
  <c r="J86" i="3"/>
  <c r="R85" i="3"/>
  <c r="Z84" i="3"/>
  <c r="AH83" i="3"/>
  <c r="C83" i="3"/>
  <c r="X82" i="3"/>
  <c r="AP81" i="3"/>
  <c r="S81" i="3"/>
  <c r="AN80" i="3"/>
  <c r="R80" i="3"/>
  <c r="AI79" i="3"/>
  <c r="P79" i="3"/>
  <c r="AH75" i="3"/>
  <c r="K75" i="3"/>
  <c r="AF74" i="3"/>
  <c r="J74" i="3"/>
  <c r="AA73" i="3"/>
  <c r="H73" i="3"/>
  <c r="Z72" i="3"/>
  <c r="C72" i="3"/>
  <c r="X71" i="3"/>
  <c r="AP70" i="3"/>
  <c r="S70" i="3"/>
  <c r="AN69" i="3"/>
  <c r="S69" i="3"/>
  <c r="J69" i="3"/>
  <c r="AN68" i="3"/>
  <c r="AE68" i="3"/>
  <c r="W68" i="3"/>
  <c r="O68" i="3"/>
  <c r="G68" i="3"/>
  <c r="AM67" i="3"/>
  <c r="AE67" i="3"/>
  <c r="W67" i="3"/>
  <c r="O67" i="3"/>
  <c r="G67" i="3"/>
  <c r="AM66" i="3"/>
  <c r="AE66" i="3"/>
  <c r="W66" i="3"/>
  <c r="O66" i="3"/>
  <c r="G66" i="3"/>
  <c r="AM65" i="3"/>
  <c r="AE65" i="3"/>
  <c r="W65" i="3"/>
  <c r="O65" i="3"/>
  <c r="G65" i="3"/>
  <c r="AM64" i="3"/>
  <c r="AE64" i="3"/>
  <c r="W64" i="3"/>
  <c r="O64" i="3"/>
  <c r="G64" i="3"/>
  <c r="AM63" i="3"/>
  <c r="AE63" i="3"/>
  <c r="W63" i="3"/>
  <c r="O63" i="3"/>
  <c r="G63" i="3"/>
  <c r="AM62" i="3"/>
  <c r="AE62" i="3"/>
  <c r="W62" i="3"/>
  <c r="O62" i="3"/>
  <c r="G62" i="3"/>
  <c r="AM61" i="3"/>
  <c r="AE61" i="3"/>
  <c r="W61" i="3"/>
  <c r="O61" i="3"/>
  <c r="G61" i="3"/>
  <c r="AM60" i="3"/>
  <c r="AE60" i="3"/>
  <c r="W60" i="3"/>
  <c r="O60" i="3"/>
  <c r="G60" i="3"/>
  <c r="AM59" i="3"/>
  <c r="AE59" i="3"/>
  <c r="W59" i="3"/>
  <c r="O59" i="3"/>
  <c r="G59" i="3"/>
  <c r="AM58" i="3"/>
  <c r="AE58" i="3"/>
  <c r="W58" i="3"/>
  <c r="O58" i="3"/>
  <c r="G58" i="3"/>
  <c r="AM57" i="3"/>
  <c r="AE57" i="3"/>
  <c r="W57" i="3"/>
  <c r="O57" i="3"/>
  <c r="G57" i="3"/>
  <c r="AM56" i="3"/>
  <c r="AE56" i="3"/>
  <c r="W56" i="3"/>
  <c r="O56" i="3"/>
  <c r="G56" i="3"/>
  <c r="AM55" i="3"/>
  <c r="AE55" i="3"/>
  <c r="W55" i="3"/>
  <c r="O55" i="3"/>
  <c r="G55" i="3"/>
  <c r="AM54" i="3"/>
  <c r="AE54" i="3"/>
  <c r="W54" i="3"/>
  <c r="O54" i="3"/>
  <c r="G54" i="3"/>
  <c r="AM53" i="3"/>
  <c r="AE53" i="3"/>
  <c r="W53" i="3"/>
  <c r="O53" i="3"/>
  <c r="G53" i="3"/>
  <c r="AM52" i="3"/>
  <c r="AE52" i="3"/>
  <c r="W52" i="3"/>
  <c r="O52" i="3"/>
  <c r="G52" i="3"/>
  <c r="AM51" i="3"/>
  <c r="AE51" i="3"/>
  <c r="W51" i="3"/>
  <c r="Z44" i="4"/>
  <c r="AH29" i="4"/>
  <c r="I25" i="4"/>
  <c r="AO21" i="4"/>
  <c r="AG16" i="4"/>
  <c r="Y13" i="4"/>
  <c r="Q10" i="4"/>
  <c r="I7" i="4"/>
  <c r="AJ90" i="3"/>
  <c r="C90" i="3"/>
  <c r="K89" i="3"/>
  <c r="S88" i="3"/>
  <c r="AA87" i="3"/>
  <c r="AI86" i="3"/>
  <c r="C86" i="3"/>
  <c r="K85" i="3"/>
  <c r="S84" i="3"/>
  <c r="AA83" i="3"/>
  <c r="AP82" i="3"/>
  <c r="S82" i="3"/>
  <c r="AN81" i="3"/>
  <c r="R81" i="3"/>
  <c r="AI80" i="3"/>
  <c r="P80" i="3"/>
  <c r="AH79" i="3"/>
  <c r="K79" i="3"/>
  <c r="AF75" i="3"/>
  <c r="J75" i="3"/>
  <c r="AA74" i="3"/>
  <c r="H74" i="3"/>
  <c r="Z73" i="3"/>
  <c r="C73" i="3"/>
  <c r="X72" i="3"/>
  <c r="AP71" i="3"/>
  <c r="S71" i="3"/>
  <c r="AN70" i="3"/>
  <c r="R70" i="3"/>
  <c r="AI69" i="3"/>
  <c r="R69" i="3"/>
  <c r="H69" i="3"/>
  <c r="AM68" i="3"/>
  <c r="AD68" i="3"/>
  <c r="V68" i="3"/>
  <c r="N68" i="3"/>
  <c r="F68" i="3"/>
  <c r="AL67" i="3"/>
  <c r="AD67" i="3"/>
  <c r="V67" i="3"/>
  <c r="N67" i="3"/>
  <c r="F67" i="3"/>
  <c r="AL66" i="3"/>
  <c r="AD66" i="3"/>
  <c r="V66" i="3"/>
  <c r="N66" i="3"/>
  <c r="F66" i="3"/>
  <c r="AL65" i="3"/>
  <c r="AD65" i="3"/>
  <c r="V65" i="3"/>
  <c r="N65" i="3"/>
  <c r="F65" i="3"/>
  <c r="AL64" i="3"/>
  <c r="AD64" i="3"/>
  <c r="V64" i="3"/>
  <c r="N64" i="3"/>
  <c r="F64" i="3"/>
  <c r="AL63" i="3"/>
  <c r="AD63" i="3"/>
  <c r="V63" i="3"/>
  <c r="N63" i="3"/>
  <c r="F63" i="3"/>
  <c r="AL62" i="3"/>
  <c r="AD62" i="3"/>
  <c r="V62" i="3"/>
  <c r="N62" i="3"/>
  <c r="F62" i="3"/>
  <c r="AL61" i="3"/>
  <c r="AD61" i="3"/>
  <c r="V61" i="3"/>
  <c r="N61" i="3"/>
  <c r="F61" i="3"/>
  <c r="AL60" i="3"/>
  <c r="AD60" i="3"/>
  <c r="V60" i="3"/>
  <c r="N60" i="3"/>
  <c r="F60" i="3"/>
  <c r="AL59" i="3"/>
  <c r="AD59" i="3"/>
  <c r="V59" i="3"/>
  <c r="N59" i="3"/>
  <c r="F59" i="3"/>
  <c r="AL58" i="3"/>
  <c r="AD58" i="3"/>
  <c r="V58" i="3"/>
  <c r="N58" i="3"/>
  <c r="F58" i="3"/>
  <c r="AL57" i="3"/>
  <c r="AD57" i="3"/>
  <c r="V57" i="3"/>
  <c r="N57" i="3"/>
  <c r="F57" i="3"/>
  <c r="AL56" i="3"/>
  <c r="AD56" i="3"/>
  <c r="V56" i="3"/>
  <c r="N56" i="3"/>
  <c r="F56" i="3"/>
  <c r="AL55" i="3"/>
  <c r="AD55" i="3"/>
  <c r="V55" i="3"/>
  <c r="N55" i="3"/>
  <c r="F55" i="3"/>
  <c r="AL54" i="3"/>
  <c r="AD54" i="3"/>
  <c r="V54" i="3"/>
  <c r="N54" i="3"/>
  <c r="F54" i="3"/>
  <c r="AL53" i="3"/>
  <c r="AD53" i="3"/>
  <c r="V53" i="3"/>
  <c r="N53" i="3"/>
  <c r="F53" i="3"/>
  <c r="AL52" i="3"/>
  <c r="AD52" i="3"/>
  <c r="V52" i="3"/>
  <c r="N52" i="3"/>
  <c r="F52" i="3"/>
  <c r="AL51" i="3"/>
  <c r="AD51" i="3"/>
  <c r="Y44" i="4"/>
  <c r="AG29" i="4"/>
  <c r="H25" i="4"/>
  <c r="AN21" i="4"/>
  <c r="AF16" i="4"/>
  <c r="X13" i="4"/>
  <c r="P10" i="4"/>
  <c r="H7" i="4"/>
  <c r="AI90" i="3"/>
  <c r="AP89" i="3"/>
  <c r="J89" i="3"/>
  <c r="R88" i="3"/>
  <c r="Z87" i="3"/>
  <c r="AH86" i="3"/>
  <c r="AP85" i="3"/>
  <c r="J85" i="3"/>
  <c r="R84" i="3"/>
  <c r="Z83" i="3"/>
  <c r="AN82" i="3"/>
  <c r="R82" i="3"/>
  <c r="AI81" i="3"/>
  <c r="P81" i="3"/>
  <c r="AH80" i="3"/>
  <c r="K80" i="3"/>
  <c r="AF79" i="3"/>
  <c r="J79" i="3"/>
  <c r="AA75" i="3"/>
  <c r="H75" i="3"/>
  <c r="Z74" i="3"/>
  <c r="C74" i="3"/>
  <c r="X73" i="3"/>
  <c r="AP72" i="3"/>
  <c r="S72" i="3"/>
  <c r="AN71" i="3"/>
  <c r="R71" i="3"/>
  <c r="AI70" i="3"/>
  <c r="P70" i="3"/>
  <c r="AH69" i="3"/>
  <c r="P69" i="3"/>
  <c r="G69" i="3"/>
  <c r="AL68" i="3"/>
  <c r="AC68" i="3"/>
  <c r="U68" i="3"/>
  <c r="M68" i="3"/>
  <c r="E68" i="3"/>
  <c r="AK67" i="3"/>
  <c r="AC67" i="3"/>
  <c r="U67" i="3"/>
  <c r="M67" i="3"/>
  <c r="E67" i="3"/>
  <c r="AK66" i="3"/>
  <c r="AC66" i="3"/>
  <c r="U66" i="3"/>
  <c r="M66" i="3"/>
  <c r="E66" i="3"/>
  <c r="AK65" i="3"/>
  <c r="AC65" i="3"/>
  <c r="U65" i="3"/>
  <c r="M65" i="3"/>
  <c r="E65" i="3"/>
  <c r="AK64" i="3"/>
  <c r="AC64" i="3"/>
  <c r="U64" i="3"/>
  <c r="M64" i="3"/>
  <c r="E64" i="3"/>
  <c r="AK63" i="3"/>
  <c r="AC63" i="3"/>
  <c r="U63" i="3"/>
  <c r="M63" i="3"/>
  <c r="E63" i="3"/>
  <c r="AK62" i="3"/>
  <c r="AC62" i="3"/>
  <c r="U62" i="3"/>
  <c r="M62" i="3"/>
  <c r="E62" i="3"/>
  <c r="AK61" i="3"/>
  <c r="AC61" i="3"/>
  <c r="U61" i="3"/>
  <c r="M61" i="3"/>
  <c r="E61" i="3"/>
  <c r="AK60" i="3"/>
  <c r="AC60" i="3"/>
  <c r="U60" i="3"/>
  <c r="M60" i="3"/>
  <c r="E60" i="3"/>
  <c r="AK59" i="3"/>
  <c r="AC59" i="3"/>
  <c r="U59" i="3"/>
  <c r="M59" i="3"/>
  <c r="E59" i="3"/>
  <c r="AK58" i="3"/>
  <c r="AC58" i="3"/>
  <c r="U58" i="3"/>
  <c r="M58" i="3"/>
  <c r="E58" i="3"/>
  <c r="AK57" i="3"/>
  <c r="AC57" i="3"/>
  <c r="U57" i="3"/>
  <c r="M57" i="3"/>
  <c r="E57" i="3"/>
  <c r="AK56" i="3"/>
  <c r="AC56" i="3"/>
  <c r="U56" i="3"/>
  <c r="M56" i="3"/>
  <c r="E56" i="3"/>
  <c r="AK55" i="3"/>
  <c r="AC55" i="3"/>
  <c r="U55" i="3"/>
  <c r="M55" i="3"/>
  <c r="E55" i="3"/>
  <c r="AK54" i="3"/>
  <c r="AC54" i="3"/>
  <c r="U54" i="3"/>
  <c r="M54" i="3"/>
  <c r="E54" i="3"/>
  <c r="AK53" i="3"/>
  <c r="AC53" i="3"/>
  <c r="U53" i="3"/>
  <c r="M53" i="3"/>
  <c r="E53" i="3"/>
  <c r="AK52" i="3"/>
  <c r="AC52" i="3"/>
  <c r="U52" i="3"/>
  <c r="M52" i="3"/>
  <c r="E52" i="3"/>
  <c r="AK51" i="3"/>
  <c r="R41" i="4"/>
  <c r="AO15" i="4"/>
  <c r="AA90" i="3"/>
  <c r="S87" i="3"/>
  <c r="K84" i="3"/>
  <c r="AH81" i="3"/>
  <c r="AA79" i="3"/>
  <c r="X74" i="3"/>
  <c r="R72" i="3"/>
  <c r="K70" i="3"/>
  <c r="AK68" i="3"/>
  <c r="D68" i="3"/>
  <c r="L67" i="3"/>
  <c r="T66" i="3"/>
  <c r="AB65" i="3"/>
  <c r="AJ64" i="3"/>
  <c r="D64" i="3"/>
  <c r="L63" i="3"/>
  <c r="T62" i="3"/>
  <c r="AB61" i="3"/>
  <c r="AJ60" i="3"/>
  <c r="D60" i="3"/>
  <c r="L59" i="3"/>
  <c r="T58" i="3"/>
  <c r="AB57" i="3"/>
  <c r="AJ56" i="3"/>
  <c r="D56" i="3"/>
  <c r="L55" i="3"/>
  <c r="T54" i="3"/>
  <c r="AB53" i="3"/>
  <c r="AJ52" i="3"/>
  <c r="D52" i="3"/>
  <c r="Y51" i="3"/>
  <c r="M51" i="3"/>
  <c r="D51" i="3"/>
  <c r="AI50" i="3"/>
  <c r="Y50" i="3"/>
  <c r="P50" i="3"/>
  <c r="H50" i="3"/>
  <c r="AN49" i="3"/>
  <c r="AF49" i="3"/>
  <c r="X49" i="3"/>
  <c r="P49" i="3"/>
  <c r="H49" i="3"/>
  <c r="AN48" i="3"/>
  <c r="AF48" i="3"/>
  <c r="X48" i="3"/>
  <c r="P48" i="3"/>
  <c r="H48" i="3"/>
  <c r="AN47" i="3"/>
  <c r="AF47" i="3"/>
  <c r="X47" i="3"/>
  <c r="P47" i="3"/>
  <c r="H47" i="3"/>
  <c r="AN46" i="3"/>
  <c r="AF46" i="3"/>
  <c r="X46" i="3"/>
  <c r="P46" i="3"/>
  <c r="H46" i="3"/>
  <c r="AN45" i="3"/>
  <c r="AF45" i="3"/>
  <c r="X45" i="3"/>
  <c r="P45" i="3"/>
  <c r="H45" i="3"/>
  <c r="AN44" i="3"/>
  <c r="AF44" i="3"/>
  <c r="X44" i="3"/>
  <c r="P44" i="3"/>
  <c r="H44" i="3"/>
  <c r="AN43" i="3"/>
  <c r="AF43" i="3"/>
  <c r="X43" i="3"/>
  <c r="P43" i="3"/>
  <c r="H43" i="3"/>
  <c r="AN42" i="3"/>
  <c r="AF42" i="3"/>
  <c r="X42" i="3"/>
  <c r="P42" i="3"/>
  <c r="H42" i="3"/>
  <c r="AN39" i="3"/>
  <c r="AF39" i="3"/>
  <c r="X39" i="3"/>
  <c r="P39" i="3"/>
  <c r="H39" i="3"/>
  <c r="AN38" i="3"/>
  <c r="AF38" i="3"/>
  <c r="X38" i="3"/>
  <c r="P38" i="3"/>
  <c r="H38" i="3"/>
  <c r="AN37" i="3"/>
  <c r="AF37" i="3"/>
  <c r="X37" i="3"/>
  <c r="P37" i="3"/>
  <c r="H37" i="3"/>
  <c r="AN36" i="3"/>
  <c r="AF36" i="3"/>
  <c r="X36" i="3"/>
  <c r="P36" i="3"/>
  <c r="H36" i="3"/>
  <c r="AN35" i="3"/>
  <c r="AF35" i="3"/>
  <c r="X35" i="3"/>
  <c r="P35" i="3"/>
  <c r="H35" i="3"/>
  <c r="AN34" i="3"/>
  <c r="AF34" i="3"/>
  <c r="X34" i="3"/>
  <c r="P34" i="3"/>
  <c r="H34" i="3"/>
  <c r="AN33" i="3"/>
  <c r="AF33" i="3"/>
  <c r="X33" i="3"/>
  <c r="P33" i="3"/>
  <c r="H33" i="3"/>
  <c r="AN32" i="3"/>
  <c r="AF32" i="3"/>
  <c r="X32" i="3"/>
  <c r="P32" i="3"/>
  <c r="H32" i="3"/>
  <c r="AN31" i="3"/>
  <c r="AF31" i="3"/>
  <c r="X31" i="3"/>
  <c r="P31" i="3"/>
  <c r="H31" i="3"/>
  <c r="AN30" i="3"/>
  <c r="AF30" i="3"/>
  <c r="X30" i="3"/>
  <c r="P30" i="3"/>
  <c r="H30" i="3"/>
  <c r="Q41" i="4"/>
  <c r="AN15" i="4"/>
  <c r="Z90" i="3"/>
  <c r="R87" i="3"/>
  <c r="J84" i="3"/>
  <c r="AF81" i="3"/>
  <c r="Z79" i="3"/>
  <c r="S74" i="3"/>
  <c r="P72" i="3"/>
  <c r="J70" i="3"/>
  <c r="AJ68" i="3"/>
  <c r="C68" i="3"/>
  <c r="K67" i="3"/>
  <c r="S66" i="3"/>
  <c r="AA65" i="3"/>
  <c r="AI64" i="3"/>
  <c r="C64" i="3"/>
  <c r="K63" i="3"/>
  <c r="S62" i="3"/>
  <c r="AA61" i="3"/>
  <c r="AI60" i="3"/>
  <c r="C60" i="3"/>
  <c r="K59" i="3"/>
  <c r="S58" i="3"/>
  <c r="AA57" i="3"/>
  <c r="AI56" i="3"/>
  <c r="C56" i="3"/>
  <c r="K55" i="3"/>
  <c r="S54" i="3"/>
  <c r="AA53" i="3"/>
  <c r="AI52" i="3"/>
  <c r="C52" i="3"/>
  <c r="V51" i="3"/>
  <c r="L51" i="3"/>
  <c r="C51" i="3"/>
  <c r="AG50" i="3"/>
  <c r="X50" i="3"/>
  <c r="O50" i="3"/>
  <c r="G50" i="3"/>
  <c r="AM49" i="3"/>
  <c r="AE49" i="3"/>
  <c r="W49" i="3"/>
  <c r="O49" i="3"/>
  <c r="G49" i="3"/>
  <c r="AM48" i="3"/>
  <c r="AE48" i="3"/>
  <c r="W48" i="3"/>
  <c r="O48" i="3"/>
  <c r="G48" i="3"/>
  <c r="AM47" i="3"/>
  <c r="AE47" i="3"/>
  <c r="W47" i="3"/>
  <c r="O47" i="3"/>
  <c r="G47" i="3"/>
  <c r="AM46" i="3"/>
  <c r="AE46" i="3"/>
  <c r="W46" i="3"/>
  <c r="O46" i="3"/>
  <c r="G46" i="3"/>
  <c r="AM45" i="3"/>
  <c r="AE45" i="3"/>
  <c r="W45" i="3"/>
  <c r="O45" i="3"/>
  <c r="G45" i="3"/>
  <c r="AM44" i="3"/>
  <c r="AE44" i="3"/>
  <c r="W44" i="3"/>
  <c r="O44" i="3"/>
  <c r="G44" i="3"/>
  <c r="AM43" i="3"/>
  <c r="AE43" i="3"/>
  <c r="W43" i="3"/>
  <c r="O43" i="3"/>
  <c r="G43" i="3"/>
  <c r="AM42" i="3"/>
  <c r="AE42" i="3"/>
  <c r="W42" i="3"/>
  <c r="O42" i="3"/>
  <c r="G42" i="3"/>
  <c r="AM39" i="3"/>
  <c r="AE39" i="3"/>
  <c r="W39" i="3"/>
  <c r="O39" i="3"/>
  <c r="G39" i="3"/>
  <c r="AM38" i="3"/>
  <c r="AE38" i="3"/>
  <c r="W38" i="3"/>
  <c r="O38" i="3"/>
  <c r="G38" i="3"/>
  <c r="AM37" i="3"/>
  <c r="AE37" i="3"/>
  <c r="W37" i="3"/>
  <c r="O37" i="3"/>
  <c r="G37" i="3"/>
  <c r="AM36" i="3"/>
  <c r="AE36" i="3"/>
  <c r="W36" i="3"/>
  <c r="O36" i="3"/>
  <c r="G36" i="3"/>
  <c r="AM35" i="3"/>
  <c r="AE35" i="3"/>
  <c r="W35" i="3"/>
  <c r="O35" i="3"/>
  <c r="G35" i="3"/>
  <c r="AM34" i="3"/>
  <c r="AE34" i="3"/>
  <c r="W34" i="3"/>
  <c r="O34" i="3"/>
  <c r="G34" i="3"/>
  <c r="AM33" i="3"/>
  <c r="AE33" i="3"/>
  <c r="W33" i="3"/>
  <c r="O33" i="3"/>
  <c r="G33" i="3"/>
  <c r="AM32" i="3"/>
  <c r="AE32" i="3"/>
  <c r="W32" i="3"/>
  <c r="O32" i="3"/>
  <c r="G32" i="3"/>
  <c r="AM31" i="3"/>
  <c r="AE31" i="3"/>
  <c r="W31" i="3"/>
  <c r="O31" i="3"/>
  <c r="G31" i="3"/>
  <c r="AM30" i="3"/>
  <c r="AE30" i="3"/>
  <c r="W30" i="3"/>
  <c r="O30" i="3"/>
  <c r="AC27" i="4"/>
  <c r="AG12" i="4"/>
  <c r="AI89" i="3"/>
  <c r="AA86" i="3"/>
  <c r="S83" i="3"/>
  <c r="K81" i="3"/>
  <c r="H79" i="3"/>
  <c r="AP73" i="3"/>
  <c r="AI71" i="3"/>
  <c r="AF69" i="3"/>
  <c r="AB68" i="3"/>
  <c r="AJ67" i="3"/>
  <c r="D67" i="3"/>
  <c r="L66" i="3"/>
  <c r="T65" i="3"/>
  <c r="AB64" i="3"/>
  <c r="AJ63" i="3"/>
  <c r="D63" i="3"/>
  <c r="L62" i="3"/>
  <c r="T61" i="3"/>
  <c r="AB60" i="3"/>
  <c r="AJ59" i="3"/>
  <c r="D59" i="3"/>
  <c r="L58" i="3"/>
  <c r="T57" i="3"/>
  <c r="AB56" i="3"/>
  <c r="AJ55" i="3"/>
  <c r="D55" i="3"/>
  <c r="L54" i="3"/>
  <c r="T53" i="3"/>
  <c r="AB52" i="3"/>
  <c r="AJ51" i="3"/>
  <c r="U51" i="3"/>
  <c r="K51" i="3"/>
  <c r="AO50" i="3"/>
  <c r="AF50" i="3"/>
  <c r="W50" i="3"/>
  <c r="N50" i="3"/>
  <c r="F50" i="3"/>
  <c r="AL49" i="3"/>
  <c r="AD49" i="3"/>
  <c r="V49" i="3"/>
  <c r="N49" i="3"/>
  <c r="F49" i="3"/>
  <c r="AL48" i="3"/>
  <c r="AD48" i="3"/>
  <c r="V48" i="3"/>
  <c r="N48" i="3"/>
  <c r="F48" i="3"/>
  <c r="AL47" i="3"/>
  <c r="AD47" i="3"/>
  <c r="V47" i="3"/>
  <c r="N47" i="3"/>
  <c r="F47" i="3"/>
  <c r="AL46" i="3"/>
  <c r="AD46" i="3"/>
  <c r="V46" i="3"/>
  <c r="N46" i="3"/>
  <c r="F46" i="3"/>
  <c r="AL45" i="3"/>
  <c r="AD45" i="3"/>
  <c r="V45" i="3"/>
  <c r="N45" i="3"/>
  <c r="F45" i="3"/>
  <c r="AL44" i="3"/>
  <c r="AD44" i="3"/>
  <c r="V44" i="3"/>
  <c r="N44" i="3"/>
  <c r="F44" i="3"/>
  <c r="AL43" i="3"/>
  <c r="AD43" i="3"/>
  <c r="V43" i="3"/>
  <c r="N43" i="3"/>
  <c r="F43" i="3"/>
  <c r="AL42" i="3"/>
  <c r="AD42" i="3"/>
  <c r="V42" i="3"/>
  <c r="N42" i="3"/>
  <c r="F42" i="3"/>
  <c r="AL39" i="3"/>
  <c r="AD39" i="3"/>
  <c r="V39" i="3"/>
  <c r="N39" i="3"/>
  <c r="F39" i="3"/>
  <c r="AL38" i="3"/>
  <c r="AD38" i="3"/>
  <c r="V38" i="3"/>
  <c r="N38" i="3"/>
  <c r="F38" i="3"/>
  <c r="AL37" i="3"/>
  <c r="AD37" i="3"/>
  <c r="V37" i="3"/>
  <c r="N37" i="3"/>
  <c r="F37" i="3"/>
  <c r="AL36" i="3"/>
  <c r="AD36" i="3"/>
  <c r="V36" i="3"/>
  <c r="N36" i="3"/>
  <c r="F36" i="3"/>
  <c r="AL35" i="3"/>
  <c r="AD35" i="3"/>
  <c r="V35" i="3"/>
  <c r="N35" i="3"/>
  <c r="F35" i="3"/>
  <c r="AL34" i="3"/>
  <c r="AD34" i="3"/>
  <c r="V34" i="3"/>
  <c r="N34" i="3"/>
  <c r="F34" i="3"/>
  <c r="AL33" i="3"/>
  <c r="AD33" i="3"/>
  <c r="V33" i="3"/>
  <c r="N33" i="3"/>
  <c r="F33" i="3"/>
  <c r="AL32" i="3"/>
  <c r="AD32" i="3"/>
  <c r="V32" i="3"/>
  <c r="N32" i="3"/>
  <c r="F32" i="3"/>
  <c r="AL31" i="3"/>
  <c r="AD31" i="3"/>
  <c r="V31" i="3"/>
  <c r="N31" i="3"/>
  <c r="F31" i="3"/>
  <c r="AL30" i="3"/>
  <c r="AD30" i="3"/>
  <c r="V30" i="3"/>
  <c r="N30" i="3"/>
  <c r="AB27" i="4"/>
  <c r="AF12" i="4"/>
  <c r="AH89" i="3"/>
  <c r="Z86" i="3"/>
  <c r="R83" i="3"/>
  <c r="J81" i="3"/>
  <c r="C79" i="3"/>
  <c r="AN73" i="3"/>
  <c r="AH71" i="3"/>
  <c r="AA69" i="3"/>
  <c r="AA68" i="3"/>
  <c r="AI67" i="3"/>
  <c r="C67" i="3"/>
  <c r="K66" i="3"/>
  <c r="S65" i="3"/>
  <c r="AA64" i="3"/>
  <c r="AI63" i="3"/>
  <c r="C63" i="3"/>
  <c r="K62" i="3"/>
  <c r="S61" i="3"/>
  <c r="AA60" i="3"/>
  <c r="AI59" i="3"/>
  <c r="C59" i="3"/>
  <c r="K58" i="3"/>
  <c r="S57" i="3"/>
  <c r="AA56" i="3"/>
  <c r="AI55" i="3"/>
  <c r="C55" i="3"/>
  <c r="K54" i="3"/>
  <c r="S53" i="3"/>
  <c r="AA52" i="3"/>
  <c r="AI51" i="3"/>
  <c r="T51" i="3"/>
  <c r="I51" i="3"/>
  <c r="AN50" i="3"/>
  <c r="AE50" i="3"/>
  <c r="V50" i="3"/>
  <c r="M50" i="3"/>
  <c r="E50" i="3"/>
  <c r="AK49" i="3"/>
  <c r="AC49" i="3"/>
  <c r="U49" i="3"/>
  <c r="M49" i="3"/>
  <c r="E49" i="3"/>
  <c r="AK48" i="3"/>
  <c r="AC48" i="3"/>
  <c r="U48" i="3"/>
  <c r="M48" i="3"/>
  <c r="E48" i="3"/>
  <c r="AK47" i="3"/>
  <c r="AC47" i="3"/>
  <c r="U47" i="3"/>
  <c r="M47" i="3"/>
  <c r="E47" i="3"/>
  <c r="AK46" i="3"/>
  <c r="AC46" i="3"/>
  <c r="U46" i="3"/>
  <c r="M46" i="3"/>
  <c r="E46" i="3"/>
  <c r="AK45" i="3"/>
  <c r="AC45" i="3"/>
  <c r="U45" i="3"/>
  <c r="M45" i="3"/>
  <c r="E45" i="3"/>
  <c r="AK44" i="3"/>
  <c r="AC44" i="3"/>
  <c r="U44" i="3"/>
  <c r="M44" i="3"/>
  <c r="E44" i="3"/>
  <c r="AK43" i="3"/>
  <c r="AC43" i="3"/>
  <c r="U43" i="3"/>
  <c r="M43" i="3"/>
  <c r="E43" i="3"/>
  <c r="AK42" i="3"/>
  <c r="AC42" i="3"/>
  <c r="U42" i="3"/>
  <c r="M42" i="3"/>
  <c r="E42" i="3"/>
  <c r="AK39" i="3"/>
  <c r="AC39" i="3"/>
  <c r="U39" i="3"/>
  <c r="M39" i="3"/>
  <c r="E39" i="3"/>
  <c r="AK38" i="3"/>
  <c r="AC38" i="3"/>
  <c r="U38" i="3"/>
  <c r="M38" i="3"/>
  <c r="E38" i="3"/>
  <c r="AK37" i="3"/>
  <c r="AC37" i="3"/>
  <c r="U37" i="3"/>
  <c r="M37" i="3"/>
  <c r="E37" i="3"/>
  <c r="AK36" i="3"/>
  <c r="AC36" i="3"/>
  <c r="U36" i="3"/>
  <c r="M36" i="3"/>
  <c r="E36" i="3"/>
  <c r="AK35" i="3"/>
  <c r="AC35" i="3"/>
  <c r="U35" i="3"/>
  <c r="M35" i="3"/>
  <c r="E35" i="3"/>
  <c r="AK34" i="3"/>
  <c r="AC34" i="3"/>
  <c r="U34" i="3"/>
  <c r="M34" i="3"/>
  <c r="E34" i="3"/>
  <c r="AK33" i="3"/>
  <c r="AC33" i="3"/>
  <c r="U33" i="3"/>
  <c r="M33" i="3"/>
  <c r="E33" i="3"/>
  <c r="AK32" i="3"/>
  <c r="AC32" i="3"/>
  <c r="U32" i="3"/>
  <c r="M32" i="3"/>
  <c r="E32" i="3"/>
  <c r="AK31" i="3"/>
  <c r="AC31" i="3"/>
  <c r="U31" i="3"/>
  <c r="M31" i="3"/>
  <c r="E31" i="3"/>
  <c r="AK30" i="3"/>
  <c r="AC30" i="3"/>
  <c r="U30" i="3"/>
  <c r="P24" i="4"/>
  <c r="X9" i="4"/>
  <c r="AP88" i="3"/>
  <c r="AH85" i="3"/>
  <c r="AH82" i="3"/>
  <c r="AA80" i="3"/>
  <c r="X75" i="3"/>
  <c r="R73" i="3"/>
  <c r="K71" i="3"/>
  <c r="N69" i="3"/>
  <c r="S68" i="3"/>
  <c r="AA67" i="3"/>
  <c r="AI66" i="3"/>
  <c r="C66" i="3"/>
  <c r="K65" i="3"/>
  <c r="S64" i="3"/>
  <c r="AA63" i="3"/>
  <c r="AI62" i="3"/>
  <c r="C62" i="3"/>
  <c r="K61" i="3"/>
  <c r="S60" i="3"/>
  <c r="AA59" i="3"/>
  <c r="AI58" i="3"/>
  <c r="C58" i="3"/>
  <c r="K57" i="3"/>
  <c r="S56" i="3"/>
  <c r="AA55" i="3"/>
  <c r="AI54" i="3"/>
  <c r="C54" i="3"/>
  <c r="K53" i="3"/>
  <c r="S52" i="3"/>
  <c r="AC51" i="3"/>
  <c r="Q51" i="3"/>
  <c r="G51" i="3"/>
  <c r="AL50" i="3"/>
  <c r="AC50" i="3"/>
  <c r="T50" i="3"/>
  <c r="K50" i="3"/>
  <c r="C50" i="3"/>
  <c r="AI49" i="3"/>
  <c r="AA49" i="3"/>
  <c r="S49" i="3"/>
  <c r="K49" i="3"/>
  <c r="C49" i="3"/>
  <c r="AI48" i="3"/>
  <c r="AA48" i="3"/>
  <c r="S48" i="3"/>
  <c r="K48" i="3"/>
  <c r="C48" i="3"/>
  <c r="AI47" i="3"/>
  <c r="AA47" i="3"/>
  <c r="S47" i="3"/>
  <c r="K47" i="3"/>
  <c r="C47" i="3"/>
  <c r="AI46" i="3"/>
  <c r="AA46" i="3"/>
  <c r="S46" i="3"/>
  <c r="K46" i="3"/>
  <c r="C46" i="3"/>
  <c r="AI45" i="3"/>
  <c r="AA45" i="3"/>
  <c r="S45" i="3"/>
  <c r="K45" i="3"/>
  <c r="C45" i="3"/>
  <c r="AI44" i="3"/>
  <c r="AA44" i="3"/>
  <c r="S44" i="3"/>
  <c r="K44" i="3"/>
  <c r="C44" i="3"/>
  <c r="AI43" i="3"/>
  <c r="AA43" i="3"/>
  <c r="S43" i="3"/>
  <c r="K43" i="3"/>
  <c r="C43" i="3"/>
  <c r="AI42" i="3"/>
  <c r="AA42" i="3"/>
  <c r="S42" i="3"/>
  <c r="K42" i="3"/>
  <c r="C42" i="3"/>
  <c r="AI39" i="3"/>
  <c r="AA39" i="3"/>
  <c r="S39" i="3"/>
  <c r="K39" i="3"/>
  <c r="C39" i="3"/>
  <c r="AI38" i="3"/>
  <c r="AA38" i="3"/>
  <c r="S38" i="3"/>
  <c r="K38" i="3"/>
  <c r="C38" i="3"/>
  <c r="AI37" i="3"/>
  <c r="AA37" i="3"/>
  <c r="S37" i="3"/>
  <c r="K37" i="3"/>
  <c r="C37" i="3"/>
  <c r="AI36" i="3"/>
  <c r="AA36" i="3"/>
  <c r="S36" i="3"/>
  <c r="K36" i="3"/>
  <c r="C36" i="3"/>
  <c r="AI35" i="3"/>
  <c r="AA35" i="3"/>
  <c r="S35" i="3"/>
  <c r="K35" i="3"/>
  <c r="C35" i="3"/>
  <c r="AI34" i="3"/>
  <c r="AA34" i="3"/>
  <c r="S34" i="3"/>
  <c r="K34" i="3"/>
  <c r="C34" i="3"/>
  <c r="AI33" i="3"/>
  <c r="AA33" i="3"/>
  <c r="S33" i="3"/>
  <c r="K33" i="3"/>
  <c r="C33" i="3"/>
  <c r="AI32" i="3"/>
  <c r="AA32" i="3"/>
  <c r="S32" i="3"/>
  <c r="K32" i="3"/>
  <c r="C32" i="3"/>
  <c r="AI31" i="3"/>
  <c r="AA31" i="3"/>
  <c r="S31" i="3"/>
  <c r="K31" i="3"/>
  <c r="C31" i="3"/>
  <c r="I21" i="4"/>
  <c r="X91" i="3"/>
  <c r="K88" i="3"/>
  <c r="C85" i="3"/>
  <c r="P82" i="3"/>
  <c r="J80" i="3"/>
  <c r="C75" i="3"/>
  <c r="AN72" i="3"/>
  <c r="AH70" i="3"/>
  <c r="F69" i="3"/>
  <c r="L68" i="3"/>
  <c r="T67" i="3"/>
  <c r="AB66" i="3"/>
  <c r="AJ65" i="3"/>
  <c r="D65" i="3"/>
  <c r="L64" i="3"/>
  <c r="T63" i="3"/>
  <c r="AB62" i="3"/>
  <c r="AJ61" i="3"/>
  <c r="D61" i="3"/>
  <c r="L60" i="3"/>
  <c r="T59" i="3"/>
  <c r="AB58" i="3"/>
  <c r="AJ57" i="3"/>
  <c r="D57" i="3"/>
  <c r="L56" i="3"/>
  <c r="T55" i="3"/>
  <c r="AB54" i="3"/>
  <c r="AJ53" i="3"/>
  <c r="D53" i="3"/>
  <c r="L52" i="3"/>
  <c r="AB51" i="3"/>
  <c r="O51" i="3"/>
  <c r="F51" i="3"/>
  <c r="AK50" i="3"/>
  <c r="AB50" i="3"/>
  <c r="S50" i="3"/>
  <c r="J50" i="3"/>
  <c r="AP49" i="3"/>
  <c r="AH49" i="3"/>
  <c r="Z49" i="3"/>
  <c r="R49" i="3"/>
  <c r="J49" i="3"/>
  <c r="AP48" i="3"/>
  <c r="AH48" i="3"/>
  <c r="Z48" i="3"/>
  <c r="R48" i="3"/>
  <c r="J48" i="3"/>
  <c r="AP47" i="3"/>
  <c r="AH47" i="3"/>
  <c r="Z47" i="3"/>
  <c r="R47" i="3"/>
  <c r="J47" i="3"/>
  <c r="AP46" i="3"/>
  <c r="AH46" i="3"/>
  <c r="Z46" i="3"/>
  <c r="R46" i="3"/>
  <c r="J46" i="3"/>
  <c r="AP45" i="3"/>
  <c r="AH45" i="3"/>
  <c r="Z45" i="3"/>
  <c r="R45" i="3"/>
  <c r="J45" i="3"/>
  <c r="AP44" i="3"/>
  <c r="AH44" i="3"/>
  <c r="Z44" i="3"/>
  <c r="R44" i="3"/>
  <c r="J44" i="3"/>
  <c r="AP43" i="3"/>
  <c r="AH43" i="3"/>
  <c r="Z43" i="3"/>
  <c r="R43" i="3"/>
  <c r="J43" i="3"/>
  <c r="AP42" i="3"/>
  <c r="AH42" i="3"/>
  <c r="Z42" i="3"/>
  <c r="R42" i="3"/>
  <c r="J42" i="3"/>
  <c r="AP39" i="3"/>
  <c r="AH39" i="3"/>
  <c r="Z39" i="3"/>
  <c r="R39" i="3"/>
  <c r="J39" i="3"/>
  <c r="AP38" i="3"/>
  <c r="AH38" i="3"/>
  <c r="Z38" i="3"/>
  <c r="R38" i="3"/>
  <c r="J38" i="3"/>
  <c r="AP37" i="3"/>
  <c r="AH37" i="3"/>
  <c r="Z37" i="3"/>
  <c r="R37" i="3"/>
  <c r="J37" i="3"/>
  <c r="AP36" i="3"/>
  <c r="AH36" i="3"/>
  <c r="Z36" i="3"/>
  <c r="R36" i="3"/>
  <c r="J36" i="3"/>
  <c r="AP35" i="3"/>
  <c r="AH35" i="3"/>
  <c r="Z35" i="3"/>
  <c r="R35" i="3"/>
  <c r="J35" i="3"/>
  <c r="AP34" i="3"/>
  <c r="AH34" i="3"/>
  <c r="Z34" i="3"/>
  <c r="R34" i="3"/>
  <c r="J34" i="3"/>
  <c r="AP33" i="3"/>
  <c r="AH33" i="3"/>
  <c r="Z33" i="3"/>
  <c r="R33" i="3"/>
  <c r="J33" i="3"/>
  <c r="AP32" i="3"/>
  <c r="AH32" i="3"/>
  <c r="Z32" i="3"/>
  <c r="R32" i="3"/>
  <c r="J32" i="3"/>
  <c r="AP31" i="3"/>
  <c r="AH31" i="3"/>
  <c r="Z31" i="3"/>
  <c r="R31" i="3"/>
  <c r="J31" i="3"/>
  <c r="AP30" i="3"/>
  <c r="AH30" i="3"/>
  <c r="Z30" i="3"/>
  <c r="R30" i="3"/>
  <c r="Q24" i="4"/>
  <c r="AI82" i="3"/>
  <c r="P71" i="3"/>
  <c r="AJ66" i="3"/>
  <c r="AB63" i="3"/>
  <c r="T60" i="3"/>
  <c r="L57" i="3"/>
  <c r="D54" i="3"/>
  <c r="S51" i="3"/>
  <c r="U50" i="3"/>
  <c r="AB49" i="3"/>
  <c r="AJ48" i="3"/>
  <c r="D48" i="3"/>
  <c r="L47" i="3"/>
  <c r="T46" i="3"/>
  <c r="AB45" i="3"/>
  <c r="AJ44" i="3"/>
  <c r="D44" i="3"/>
  <c r="L43" i="3"/>
  <c r="T42" i="3"/>
  <c r="AB39" i="3"/>
  <c r="AJ38" i="3"/>
  <c r="D38" i="3"/>
  <c r="L37" i="3"/>
  <c r="T36" i="3"/>
  <c r="AB35" i="3"/>
  <c r="AJ34" i="3"/>
  <c r="D34" i="3"/>
  <c r="L33" i="3"/>
  <c r="T32" i="3"/>
  <c r="AB31" i="3"/>
  <c r="AJ30" i="3"/>
  <c r="Q30" i="3"/>
  <c r="E30" i="3"/>
  <c r="AK29" i="3"/>
  <c r="AC29" i="3"/>
  <c r="U29" i="3"/>
  <c r="M29" i="3"/>
  <c r="E29" i="3"/>
  <c r="AK28" i="3"/>
  <c r="AC28" i="3"/>
  <c r="U28" i="3"/>
  <c r="M28" i="3"/>
  <c r="E28" i="3"/>
  <c r="AK27" i="3"/>
  <c r="AC27" i="3"/>
  <c r="U27" i="3"/>
  <c r="M27" i="3"/>
  <c r="E27" i="3"/>
  <c r="AK26" i="3"/>
  <c r="AC26" i="3"/>
  <c r="U26" i="3"/>
  <c r="M26" i="3"/>
  <c r="E26" i="3"/>
  <c r="AK25" i="3"/>
  <c r="AC25" i="3"/>
  <c r="U25" i="3"/>
  <c r="M25" i="3"/>
  <c r="E25" i="3"/>
  <c r="AK24" i="3"/>
  <c r="AC24" i="3"/>
  <c r="U24" i="3"/>
  <c r="M24" i="3"/>
  <c r="E24" i="3"/>
  <c r="AK23" i="3"/>
  <c r="AC23" i="3"/>
  <c r="U23" i="3"/>
  <c r="M23" i="3"/>
  <c r="E23" i="3"/>
  <c r="AK22" i="3"/>
  <c r="AC22" i="3"/>
  <c r="U22" i="3"/>
  <c r="M22" i="3"/>
  <c r="E22" i="3"/>
  <c r="AK21" i="3"/>
  <c r="AC21" i="3"/>
  <c r="U21" i="3"/>
  <c r="M21" i="3"/>
  <c r="E21" i="3"/>
  <c r="AK20" i="3"/>
  <c r="AC20" i="3"/>
  <c r="U20" i="3"/>
  <c r="M20" i="3"/>
  <c r="E20" i="3"/>
  <c r="AK19" i="3"/>
  <c r="AC19" i="3"/>
  <c r="U19" i="3"/>
  <c r="M19" i="3"/>
  <c r="E19" i="3"/>
  <c r="AK18" i="3"/>
  <c r="AC18" i="3"/>
  <c r="U18" i="3"/>
  <c r="M18" i="3"/>
  <c r="E18" i="3"/>
  <c r="AK17" i="3"/>
  <c r="AC17" i="3"/>
  <c r="U17" i="3"/>
  <c r="M17" i="3"/>
  <c r="E17" i="3"/>
  <c r="AK16" i="3"/>
  <c r="AC16" i="3"/>
  <c r="U16" i="3"/>
  <c r="M16" i="3"/>
  <c r="E16" i="3"/>
  <c r="AK15" i="3"/>
  <c r="AC15" i="3"/>
  <c r="U15" i="3"/>
  <c r="M15" i="3"/>
  <c r="E15" i="3"/>
  <c r="AK14" i="3"/>
  <c r="AC14" i="3"/>
  <c r="U14" i="3"/>
  <c r="M14" i="3"/>
  <c r="E14" i="3"/>
  <c r="AK13" i="3"/>
  <c r="AC13" i="3"/>
  <c r="U13" i="3"/>
  <c r="M13" i="3"/>
  <c r="E13" i="3"/>
  <c r="AK12" i="3"/>
  <c r="AC12" i="3"/>
  <c r="U12" i="3"/>
  <c r="M12" i="3"/>
  <c r="E12" i="3"/>
  <c r="AK11" i="3"/>
  <c r="AC11" i="3"/>
  <c r="H21" i="4"/>
  <c r="K82" i="3"/>
  <c r="AF70" i="3"/>
  <c r="AA66" i="3"/>
  <c r="S63" i="3"/>
  <c r="K60" i="3"/>
  <c r="C57" i="3"/>
  <c r="AI53" i="3"/>
  <c r="N51" i="3"/>
  <c r="Q50" i="3"/>
  <c r="Y49" i="3"/>
  <c r="AG48" i="3"/>
  <c r="AO47" i="3"/>
  <c r="I47" i="3"/>
  <c r="Q46" i="3"/>
  <c r="Y45" i="3"/>
  <c r="AG44" i="3"/>
  <c r="AO43" i="3"/>
  <c r="I43" i="3"/>
  <c r="Q42" i="3"/>
  <c r="Y39" i="3"/>
  <c r="AG38" i="3"/>
  <c r="AO37" i="3"/>
  <c r="I37" i="3"/>
  <c r="Q36" i="3"/>
  <c r="Y35" i="3"/>
  <c r="AG34" i="3"/>
  <c r="AO33" i="3"/>
  <c r="I33" i="3"/>
  <c r="Q32" i="3"/>
  <c r="Y31" i="3"/>
  <c r="AI30" i="3"/>
  <c r="M30" i="3"/>
  <c r="D30" i="3"/>
  <c r="AJ29" i="3"/>
  <c r="AB29" i="3"/>
  <c r="T29" i="3"/>
  <c r="L29" i="3"/>
  <c r="D29" i="3"/>
  <c r="AJ28" i="3"/>
  <c r="AB28" i="3"/>
  <c r="T28" i="3"/>
  <c r="L28" i="3"/>
  <c r="D28" i="3"/>
  <c r="AJ27" i="3"/>
  <c r="AB27" i="3"/>
  <c r="T27" i="3"/>
  <c r="L27" i="3"/>
  <c r="D27" i="3"/>
  <c r="AJ26" i="3"/>
  <c r="AB26" i="3"/>
  <c r="T26" i="3"/>
  <c r="L26" i="3"/>
  <c r="D26" i="3"/>
  <c r="AJ25" i="3"/>
  <c r="AB25" i="3"/>
  <c r="T25" i="3"/>
  <c r="L25" i="3"/>
  <c r="D25" i="3"/>
  <c r="AJ24" i="3"/>
  <c r="AB24" i="3"/>
  <c r="T24" i="3"/>
  <c r="L24" i="3"/>
  <c r="D24" i="3"/>
  <c r="AJ23" i="3"/>
  <c r="AB23" i="3"/>
  <c r="T23" i="3"/>
  <c r="L23" i="3"/>
  <c r="D23" i="3"/>
  <c r="AJ22" i="3"/>
  <c r="AB22" i="3"/>
  <c r="T22" i="3"/>
  <c r="L22" i="3"/>
  <c r="D22" i="3"/>
  <c r="AJ21" i="3"/>
  <c r="AB21" i="3"/>
  <c r="T21" i="3"/>
  <c r="L21" i="3"/>
  <c r="D21" i="3"/>
  <c r="AJ20" i="3"/>
  <c r="AB20" i="3"/>
  <c r="T20" i="3"/>
  <c r="L20" i="3"/>
  <c r="D20" i="3"/>
  <c r="AJ19" i="3"/>
  <c r="AB19" i="3"/>
  <c r="T19" i="3"/>
  <c r="L19" i="3"/>
  <c r="D19" i="3"/>
  <c r="AJ18" i="3"/>
  <c r="AB18" i="3"/>
  <c r="T18" i="3"/>
  <c r="L18" i="3"/>
  <c r="D18" i="3"/>
  <c r="AJ17" i="3"/>
  <c r="AB17" i="3"/>
  <c r="T17" i="3"/>
  <c r="L17" i="3"/>
  <c r="D17" i="3"/>
  <c r="AJ16" i="3"/>
  <c r="AB16" i="3"/>
  <c r="T16" i="3"/>
  <c r="L16" i="3"/>
  <c r="D16" i="3"/>
  <c r="AJ15" i="3"/>
  <c r="AB15" i="3"/>
  <c r="T15" i="3"/>
  <c r="L15" i="3"/>
  <c r="D15" i="3"/>
  <c r="AJ14" i="3"/>
  <c r="AB14" i="3"/>
  <c r="T14" i="3"/>
  <c r="L14" i="3"/>
  <c r="D14" i="3"/>
  <c r="AJ13" i="3"/>
  <c r="AB13" i="3"/>
  <c r="T13" i="3"/>
  <c r="L13" i="3"/>
  <c r="D13" i="3"/>
  <c r="AJ12" i="3"/>
  <c r="AB12" i="3"/>
  <c r="T12" i="3"/>
  <c r="L12" i="3"/>
  <c r="D12" i="3"/>
  <c r="AJ11" i="3"/>
  <c r="AB11" i="3"/>
  <c r="Y9" i="4"/>
  <c r="AF80" i="3"/>
  <c r="O69" i="3"/>
  <c r="D66" i="3"/>
  <c r="AJ62" i="3"/>
  <c r="AB59" i="3"/>
  <c r="T56" i="3"/>
  <c r="L53" i="3"/>
  <c r="H51" i="3"/>
  <c r="L50" i="3"/>
  <c r="T49" i="3"/>
  <c r="AB48" i="3"/>
  <c r="AJ47" i="3"/>
  <c r="D47" i="3"/>
  <c r="L46" i="3"/>
  <c r="T45" i="3"/>
  <c r="AB44" i="3"/>
  <c r="AJ43" i="3"/>
  <c r="D43" i="3"/>
  <c r="L42" i="3"/>
  <c r="T39" i="3"/>
  <c r="AB38" i="3"/>
  <c r="AJ37" i="3"/>
  <c r="D37" i="3"/>
  <c r="L36" i="3"/>
  <c r="T35" i="3"/>
  <c r="AB34" i="3"/>
  <c r="AJ33" i="3"/>
  <c r="D33" i="3"/>
  <c r="L32" i="3"/>
  <c r="T31" i="3"/>
  <c r="AG30" i="3"/>
  <c r="L30" i="3"/>
  <c r="C30" i="3"/>
  <c r="AI29" i="3"/>
  <c r="AA29" i="3"/>
  <c r="S29" i="3"/>
  <c r="K29" i="3"/>
  <c r="C29" i="3"/>
  <c r="AI28" i="3"/>
  <c r="AA28" i="3"/>
  <c r="S28" i="3"/>
  <c r="K28" i="3"/>
  <c r="C28" i="3"/>
  <c r="AI27" i="3"/>
  <c r="AA27" i="3"/>
  <c r="S27" i="3"/>
  <c r="K27" i="3"/>
  <c r="C27" i="3"/>
  <c r="AI26" i="3"/>
  <c r="AA26" i="3"/>
  <c r="S26" i="3"/>
  <c r="K26" i="3"/>
  <c r="C26" i="3"/>
  <c r="AI25" i="3"/>
  <c r="AA25" i="3"/>
  <c r="S25" i="3"/>
  <c r="K25" i="3"/>
  <c r="C25" i="3"/>
  <c r="AI24" i="3"/>
  <c r="AA24" i="3"/>
  <c r="S24" i="3"/>
  <c r="K24" i="3"/>
  <c r="C24" i="3"/>
  <c r="AI23" i="3"/>
  <c r="AA23" i="3"/>
  <c r="S23" i="3"/>
  <c r="K23" i="3"/>
  <c r="C23" i="3"/>
  <c r="AI22" i="3"/>
  <c r="AA22" i="3"/>
  <c r="S22" i="3"/>
  <c r="K22" i="3"/>
  <c r="C22" i="3"/>
  <c r="AI21" i="3"/>
  <c r="AA21" i="3"/>
  <c r="S21" i="3"/>
  <c r="K21" i="3"/>
  <c r="C21" i="3"/>
  <c r="AI20" i="3"/>
  <c r="AA20" i="3"/>
  <c r="S20" i="3"/>
  <c r="K20" i="3"/>
  <c r="C20" i="3"/>
  <c r="AI19" i="3"/>
  <c r="AA19" i="3"/>
  <c r="S19" i="3"/>
  <c r="K19" i="3"/>
  <c r="C19" i="3"/>
  <c r="AI18" i="3"/>
  <c r="AA18" i="3"/>
  <c r="S18" i="3"/>
  <c r="K18" i="3"/>
  <c r="C18" i="3"/>
  <c r="AI17" i="3"/>
  <c r="AA17" i="3"/>
  <c r="S17" i="3"/>
  <c r="K17" i="3"/>
  <c r="C17" i="3"/>
  <c r="AI16" i="3"/>
  <c r="AA16" i="3"/>
  <c r="S16" i="3"/>
  <c r="K16" i="3"/>
  <c r="C16" i="3"/>
  <c r="AI15" i="3"/>
  <c r="AA15" i="3"/>
  <c r="S15" i="3"/>
  <c r="K15" i="3"/>
  <c r="C15" i="3"/>
  <c r="AI14" i="3"/>
  <c r="AA14" i="3"/>
  <c r="S14" i="3"/>
  <c r="K14" i="3"/>
  <c r="C14" i="3"/>
  <c r="AI13" i="3"/>
  <c r="AA13" i="3"/>
  <c r="S13" i="3"/>
  <c r="K13" i="3"/>
  <c r="C13" i="3"/>
  <c r="AI12" i="3"/>
  <c r="AA12" i="3"/>
  <c r="S12" i="3"/>
  <c r="K12" i="3"/>
  <c r="C12" i="3"/>
  <c r="AI11" i="3"/>
  <c r="AA11" i="3"/>
  <c r="S11" i="3"/>
  <c r="V91" i="3"/>
  <c r="H80" i="3"/>
  <c r="E69" i="3"/>
  <c r="AI65" i="3"/>
  <c r="AA62" i="3"/>
  <c r="S59" i="3"/>
  <c r="K56" i="3"/>
  <c r="C53" i="3"/>
  <c r="E51" i="3"/>
  <c r="I50" i="3"/>
  <c r="Q49" i="3"/>
  <c r="Y48" i="3"/>
  <c r="AG47" i="3"/>
  <c r="AO46" i="3"/>
  <c r="I46" i="3"/>
  <c r="Q45" i="3"/>
  <c r="Y44" i="3"/>
  <c r="AG43" i="3"/>
  <c r="AO42" i="3"/>
  <c r="I42" i="3"/>
  <c r="Q39" i="3"/>
  <c r="Y38" i="3"/>
  <c r="AG37" i="3"/>
  <c r="AO36" i="3"/>
  <c r="I36" i="3"/>
  <c r="Q35" i="3"/>
  <c r="Y34" i="3"/>
  <c r="AG33" i="3"/>
  <c r="AO32" i="3"/>
  <c r="I32" i="3"/>
  <c r="Q31" i="3"/>
  <c r="AB30" i="3"/>
  <c r="K30" i="3"/>
  <c r="AP29" i="3"/>
  <c r="AH29" i="3"/>
  <c r="Z29" i="3"/>
  <c r="R29" i="3"/>
  <c r="J29" i="3"/>
  <c r="AP28" i="3"/>
  <c r="AH28" i="3"/>
  <c r="Z28" i="3"/>
  <c r="R28" i="3"/>
  <c r="J28" i="3"/>
  <c r="AP27" i="3"/>
  <c r="AH27" i="3"/>
  <c r="Z27" i="3"/>
  <c r="R27" i="3"/>
  <c r="J27" i="3"/>
  <c r="AP26" i="3"/>
  <c r="AH26" i="3"/>
  <c r="Z26" i="3"/>
  <c r="R26" i="3"/>
  <c r="J26" i="3"/>
  <c r="AP25" i="3"/>
  <c r="AH25" i="3"/>
  <c r="Z25" i="3"/>
  <c r="R25" i="3"/>
  <c r="J25" i="3"/>
  <c r="AP24" i="3"/>
  <c r="AH24" i="3"/>
  <c r="Z24" i="3"/>
  <c r="R24" i="3"/>
  <c r="J24" i="3"/>
  <c r="AP23" i="3"/>
  <c r="AH23" i="3"/>
  <c r="Z23" i="3"/>
  <c r="R23" i="3"/>
  <c r="J23" i="3"/>
  <c r="AP22" i="3"/>
  <c r="AH22" i="3"/>
  <c r="Z22" i="3"/>
  <c r="R22" i="3"/>
  <c r="J22" i="3"/>
  <c r="AP21" i="3"/>
  <c r="AH21" i="3"/>
  <c r="Z21" i="3"/>
  <c r="R21" i="3"/>
  <c r="J21" i="3"/>
  <c r="AP20" i="3"/>
  <c r="AH20" i="3"/>
  <c r="Z20" i="3"/>
  <c r="R20" i="3"/>
  <c r="J20" i="3"/>
  <c r="AP19" i="3"/>
  <c r="AH19" i="3"/>
  <c r="Z19" i="3"/>
  <c r="R19" i="3"/>
  <c r="J19" i="3"/>
  <c r="AP18" i="3"/>
  <c r="AH18" i="3"/>
  <c r="Z18" i="3"/>
  <c r="R18" i="3"/>
  <c r="J18" i="3"/>
  <c r="AP17" i="3"/>
  <c r="AH17" i="3"/>
  <c r="Z17" i="3"/>
  <c r="R17" i="3"/>
  <c r="J17" i="3"/>
  <c r="AP16" i="3"/>
  <c r="AH16" i="3"/>
  <c r="Z16" i="3"/>
  <c r="R16" i="3"/>
  <c r="J16" i="3"/>
  <c r="AP15" i="3"/>
  <c r="AH15" i="3"/>
  <c r="Z15" i="3"/>
  <c r="R15" i="3"/>
  <c r="J15" i="3"/>
  <c r="AP14" i="3"/>
  <c r="AH14" i="3"/>
  <c r="Z14" i="3"/>
  <c r="R14" i="3"/>
  <c r="J14" i="3"/>
  <c r="AP13" i="3"/>
  <c r="AH13" i="3"/>
  <c r="Z13" i="3"/>
  <c r="R13" i="3"/>
  <c r="J13" i="3"/>
  <c r="AP12" i="3"/>
  <c r="AH12" i="3"/>
  <c r="Z12" i="3"/>
  <c r="R12" i="3"/>
  <c r="J12" i="3"/>
  <c r="AP11" i="3"/>
  <c r="AH11" i="3"/>
  <c r="Z11" i="3"/>
  <c r="C89" i="3"/>
  <c r="Z75" i="3"/>
  <c r="T68" i="3"/>
  <c r="L65" i="3"/>
  <c r="D62" i="3"/>
  <c r="AJ58" i="3"/>
  <c r="AB55" i="3"/>
  <c r="T52" i="3"/>
  <c r="AM50" i="3"/>
  <c r="D50" i="3"/>
  <c r="L49" i="3"/>
  <c r="T48" i="3"/>
  <c r="AB47" i="3"/>
  <c r="AJ46" i="3"/>
  <c r="D46" i="3"/>
  <c r="L45" i="3"/>
  <c r="T44" i="3"/>
  <c r="AB43" i="3"/>
  <c r="AJ42" i="3"/>
  <c r="D42" i="3"/>
  <c r="L39" i="3"/>
  <c r="T38" i="3"/>
  <c r="AB37" i="3"/>
  <c r="AJ36" i="3"/>
  <c r="D36" i="3"/>
  <c r="L35" i="3"/>
  <c r="T34" i="3"/>
  <c r="AB33" i="3"/>
  <c r="AJ32" i="3"/>
  <c r="D32" i="3"/>
  <c r="L31" i="3"/>
  <c r="AA30" i="3"/>
  <c r="J30" i="3"/>
  <c r="AO29" i="3"/>
  <c r="AG29" i="3"/>
  <c r="Y29" i="3"/>
  <c r="Q29" i="3"/>
  <c r="I29" i="3"/>
  <c r="AO28" i="3"/>
  <c r="AG28" i="3"/>
  <c r="Y28" i="3"/>
  <c r="Q28" i="3"/>
  <c r="I28" i="3"/>
  <c r="AO27" i="3"/>
  <c r="AG27" i="3"/>
  <c r="Y27" i="3"/>
  <c r="Q27" i="3"/>
  <c r="I27" i="3"/>
  <c r="AO26" i="3"/>
  <c r="AG26" i="3"/>
  <c r="Y26" i="3"/>
  <c r="Q26" i="3"/>
  <c r="I26" i="3"/>
  <c r="AO25" i="3"/>
  <c r="AG25" i="3"/>
  <c r="Y25" i="3"/>
  <c r="Q25" i="3"/>
  <c r="I25" i="3"/>
  <c r="AO24" i="3"/>
  <c r="AG24" i="3"/>
  <c r="Y24" i="3"/>
  <c r="Q24" i="3"/>
  <c r="I24" i="3"/>
  <c r="AO23" i="3"/>
  <c r="AG23" i="3"/>
  <c r="Y23" i="3"/>
  <c r="Q23" i="3"/>
  <c r="I23" i="3"/>
  <c r="AO22" i="3"/>
  <c r="AG22" i="3"/>
  <c r="Y22" i="3"/>
  <c r="Q22" i="3"/>
  <c r="I22" i="3"/>
  <c r="AO21" i="3"/>
  <c r="AG21" i="3"/>
  <c r="Y21" i="3"/>
  <c r="Q21" i="3"/>
  <c r="I21" i="3"/>
  <c r="AO20" i="3"/>
  <c r="AG20" i="3"/>
  <c r="Y20" i="3"/>
  <c r="Q20" i="3"/>
  <c r="I20" i="3"/>
  <c r="AO19" i="3"/>
  <c r="AG19" i="3"/>
  <c r="Y19" i="3"/>
  <c r="Q19" i="3"/>
  <c r="I19" i="3"/>
  <c r="AO18" i="3"/>
  <c r="AG18" i="3"/>
  <c r="Y18" i="3"/>
  <c r="Q18" i="3"/>
  <c r="I18" i="3"/>
  <c r="AO17" i="3"/>
  <c r="AG17" i="3"/>
  <c r="Y17" i="3"/>
  <c r="Q17" i="3"/>
  <c r="I17" i="3"/>
  <c r="AO16" i="3"/>
  <c r="AG16" i="3"/>
  <c r="Y16" i="3"/>
  <c r="Q16" i="3"/>
  <c r="I16" i="3"/>
  <c r="AO15" i="3"/>
  <c r="AG15" i="3"/>
  <c r="Y15" i="3"/>
  <c r="Q15" i="3"/>
  <c r="I15" i="3"/>
  <c r="AO14" i="3"/>
  <c r="AG14" i="3"/>
  <c r="Y14" i="3"/>
  <c r="Q14" i="3"/>
  <c r="I14" i="3"/>
  <c r="AO13" i="3"/>
  <c r="AG13" i="3"/>
  <c r="Y13" i="3"/>
  <c r="Q13" i="3"/>
  <c r="I13" i="3"/>
  <c r="AO12" i="3"/>
  <c r="AG12" i="3"/>
  <c r="Y12" i="3"/>
  <c r="Q12" i="3"/>
  <c r="I12" i="3"/>
  <c r="AO11" i="3"/>
  <c r="AG11" i="3"/>
  <c r="J88" i="3"/>
  <c r="AP74" i="3"/>
  <c r="K68" i="3"/>
  <c r="C65" i="3"/>
  <c r="AI61" i="3"/>
  <c r="AA58" i="3"/>
  <c r="S55" i="3"/>
  <c r="K52" i="3"/>
  <c r="AJ50" i="3"/>
  <c r="AO49" i="3"/>
  <c r="I49" i="3"/>
  <c r="Q48" i="3"/>
  <c r="Y47" i="3"/>
  <c r="AG46" i="3"/>
  <c r="AO45" i="3"/>
  <c r="I45" i="3"/>
  <c r="Q44" i="3"/>
  <c r="Y43" i="3"/>
  <c r="AG42" i="3"/>
  <c r="AO39" i="3"/>
  <c r="I39" i="3"/>
  <c r="Q38" i="3"/>
  <c r="Y37" i="3"/>
  <c r="AG36" i="3"/>
  <c r="AO35" i="3"/>
  <c r="I35" i="3"/>
  <c r="Q34" i="3"/>
  <c r="Y33" i="3"/>
  <c r="AG32" i="3"/>
  <c r="AO31" i="3"/>
  <c r="I31" i="3"/>
  <c r="Y30" i="3"/>
  <c r="I30" i="3"/>
  <c r="AN29" i="3"/>
  <c r="AF29" i="3"/>
  <c r="X29" i="3"/>
  <c r="P29" i="3"/>
  <c r="H29" i="3"/>
  <c r="AN28" i="3"/>
  <c r="AF28" i="3"/>
  <c r="X28" i="3"/>
  <c r="P28" i="3"/>
  <c r="H28" i="3"/>
  <c r="AN27" i="3"/>
  <c r="AF27" i="3"/>
  <c r="X27" i="3"/>
  <c r="P27" i="3"/>
  <c r="H27" i="3"/>
  <c r="AN26" i="3"/>
  <c r="AF26" i="3"/>
  <c r="X26" i="3"/>
  <c r="P26" i="3"/>
  <c r="H26" i="3"/>
  <c r="AN25" i="3"/>
  <c r="AF25" i="3"/>
  <c r="X25" i="3"/>
  <c r="P25" i="3"/>
  <c r="H25" i="3"/>
  <c r="AN24" i="3"/>
  <c r="AF24" i="3"/>
  <c r="X24" i="3"/>
  <c r="P24" i="3"/>
  <c r="H24" i="3"/>
  <c r="AN23" i="3"/>
  <c r="AF23" i="3"/>
  <c r="X23" i="3"/>
  <c r="P23" i="3"/>
  <c r="H23" i="3"/>
  <c r="AN22" i="3"/>
  <c r="AF22" i="3"/>
  <c r="X22" i="3"/>
  <c r="P22" i="3"/>
  <c r="H22" i="3"/>
  <c r="AN21" i="3"/>
  <c r="AF21" i="3"/>
  <c r="X21" i="3"/>
  <c r="P21" i="3"/>
  <c r="H21" i="3"/>
  <c r="AN20" i="3"/>
  <c r="AF20" i="3"/>
  <c r="X20" i="3"/>
  <c r="P20" i="3"/>
  <c r="H20" i="3"/>
  <c r="AN19" i="3"/>
  <c r="AF19" i="3"/>
  <c r="X19" i="3"/>
  <c r="P19" i="3"/>
  <c r="H19" i="3"/>
  <c r="AN18" i="3"/>
  <c r="AF18" i="3"/>
  <c r="X18" i="3"/>
  <c r="P18" i="3"/>
  <c r="H18" i="3"/>
  <c r="AN17" i="3"/>
  <c r="AF17" i="3"/>
  <c r="X17" i="3"/>
  <c r="P17" i="3"/>
  <c r="H17" i="3"/>
  <c r="AN16" i="3"/>
  <c r="AF16" i="3"/>
  <c r="X16" i="3"/>
  <c r="P16" i="3"/>
  <c r="H16" i="3"/>
  <c r="AN15" i="3"/>
  <c r="AF15" i="3"/>
  <c r="X15" i="3"/>
  <c r="P15" i="3"/>
  <c r="H15" i="3"/>
  <c r="AN14" i="3"/>
  <c r="AF14" i="3"/>
  <c r="X14" i="3"/>
  <c r="P14" i="3"/>
  <c r="H14" i="3"/>
  <c r="AN13" i="3"/>
  <c r="AF13" i="3"/>
  <c r="X13" i="3"/>
  <c r="P13" i="3"/>
  <c r="H13" i="3"/>
  <c r="AN12" i="3"/>
  <c r="AF12" i="3"/>
  <c r="X12" i="3"/>
  <c r="P12" i="3"/>
  <c r="H12" i="3"/>
  <c r="AN11" i="3"/>
  <c r="AF11" i="3"/>
  <c r="X11" i="3"/>
  <c r="AP84" i="3"/>
  <c r="AI72" i="3"/>
  <c r="S67" i="3"/>
  <c r="K64" i="3"/>
  <c r="C61" i="3"/>
  <c r="AI57" i="3"/>
  <c r="AA54" i="3"/>
  <c r="AA51" i="3"/>
  <c r="AA50" i="3"/>
  <c r="AG49" i="3"/>
  <c r="AO48" i="3"/>
  <c r="I48" i="3"/>
  <c r="Q47" i="3"/>
  <c r="Y46" i="3"/>
  <c r="AG45" i="3"/>
  <c r="AO44" i="3"/>
  <c r="I44" i="3"/>
  <c r="Q43" i="3"/>
  <c r="Y42" i="3"/>
  <c r="AG39" i="3"/>
  <c r="AO38" i="3"/>
  <c r="I38" i="3"/>
  <c r="Q37" i="3"/>
  <c r="Y36" i="3"/>
  <c r="AG35" i="3"/>
  <c r="AO34" i="3"/>
  <c r="I34" i="3"/>
  <c r="Q33" i="3"/>
  <c r="Y32" i="3"/>
  <c r="AG31" i="3"/>
  <c r="AO30" i="3"/>
  <c r="S30" i="3"/>
  <c r="F30" i="3"/>
  <c r="AL29" i="3"/>
  <c r="AD29" i="3"/>
  <c r="V29" i="3"/>
  <c r="N29" i="3"/>
  <c r="F29" i="3"/>
  <c r="AL28" i="3"/>
  <c r="AD28" i="3"/>
  <c r="V28" i="3"/>
  <c r="N28" i="3"/>
  <c r="F28" i="3"/>
  <c r="AL27" i="3"/>
  <c r="AD27" i="3"/>
  <c r="V27" i="3"/>
  <c r="N27" i="3"/>
  <c r="F27" i="3"/>
  <c r="AL26" i="3"/>
  <c r="AD26" i="3"/>
  <c r="V26" i="3"/>
  <c r="N26" i="3"/>
  <c r="F26" i="3"/>
  <c r="AL25" i="3"/>
  <c r="AD25" i="3"/>
  <c r="V25" i="3"/>
  <c r="N25" i="3"/>
  <c r="F25" i="3"/>
  <c r="AL24" i="3"/>
  <c r="AD24" i="3"/>
  <c r="V24" i="3"/>
  <c r="N24" i="3"/>
  <c r="F24" i="3"/>
  <c r="AL23" i="3"/>
  <c r="AD23" i="3"/>
  <c r="V23" i="3"/>
  <c r="N23" i="3"/>
  <c r="F23" i="3"/>
  <c r="AL22" i="3"/>
  <c r="AD22" i="3"/>
  <c r="V22" i="3"/>
  <c r="N22" i="3"/>
  <c r="F22" i="3"/>
  <c r="AL21" i="3"/>
  <c r="AD21" i="3"/>
  <c r="V21" i="3"/>
  <c r="N21" i="3"/>
  <c r="F21" i="3"/>
  <c r="AL20" i="3"/>
  <c r="AD20" i="3"/>
  <c r="V20" i="3"/>
  <c r="N20" i="3"/>
  <c r="F20" i="3"/>
  <c r="AL19" i="3"/>
  <c r="AD19" i="3"/>
  <c r="V19" i="3"/>
  <c r="N19" i="3"/>
  <c r="F19" i="3"/>
  <c r="AL18" i="3"/>
  <c r="AD18" i="3"/>
  <c r="V18" i="3"/>
  <c r="N18" i="3"/>
  <c r="F18" i="3"/>
  <c r="AL17" i="3"/>
  <c r="AD17" i="3"/>
  <c r="V17" i="3"/>
  <c r="N17" i="3"/>
  <c r="F17" i="3"/>
  <c r="AL16" i="3"/>
  <c r="AD16" i="3"/>
  <c r="V16" i="3"/>
  <c r="N16" i="3"/>
  <c r="F16" i="3"/>
  <c r="AL15" i="3"/>
  <c r="AD15" i="3"/>
  <c r="V15" i="3"/>
  <c r="N15" i="3"/>
  <c r="F15" i="3"/>
  <c r="AL14" i="3"/>
  <c r="AD14" i="3"/>
  <c r="V14" i="3"/>
  <c r="N14" i="3"/>
  <c r="F14" i="3"/>
  <c r="AL13" i="3"/>
  <c r="AD13" i="3"/>
  <c r="V13" i="3"/>
  <c r="N13" i="3"/>
  <c r="F13" i="3"/>
  <c r="AL12" i="3"/>
  <c r="AD12" i="3"/>
  <c r="V12" i="3"/>
  <c r="N12" i="3"/>
  <c r="F12" i="3"/>
  <c r="AL11" i="3"/>
  <c r="AD11" i="3"/>
  <c r="V11" i="3"/>
  <c r="N11" i="3"/>
  <c r="AI85" i="3"/>
  <c r="AD50" i="3"/>
  <c r="L44" i="3"/>
  <c r="AJ35" i="3"/>
  <c r="G30" i="3"/>
  <c r="W28" i="3"/>
  <c r="AM26" i="3"/>
  <c r="O25" i="3"/>
  <c r="AE23" i="3"/>
  <c r="G22" i="3"/>
  <c r="W20" i="3"/>
  <c r="AM18" i="3"/>
  <c r="O17" i="3"/>
  <c r="AE15" i="3"/>
  <c r="G14" i="3"/>
  <c r="W12" i="3"/>
  <c r="T11" i="3"/>
  <c r="J11" i="3"/>
  <c r="AP10" i="3"/>
  <c r="AH10" i="3"/>
  <c r="Z10" i="3"/>
  <c r="R10" i="3"/>
  <c r="J10" i="3"/>
  <c r="AP9" i="3"/>
  <c r="AH9" i="3"/>
  <c r="Z9" i="3"/>
  <c r="R9" i="3"/>
  <c r="J9" i="3"/>
  <c r="AP8" i="3"/>
  <c r="AH8" i="3"/>
  <c r="Z8" i="3"/>
  <c r="R8" i="3"/>
  <c r="J8" i="3"/>
  <c r="AP7" i="3"/>
  <c r="AH7" i="3"/>
  <c r="Z7" i="3"/>
  <c r="R7" i="3"/>
  <c r="J7" i="3"/>
  <c r="AP71" i="2"/>
  <c r="AH71" i="2"/>
  <c r="Z71" i="2"/>
  <c r="R71" i="2"/>
  <c r="J71" i="2"/>
  <c r="AP70" i="2"/>
  <c r="AH70" i="2"/>
  <c r="Z70" i="2"/>
  <c r="R70" i="2"/>
  <c r="J70" i="2"/>
  <c r="AP69" i="2"/>
  <c r="AH69" i="2"/>
  <c r="Z69" i="2"/>
  <c r="R69" i="2"/>
  <c r="J69" i="2"/>
  <c r="AP68" i="2"/>
  <c r="AH68" i="2"/>
  <c r="Z68" i="2"/>
  <c r="R68" i="2"/>
  <c r="J68" i="2"/>
  <c r="AP67" i="2"/>
  <c r="AH67" i="2"/>
  <c r="Z67" i="2"/>
  <c r="R67" i="2"/>
  <c r="J67" i="2"/>
  <c r="AP66" i="2"/>
  <c r="AH66" i="2"/>
  <c r="Z66" i="2"/>
  <c r="R66" i="2"/>
  <c r="J66" i="2"/>
  <c r="AP65" i="2"/>
  <c r="AH65" i="2"/>
  <c r="Z65" i="2"/>
  <c r="R65" i="2"/>
  <c r="J65" i="2"/>
  <c r="AP64" i="2"/>
  <c r="AH64" i="2"/>
  <c r="Z64" i="2"/>
  <c r="R64" i="2"/>
  <c r="J64" i="2"/>
  <c r="AP63" i="2"/>
  <c r="AH63" i="2"/>
  <c r="Z63" i="2"/>
  <c r="R63" i="2"/>
  <c r="J63" i="2"/>
  <c r="AP62" i="2"/>
  <c r="AH62" i="2"/>
  <c r="Z62" i="2"/>
  <c r="R62" i="2"/>
  <c r="J62" i="2"/>
  <c r="AP61" i="2"/>
  <c r="AH61" i="2"/>
  <c r="S73" i="3"/>
  <c r="AJ49" i="3"/>
  <c r="T43" i="3"/>
  <c r="D35" i="3"/>
  <c r="AM29" i="3"/>
  <c r="O28" i="3"/>
  <c r="AE26" i="3"/>
  <c r="G25" i="3"/>
  <c r="W23" i="3"/>
  <c r="AM21" i="3"/>
  <c r="O20" i="3"/>
  <c r="AE18" i="3"/>
  <c r="G17" i="3"/>
  <c r="W15" i="3"/>
  <c r="AM13" i="3"/>
  <c r="O12" i="3"/>
  <c r="R11" i="3"/>
  <c r="I11" i="3"/>
  <c r="AO10" i="3"/>
  <c r="AG10" i="3"/>
  <c r="Y10" i="3"/>
  <c r="Q10" i="3"/>
  <c r="I10" i="3"/>
  <c r="AO9" i="3"/>
  <c r="AG9" i="3"/>
  <c r="Y9" i="3"/>
  <c r="Q9" i="3"/>
  <c r="I9" i="3"/>
  <c r="AO8" i="3"/>
  <c r="AG8" i="3"/>
  <c r="Y8" i="3"/>
  <c r="Q8" i="3"/>
  <c r="I8" i="3"/>
  <c r="AO7" i="3"/>
  <c r="AG7" i="3"/>
  <c r="Y7" i="3"/>
  <c r="Q7" i="3"/>
  <c r="I7" i="3"/>
  <c r="AO71" i="2"/>
  <c r="AG71" i="2"/>
  <c r="Y71" i="2"/>
  <c r="Q71" i="2"/>
  <c r="I71" i="2"/>
  <c r="AO70" i="2"/>
  <c r="AG70" i="2"/>
  <c r="Y70" i="2"/>
  <c r="Q70" i="2"/>
  <c r="I70" i="2"/>
  <c r="AO69" i="2"/>
  <c r="AG69" i="2"/>
  <c r="Y69" i="2"/>
  <c r="Q69" i="2"/>
  <c r="I69" i="2"/>
  <c r="AO68" i="2"/>
  <c r="AG68" i="2"/>
  <c r="Y68" i="2"/>
  <c r="Q68" i="2"/>
  <c r="I68" i="2"/>
  <c r="AO67" i="2"/>
  <c r="AG67" i="2"/>
  <c r="Y67" i="2"/>
  <c r="Q67" i="2"/>
  <c r="I67" i="2"/>
  <c r="AO66" i="2"/>
  <c r="AG66" i="2"/>
  <c r="Y66" i="2"/>
  <c r="Q66" i="2"/>
  <c r="I66" i="2"/>
  <c r="AO65" i="2"/>
  <c r="AG65" i="2"/>
  <c r="Y65" i="2"/>
  <c r="Q65" i="2"/>
  <c r="I65" i="2"/>
  <c r="AO64" i="2"/>
  <c r="AG64" i="2"/>
  <c r="Y64" i="2"/>
  <c r="Q64" i="2"/>
  <c r="I64" i="2"/>
  <c r="AO63" i="2"/>
  <c r="AG63" i="2"/>
  <c r="Y63" i="2"/>
  <c r="Q63" i="2"/>
  <c r="I63" i="2"/>
  <c r="AO62" i="2"/>
  <c r="AG62" i="2"/>
  <c r="Y62" i="2"/>
  <c r="Q62" i="2"/>
  <c r="I62" i="2"/>
  <c r="AO61" i="2"/>
  <c r="AG61" i="2"/>
  <c r="Y61" i="2"/>
  <c r="Q61" i="2"/>
  <c r="I61" i="2"/>
  <c r="AO57" i="2"/>
  <c r="AG57" i="2"/>
  <c r="Y57" i="2"/>
  <c r="Q57" i="2"/>
  <c r="I57" i="2"/>
  <c r="AO56" i="2"/>
  <c r="AG56" i="2"/>
  <c r="Y56" i="2"/>
  <c r="Q56" i="2"/>
  <c r="I56" i="2"/>
  <c r="AO55" i="2"/>
  <c r="AG55" i="2"/>
  <c r="Y55" i="2"/>
  <c r="Q55" i="2"/>
  <c r="I55" i="2"/>
  <c r="AO54" i="2"/>
  <c r="AG54" i="2"/>
  <c r="Y54" i="2"/>
  <c r="Q54" i="2"/>
  <c r="I54" i="2"/>
  <c r="AO52" i="2"/>
  <c r="AG52" i="2"/>
  <c r="Y52" i="2"/>
  <c r="Q52" i="2"/>
  <c r="I52" i="2"/>
  <c r="AO51" i="2"/>
  <c r="AG51" i="2"/>
  <c r="Y51" i="2"/>
  <c r="Q51" i="2"/>
  <c r="I51" i="2"/>
  <c r="AO50" i="2"/>
  <c r="AG50" i="2"/>
  <c r="Y50" i="2"/>
  <c r="Q50" i="2"/>
  <c r="I50" i="2"/>
  <c r="AO49" i="2"/>
  <c r="AG49" i="2"/>
  <c r="Y49" i="2"/>
  <c r="Q49" i="2"/>
  <c r="I49" i="2"/>
  <c r="AO47" i="2"/>
  <c r="AG47" i="2"/>
  <c r="Y47" i="2"/>
  <c r="Q47" i="2"/>
  <c r="I47" i="2"/>
  <c r="AO46" i="2"/>
  <c r="AG46" i="2"/>
  <c r="Y46" i="2"/>
  <c r="Q46" i="2"/>
  <c r="I46" i="2"/>
  <c r="AO45" i="2"/>
  <c r="AG45" i="2"/>
  <c r="Y45" i="2"/>
  <c r="Q45" i="2"/>
  <c r="I45" i="2"/>
  <c r="AO43" i="2"/>
  <c r="AG43" i="2"/>
  <c r="Y43" i="2"/>
  <c r="Q43" i="2"/>
  <c r="I43" i="2"/>
  <c r="AO42" i="2"/>
  <c r="AG42" i="2"/>
  <c r="Y42" i="2"/>
  <c r="Q42" i="2"/>
  <c r="I42" i="2"/>
  <c r="AO41" i="2"/>
  <c r="AG41" i="2"/>
  <c r="Y41" i="2"/>
  <c r="Q41" i="2"/>
  <c r="I41" i="2"/>
  <c r="AO40" i="2"/>
  <c r="AG40" i="2"/>
  <c r="Y40" i="2"/>
  <c r="Q40" i="2"/>
  <c r="I40" i="2"/>
  <c r="AO39" i="2"/>
  <c r="AG39" i="2"/>
  <c r="Y39" i="2"/>
  <c r="Q39" i="2"/>
  <c r="I39" i="2"/>
  <c r="AO38" i="2"/>
  <c r="AG38" i="2"/>
  <c r="Y38" i="2"/>
  <c r="Q38" i="2"/>
  <c r="I38" i="2"/>
  <c r="AO37" i="2"/>
  <c r="AG37" i="2"/>
  <c r="Y37" i="2"/>
  <c r="Q37" i="2"/>
  <c r="I37" i="2"/>
  <c r="AO36" i="2"/>
  <c r="AG36" i="2"/>
  <c r="Y36" i="2"/>
  <c r="Q36" i="2"/>
  <c r="I36" i="2"/>
  <c r="AO35" i="2"/>
  <c r="AG35" i="2"/>
  <c r="Y35" i="2"/>
  <c r="Q35" i="2"/>
  <c r="I35" i="2"/>
  <c r="AO34" i="2"/>
  <c r="AG34" i="2"/>
  <c r="Y34" i="2"/>
  <c r="Q34" i="2"/>
  <c r="I34" i="2"/>
  <c r="AO33" i="2"/>
  <c r="AG33" i="2"/>
  <c r="Y33" i="2"/>
  <c r="Q33" i="2"/>
  <c r="I33" i="2"/>
  <c r="AO32" i="2"/>
  <c r="AG32" i="2"/>
  <c r="Y32" i="2"/>
  <c r="Q32" i="2"/>
  <c r="I32" i="2"/>
  <c r="AO31" i="2"/>
  <c r="AG31" i="2"/>
  <c r="Y31" i="2"/>
  <c r="Q31" i="2"/>
  <c r="I31" i="2"/>
  <c r="AO30" i="2"/>
  <c r="AG30" i="2"/>
  <c r="Y30" i="2"/>
  <c r="Q30" i="2"/>
  <c r="I30" i="2"/>
  <c r="AO29" i="2"/>
  <c r="AG29" i="2"/>
  <c r="Y29" i="2"/>
  <c r="Q29" i="2"/>
  <c r="I29" i="2"/>
  <c r="AO28" i="2"/>
  <c r="AG28" i="2"/>
  <c r="Y28" i="2"/>
  <c r="Q28" i="2"/>
  <c r="I28" i="2"/>
  <c r="AO27" i="2"/>
  <c r="AG27" i="2"/>
  <c r="Y27" i="2"/>
  <c r="Q27" i="2"/>
  <c r="I27" i="2"/>
  <c r="AO26" i="2"/>
  <c r="AG26" i="2"/>
  <c r="Y26" i="2"/>
  <c r="Q26" i="2"/>
  <c r="I26" i="2"/>
  <c r="AO25" i="2"/>
  <c r="AG25" i="2"/>
  <c r="Y25" i="2"/>
  <c r="Q25" i="2"/>
  <c r="I25" i="2"/>
  <c r="AO24" i="2"/>
  <c r="AG24" i="2"/>
  <c r="Y24" i="2"/>
  <c r="Q24" i="2"/>
  <c r="I24" i="2"/>
  <c r="AO23" i="2"/>
  <c r="AG23" i="2"/>
  <c r="Y23" i="2"/>
  <c r="Q23" i="2"/>
  <c r="I23" i="2"/>
  <c r="AO22" i="2"/>
  <c r="AG22" i="2"/>
  <c r="AB67" i="3"/>
  <c r="D49" i="3"/>
  <c r="AB42" i="3"/>
  <c r="L34" i="3"/>
  <c r="AE29" i="3"/>
  <c r="G28" i="3"/>
  <c r="W26" i="3"/>
  <c r="AM24" i="3"/>
  <c r="O23" i="3"/>
  <c r="AE21" i="3"/>
  <c r="G20" i="3"/>
  <c r="W18" i="3"/>
  <c r="AM16" i="3"/>
  <c r="O15" i="3"/>
  <c r="AE13" i="3"/>
  <c r="G12" i="3"/>
  <c r="Q11" i="3"/>
  <c r="H11" i="3"/>
  <c r="AN10" i="3"/>
  <c r="AF10" i="3"/>
  <c r="X10" i="3"/>
  <c r="P10" i="3"/>
  <c r="H10" i="3"/>
  <c r="AN9" i="3"/>
  <c r="AF9" i="3"/>
  <c r="X9" i="3"/>
  <c r="P9" i="3"/>
  <c r="H9" i="3"/>
  <c r="AN8" i="3"/>
  <c r="AF8" i="3"/>
  <c r="X8" i="3"/>
  <c r="P8" i="3"/>
  <c r="H8" i="3"/>
  <c r="AN7" i="3"/>
  <c r="AF7" i="3"/>
  <c r="X7" i="3"/>
  <c r="P7" i="3"/>
  <c r="H7" i="3"/>
  <c r="AN71" i="2"/>
  <c r="AF71" i="2"/>
  <c r="X71" i="2"/>
  <c r="P71" i="2"/>
  <c r="H71" i="2"/>
  <c r="AN70" i="2"/>
  <c r="AF70" i="2"/>
  <c r="X70" i="2"/>
  <c r="P70" i="2"/>
  <c r="H70" i="2"/>
  <c r="AN69" i="2"/>
  <c r="AF69" i="2"/>
  <c r="X69" i="2"/>
  <c r="P69" i="2"/>
  <c r="H69" i="2"/>
  <c r="AN68" i="2"/>
  <c r="AF68" i="2"/>
  <c r="X68" i="2"/>
  <c r="P68" i="2"/>
  <c r="H68" i="2"/>
  <c r="AN67" i="2"/>
  <c r="AF67" i="2"/>
  <c r="X67" i="2"/>
  <c r="P67" i="2"/>
  <c r="H67" i="2"/>
  <c r="AN66" i="2"/>
  <c r="AF66" i="2"/>
  <c r="X66" i="2"/>
  <c r="P66" i="2"/>
  <c r="H66" i="2"/>
  <c r="AN65" i="2"/>
  <c r="AF65" i="2"/>
  <c r="X65" i="2"/>
  <c r="P65" i="2"/>
  <c r="H65" i="2"/>
  <c r="AN64" i="2"/>
  <c r="AF64" i="2"/>
  <c r="X64" i="2"/>
  <c r="P64" i="2"/>
  <c r="H64" i="2"/>
  <c r="AN63" i="2"/>
  <c r="AF63" i="2"/>
  <c r="X63" i="2"/>
  <c r="P63" i="2"/>
  <c r="H63" i="2"/>
  <c r="AN62" i="2"/>
  <c r="AF62" i="2"/>
  <c r="X62" i="2"/>
  <c r="P62" i="2"/>
  <c r="H62" i="2"/>
  <c r="AN61" i="2"/>
  <c r="AF61" i="2"/>
  <c r="X61" i="2"/>
  <c r="P61" i="2"/>
  <c r="H61" i="2"/>
  <c r="AN57" i="2"/>
  <c r="AF57" i="2"/>
  <c r="X57" i="2"/>
  <c r="P57" i="2"/>
  <c r="H57" i="2"/>
  <c r="AN56" i="2"/>
  <c r="AF56" i="2"/>
  <c r="X56" i="2"/>
  <c r="P56" i="2"/>
  <c r="H56" i="2"/>
  <c r="AN55" i="2"/>
  <c r="AF55" i="2"/>
  <c r="X55" i="2"/>
  <c r="P55" i="2"/>
  <c r="H55" i="2"/>
  <c r="AN54" i="2"/>
  <c r="AF54" i="2"/>
  <c r="X54" i="2"/>
  <c r="P54" i="2"/>
  <c r="H54" i="2"/>
  <c r="AN52" i="2"/>
  <c r="AF52" i="2"/>
  <c r="X52" i="2"/>
  <c r="P52" i="2"/>
  <c r="H52" i="2"/>
  <c r="AN51" i="2"/>
  <c r="AF51" i="2"/>
  <c r="X51" i="2"/>
  <c r="P51" i="2"/>
  <c r="H51" i="2"/>
  <c r="AN50" i="2"/>
  <c r="AF50" i="2"/>
  <c r="X50" i="2"/>
  <c r="P50" i="2"/>
  <c r="H50" i="2"/>
  <c r="AN49" i="2"/>
  <c r="AF49" i="2"/>
  <c r="X49" i="2"/>
  <c r="P49" i="2"/>
  <c r="H49" i="2"/>
  <c r="AN47" i="2"/>
  <c r="AF47" i="2"/>
  <c r="X47" i="2"/>
  <c r="P47" i="2"/>
  <c r="H47" i="2"/>
  <c r="AN46" i="2"/>
  <c r="AF46" i="2"/>
  <c r="X46" i="2"/>
  <c r="P46" i="2"/>
  <c r="H46" i="2"/>
  <c r="AN45" i="2"/>
  <c r="AF45" i="2"/>
  <c r="X45" i="2"/>
  <c r="P45" i="2"/>
  <c r="H45" i="2"/>
  <c r="AN43" i="2"/>
  <c r="AF43" i="2"/>
  <c r="X43" i="2"/>
  <c r="P43" i="2"/>
  <c r="H43" i="2"/>
  <c r="AN42" i="2"/>
  <c r="AF42" i="2"/>
  <c r="X42" i="2"/>
  <c r="P42" i="2"/>
  <c r="H42" i="2"/>
  <c r="AN41" i="2"/>
  <c r="AF41" i="2"/>
  <c r="X41" i="2"/>
  <c r="P41" i="2"/>
  <c r="H41" i="2"/>
  <c r="AN40" i="2"/>
  <c r="AF40" i="2"/>
  <c r="X40" i="2"/>
  <c r="P40" i="2"/>
  <c r="T64" i="3"/>
  <c r="L48" i="3"/>
  <c r="AJ39" i="3"/>
  <c r="T33" i="3"/>
  <c r="W29" i="3"/>
  <c r="AM27" i="3"/>
  <c r="O26" i="3"/>
  <c r="AE24" i="3"/>
  <c r="G23" i="3"/>
  <c r="W21" i="3"/>
  <c r="AM19" i="3"/>
  <c r="O18" i="3"/>
  <c r="AE16" i="3"/>
  <c r="G15" i="3"/>
  <c r="W13" i="3"/>
  <c r="AM11" i="3"/>
  <c r="P11" i="3"/>
  <c r="G11" i="3"/>
  <c r="AM10" i="3"/>
  <c r="AE10" i="3"/>
  <c r="W10" i="3"/>
  <c r="O10" i="3"/>
  <c r="G10" i="3"/>
  <c r="AM9" i="3"/>
  <c r="AE9" i="3"/>
  <c r="W9" i="3"/>
  <c r="O9" i="3"/>
  <c r="G9" i="3"/>
  <c r="AM8" i="3"/>
  <c r="AE8" i="3"/>
  <c r="W8" i="3"/>
  <c r="O8" i="3"/>
  <c r="G8" i="3"/>
  <c r="AM7" i="3"/>
  <c r="AE7" i="3"/>
  <c r="W7" i="3"/>
  <c r="O7" i="3"/>
  <c r="G7" i="3"/>
  <c r="AM71" i="2"/>
  <c r="AE71" i="2"/>
  <c r="W71" i="2"/>
  <c r="O71" i="2"/>
  <c r="G71" i="2"/>
  <c r="AM70" i="2"/>
  <c r="AE70" i="2"/>
  <c r="W70" i="2"/>
  <c r="O70" i="2"/>
  <c r="G70" i="2"/>
  <c r="AM69" i="2"/>
  <c r="AE69" i="2"/>
  <c r="W69" i="2"/>
  <c r="O69" i="2"/>
  <c r="G69" i="2"/>
  <c r="AM68" i="2"/>
  <c r="AE68" i="2"/>
  <c r="W68" i="2"/>
  <c r="O68" i="2"/>
  <c r="G68" i="2"/>
  <c r="AM67" i="2"/>
  <c r="AE67" i="2"/>
  <c r="W67" i="2"/>
  <c r="O67" i="2"/>
  <c r="G67" i="2"/>
  <c r="AM66" i="2"/>
  <c r="AE66" i="2"/>
  <c r="W66" i="2"/>
  <c r="O66" i="2"/>
  <c r="G66" i="2"/>
  <c r="AM65" i="2"/>
  <c r="AE65" i="2"/>
  <c r="W65" i="2"/>
  <c r="O65" i="2"/>
  <c r="G65" i="2"/>
  <c r="AM64" i="2"/>
  <c r="AE64" i="2"/>
  <c r="W64" i="2"/>
  <c r="O64" i="2"/>
  <c r="G64" i="2"/>
  <c r="AM63" i="2"/>
  <c r="AE63" i="2"/>
  <c r="W63" i="2"/>
  <c r="O63" i="2"/>
  <c r="G63" i="2"/>
  <c r="AM62" i="2"/>
  <c r="AE62" i="2"/>
  <c r="W62" i="2"/>
  <c r="O62" i="2"/>
  <c r="G62" i="2"/>
  <c r="AM61" i="2"/>
  <c r="AE61" i="2"/>
  <c r="W61" i="2"/>
  <c r="O61" i="2"/>
  <c r="G61" i="2"/>
  <c r="AM57" i="2"/>
  <c r="AE57" i="2"/>
  <c r="W57" i="2"/>
  <c r="O57" i="2"/>
  <c r="G57" i="2"/>
  <c r="AM56" i="2"/>
  <c r="AE56" i="2"/>
  <c r="W56" i="2"/>
  <c r="O56" i="2"/>
  <c r="G56" i="2"/>
  <c r="AM55" i="2"/>
  <c r="AE55" i="2"/>
  <c r="W55" i="2"/>
  <c r="O55" i="2"/>
  <c r="G55" i="2"/>
  <c r="AM54" i="2"/>
  <c r="AE54" i="2"/>
  <c r="W54" i="2"/>
  <c r="O54" i="2"/>
  <c r="G54" i="2"/>
  <c r="AM52" i="2"/>
  <c r="AE52" i="2"/>
  <c r="W52" i="2"/>
  <c r="O52" i="2"/>
  <c r="G52" i="2"/>
  <c r="AM51" i="2"/>
  <c r="AE51" i="2"/>
  <c r="W51" i="2"/>
  <c r="O51" i="2"/>
  <c r="G51" i="2"/>
  <c r="AM50" i="2"/>
  <c r="AE50" i="2"/>
  <c r="W50" i="2"/>
  <c r="O50" i="2"/>
  <c r="G50" i="2"/>
  <c r="AM49" i="2"/>
  <c r="AE49" i="2"/>
  <c r="W49" i="2"/>
  <c r="O49" i="2"/>
  <c r="G49" i="2"/>
  <c r="AM47" i="2"/>
  <c r="AE47" i="2"/>
  <c r="W47" i="2"/>
  <c r="O47" i="2"/>
  <c r="G47" i="2"/>
  <c r="AM46" i="2"/>
  <c r="AE46" i="2"/>
  <c r="W46" i="2"/>
  <c r="O46" i="2"/>
  <c r="G46" i="2"/>
  <c r="AM45" i="2"/>
  <c r="AE45" i="2"/>
  <c r="W45" i="2"/>
  <c r="O45" i="2"/>
  <c r="G45" i="2"/>
  <c r="AM43" i="2"/>
  <c r="AE43" i="2"/>
  <c r="W43" i="2"/>
  <c r="O43" i="2"/>
  <c r="G43" i="2"/>
  <c r="AM42" i="2"/>
  <c r="AE42" i="2"/>
  <c r="W42" i="2"/>
  <c r="O42" i="2"/>
  <c r="G42" i="2"/>
  <c r="AM41" i="2"/>
  <c r="AE41" i="2"/>
  <c r="W41" i="2"/>
  <c r="O41" i="2"/>
  <c r="G41" i="2"/>
  <c r="AM40" i="2"/>
  <c r="AE40" i="2"/>
  <c r="W40" i="2"/>
  <c r="O40" i="2"/>
  <c r="G40" i="2"/>
  <c r="AM39" i="2"/>
  <c r="AE39" i="2"/>
  <c r="W39" i="2"/>
  <c r="O39" i="2"/>
  <c r="G39" i="2"/>
  <c r="AM38" i="2"/>
  <c r="AE38" i="2"/>
  <c r="W38" i="2"/>
  <c r="O38" i="2"/>
  <c r="G38" i="2"/>
  <c r="AM37" i="2"/>
  <c r="AE37" i="2"/>
  <c r="W37" i="2"/>
  <c r="O37" i="2"/>
  <c r="G37" i="2"/>
  <c r="AM36" i="2"/>
  <c r="AE36" i="2"/>
  <c r="W36" i="2"/>
  <c r="O36" i="2"/>
  <c r="G36" i="2"/>
  <c r="AM35" i="2"/>
  <c r="AE35" i="2"/>
  <c r="W35" i="2"/>
  <c r="O35" i="2"/>
  <c r="G35" i="2"/>
  <c r="AM34" i="2"/>
  <c r="AE34" i="2"/>
  <c r="W34" i="2"/>
  <c r="O34" i="2"/>
  <c r="G34" i="2"/>
  <c r="AM33" i="2"/>
  <c r="AE33" i="2"/>
  <c r="W33" i="2"/>
  <c r="O33" i="2"/>
  <c r="G33" i="2"/>
  <c r="AM32" i="2"/>
  <c r="AE32" i="2"/>
  <c r="W32" i="2"/>
  <c r="O32" i="2"/>
  <c r="G32" i="2"/>
  <c r="AM31" i="2"/>
  <c r="AE31" i="2"/>
  <c r="W31" i="2"/>
  <c r="O31" i="2"/>
  <c r="G31" i="2"/>
  <c r="AM30" i="2"/>
  <c r="AE30" i="2"/>
  <c r="W30" i="2"/>
  <c r="O30" i="2"/>
  <c r="L61" i="3"/>
  <c r="T47" i="3"/>
  <c r="D39" i="3"/>
  <c r="AB32" i="3"/>
  <c r="O29" i="3"/>
  <c r="AE27" i="3"/>
  <c r="G26" i="3"/>
  <c r="W24" i="3"/>
  <c r="AM22" i="3"/>
  <c r="O21" i="3"/>
  <c r="AE19" i="3"/>
  <c r="G18" i="3"/>
  <c r="W16" i="3"/>
  <c r="AM14" i="3"/>
  <c r="O13" i="3"/>
  <c r="AE11" i="3"/>
  <c r="O11" i="3"/>
  <c r="F11" i="3"/>
  <c r="AL10" i="3"/>
  <c r="AD10" i="3"/>
  <c r="V10" i="3"/>
  <c r="N10" i="3"/>
  <c r="F10" i="3"/>
  <c r="AL9" i="3"/>
  <c r="AD9" i="3"/>
  <c r="V9" i="3"/>
  <c r="N9" i="3"/>
  <c r="F9" i="3"/>
  <c r="AL8" i="3"/>
  <c r="AD8" i="3"/>
  <c r="V8" i="3"/>
  <c r="N8" i="3"/>
  <c r="F8" i="3"/>
  <c r="AL7" i="3"/>
  <c r="AD7" i="3"/>
  <c r="V7" i="3"/>
  <c r="N7" i="3"/>
  <c r="F7" i="3"/>
  <c r="AL71" i="2"/>
  <c r="AD71" i="2"/>
  <c r="V71" i="2"/>
  <c r="N71" i="2"/>
  <c r="F71" i="2"/>
  <c r="AL70" i="2"/>
  <c r="AD70" i="2"/>
  <c r="V70" i="2"/>
  <c r="N70" i="2"/>
  <c r="F70" i="2"/>
  <c r="AL69" i="2"/>
  <c r="AD69" i="2"/>
  <c r="V69" i="2"/>
  <c r="N69" i="2"/>
  <c r="F69" i="2"/>
  <c r="AL68" i="2"/>
  <c r="AD68" i="2"/>
  <c r="V68" i="2"/>
  <c r="N68" i="2"/>
  <c r="F68" i="2"/>
  <c r="AL67" i="2"/>
  <c r="AD67" i="2"/>
  <c r="V67" i="2"/>
  <c r="N67" i="2"/>
  <c r="F67" i="2"/>
  <c r="AL66" i="2"/>
  <c r="AD66" i="2"/>
  <c r="V66" i="2"/>
  <c r="N66" i="2"/>
  <c r="F66" i="2"/>
  <c r="AL65" i="2"/>
  <c r="AD65" i="2"/>
  <c r="V65" i="2"/>
  <c r="N65" i="2"/>
  <c r="F65" i="2"/>
  <c r="AL64" i="2"/>
  <c r="AD64" i="2"/>
  <c r="V64" i="2"/>
  <c r="N64" i="2"/>
  <c r="F64" i="2"/>
  <c r="AL63" i="2"/>
  <c r="AD63" i="2"/>
  <c r="V63" i="2"/>
  <c r="N63" i="2"/>
  <c r="F63" i="2"/>
  <c r="AL62" i="2"/>
  <c r="AD62" i="2"/>
  <c r="V62" i="2"/>
  <c r="N62" i="2"/>
  <c r="F62" i="2"/>
  <c r="AL61" i="2"/>
  <c r="AD61" i="2"/>
  <c r="V61" i="2"/>
  <c r="N61" i="2"/>
  <c r="F61" i="2"/>
  <c r="AL57" i="2"/>
  <c r="AD57" i="2"/>
  <c r="V57" i="2"/>
  <c r="N57" i="2"/>
  <c r="F57" i="2"/>
  <c r="AL56" i="2"/>
  <c r="AD56" i="2"/>
  <c r="V56" i="2"/>
  <c r="N56" i="2"/>
  <c r="F56" i="2"/>
  <c r="AL55" i="2"/>
  <c r="AD55" i="2"/>
  <c r="V55" i="2"/>
  <c r="N55" i="2"/>
  <c r="F55" i="2"/>
  <c r="AL54" i="2"/>
  <c r="AD54" i="2"/>
  <c r="V54" i="2"/>
  <c r="N54" i="2"/>
  <c r="F54" i="2"/>
  <c r="AL52" i="2"/>
  <c r="AD52" i="2"/>
  <c r="V52" i="2"/>
  <c r="N52" i="2"/>
  <c r="F52" i="2"/>
  <c r="AL51" i="2"/>
  <c r="AD51" i="2"/>
  <c r="V51" i="2"/>
  <c r="N51" i="2"/>
  <c r="F51" i="2"/>
  <c r="AL50" i="2"/>
  <c r="AD50" i="2"/>
  <c r="V50" i="2"/>
  <c r="N50" i="2"/>
  <c r="F50" i="2"/>
  <c r="AL49" i="2"/>
  <c r="AD49" i="2"/>
  <c r="V49" i="2"/>
  <c r="N49" i="2"/>
  <c r="F49" i="2"/>
  <c r="AL47" i="2"/>
  <c r="AD47" i="2"/>
  <c r="V47" i="2"/>
  <c r="N47" i="2"/>
  <c r="F47" i="2"/>
  <c r="AL46" i="2"/>
  <c r="AD46" i="2"/>
  <c r="V46" i="2"/>
  <c r="N46" i="2"/>
  <c r="F46" i="2"/>
  <c r="AL45" i="2"/>
  <c r="AD45" i="2"/>
  <c r="V45" i="2"/>
  <c r="N45" i="2"/>
  <c r="F45" i="2"/>
  <c r="AL43" i="2"/>
  <c r="AD43" i="2"/>
  <c r="V43" i="2"/>
  <c r="N43" i="2"/>
  <c r="F43" i="2"/>
  <c r="AL42" i="2"/>
  <c r="AD42" i="2"/>
  <c r="V42" i="2"/>
  <c r="N42" i="2"/>
  <c r="F42" i="2"/>
  <c r="AL41" i="2"/>
  <c r="AD41" i="2"/>
  <c r="V41" i="2"/>
  <c r="N41" i="2"/>
  <c r="F41" i="2"/>
  <c r="AL40" i="2"/>
  <c r="AD40" i="2"/>
  <c r="V40" i="2"/>
  <c r="N40" i="2"/>
  <c r="F40" i="2"/>
  <c r="AL39" i="2"/>
  <c r="AD39" i="2"/>
  <c r="V39" i="2"/>
  <c r="N39" i="2"/>
  <c r="F39" i="2"/>
  <c r="AL38" i="2"/>
  <c r="AD38" i="2"/>
  <c r="V38" i="2"/>
  <c r="N38" i="2"/>
  <c r="F38" i="2"/>
  <c r="AL37" i="2"/>
  <c r="AD37" i="2"/>
  <c r="V37" i="2"/>
  <c r="N37" i="2"/>
  <c r="F37" i="2"/>
  <c r="AL36" i="2"/>
  <c r="AD36" i="2"/>
  <c r="V36" i="2"/>
  <c r="N36" i="2"/>
  <c r="F36" i="2"/>
  <c r="AL35" i="2"/>
  <c r="AD35" i="2"/>
  <c r="V35" i="2"/>
  <c r="N35" i="2"/>
  <c r="F35" i="2"/>
  <c r="AL34" i="2"/>
  <c r="AD34" i="2"/>
  <c r="V34" i="2"/>
  <c r="N34" i="2"/>
  <c r="F34" i="2"/>
  <c r="AL33" i="2"/>
  <c r="AD33" i="2"/>
  <c r="V33" i="2"/>
  <c r="N33" i="2"/>
  <c r="F33" i="2"/>
  <c r="AL32" i="2"/>
  <c r="AD32" i="2"/>
  <c r="V32" i="2"/>
  <c r="N32" i="2"/>
  <c r="F32" i="2"/>
  <c r="AL31" i="2"/>
  <c r="AD31" i="2"/>
  <c r="V31" i="2"/>
  <c r="N31" i="2"/>
  <c r="F31" i="2"/>
  <c r="AL30" i="2"/>
  <c r="AD30" i="2"/>
  <c r="V30" i="2"/>
  <c r="N30" i="2"/>
  <c r="F30" i="2"/>
  <c r="AL29" i="2"/>
  <c r="AD29" i="2"/>
  <c r="V29" i="2"/>
  <c r="N29" i="2"/>
  <c r="F29" i="2"/>
  <c r="AL28" i="2"/>
  <c r="AD28" i="2"/>
  <c r="V28" i="2"/>
  <c r="N28" i="2"/>
  <c r="F28" i="2"/>
  <c r="AL27" i="2"/>
  <c r="AD27" i="2"/>
  <c r="V27" i="2"/>
  <c r="N27" i="2"/>
  <c r="F27" i="2"/>
  <c r="AL26" i="2"/>
  <c r="AD26" i="2"/>
  <c r="V26" i="2"/>
  <c r="N26" i="2"/>
  <c r="F26" i="2"/>
  <c r="AL25" i="2"/>
  <c r="AD25" i="2"/>
  <c r="V25" i="2"/>
  <c r="N25" i="2"/>
  <c r="F25" i="2"/>
  <c r="AL24" i="2"/>
  <c r="AD24" i="2"/>
  <c r="V24" i="2"/>
  <c r="N24" i="2"/>
  <c r="F24" i="2"/>
  <c r="AL23" i="2"/>
  <c r="AD23" i="2"/>
  <c r="D58" i="3"/>
  <c r="AB46" i="3"/>
  <c r="L38" i="3"/>
  <c r="AJ31" i="3"/>
  <c r="G29" i="3"/>
  <c r="W27" i="3"/>
  <c r="AM25" i="3"/>
  <c r="O24" i="3"/>
  <c r="AE22" i="3"/>
  <c r="G21" i="3"/>
  <c r="W19" i="3"/>
  <c r="AM17" i="3"/>
  <c r="O16" i="3"/>
  <c r="AE14" i="3"/>
  <c r="G13" i="3"/>
  <c r="Y11" i="3"/>
  <c r="M11" i="3"/>
  <c r="E11" i="3"/>
  <c r="AK10" i="3"/>
  <c r="AC10" i="3"/>
  <c r="U10" i="3"/>
  <c r="M10" i="3"/>
  <c r="E10" i="3"/>
  <c r="AK9" i="3"/>
  <c r="AC9" i="3"/>
  <c r="U9" i="3"/>
  <c r="M9" i="3"/>
  <c r="E9" i="3"/>
  <c r="AK8" i="3"/>
  <c r="AC8" i="3"/>
  <c r="U8" i="3"/>
  <c r="M8" i="3"/>
  <c r="E8" i="3"/>
  <c r="AK7" i="3"/>
  <c r="AC7" i="3"/>
  <c r="U7" i="3"/>
  <c r="M7" i="3"/>
  <c r="E7" i="3"/>
  <c r="AK71" i="2"/>
  <c r="AC71" i="2"/>
  <c r="U71" i="2"/>
  <c r="M71" i="2"/>
  <c r="E71" i="2"/>
  <c r="AK70" i="2"/>
  <c r="AC70" i="2"/>
  <c r="U70" i="2"/>
  <c r="M70" i="2"/>
  <c r="E70" i="2"/>
  <c r="AK69" i="2"/>
  <c r="AC69" i="2"/>
  <c r="U69" i="2"/>
  <c r="M69" i="2"/>
  <c r="E69" i="2"/>
  <c r="AK68" i="2"/>
  <c r="AC68" i="2"/>
  <c r="AJ54" i="3"/>
  <c r="AJ45" i="3"/>
  <c r="T37" i="3"/>
  <c r="D31" i="3"/>
  <c r="AM28" i="3"/>
  <c r="O27" i="3"/>
  <c r="AE25" i="3"/>
  <c r="G24" i="3"/>
  <c r="W22" i="3"/>
  <c r="AM20" i="3"/>
  <c r="O19" i="3"/>
  <c r="AE17" i="3"/>
  <c r="G16" i="3"/>
  <c r="W14" i="3"/>
  <c r="AM12" i="3"/>
  <c r="W11" i="3"/>
  <c r="L11" i="3"/>
  <c r="D11" i="3"/>
  <c r="AJ10" i="3"/>
  <c r="AB10" i="3"/>
  <c r="T10" i="3"/>
  <c r="L10" i="3"/>
  <c r="D10" i="3"/>
  <c r="AJ9" i="3"/>
  <c r="AB9" i="3"/>
  <c r="T9" i="3"/>
  <c r="L9" i="3"/>
  <c r="D9" i="3"/>
  <c r="AJ8" i="3"/>
  <c r="AB8" i="3"/>
  <c r="T8" i="3"/>
  <c r="L8" i="3"/>
  <c r="D8" i="3"/>
  <c r="AJ7" i="3"/>
  <c r="AB7" i="3"/>
  <c r="T7" i="3"/>
  <c r="L7" i="3"/>
  <c r="D7" i="3"/>
  <c r="AJ71" i="2"/>
  <c r="AB71" i="2"/>
  <c r="T71" i="2"/>
  <c r="L71" i="2"/>
  <c r="D71" i="2"/>
  <c r="AJ70" i="2"/>
  <c r="AB70" i="2"/>
  <c r="T70" i="2"/>
  <c r="L70" i="2"/>
  <c r="D70" i="2"/>
  <c r="AJ69" i="2"/>
  <c r="AB69" i="2"/>
  <c r="T69" i="2"/>
  <c r="L69" i="2"/>
  <c r="D69" i="2"/>
  <c r="AJ68" i="2"/>
  <c r="AB68" i="2"/>
  <c r="T68" i="2"/>
  <c r="L68" i="2"/>
  <c r="D68" i="2"/>
  <c r="AJ67" i="2"/>
  <c r="AB67" i="2"/>
  <c r="T67" i="2"/>
  <c r="L67" i="2"/>
  <c r="D67" i="2"/>
  <c r="AJ66" i="2"/>
  <c r="AB66" i="2"/>
  <c r="T66" i="2"/>
  <c r="L66" i="2"/>
  <c r="D66" i="2"/>
  <c r="AJ65" i="2"/>
  <c r="AB65" i="2"/>
  <c r="T65" i="2"/>
  <c r="L65" i="2"/>
  <c r="D65" i="2"/>
  <c r="AJ64" i="2"/>
  <c r="AB64" i="2"/>
  <c r="T64" i="2"/>
  <c r="L64" i="2"/>
  <c r="D64" i="2"/>
  <c r="AJ63" i="2"/>
  <c r="AB63" i="2"/>
  <c r="T63" i="2"/>
  <c r="L63" i="2"/>
  <c r="D63" i="2"/>
  <c r="AJ62" i="2"/>
  <c r="AB62" i="2"/>
  <c r="T62" i="2"/>
  <c r="L62" i="2"/>
  <c r="D62" i="2"/>
  <c r="AJ61" i="2"/>
  <c r="AB61" i="2"/>
  <c r="T61" i="2"/>
  <c r="L61" i="2"/>
  <c r="D61" i="2"/>
  <c r="AJ57" i="2"/>
  <c r="AB57" i="2"/>
  <c r="T57" i="2"/>
  <c r="L57" i="2"/>
  <c r="D57" i="2"/>
  <c r="AJ56" i="2"/>
  <c r="AB56" i="2"/>
  <c r="T56" i="2"/>
  <c r="L56" i="2"/>
  <c r="D56" i="2"/>
  <c r="AJ55" i="2"/>
  <c r="AB55" i="2"/>
  <c r="T55" i="2"/>
  <c r="L55" i="2"/>
  <c r="D55" i="2"/>
  <c r="AJ54" i="2"/>
  <c r="AB54" i="2"/>
  <c r="T54" i="2"/>
  <c r="L54" i="2"/>
  <c r="D54" i="2"/>
  <c r="AJ52" i="2"/>
  <c r="AB52" i="2"/>
  <c r="T52" i="2"/>
  <c r="L52" i="2"/>
  <c r="D52" i="2"/>
  <c r="AJ51" i="2"/>
  <c r="AB51" i="2"/>
  <c r="T51" i="2"/>
  <c r="L51" i="2"/>
  <c r="D51" i="2"/>
  <c r="AJ50" i="2"/>
  <c r="AB50" i="2"/>
  <c r="T50" i="2"/>
  <c r="L50" i="2"/>
  <c r="D50" i="2"/>
  <c r="AJ49" i="2"/>
  <c r="AB49" i="2"/>
  <c r="T49" i="2"/>
  <c r="L49" i="2"/>
  <c r="D49" i="2"/>
  <c r="AJ47" i="2"/>
  <c r="AB47" i="2"/>
  <c r="T47" i="2"/>
  <c r="L47" i="2"/>
  <c r="D47" i="2"/>
  <c r="AJ46" i="2"/>
  <c r="AB46" i="2"/>
  <c r="T46" i="2"/>
  <c r="L46" i="2"/>
  <c r="D46" i="2"/>
  <c r="AJ45" i="2"/>
  <c r="AB45" i="2"/>
  <c r="T45" i="2"/>
  <c r="L45" i="2"/>
  <c r="D45" i="2"/>
  <c r="AJ43" i="2"/>
  <c r="AB43" i="2"/>
  <c r="T43" i="2"/>
  <c r="L43" i="2"/>
  <c r="D43" i="2"/>
  <c r="AJ42" i="2"/>
  <c r="AB42" i="2"/>
  <c r="T42" i="2"/>
  <c r="L42" i="2"/>
  <c r="D42" i="2"/>
  <c r="AJ41" i="2"/>
  <c r="AB41" i="2"/>
  <c r="T41" i="2"/>
  <c r="L41" i="2"/>
  <c r="D41" i="2"/>
  <c r="AJ40" i="2"/>
  <c r="AB40" i="2"/>
  <c r="T40" i="2"/>
  <c r="L40" i="2"/>
  <c r="D40" i="2"/>
  <c r="AJ39" i="2"/>
  <c r="AB39" i="2"/>
  <c r="T39" i="2"/>
  <c r="L39" i="2"/>
  <c r="D39" i="2"/>
  <c r="AJ38" i="2"/>
  <c r="AB38" i="2"/>
  <c r="T38" i="2"/>
  <c r="L38" i="2"/>
  <c r="D38" i="2"/>
  <c r="AJ37" i="2"/>
  <c r="AB37" i="2"/>
  <c r="T37" i="2"/>
  <c r="L37" i="2"/>
  <c r="D37" i="2"/>
  <c r="AJ36" i="2"/>
  <c r="AB36" i="2"/>
  <c r="T36" i="2"/>
  <c r="L36" i="2"/>
  <c r="D36" i="2"/>
  <c r="AJ35" i="2"/>
  <c r="AB35" i="2"/>
  <c r="T35" i="2"/>
  <c r="L35" i="2"/>
  <c r="D35" i="2"/>
  <c r="AJ34" i="2"/>
  <c r="AB34" i="2"/>
  <c r="T34" i="2"/>
  <c r="L34" i="2"/>
  <c r="D34" i="2"/>
  <c r="AJ33" i="2"/>
  <c r="AB33" i="2"/>
  <c r="T33" i="2"/>
  <c r="L33" i="2"/>
  <c r="D33" i="2"/>
  <c r="AJ32" i="2"/>
  <c r="AB32" i="2"/>
  <c r="T32" i="2"/>
  <c r="L32" i="2"/>
  <c r="D32" i="2"/>
  <c r="AJ31" i="2"/>
  <c r="AB31" i="2"/>
  <c r="T31" i="2"/>
  <c r="L31" i="2"/>
  <c r="D31" i="2"/>
  <c r="AJ30" i="2"/>
  <c r="AB30" i="2"/>
  <c r="T30" i="2"/>
  <c r="L30" i="2"/>
  <c r="D30" i="2"/>
  <c r="AJ29" i="2"/>
  <c r="AB29" i="2"/>
  <c r="T29" i="2"/>
  <c r="L29" i="2"/>
  <c r="D29" i="2"/>
  <c r="AJ28" i="2"/>
  <c r="AB28" i="2"/>
  <c r="T28" i="2"/>
  <c r="L28" i="2"/>
  <c r="D28" i="2"/>
  <c r="AJ27" i="2"/>
  <c r="AB27" i="2"/>
  <c r="T27" i="2"/>
  <c r="L27" i="2"/>
  <c r="D27" i="2"/>
  <c r="AJ26" i="2"/>
  <c r="AB26" i="2"/>
  <c r="T26" i="2"/>
  <c r="L26" i="2"/>
  <c r="D26" i="2"/>
  <c r="AJ25" i="2"/>
  <c r="AB25" i="2"/>
  <c r="AG51" i="3"/>
  <c r="O22" i="3"/>
  <c r="K11" i="3"/>
  <c r="AA9" i="3"/>
  <c r="C8" i="3"/>
  <c r="S71" i="2"/>
  <c r="AI69" i="2"/>
  <c r="S68" i="2"/>
  <c r="AA67" i="2"/>
  <c r="AI66" i="2"/>
  <c r="C66" i="2"/>
  <c r="K65" i="2"/>
  <c r="S64" i="2"/>
  <c r="AA63" i="2"/>
  <c r="AI62" i="2"/>
  <c r="C62" i="2"/>
  <c r="R61" i="2"/>
  <c r="AI57" i="2"/>
  <c r="M57" i="2"/>
  <c r="AH56" i="2"/>
  <c r="K56" i="2"/>
  <c r="AC55" i="2"/>
  <c r="J55" i="2"/>
  <c r="AA54" i="2"/>
  <c r="E54" i="2"/>
  <c r="Z52" i="2"/>
  <c r="C52" i="2"/>
  <c r="U51" i="2"/>
  <c r="AP50" i="2"/>
  <c r="S50" i="2"/>
  <c r="AK49" i="2"/>
  <c r="R49" i="2"/>
  <c r="AI47" i="2"/>
  <c r="M47" i="2"/>
  <c r="AH46" i="2"/>
  <c r="K46" i="2"/>
  <c r="AC45" i="2"/>
  <c r="J45" i="2"/>
  <c r="AA43" i="2"/>
  <c r="E43" i="2"/>
  <c r="Z42" i="2"/>
  <c r="C42" i="2"/>
  <c r="U41" i="2"/>
  <c r="AP40" i="2"/>
  <c r="S40" i="2"/>
  <c r="AP39" i="2"/>
  <c r="Z39" i="2"/>
  <c r="J39" i="2"/>
  <c r="AH38" i="2"/>
  <c r="R38" i="2"/>
  <c r="AP37" i="2"/>
  <c r="Z37" i="2"/>
  <c r="J37" i="2"/>
  <c r="AH36" i="2"/>
  <c r="R36" i="2"/>
  <c r="AP35" i="2"/>
  <c r="Z35" i="2"/>
  <c r="J35" i="2"/>
  <c r="AH34" i="2"/>
  <c r="R34" i="2"/>
  <c r="AP33" i="2"/>
  <c r="Z33" i="2"/>
  <c r="J33" i="2"/>
  <c r="AH32" i="2"/>
  <c r="R32" i="2"/>
  <c r="AP31" i="2"/>
  <c r="Z31" i="2"/>
  <c r="J31" i="2"/>
  <c r="AH30" i="2"/>
  <c r="R30" i="2"/>
  <c r="C30" i="2"/>
  <c r="AE29" i="2"/>
  <c r="R29" i="2"/>
  <c r="E29" i="2"/>
  <c r="AF28" i="2"/>
  <c r="S28" i="2"/>
  <c r="G28" i="2"/>
  <c r="AH27" i="2"/>
  <c r="U27" i="2"/>
  <c r="H27" i="2"/>
  <c r="AI26" i="2"/>
  <c r="W26" i="2"/>
  <c r="J26" i="2"/>
  <c r="AK25" i="2"/>
  <c r="X25" i="2"/>
  <c r="M25" i="2"/>
  <c r="C25" i="2"/>
  <c r="AF24" i="2"/>
  <c r="U24" i="2"/>
  <c r="K24" i="2"/>
  <c r="AN23" i="2"/>
  <c r="AC23" i="2"/>
  <c r="T23" i="2"/>
  <c r="K23" i="2"/>
  <c r="AP22" i="2"/>
  <c r="AF22" i="2"/>
  <c r="X22" i="2"/>
  <c r="P22" i="2"/>
  <c r="H22" i="2"/>
  <c r="AN21" i="2"/>
  <c r="AF21" i="2"/>
  <c r="X21" i="2"/>
  <c r="P21" i="2"/>
  <c r="H21" i="2"/>
  <c r="AN20" i="2"/>
  <c r="AF20" i="2"/>
  <c r="X20" i="2"/>
  <c r="P20" i="2"/>
  <c r="H20" i="2"/>
  <c r="AN19" i="2"/>
  <c r="AF19" i="2"/>
  <c r="X19" i="2"/>
  <c r="P19" i="2"/>
  <c r="H19" i="2"/>
  <c r="AN18" i="2"/>
  <c r="AF18" i="2"/>
  <c r="X18" i="2"/>
  <c r="P18" i="2"/>
  <c r="H18" i="2"/>
  <c r="AN17" i="2"/>
  <c r="AF17" i="2"/>
  <c r="X17" i="2"/>
  <c r="P17" i="2"/>
  <c r="H17" i="2"/>
  <c r="AN16" i="2"/>
  <c r="AF16" i="2"/>
  <c r="X16" i="2"/>
  <c r="P16" i="2"/>
  <c r="H16" i="2"/>
  <c r="AN15" i="2"/>
  <c r="AF15" i="2"/>
  <c r="X15" i="2"/>
  <c r="P15" i="2"/>
  <c r="H15" i="2"/>
  <c r="AN14" i="2"/>
  <c r="AF14" i="2"/>
  <c r="X14" i="2"/>
  <c r="P14" i="2"/>
  <c r="H14" i="2"/>
  <c r="AN13" i="2"/>
  <c r="AF13" i="2"/>
  <c r="X13" i="2"/>
  <c r="P13" i="2"/>
  <c r="H13" i="2"/>
  <c r="AN12" i="2"/>
  <c r="AF12" i="2"/>
  <c r="X12" i="2"/>
  <c r="P12" i="2"/>
  <c r="H12" i="2"/>
  <c r="AN11" i="2"/>
  <c r="AF11" i="2"/>
  <c r="X11" i="2"/>
  <c r="P11" i="2"/>
  <c r="H11" i="2"/>
  <c r="AN10" i="2"/>
  <c r="AF10" i="2"/>
  <c r="X10" i="2"/>
  <c r="P10" i="2"/>
  <c r="H10" i="2"/>
  <c r="AN9" i="2"/>
  <c r="AF9" i="2"/>
  <c r="X9" i="2"/>
  <c r="P9" i="2"/>
  <c r="H9" i="2"/>
  <c r="AN8" i="2"/>
  <c r="AF8" i="2"/>
  <c r="X8" i="2"/>
  <c r="P8" i="2"/>
  <c r="H8" i="2"/>
  <c r="AN7" i="2"/>
  <c r="AF7" i="2"/>
  <c r="X7" i="2"/>
  <c r="P7" i="2"/>
  <c r="H7" i="2"/>
  <c r="AN6" i="2"/>
  <c r="AF6" i="2"/>
  <c r="X6" i="2"/>
  <c r="P6" i="2"/>
  <c r="H6" i="2"/>
  <c r="AA61" i="2"/>
  <c r="C47" i="2"/>
  <c r="R43" i="2"/>
  <c r="AH41" i="2"/>
  <c r="J40" i="2"/>
  <c r="AP38" i="2"/>
  <c r="AH37" i="2"/>
  <c r="Z36" i="2"/>
  <c r="AH35" i="2"/>
  <c r="Z34" i="2"/>
  <c r="R33" i="2"/>
  <c r="J32" i="2"/>
  <c r="AP30" i="2"/>
  <c r="X29" i="2"/>
  <c r="Z28" i="2"/>
  <c r="AA27" i="2"/>
  <c r="AP26" i="2"/>
  <c r="AE25" i="2"/>
  <c r="AK24" i="2"/>
  <c r="E24" i="2"/>
  <c r="O23" i="2"/>
  <c r="AB22" i="2"/>
  <c r="D22" i="2"/>
  <c r="L21" i="2"/>
  <c r="AB20" i="2"/>
  <c r="D20" i="2"/>
  <c r="L19" i="2"/>
  <c r="AB18" i="2"/>
  <c r="AJ17" i="2"/>
  <c r="L17" i="2"/>
  <c r="L16" i="2"/>
  <c r="L15" i="2"/>
  <c r="T14" i="2"/>
  <c r="AB13" i="2"/>
  <c r="AJ12" i="2"/>
  <c r="AJ11" i="2"/>
  <c r="D11" i="2"/>
  <c r="L10" i="2"/>
  <c r="T9" i="2"/>
  <c r="T8" i="2"/>
  <c r="AB7" i="2"/>
  <c r="AJ6" i="2"/>
  <c r="D45" i="3"/>
  <c r="AE20" i="3"/>
  <c r="C11" i="3"/>
  <c r="S9" i="3"/>
  <c r="AI7" i="3"/>
  <c r="K71" i="2"/>
  <c r="AA69" i="2"/>
  <c r="M68" i="2"/>
  <c r="U67" i="2"/>
  <c r="AC66" i="2"/>
  <c r="AK65" i="2"/>
  <c r="E65" i="2"/>
  <c r="M64" i="2"/>
  <c r="U63" i="2"/>
  <c r="AC62" i="2"/>
  <c r="AK61" i="2"/>
  <c r="M61" i="2"/>
  <c r="AH57" i="2"/>
  <c r="K57" i="2"/>
  <c r="AC56" i="2"/>
  <c r="J56" i="2"/>
  <c r="AA55" i="2"/>
  <c r="E55" i="2"/>
  <c r="Z54" i="2"/>
  <c r="C54" i="2"/>
  <c r="U52" i="2"/>
  <c r="AP51" i="2"/>
  <c r="S51" i="2"/>
  <c r="AK50" i="2"/>
  <c r="R50" i="2"/>
  <c r="AI49" i="2"/>
  <c r="M49" i="2"/>
  <c r="AH47" i="2"/>
  <c r="K47" i="2"/>
  <c r="AC46" i="2"/>
  <c r="J46" i="2"/>
  <c r="AA45" i="2"/>
  <c r="E45" i="2"/>
  <c r="Z43" i="2"/>
  <c r="C43" i="2"/>
  <c r="U42" i="2"/>
  <c r="AP41" i="2"/>
  <c r="S41" i="2"/>
  <c r="AK40" i="2"/>
  <c r="R40" i="2"/>
  <c r="AN39" i="2"/>
  <c r="X39" i="2"/>
  <c r="H39" i="2"/>
  <c r="AF38" i="2"/>
  <c r="P38" i="2"/>
  <c r="AN37" i="2"/>
  <c r="X37" i="2"/>
  <c r="H37" i="2"/>
  <c r="AF36" i="2"/>
  <c r="P36" i="2"/>
  <c r="AN35" i="2"/>
  <c r="X35" i="2"/>
  <c r="H35" i="2"/>
  <c r="AF34" i="2"/>
  <c r="P34" i="2"/>
  <c r="AN33" i="2"/>
  <c r="X33" i="2"/>
  <c r="H33" i="2"/>
  <c r="AF32" i="2"/>
  <c r="P32" i="2"/>
  <c r="AN31" i="2"/>
  <c r="X31" i="2"/>
  <c r="H31" i="2"/>
  <c r="AF30" i="2"/>
  <c r="P30" i="2"/>
  <c r="AP29" i="2"/>
  <c r="AC29" i="2"/>
  <c r="P29" i="2"/>
  <c r="C29" i="2"/>
  <c r="AE28" i="2"/>
  <c r="R28" i="2"/>
  <c r="E28" i="2"/>
  <c r="AF27" i="2"/>
  <c r="S27" i="2"/>
  <c r="G27" i="2"/>
  <c r="AH26" i="2"/>
  <c r="U26" i="2"/>
  <c r="H26" i="2"/>
  <c r="AI25" i="2"/>
  <c r="W25" i="2"/>
  <c r="L25" i="2"/>
  <c r="AP24" i="2"/>
  <c r="AE24" i="2"/>
  <c r="T24" i="2"/>
  <c r="J24" i="2"/>
  <c r="AM23" i="2"/>
  <c r="AB23" i="2"/>
  <c r="S23" i="2"/>
  <c r="J23" i="2"/>
  <c r="AN22" i="2"/>
  <c r="AE22" i="2"/>
  <c r="W22" i="2"/>
  <c r="O22" i="2"/>
  <c r="G22" i="2"/>
  <c r="AM21" i="2"/>
  <c r="AE21" i="2"/>
  <c r="W21" i="2"/>
  <c r="O21" i="2"/>
  <c r="G21" i="2"/>
  <c r="AM20" i="2"/>
  <c r="AE20" i="2"/>
  <c r="W20" i="2"/>
  <c r="O20" i="2"/>
  <c r="G20" i="2"/>
  <c r="AM19" i="2"/>
  <c r="AE19" i="2"/>
  <c r="W19" i="2"/>
  <c r="O19" i="2"/>
  <c r="G19" i="2"/>
  <c r="AM18" i="2"/>
  <c r="AE18" i="2"/>
  <c r="W18" i="2"/>
  <c r="O18" i="2"/>
  <c r="G18" i="2"/>
  <c r="AM17" i="2"/>
  <c r="AE17" i="2"/>
  <c r="W17" i="2"/>
  <c r="O17" i="2"/>
  <c r="G17" i="2"/>
  <c r="AM16" i="2"/>
  <c r="AE16" i="2"/>
  <c r="W16" i="2"/>
  <c r="O16" i="2"/>
  <c r="G16" i="2"/>
  <c r="AM15" i="2"/>
  <c r="AE15" i="2"/>
  <c r="W15" i="2"/>
  <c r="O15" i="2"/>
  <c r="G15" i="2"/>
  <c r="AM14" i="2"/>
  <c r="AE14" i="2"/>
  <c r="W14" i="2"/>
  <c r="O14" i="2"/>
  <c r="G14" i="2"/>
  <c r="AM13" i="2"/>
  <c r="AE13" i="2"/>
  <c r="W13" i="2"/>
  <c r="O13" i="2"/>
  <c r="G13" i="2"/>
  <c r="AM12" i="2"/>
  <c r="AE12" i="2"/>
  <c r="W12" i="2"/>
  <c r="O12" i="2"/>
  <c r="G12" i="2"/>
  <c r="AM11" i="2"/>
  <c r="AE11" i="2"/>
  <c r="W11" i="2"/>
  <c r="O11" i="2"/>
  <c r="G11" i="2"/>
  <c r="AM10" i="2"/>
  <c r="AE10" i="2"/>
  <c r="W10" i="2"/>
  <c r="O10" i="2"/>
  <c r="G10" i="2"/>
  <c r="AM9" i="2"/>
  <c r="AE9" i="2"/>
  <c r="W9" i="2"/>
  <c r="O9" i="2"/>
  <c r="G9" i="2"/>
  <c r="AM8" i="2"/>
  <c r="AE8" i="2"/>
  <c r="W8" i="2"/>
  <c r="O8" i="2"/>
  <c r="G8" i="2"/>
  <c r="AM7" i="2"/>
  <c r="AE7" i="2"/>
  <c r="W7" i="2"/>
  <c r="O7" i="2"/>
  <c r="G7" i="2"/>
  <c r="AM6" i="2"/>
  <c r="AE6" i="2"/>
  <c r="W6" i="2"/>
  <c r="O6" i="2"/>
  <c r="G6" i="2"/>
  <c r="N6" i="2"/>
  <c r="AC13" i="2"/>
  <c r="AC12" i="2"/>
  <c r="AK11" i="2"/>
  <c r="M11" i="2"/>
  <c r="AC10" i="2"/>
  <c r="E10" i="2"/>
  <c r="U9" i="2"/>
  <c r="AJ21" i="2"/>
  <c r="AJ19" i="2"/>
  <c r="T18" i="2"/>
  <c r="AB17" i="2"/>
  <c r="AJ16" i="2"/>
  <c r="D16" i="2"/>
  <c r="AB15" i="2"/>
  <c r="AJ14" i="2"/>
  <c r="D14" i="2"/>
  <c r="L13" i="2"/>
  <c r="T12" i="2"/>
  <c r="D12" i="2"/>
  <c r="T11" i="2"/>
  <c r="AB10" i="2"/>
  <c r="AJ9" i="2"/>
  <c r="L9" i="2"/>
  <c r="AB8" i="2"/>
  <c r="D8" i="2"/>
  <c r="T7" i="2"/>
  <c r="AB6" i="2"/>
  <c r="AB36" i="3"/>
  <c r="G19" i="3"/>
  <c r="AI10" i="3"/>
  <c r="K9" i="3"/>
  <c r="AA7" i="3"/>
  <c r="C71" i="2"/>
  <c r="S69" i="2"/>
  <c r="K68" i="2"/>
  <c r="S67" i="2"/>
  <c r="AA66" i="2"/>
  <c r="AI65" i="2"/>
  <c r="C65" i="2"/>
  <c r="K64" i="2"/>
  <c r="S63" i="2"/>
  <c r="AA62" i="2"/>
  <c r="AI61" i="2"/>
  <c r="K61" i="2"/>
  <c r="AC57" i="2"/>
  <c r="J57" i="2"/>
  <c r="AA56" i="2"/>
  <c r="E56" i="2"/>
  <c r="Z55" i="2"/>
  <c r="C55" i="2"/>
  <c r="U54" i="2"/>
  <c r="AP52" i="2"/>
  <c r="S52" i="2"/>
  <c r="AK51" i="2"/>
  <c r="R51" i="2"/>
  <c r="AI50" i="2"/>
  <c r="M50" i="2"/>
  <c r="AH49" i="2"/>
  <c r="K49" i="2"/>
  <c r="AC47" i="2"/>
  <c r="J47" i="2"/>
  <c r="AA46" i="2"/>
  <c r="E46" i="2"/>
  <c r="Z45" i="2"/>
  <c r="C45" i="2"/>
  <c r="U43" i="2"/>
  <c r="AP42" i="2"/>
  <c r="S42" i="2"/>
  <c r="AK41" i="2"/>
  <c r="R41" i="2"/>
  <c r="AI40" i="2"/>
  <c r="M40" i="2"/>
  <c r="AK39" i="2"/>
  <c r="U39" i="2"/>
  <c r="E39" i="2"/>
  <c r="AC38" i="2"/>
  <c r="M38" i="2"/>
  <c r="AK37" i="2"/>
  <c r="U37" i="2"/>
  <c r="E37" i="2"/>
  <c r="AC36" i="2"/>
  <c r="M36" i="2"/>
  <c r="AK35" i="2"/>
  <c r="U35" i="2"/>
  <c r="E35" i="2"/>
  <c r="AC34" i="2"/>
  <c r="M34" i="2"/>
  <c r="AK33" i="2"/>
  <c r="U33" i="2"/>
  <c r="E33" i="2"/>
  <c r="AC32" i="2"/>
  <c r="M32" i="2"/>
  <c r="AK31" i="2"/>
  <c r="U31" i="2"/>
  <c r="E31" i="2"/>
  <c r="AC30" i="2"/>
  <c r="M30" i="2"/>
  <c r="AN29" i="2"/>
  <c r="AA29" i="2"/>
  <c r="O29" i="2"/>
  <c r="AP28" i="2"/>
  <c r="AC28" i="2"/>
  <c r="P28" i="2"/>
  <c r="C28" i="2"/>
  <c r="AE27" i="2"/>
  <c r="R27" i="2"/>
  <c r="E27" i="2"/>
  <c r="AF26" i="2"/>
  <c r="S26" i="2"/>
  <c r="G26" i="2"/>
  <c r="AH25" i="2"/>
  <c r="U25" i="2"/>
  <c r="K25" i="2"/>
  <c r="AN24" i="2"/>
  <c r="AC24" i="2"/>
  <c r="S24" i="2"/>
  <c r="H24" i="2"/>
  <c r="AK23" i="2"/>
  <c r="AA23" i="2"/>
  <c r="R23" i="2"/>
  <c r="H23" i="2"/>
  <c r="AM22" i="2"/>
  <c r="AD22" i="2"/>
  <c r="V22" i="2"/>
  <c r="N22" i="2"/>
  <c r="F22" i="2"/>
  <c r="AL21" i="2"/>
  <c r="AD21" i="2"/>
  <c r="V21" i="2"/>
  <c r="N21" i="2"/>
  <c r="F21" i="2"/>
  <c r="AL20" i="2"/>
  <c r="AD20" i="2"/>
  <c r="V20" i="2"/>
  <c r="N20" i="2"/>
  <c r="F20" i="2"/>
  <c r="AL19" i="2"/>
  <c r="AD19" i="2"/>
  <c r="V19" i="2"/>
  <c r="N19" i="2"/>
  <c r="F19" i="2"/>
  <c r="AL18" i="2"/>
  <c r="AD18" i="2"/>
  <c r="V18" i="2"/>
  <c r="N18" i="2"/>
  <c r="F18" i="2"/>
  <c r="AL17" i="2"/>
  <c r="AD17" i="2"/>
  <c r="V17" i="2"/>
  <c r="N17" i="2"/>
  <c r="F17" i="2"/>
  <c r="AL16" i="2"/>
  <c r="AD16" i="2"/>
  <c r="V16" i="2"/>
  <c r="N16" i="2"/>
  <c r="F16" i="2"/>
  <c r="AL15" i="2"/>
  <c r="AD15" i="2"/>
  <c r="V15" i="2"/>
  <c r="N15" i="2"/>
  <c r="F15" i="2"/>
  <c r="AL14" i="2"/>
  <c r="AD14" i="2"/>
  <c r="V14" i="2"/>
  <c r="N14" i="2"/>
  <c r="F14" i="2"/>
  <c r="AL13" i="2"/>
  <c r="AD13" i="2"/>
  <c r="V13" i="2"/>
  <c r="N13" i="2"/>
  <c r="F13" i="2"/>
  <c r="AL12" i="2"/>
  <c r="AD12" i="2"/>
  <c r="V12" i="2"/>
  <c r="N12" i="2"/>
  <c r="F12" i="2"/>
  <c r="AL11" i="2"/>
  <c r="AD11" i="2"/>
  <c r="V11" i="2"/>
  <c r="N11" i="2"/>
  <c r="F11" i="2"/>
  <c r="AL10" i="2"/>
  <c r="AD10" i="2"/>
  <c r="V10" i="2"/>
  <c r="N10" i="2"/>
  <c r="F10" i="2"/>
  <c r="AL9" i="2"/>
  <c r="AD9" i="2"/>
  <c r="V9" i="2"/>
  <c r="N9" i="2"/>
  <c r="F9" i="2"/>
  <c r="AL8" i="2"/>
  <c r="AD8" i="2"/>
  <c r="V8" i="2"/>
  <c r="N8" i="2"/>
  <c r="F8" i="2"/>
  <c r="AL7" i="2"/>
  <c r="AD7" i="2"/>
  <c r="V7" i="2"/>
  <c r="N7" i="2"/>
  <c r="F7" i="2"/>
  <c r="AL6" i="2"/>
  <c r="AD6" i="2"/>
  <c r="V6" i="2"/>
  <c r="F6" i="2"/>
  <c r="M13" i="2"/>
  <c r="U12" i="2"/>
  <c r="E12" i="2"/>
  <c r="U11" i="2"/>
  <c r="AK10" i="2"/>
  <c r="M10" i="2"/>
  <c r="AK9" i="2"/>
  <c r="M9" i="2"/>
  <c r="AK8" i="2"/>
  <c r="U8" i="2"/>
  <c r="E8" i="2"/>
  <c r="AC7" i="2"/>
  <c r="U7" i="2"/>
  <c r="E7" i="2"/>
  <c r="AC6" i="2"/>
  <c r="M6" i="2"/>
  <c r="E6" i="2"/>
  <c r="AM15" i="3"/>
  <c r="S10" i="3"/>
  <c r="AI8" i="3"/>
  <c r="K7" i="3"/>
  <c r="AA70" i="2"/>
  <c r="C68" i="2"/>
  <c r="S66" i="2"/>
  <c r="AI64" i="2"/>
  <c r="K63" i="2"/>
  <c r="E61" i="2"/>
  <c r="C57" i="2"/>
  <c r="U56" i="2"/>
  <c r="S55" i="2"/>
  <c r="R54" i="2"/>
  <c r="M52" i="2"/>
  <c r="K51" i="2"/>
  <c r="J50" i="2"/>
  <c r="E49" i="2"/>
  <c r="U46" i="2"/>
  <c r="S45" i="2"/>
  <c r="AI42" i="2"/>
  <c r="K41" i="2"/>
  <c r="AH39" i="2"/>
  <c r="Z38" i="2"/>
  <c r="R37" i="2"/>
  <c r="J36" i="2"/>
  <c r="AP34" i="2"/>
  <c r="AH33" i="2"/>
  <c r="AP32" i="2"/>
  <c r="AH31" i="2"/>
  <c r="Z30" i="2"/>
  <c r="AK29" i="2"/>
  <c r="AM28" i="2"/>
  <c r="AN27" i="2"/>
  <c r="P26" i="2"/>
  <c r="S25" i="2"/>
  <c r="AA24" i="2"/>
  <c r="AI23" i="2"/>
  <c r="AK22" i="2"/>
  <c r="L22" i="2"/>
  <c r="T21" i="2"/>
  <c r="D21" i="2"/>
  <c r="T20" i="2"/>
  <c r="AB19" i="2"/>
  <c r="D19" i="2"/>
  <c r="L18" i="2"/>
  <c r="T17" i="2"/>
  <c r="AB16" i="2"/>
  <c r="AJ15" i="2"/>
  <c r="D15" i="2"/>
  <c r="L14" i="2"/>
  <c r="T13" i="2"/>
  <c r="AB12" i="2"/>
  <c r="AB11" i="2"/>
  <c r="L11" i="2"/>
  <c r="T10" i="2"/>
  <c r="AB9" i="2"/>
  <c r="AJ8" i="2"/>
  <c r="AJ7" i="2"/>
  <c r="D7" i="2"/>
  <c r="T30" i="3"/>
  <c r="W17" i="3"/>
  <c r="AA10" i="3"/>
  <c r="C9" i="3"/>
  <c r="S7" i="3"/>
  <c r="AI70" i="2"/>
  <c r="K69" i="2"/>
  <c r="E68" i="2"/>
  <c r="M67" i="2"/>
  <c r="U66" i="2"/>
  <c r="AC65" i="2"/>
  <c r="AK64" i="2"/>
  <c r="E64" i="2"/>
  <c r="M63" i="2"/>
  <c r="U62" i="2"/>
  <c r="AC61" i="2"/>
  <c r="J61" i="2"/>
  <c r="AA57" i="2"/>
  <c r="E57" i="2"/>
  <c r="Z56" i="2"/>
  <c r="C56" i="2"/>
  <c r="U55" i="2"/>
  <c r="AP54" i="2"/>
  <c r="S54" i="2"/>
  <c r="AK52" i="2"/>
  <c r="R52" i="2"/>
  <c r="AI51" i="2"/>
  <c r="M51" i="2"/>
  <c r="AH50" i="2"/>
  <c r="K50" i="2"/>
  <c r="AC49" i="2"/>
  <c r="J49" i="2"/>
  <c r="AA47" i="2"/>
  <c r="E47" i="2"/>
  <c r="Z46" i="2"/>
  <c r="C46" i="2"/>
  <c r="U45" i="2"/>
  <c r="AP43" i="2"/>
  <c r="S43" i="2"/>
  <c r="AK42" i="2"/>
  <c r="R42" i="2"/>
  <c r="AI41" i="2"/>
  <c r="M41" i="2"/>
  <c r="AH40" i="2"/>
  <c r="K40" i="2"/>
  <c r="AI39" i="2"/>
  <c r="S39" i="2"/>
  <c r="C39" i="2"/>
  <c r="AA38" i="2"/>
  <c r="K38" i="2"/>
  <c r="AI37" i="2"/>
  <c r="S37" i="2"/>
  <c r="C37" i="2"/>
  <c r="AA36" i="2"/>
  <c r="K36" i="2"/>
  <c r="AI35" i="2"/>
  <c r="S35" i="2"/>
  <c r="C35" i="2"/>
  <c r="AA34" i="2"/>
  <c r="K34" i="2"/>
  <c r="AI33" i="2"/>
  <c r="S33" i="2"/>
  <c r="C33" i="2"/>
  <c r="AA32" i="2"/>
  <c r="K32" i="2"/>
  <c r="AI31" i="2"/>
  <c r="S31" i="2"/>
  <c r="C31" i="2"/>
  <c r="AA30" i="2"/>
  <c r="K30" i="2"/>
  <c r="AM29" i="2"/>
  <c r="Z29" i="2"/>
  <c r="M29" i="2"/>
  <c r="AN28" i="2"/>
  <c r="AA28" i="2"/>
  <c r="O28" i="2"/>
  <c r="AP27" i="2"/>
  <c r="AC27" i="2"/>
  <c r="P27" i="2"/>
  <c r="C27" i="2"/>
  <c r="AE26" i="2"/>
  <c r="R26" i="2"/>
  <c r="E26" i="2"/>
  <c r="AF25" i="2"/>
  <c r="T25" i="2"/>
  <c r="J25" i="2"/>
  <c r="AM24" i="2"/>
  <c r="AB24" i="2"/>
  <c r="R24" i="2"/>
  <c r="G24" i="2"/>
  <c r="AJ23" i="2"/>
  <c r="Z23" i="2"/>
  <c r="P23" i="2"/>
  <c r="G23" i="2"/>
  <c r="AL22" i="2"/>
  <c r="AC22" i="2"/>
  <c r="U22" i="2"/>
  <c r="M22" i="2"/>
  <c r="E22" i="2"/>
  <c r="AK21" i="2"/>
  <c r="AC21" i="2"/>
  <c r="U21" i="2"/>
  <c r="M21" i="2"/>
  <c r="E21" i="2"/>
  <c r="AK20" i="2"/>
  <c r="AC20" i="2"/>
  <c r="U20" i="2"/>
  <c r="M20" i="2"/>
  <c r="E20" i="2"/>
  <c r="AK19" i="2"/>
  <c r="AC19" i="2"/>
  <c r="U19" i="2"/>
  <c r="M19" i="2"/>
  <c r="E19" i="2"/>
  <c r="AK18" i="2"/>
  <c r="AC18" i="2"/>
  <c r="U18" i="2"/>
  <c r="M18" i="2"/>
  <c r="E18" i="2"/>
  <c r="AK17" i="2"/>
  <c r="AC17" i="2"/>
  <c r="U17" i="2"/>
  <c r="M17" i="2"/>
  <c r="E17" i="2"/>
  <c r="AK16" i="2"/>
  <c r="AC16" i="2"/>
  <c r="U16" i="2"/>
  <c r="M16" i="2"/>
  <c r="E16" i="2"/>
  <c r="AK15" i="2"/>
  <c r="AC15" i="2"/>
  <c r="U15" i="2"/>
  <c r="M15" i="2"/>
  <c r="E15" i="2"/>
  <c r="AK14" i="2"/>
  <c r="AC14" i="2"/>
  <c r="U14" i="2"/>
  <c r="M14" i="2"/>
  <c r="E14" i="2"/>
  <c r="AK13" i="2"/>
  <c r="U13" i="2"/>
  <c r="E13" i="2"/>
  <c r="AK12" i="2"/>
  <c r="M12" i="2"/>
  <c r="AC11" i="2"/>
  <c r="E11" i="2"/>
  <c r="U10" i="2"/>
  <c r="AC9" i="2"/>
  <c r="E9" i="2"/>
  <c r="AC8" i="2"/>
  <c r="M8" i="2"/>
  <c r="AK7" i="2"/>
  <c r="M7" i="2"/>
  <c r="AK6" i="2"/>
  <c r="U6" i="2"/>
  <c r="AE28" i="3"/>
  <c r="C69" i="2"/>
  <c r="K67" i="2"/>
  <c r="AA65" i="2"/>
  <c r="C64" i="2"/>
  <c r="S62" i="2"/>
  <c r="Z57" i="2"/>
  <c r="AP55" i="2"/>
  <c r="AK54" i="2"/>
  <c r="AI52" i="2"/>
  <c r="AH51" i="2"/>
  <c r="AC50" i="2"/>
  <c r="AA49" i="2"/>
  <c r="Z47" i="2"/>
  <c r="AP45" i="2"/>
  <c r="AK43" i="2"/>
  <c r="M42" i="2"/>
  <c r="AC40" i="2"/>
  <c r="R39" i="2"/>
  <c r="J38" i="2"/>
  <c r="AP36" i="2"/>
  <c r="R35" i="2"/>
  <c r="J34" i="2"/>
  <c r="Z32" i="2"/>
  <c r="R31" i="2"/>
  <c r="J30" i="2"/>
  <c r="K29" i="2"/>
  <c r="M28" i="2"/>
  <c r="O27" i="2"/>
  <c r="AC26" i="2"/>
  <c r="C26" i="2"/>
  <c r="H25" i="2"/>
  <c r="P24" i="2"/>
  <c r="X23" i="2"/>
  <c r="F23" i="2"/>
  <c r="T22" i="2"/>
  <c r="AB21" i="2"/>
  <c r="AJ20" i="2"/>
  <c r="L20" i="2"/>
  <c r="T19" i="2"/>
  <c r="AJ18" i="2"/>
  <c r="D18" i="2"/>
  <c r="D17" i="2"/>
  <c r="T16" i="2"/>
  <c r="T15" i="2"/>
  <c r="AB14" i="2"/>
  <c r="AJ13" i="2"/>
  <c r="D13" i="2"/>
  <c r="L12" i="2"/>
  <c r="AJ10" i="2"/>
  <c r="D10" i="2"/>
  <c r="D9" i="2"/>
  <c r="L8" i="2"/>
  <c r="L7" i="2"/>
  <c r="T6" i="2"/>
  <c r="G27" i="3"/>
  <c r="O14" i="3"/>
  <c r="K10" i="3"/>
  <c r="AA8" i="3"/>
  <c r="C7" i="3"/>
  <c r="S70" i="2"/>
  <c r="AI68" i="2"/>
  <c r="AK67" i="2"/>
  <c r="E67" i="2"/>
  <c r="M66" i="2"/>
  <c r="U65" i="2"/>
  <c r="AC64" i="2"/>
  <c r="AK63" i="2"/>
  <c r="E63" i="2"/>
  <c r="M62" i="2"/>
  <c r="Z61" i="2"/>
  <c r="C61" i="2"/>
  <c r="U57" i="2"/>
  <c r="AP56" i="2"/>
  <c r="S56" i="2"/>
  <c r="AK55" i="2"/>
  <c r="R55" i="2"/>
  <c r="AI54" i="2"/>
  <c r="M54" i="2"/>
  <c r="AH52" i="2"/>
  <c r="K52" i="2"/>
  <c r="AC51" i="2"/>
  <c r="J51" i="2"/>
  <c r="AA50" i="2"/>
  <c r="E50" i="2"/>
  <c r="Z49" i="2"/>
  <c r="C49" i="2"/>
  <c r="U47" i="2"/>
  <c r="AP46" i="2"/>
  <c r="S46" i="2"/>
  <c r="AK45" i="2"/>
  <c r="R45" i="2"/>
  <c r="AI43" i="2"/>
  <c r="M43" i="2"/>
  <c r="AH42" i="2"/>
  <c r="K42" i="2"/>
  <c r="AC41" i="2"/>
  <c r="J41" i="2"/>
  <c r="AA40" i="2"/>
  <c r="H40" i="2"/>
  <c r="AF39" i="2"/>
  <c r="P39" i="2"/>
  <c r="AN38" i="2"/>
  <c r="X38" i="2"/>
  <c r="H38" i="2"/>
  <c r="AF37" i="2"/>
  <c r="P37" i="2"/>
  <c r="AN36" i="2"/>
  <c r="X36" i="2"/>
  <c r="H36" i="2"/>
  <c r="AF35" i="2"/>
  <c r="P35" i="2"/>
  <c r="AN34" i="2"/>
  <c r="X34" i="2"/>
  <c r="H34" i="2"/>
  <c r="AF33" i="2"/>
  <c r="P33" i="2"/>
  <c r="AN32" i="2"/>
  <c r="X32" i="2"/>
  <c r="H32" i="2"/>
  <c r="AF31" i="2"/>
  <c r="P31" i="2"/>
  <c r="AN30" i="2"/>
  <c r="X30" i="2"/>
  <c r="H30" i="2"/>
  <c r="AI29" i="2"/>
  <c r="W29" i="2"/>
  <c r="J29" i="2"/>
  <c r="AK28" i="2"/>
  <c r="X28" i="2"/>
  <c r="K28" i="2"/>
  <c r="AM27" i="2"/>
  <c r="Z27" i="2"/>
  <c r="M27" i="2"/>
  <c r="AN26" i="2"/>
  <c r="AA26" i="2"/>
  <c r="O26" i="2"/>
  <c r="AP25" i="2"/>
  <c r="AC25" i="2"/>
  <c r="R25" i="2"/>
  <c r="G25" i="2"/>
  <c r="AJ24" i="2"/>
  <c r="Z24" i="2"/>
  <c r="O24" i="2"/>
  <c r="D24" i="2"/>
  <c r="AH23" i="2"/>
  <c r="W23" i="2"/>
  <c r="N23" i="2"/>
  <c r="E23" i="2"/>
  <c r="AJ22" i="2"/>
  <c r="AA22" i="2"/>
  <c r="S22" i="2"/>
  <c r="K22" i="2"/>
  <c r="C22" i="2"/>
  <c r="AI21" i="2"/>
  <c r="AA21" i="2"/>
  <c r="S21" i="2"/>
  <c r="K21" i="2"/>
  <c r="C21" i="2"/>
  <c r="AI20" i="2"/>
  <c r="AA20" i="2"/>
  <c r="S20" i="2"/>
  <c r="K20" i="2"/>
  <c r="C20" i="2"/>
  <c r="AI19" i="2"/>
  <c r="AA19" i="2"/>
  <c r="S19" i="2"/>
  <c r="K19" i="2"/>
  <c r="C19" i="2"/>
  <c r="AI18" i="2"/>
  <c r="AA18" i="2"/>
  <c r="S18" i="2"/>
  <c r="K18" i="2"/>
  <c r="C18" i="2"/>
  <c r="AI17" i="2"/>
  <c r="AA17" i="2"/>
  <c r="S17" i="2"/>
  <c r="K17" i="2"/>
  <c r="C17" i="2"/>
  <c r="AI16" i="2"/>
  <c r="AA16" i="2"/>
  <c r="S16" i="2"/>
  <c r="K16" i="2"/>
  <c r="C16" i="2"/>
  <c r="AI15" i="2"/>
  <c r="AA15" i="2"/>
  <c r="S15" i="2"/>
  <c r="K15" i="2"/>
  <c r="C15" i="2"/>
  <c r="AI14" i="2"/>
  <c r="AA14" i="2"/>
  <c r="S14" i="2"/>
  <c r="K14" i="2"/>
  <c r="C14" i="2"/>
  <c r="AI13" i="2"/>
  <c r="AA13" i="2"/>
  <c r="S13" i="2"/>
  <c r="K13" i="2"/>
  <c r="C13" i="2"/>
  <c r="AI12" i="2"/>
  <c r="AA12" i="2"/>
  <c r="S12" i="2"/>
  <c r="K12" i="2"/>
  <c r="C12" i="2"/>
  <c r="AI11" i="2"/>
  <c r="AA11" i="2"/>
  <c r="S11" i="2"/>
  <c r="K11" i="2"/>
  <c r="C11" i="2"/>
  <c r="AI10" i="2"/>
  <c r="AA10" i="2"/>
  <c r="S10" i="2"/>
  <c r="K10" i="2"/>
  <c r="C10" i="2"/>
  <c r="AI9" i="2"/>
  <c r="AA9" i="2"/>
  <c r="S9" i="2"/>
  <c r="K9" i="2"/>
  <c r="C9" i="2"/>
  <c r="AI8" i="2"/>
  <c r="AA8" i="2"/>
  <c r="S8" i="2"/>
  <c r="K8" i="2"/>
  <c r="C8" i="2"/>
  <c r="AI7" i="2"/>
  <c r="AA7" i="2"/>
  <c r="S7" i="2"/>
  <c r="K7" i="2"/>
  <c r="C7" i="2"/>
  <c r="AI6" i="2"/>
  <c r="AA6" i="2"/>
  <c r="S6" i="2"/>
  <c r="K6" i="2"/>
  <c r="C6" i="2"/>
  <c r="AN25" i="2"/>
  <c r="M24" i="2"/>
  <c r="AF23" i="2"/>
  <c r="M23" i="2"/>
  <c r="AI22" i="2"/>
  <c r="R22" i="2"/>
  <c r="AP21" i="2"/>
  <c r="Z21" i="2"/>
  <c r="R21" i="2"/>
  <c r="AP20" i="2"/>
  <c r="Z20" i="2"/>
  <c r="J20" i="2"/>
  <c r="AP19" i="2"/>
  <c r="Z19" i="2"/>
  <c r="J19" i="2"/>
  <c r="AH18" i="2"/>
  <c r="Z18" i="2"/>
  <c r="J18" i="2"/>
  <c r="AH17" i="2"/>
  <c r="Z17" i="2"/>
  <c r="J17" i="2"/>
  <c r="AH16" i="2"/>
  <c r="R16" i="2"/>
  <c r="J16" i="2"/>
  <c r="AH15" i="2"/>
  <c r="R15" i="2"/>
  <c r="J15" i="2"/>
  <c r="AH14" i="2"/>
  <c r="R14" i="2"/>
  <c r="AP13" i="2"/>
  <c r="AH13" i="2"/>
  <c r="R13" i="2"/>
  <c r="AP12" i="2"/>
  <c r="Z12" i="2"/>
  <c r="J12" i="2"/>
  <c r="AH11" i="2"/>
  <c r="R11" i="2"/>
  <c r="AP10" i="2"/>
  <c r="Z10" i="2"/>
  <c r="J10" i="2"/>
  <c r="AP9" i="2"/>
  <c r="Z9" i="2"/>
  <c r="J9" i="2"/>
  <c r="W25" i="3"/>
  <c r="AE12" i="3"/>
  <c r="C10" i="3"/>
  <c r="S8" i="3"/>
  <c r="AI71" i="2"/>
  <c r="K70" i="2"/>
  <c r="AA68" i="2"/>
  <c r="AI67" i="2"/>
  <c r="C67" i="2"/>
  <c r="K66" i="2"/>
  <c r="S65" i="2"/>
  <c r="AA64" i="2"/>
  <c r="AI63" i="2"/>
  <c r="C63" i="2"/>
  <c r="K62" i="2"/>
  <c r="U61" i="2"/>
  <c r="AP57" i="2"/>
  <c r="S57" i="2"/>
  <c r="AK56" i="2"/>
  <c r="R56" i="2"/>
  <c r="AI55" i="2"/>
  <c r="M55" i="2"/>
  <c r="AH54" i="2"/>
  <c r="K54" i="2"/>
  <c r="AC52" i="2"/>
  <c r="J52" i="2"/>
  <c r="AA51" i="2"/>
  <c r="E51" i="2"/>
  <c r="Z50" i="2"/>
  <c r="C50" i="2"/>
  <c r="U49" i="2"/>
  <c r="AP47" i="2"/>
  <c r="S47" i="2"/>
  <c r="AK46" i="2"/>
  <c r="R46" i="2"/>
  <c r="AI45" i="2"/>
  <c r="M45" i="2"/>
  <c r="AH43" i="2"/>
  <c r="K43" i="2"/>
  <c r="AC42" i="2"/>
  <c r="J42" i="2"/>
  <c r="AA41" i="2"/>
  <c r="E41" i="2"/>
  <c r="Z40" i="2"/>
  <c r="E40" i="2"/>
  <c r="AC39" i="2"/>
  <c r="M39" i="2"/>
  <c r="AK38" i="2"/>
  <c r="U38" i="2"/>
  <c r="E38" i="2"/>
  <c r="AC37" i="2"/>
  <c r="M37" i="2"/>
  <c r="AK36" i="2"/>
  <c r="U36" i="2"/>
  <c r="E36" i="2"/>
  <c r="AC35" i="2"/>
  <c r="M35" i="2"/>
  <c r="AK34" i="2"/>
  <c r="U34" i="2"/>
  <c r="E34" i="2"/>
  <c r="AC33" i="2"/>
  <c r="M33" i="2"/>
  <c r="AK32" i="2"/>
  <c r="U32" i="2"/>
  <c r="E32" i="2"/>
  <c r="AC31" i="2"/>
  <c r="M31" i="2"/>
  <c r="AK30" i="2"/>
  <c r="U30" i="2"/>
  <c r="G30" i="2"/>
  <c r="AH29" i="2"/>
  <c r="U29" i="2"/>
  <c r="H29" i="2"/>
  <c r="AI28" i="2"/>
  <c r="W28" i="2"/>
  <c r="J28" i="2"/>
  <c r="AK27" i="2"/>
  <c r="X27" i="2"/>
  <c r="K27" i="2"/>
  <c r="AM26" i="2"/>
  <c r="Z26" i="2"/>
  <c r="M26" i="2"/>
  <c r="AA25" i="2"/>
  <c r="P25" i="2"/>
  <c r="E25" i="2"/>
  <c r="AI24" i="2"/>
  <c r="X24" i="2"/>
  <c r="C24" i="2"/>
  <c r="V23" i="2"/>
  <c r="D23" i="2"/>
  <c r="Z22" i="2"/>
  <c r="J22" i="2"/>
  <c r="AH21" i="2"/>
  <c r="J21" i="2"/>
  <c r="AH20" i="2"/>
  <c r="R20" i="2"/>
  <c r="AH19" i="2"/>
  <c r="R19" i="2"/>
  <c r="AP18" i="2"/>
  <c r="R18" i="2"/>
  <c r="AP17" i="2"/>
  <c r="R17" i="2"/>
  <c r="AP16" i="2"/>
  <c r="Z16" i="2"/>
  <c r="AP15" i="2"/>
  <c r="Z15" i="2"/>
  <c r="AP14" i="2"/>
  <c r="Z14" i="2"/>
  <c r="J14" i="2"/>
  <c r="Z13" i="2"/>
  <c r="J13" i="2"/>
  <c r="AH12" i="2"/>
  <c r="R12" i="2"/>
  <c r="AP11" i="2"/>
  <c r="Z11" i="2"/>
  <c r="J11" i="2"/>
  <c r="AH10" i="2"/>
  <c r="R10" i="2"/>
  <c r="AH9" i="2"/>
  <c r="R9" i="2"/>
  <c r="AP8" i="2"/>
  <c r="AH8" i="2"/>
  <c r="Z8" i="2"/>
  <c r="R8" i="2"/>
  <c r="J8" i="2"/>
  <c r="AP7" i="2"/>
  <c r="AH7" i="2"/>
  <c r="Z7" i="2"/>
  <c r="R7" i="2"/>
  <c r="J7" i="2"/>
  <c r="AP6" i="2"/>
  <c r="AH6" i="2"/>
  <c r="Z6" i="2"/>
  <c r="R6" i="2"/>
  <c r="J6" i="2"/>
  <c r="AM23" i="3"/>
  <c r="U11" i="3"/>
  <c r="AI9" i="3"/>
  <c r="K8" i="3"/>
  <c r="AA71" i="2"/>
  <c r="C70" i="2"/>
  <c r="U68" i="2"/>
  <c r="AC67" i="2"/>
  <c r="AK66" i="2"/>
  <c r="E66" i="2"/>
  <c r="M65" i="2"/>
  <c r="U64" i="2"/>
  <c r="AC63" i="2"/>
  <c r="AK62" i="2"/>
  <c r="E62" i="2"/>
  <c r="S61" i="2"/>
  <c r="AK57" i="2"/>
  <c r="R57" i="2"/>
  <c r="AI56" i="2"/>
  <c r="M56" i="2"/>
  <c r="AH55" i="2"/>
  <c r="K55" i="2"/>
  <c r="AC54" i="2"/>
  <c r="J54" i="2"/>
  <c r="AA52" i="2"/>
  <c r="E52" i="2"/>
  <c r="Z51" i="2"/>
  <c r="C51" i="2"/>
  <c r="U50" i="2"/>
  <c r="AP49" i="2"/>
  <c r="S49" i="2"/>
  <c r="AK47" i="2"/>
  <c r="R47" i="2"/>
  <c r="AI46" i="2"/>
  <c r="Z41" i="2"/>
  <c r="C38" i="2"/>
  <c r="AI34" i="2"/>
  <c r="AA31" i="2"/>
  <c r="AH28" i="2"/>
  <c r="K26" i="2"/>
  <c r="AP23" i="2"/>
  <c r="I22" i="2"/>
  <c r="Y20" i="2"/>
  <c r="AO18" i="2"/>
  <c r="Q17" i="2"/>
  <c r="AG15" i="2"/>
  <c r="I14" i="2"/>
  <c r="Y12" i="2"/>
  <c r="AO10" i="2"/>
  <c r="Q9" i="2"/>
  <c r="AG7" i="2"/>
  <c r="L6" i="2"/>
  <c r="I6" i="2"/>
  <c r="AA42" i="2"/>
  <c r="W24" i="2"/>
  <c r="Y14" i="2"/>
  <c r="AO15" i="2"/>
  <c r="Q6" i="2"/>
  <c r="M46" i="2"/>
  <c r="C41" i="2"/>
  <c r="AA37" i="2"/>
  <c r="S34" i="2"/>
  <c r="K31" i="2"/>
  <c r="U28" i="2"/>
  <c r="AM25" i="2"/>
  <c r="AE23" i="2"/>
  <c r="AO21" i="2"/>
  <c r="Q20" i="2"/>
  <c r="AG18" i="2"/>
  <c r="I17" i="2"/>
  <c r="Y15" i="2"/>
  <c r="AO13" i="2"/>
  <c r="Q12" i="2"/>
  <c r="AG10" i="2"/>
  <c r="I9" i="2"/>
  <c r="Y7" i="2"/>
  <c r="Y8" i="2"/>
  <c r="AA35" i="2"/>
  <c r="AG17" i="2"/>
  <c r="AG9" i="2"/>
  <c r="Q14" i="2"/>
  <c r="AH45" i="2"/>
  <c r="U40" i="2"/>
  <c r="K37" i="2"/>
  <c r="C34" i="2"/>
  <c r="AI30" i="2"/>
  <c r="H28" i="2"/>
  <c r="Z25" i="2"/>
  <c r="U23" i="2"/>
  <c r="AG21" i="2"/>
  <c r="I20" i="2"/>
  <c r="Y18" i="2"/>
  <c r="AO16" i="2"/>
  <c r="Q15" i="2"/>
  <c r="AG13" i="2"/>
  <c r="I12" i="2"/>
  <c r="Y10" i="2"/>
  <c r="AO8" i="2"/>
  <c r="Q7" i="2"/>
  <c r="D6" i="2"/>
  <c r="AI38" i="2"/>
  <c r="Y22" i="2"/>
  <c r="AO12" i="2"/>
  <c r="I19" i="2"/>
  <c r="Y9" i="2"/>
  <c r="K45" i="2"/>
  <c r="C40" i="2"/>
  <c r="AI36" i="2"/>
  <c r="AA33" i="2"/>
  <c r="S30" i="2"/>
  <c r="AI27" i="2"/>
  <c r="O25" i="2"/>
  <c r="L23" i="2"/>
  <c r="Y21" i="2"/>
  <c r="AO19" i="2"/>
  <c r="Q18" i="2"/>
  <c r="AG16" i="2"/>
  <c r="I15" i="2"/>
  <c r="Y13" i="2"/>
  <c r="AO11" i="2"/>
  <c r="Q10" i="2"/>
  <c r="AG8" i="2"/>
  <c r="I7" i="2"/>
  <c r="AG6" i="2"/>
  <c r="S32" i="2"/>
  <c r="Q19" i="2"/>
  <c r="Y6" i="2"/>
  <c r="AG12" i="2"/>
  <c r="AC43" i="2"/>
  <c r="AA39" i="2"/>
  <c r="S36" i="2"/>
  <c r="K33" i="2"/>
  <c r="E30" i="2"/>
  <c r="W27" i="2"/>
  <c r="D25" i="2"/>
  <c r="C23" i="2"/>
  <c r="Q21" i="2"/>
  <c r="AG19" i="2"/>
  <c r="I18" i="2"/>
  <c r="Y16" i="2"/>
  <c r="AO14" i="2"/>
  <c r="Q13" i="2"/>
  <c r="AG11" i="2"/>
  <c r="I10" i="2"/>
  <c r="AO6" i="2"/>
  <c r="S29" i="2"/>
  <c r="AO20" i="2"/>
  <c r="Q11" i="2"/>
  <c r="Y17" i="2"/>
  <c r="AO7" i="2"/>
  <c r="J43" i="2"/>
  <c r="K39" i="2"/>
  <c r="C36" i="2"/>
  <c r="AI32" i="2"/>
  <c r="AF29" i="2"/>
  <c r="J27" i="2"/>
  <c r="AH24" i="2"/>
  <c r="AH22" i="2"/>
  <c r="I21" i="2"/>
  <c r="Y19" i="2"/>
  <c r="AO17" i="2"/>
  <c r="Q16" i="2"/>
  <c r="AG14" i="2"/>
  <c r="I13" i="2"/>
  <c r="Y11" i="2"/>
  <c r="AO9" i="2"/>
  <c r="Q8" i="2"/>
  <c r="AK26" i="2"/>
  <c r="I16" i="2"/>
  <c r="I8" i="2"/>
  <c r="I11" i="2"/>
  <c r="E42" i="2"/>
  <c r="S38" i="2"/>
  <c r="K35" i="2"/>
  <c r="C32" i="2"/>
  <c r="G29" i="2"/>
  <c r="X26" i="2"/>
  <c r="L24" i="2"/>
  <c r="Q22" i="2"/>
  <c r="AG20" i="2"/>
</calcChain>
</file>

<file path=xl/sharedStrings.xml><?xml version="1.0" encoding="utf-8"?>
<sst xmlns="http://schemas.openxmlformats.org/spreadsheetml/2006/main" count="956" uniqueCount="500">
  <si>
    <t>Revenue</t>
  </si>
  <si>
    <t>Gross Profit</t>
  </si>
  <si>
    <t>Cash &amp; Equivalents</t>
  </si>
  <si>
    <t>Reference Items</t>
  </si>
  <si>
    <t>Right click to show data transparency (not supported for all values)</t>
  </si>
  <si>
    <t>Exxon Mobil Corp (XOM US) - Adjusted</t>
  </si>
  <si>
    <t>In Millions of USD except Per Share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</si>
  <si>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</si>
  <si>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</si>
  <si>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</si>
  <si>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</si>
  <si>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</si>
  <si>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</si>
  <si>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</si>
  <si>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</si>
  <si>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</si>
  <si>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</si>
  <si>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</si>
  <si>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</si>
  <si>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</si>
  <si>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</si>
  <si>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</si>
  <si>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</si>
  <si>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</si>
  <si>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</si>
  <si>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</si>
  <si>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</si>
  <si>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</si>
  <si>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</si>
  <si>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</si>
  <si>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</si>
  <si>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</si>
  <si>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</si>
  <si>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</si>
  <si>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</si>
  <si>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</si>
  <si>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</si>
  <si>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</si>
  <si>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</si>
  <si>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</si>
  <si>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</si>
  <si>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</si>
  <si>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</si>
  <si>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</si>
  <si>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</si>
  <si>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</si>
  <si>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</si>
  <si>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3 Months Ending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</si>
  <si>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</si>
  <si>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</si>
  <si>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</si>
  <si>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</si>
  <si>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</si>
  <si>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</si>
  <si>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</si>
  <si>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</si>
  <si>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</si>
  <si>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</si>
  <si>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</si>
  <si>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</si>
  <si>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</si>
  <si>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</si>
  <si>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</si>
  <si>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</si>
  <si>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</si>
  <si>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</si>
  <si>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</si>
  <si>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</si>
  <si>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</si>
  <si>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</si>
  <si>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</si>
  <si>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</si>
  <si>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</si>
  <si>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</si>
  <si>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</si>
  <si>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</si>
  <si>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</si>
  <si>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</si>
  <si>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</si>
  <si>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</si>
  <si>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</si>
  <si>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</si>
  <si>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</si>
  <si>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</si>
  <si>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</si>
  <si>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</si>
  <si>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</si>
  <si>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</si>
  <si>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</si>
  <si>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</si>
  <si>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</si>
  <si>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</si>
  <si>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</si>
  <si>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</si>
  <si>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</si>
  <si>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  + Depreciation &amp; Amortization</t>
  </si>
  <si>
    <t>IS_D&amp;A_COST_OF_REVENUE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</si>
  <si>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</si>
  <si>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</si>
  <si>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</si>
  <si>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</si>
  <si>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</si>
  <si>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</si>
  <si>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</si>
  <si>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</si>
  <si>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</si>
  <si>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</si>
  <si>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</si>
  <si>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</si>
  <si>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</si>
  <si>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</si>
  <si>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</si>
  <si>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</si>
  <si>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</si>
  <si>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</si>
  <si>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</si>
  <si>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</si>
  <si>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</si>
  <si>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</si>
  <si>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</si>
  <si>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</si>
  <si>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</si>
  <si>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</si>
  <si>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</si>
  <si>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</si>
  <si>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</si>
  <si>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</si>
  <si>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</si>
  <si>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Disposal of Assets</t>
  </si>
  <si>
    <t>IS_GAIN_LOSS_DISPOSAL_ASSETS</t>
  </si>
  <si>
    <t xml:space="preserve">    + Asset Write-Down</t>
  </si>
  <si>
    <t>IS_IMPAIRMENT_ASSETS</t>
  </si>
  <si>
    <t xml:space="preserve">    + Gain/Loss on Sale/Acquisition of Business</t>
  </si>
  <si>
    <t>IS_SALE_OF_BUSINESS</t>
  </si>
  <si>
    <t xml:space="preserve">    + Legal Settlement</t>
  </si>
  <si>
    <t>IS_LEGAL_LITIGATION_SETTLEMENT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</si>
  <si>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</si>
  <si>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</si>
  <si>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</si>
  <si>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</si>
  <si>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</si>
  <si>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</si>
  <si>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</si>
  <si>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</si>
  <si>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</si>
  <si>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</si>
  <si>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</si>
  <si>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</si>
  <si>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</si>
  <si>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</si>
  <si>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</si>
  <si>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</si>
  <si>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</si>
  <si>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</si>
  <si>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</si>
  <si>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</si>
  <si>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</si>
  <si>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</si>
  <si>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</si>
  <si>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</si>
  <si>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</si>
  <si>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</si>
  <si>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</si>
  <si>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</si>
  <si>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</si>
  <si>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</si>
  <si>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</si>
  <si>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</si>
  <si>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</si>
  <si>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</si>
  <si>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</si>
  <si>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</si>
  <si>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</si>
  <si>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</si>
  <si>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</si>
  <si>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</si>
  <si>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</si>
  <si>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</si>
  <si>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</si>
  <si>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</si>
  <si>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</si>
  <si>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</si>
  <si>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</si>
  <si>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</si>
  <si>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</si>
  <si>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</si>
  <si>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</si>
  <si>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</si>
  <si>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</si>
  <si>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</si>
  <si>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</si>
  <si>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</si>
  <si>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</si>
  <si>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</si>
  <si>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</si>
  <si>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</si>
  <si>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</si>
  <si>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</si>
  <si>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</si>
  <si>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</si>
  <si>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</si>
  <si>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Depreciation Expense</t>
  </si>
  <si>
    <t>IS_DEPR_EXP</t>
  </si>
  <si>
    <t>Source: Bloomberg</t>
  </si>
  <si>
    <t>Exxon Mobil Corp (XOM US) - Standardized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</si>
  <si>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</si>
  <si>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</si>
  <si>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</si>
  <si>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</si>
  <si>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</si>
  <si>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</si>
  <si>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</si>
  <si>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</si>
  <si>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</si>
  <si>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</si>
  <si>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</si>
  <si>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</si>
  <si>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</si>
  <si>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</si>
  <si>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</si>
  <si>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</si>
  <si>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</si>
  <si>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</si>
  <si>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</si>
  <si>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</si>
  <si>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</si>
  <si>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</si>
  <si>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</si>
  <si>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</si>
  <si>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</si>
  <si>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</si>
  <si>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BS_DERIV_&amp;_HEDGING_ASSETS_ST</t>
  </si>
  <si>
    <t xml:space="preserve">    + Deferred Tax Assets</t>
  </si>
  <si>
    <t>BS_DEFERRED_TAX_ASSETS_ST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</si>
  <si>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</si>
  <si>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</si>
  <si>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</si>
  <si>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</si>
  <si>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</si>
  <si>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</si>
  <si>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</si>
  <si>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</si>
  <si>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</si>
  <si>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</si>
  <si>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</si>
  <si>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</si>
  <si>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</si>
  <si>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</si>
  <si>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  + LT Receivables</t>
  </si>
  <si>
    <t>BS_LT_RECEIVABLES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</si>
  <si>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</si>
  <si>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</si>
  <si>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</si>
  <si>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</si>
  <si>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</si>
  <si>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</si>
  <si>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</si>
  <si>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</si>
  <si>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>BS_DEFERRED_TAX_ASSETS_LT</t>
  </si>
  <si>
    <t>BS_DERIV_&amp;_HEDGING_ASSETS_LT</t>
  </si>
  <si>
    <t xml:space="preserve">    + Prepaid Pension Costs</t>
  </si>
  <si>
    <t>BS_PREPAID_PENSION_COSTS_LT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</si>
  <si>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</si>
  <si>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</si>
  <si>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</si>
  <si>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</si>
  <si>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</si>
  <si>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</si>
  <si>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</si>
  <si>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</si>
  <si>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</si>
  <si>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</si>
  <si>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</si>
  <si>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</si>
  <si>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</si>
  <si>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</si>
  <si>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</si>
  <si>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BS_INTEREST_&amp;_DIVIDENDS_PAYABLE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</si>
  <si>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</si>
  <si>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</si>
  <si>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</si>
  <si>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</si>
  <si>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</si>
  <si>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</si>
  <si>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</si>
  <si>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</si>
  <si>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</si>
  <si>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</si>
  <si>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</si>
  <si>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</si>
  <si>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</si>
  <si>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</si>
  <si>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Deferred Tax Liabilities</t>
  </si>
  <si>
    <t>BS_DEFERRED_TAX_LIABS_ST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</si>
  <si>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</si>
  <si>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</si>
  <si>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</si>
  <si>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</si>
  <si>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</si>
  <si>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</si>
  <si>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</si>
  <si>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</si>
  <si>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</si>
  <si>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</si>
  <si>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</si>
  <si>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</si>
  <si>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</si>
  <si>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</si>
  <si>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>LT_DEFERRED_REVENUE</t>
  </si>
  <si>
    <t>BS_DEFERRED_TAX_LIABILITIES_LT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</si>
  <si>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</si>
  <si>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</si>
  <si>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</si>
  <si>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</si>
  <si>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</si>
  <si>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</si>
  <si>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</si>
  <si>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</si>
  <si>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</si>
  <si>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</si>
  <si>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</si>
  <si>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</si>
  <si>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</si>
  <si>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</si>
  <si>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</si>
  <si>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</si>
  <si>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</si>
  <si>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</si>
  <si>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</si>
  <si>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</si>
  <si>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</si>
  <si>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</si>
  <si>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</si>
  <si>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</si>
  <si>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</si>
  <si>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</si>
  <si>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</si>
  <si>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</si>
  <si>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</si>
  <si>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</si>
  <si>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</si>
  <si>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</si>
  <si>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</si>
  <si>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</si>
  <si>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</si>
  <si>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</si>
  <si>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</si>
  <si>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</si>
  <si>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</si>
  <si>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</si>
  <si>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</si>
  <si>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</si>
  <si>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</si>
  <si>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</si>
  <si>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</si>
  <si>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</si>
  <si>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</si>
  <si>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</si>
  <si>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</si>
  <si>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</si>
  <si>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</si>
  <si>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</si>
  <si>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</si>
  <si>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</si>
  <si>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</si>
  <si>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</si>
  <si>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</si>
  <si>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</si>
  <si>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</si>
  <si>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</si>
  <si>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</si>
  <si>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</si>
  <si>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</si>
  <si>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</si>
  <si>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</si>
  <si>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</si>
  <si>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</si>
  <si>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</si>
  <si>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</si>
  <si>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</si>
  <si>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</si>
  <si>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</si>
  <si>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</si>
  <si>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</si>
  <si>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</si>
  <si>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</si>
  <si>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</si>
  <si>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</si>
  <si>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</si>
  <si>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</si>
  <si>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</si>
  <si>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</si>
  <si>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</si>
  <si>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</si>
  <si>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</si>
  <si>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</si>
  <si>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</si>
  <si>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</si>
  <si>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</si>
  <si>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</si>
  <si>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</si>
  <si>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</si>
  <si>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</si>
  <si>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</si>
  <si>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</si>
  <si>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</si>
  <si>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</si>
  <si>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</si>
  <si>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</si>
  <si>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</si>
  <si>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</si>
  <si>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</si>
  <si>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</si>
  <si>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</si>
  <si>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</si>
  <si>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</si>
  <si>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</si>
  <si>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</si>
  <si>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</si>
  <si>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</si>
  <si>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</si>
  <si>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</si>
  <si>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</si>
  <si>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</si>
  <si>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</si>
  <si>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</si>
  <si>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</si>
  <si>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</si>
  <si>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</si>
  <si>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</si>
  <si>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</si>
  <si>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</si>
  <si>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</si>
  <si>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</si>
  <si>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CF_OTHER_FINANCING_ACT_EXCL_FX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</si>
  <si>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</si>
  <si>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</si>
  <si>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</si>
  <si>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</si>
  <si>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</si>
  <si>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</si>
  <si>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</si>
  <si>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</si>
  <si>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</si>
  <si>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</si>
  <si>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</si>
  <si>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</si>
  <si>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</si>
  <si>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</si>
  <si>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</si>
  <si>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</si>
  <si>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</si>
  <si>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</si>
  <si>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</si>
  <si>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</si>
  <si>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</si>
  <si>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</si>
  <si>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</si>
  <si>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</si>
  <si>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</si>
  <si>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</si>
  <si>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</si>
  <si>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Exxon Mobil Corp (XOM US) - Per Share</t>
  </si>
  <si>
    <t>Basic Shares Outstanding</t>
  </si>
  <si>
    <t>Per Share Data Items</t>
  </si>
  <si>
    <t>REVENUE_PER_SH</t>
  </si>
  <si>
    <t>EBITDA_PER_SH</t>
  </si>
  <si>
    <t>Operating Income</t>
  </si>
  <si>
    <t>OPER_INC_PER_SH</t>
  </si>
  <si>
    <t>Net Income to Common - Basic</t>
  </si>
  <si>
    <t>Net Income before XO - Basic</t>
  </si>
  <si>
    <t>Normalized Net Income - Basic</t>
  </si>
  <si>
    <t>Net Income to Common - Diluted</t>
  </si>
  <si>
    <t>Net Income before XO - Diluted</t>
  </si>
  <si>
    <t>Normalized Net Income - Diluted</t>
  </si>
  <si>
    <t>Dividends</t>
  </si>
  <si>
    <t>Cash Flow</t>
  </si>
  <si>
    <t>CASH_FLOW_PER_SH</t>
  </si>
  <si>
    <t>CASH_ST_INVESTMENTS_PER_SH</t>
  </si>
  <si>
    <t>Book Value</t>
  </si>
  <si>
    <t>BOOK_VAL_PER_SH</t>
  </si>
  <si>
    <t>Tangible Book Value</t>
  </si>
  <si>
    <t>TANG_BOOK_VAL_PER_SH</t>
  </si>
  <si>
    <t>Exxon Mobil Corp (XOM US) - Stock Value</t>
  </si>
  <si>
    <t>Last Price</t>
  </si>
  <si>
    <t>PX_LAST</t>
  </si>
  <si>
    <t xml:space="preserve">  Period-over-Period % Change</t>
  </si>
  <si>
    <t>CHG_PCT_PERIOD</t>
  </si>
  <si>
    <t>Open Price</t>
  </si>
  <si>
    <t>PX_OPEN</t>
  </si>
  <si>
    <t>High Price</t>
  </si>
  <si>
    <t>PX_HIGH</t>
  </si>
  <si>
    <t>Low Price</t>
  </si>
  <si>
    <t>PX_LOW</t>
  </si>
  <si>
    <t>Market Capitalization</t>
  </si>
  <si>
    <t>HISTORICAL_MARKET_CAP</t>
  </si>
  <si>
    <t xml:space="preserve">  Current Shares Outstanding</t>
  </si>
  <si>
    <t>EQY_SH_OUT</t>
  </si>
  <si>
    <t xml:space="preserve">  Equity Float</t>
  </si>
  <si>
    <t>EQY_FLOAT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</si>
</sst>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4" fontId="11" fillId="34" borderId="2">
      <alignment horizontal="right"/>
    </xf>
  </cellStyleXfs>
  <cellXfs count="20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71" fontId="8" fillId="34" borderId="2" xfId="57" applyNumberFormat="1" applyFont="1" applyFill="1" applyBorder="1" applyAlignment="1" applyProtection="1">
      <alignment horizontal="right"/>
    </xf>
    <xf numFmtId="4" fontId="8" fillId="34" borderId="2" xfId="58" applyNumberFormat="1" applyFont="1" applyFill="1" applyBorder="1" applyAlignment="1" applyProtection="1">
      <alignment horizontal="right"/>
    </xf>
    <xf numFmtId="171" fontId="11" fillId="34" borderId="2" xfId="59" applyNumberFormat="1" applyFont="1" applyFill="1" applyBorder="1" applyAlignment="1" applyProtection="1">
      <alignment horizontal="right"/>
    </xf>
    <xf numFmtId="4" fontId="11" fillId="34" borderId="2" xfId="60" applyNumberFormat="1" applyFont="1" applyFill="1" applyBorder="1" applyAlignment="1" applyProtection="1">
      <alignment horizontal="right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6"/>
    <cellStyle name="fa_data_bold_1_grouped" xfId="57"/>
    <cellStyle name="fa_data_bold_2_grouped" xfId="58"/>
    <cellStyle name="fa_data_italic_1_grouped" xfId="59"/>
    <cellStyle name="fa_data_italic_2_grouped" xfId="60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68024</v>
        <stp/>
        <stp>##V3_BDHV12</stp>
        <stp>XOM US Equity</stp>
        <stp>IS_COGS_TO_FE_AND_PP_AND_G</stp>
        <stp>FQ4 2009</stp>
        <stp>FQ4 2009</stp>
        <stp>[FA1_m42y3cpi.xlsx]Income - Adjusted!R8C8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 t="s">
        <v>—</v>
        <stp/>
        <stp>##V3_BDHV12</stp>
        <stp>XOM US Equity</stp>
        <stp>IS_IMPAIRMENT_ASSETS</stp>
        <stp>FQ1 2011</stp>
        <stp>FQ1 2011</stp>
        <stp>[FA1_m42y3cpi.xlsx]Income - Adjusted!R28C13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2"/>
      </tp>
      <tp>
        <v>2027</v>
        <stp/>
        <stp>##V3_BDHV12</stp>
        <stp>XOM US Equity</stp>
        <stp>IS_IMPAIRMENT_ASSETS</stp>
        <stp>FQ4 2016</stp>
        <stp>FQ4 2016</stp>
        <stp>[FA1_m42y3cpi.xlsx]Income - Adjusted!R28C36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2"/>
      </tp>
      <tp>
        <v>2798</v>
        <stp/>
        <stp>##V3_BDHV12</stp>
        <stp>XOM US Equity</stp>
        <stp>OTHER_CURRENT_ASSETS_DETAILED</stp>
        <stp>FQ4 2015</stp>
        <stp>FQ4 2015</stp>
        <stp>[FA1_m42y3cpi.xlsx]Bal Sheet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3"/>
      </tp>
      <tp t="s">
        <v>—</v>
        <stp/>
        <stp>##V3_BDHV12</stp>
        <stp>XOM US Equity</stp>
        <stp>IS_IMPAIRMENT_ASSETS</stp>
        <stp>FQ2 2012</stp>
        <stp>FQ2 2012</stp>
        <stp>[FA1_m42y3cpi.xlsx]Income - Adjusted!R28C18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2"/>
      </tp>
      <tp>
        <v>1285</v>
        <stp/>
        <stp>##V3_BDHV12</stp>
        <stp>XOM US Equity</stp>
        <stp>OTHER_CURRENT_ASSETS_DETAILED</stp>
        <stp>FQ4 2016</stp>
        <stp>FQ4 2016</stp>
        <stp>[FA1_m42y3cpi.xlsx]Bal Sheet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3"/>
      </tp>
      <tp>
        <v>164291</v>
        <stp/>
        <stp>##V3_BDHV12</stp>
        <stp>XOM US Equity</stp>
        <stp>BS_TOT_LIAB2</stp>
        <stp>FQ1 2016</stp>
        <stp>FQ1 2016</stp>
        <stp>[FA1_m42y3cpi.xlsx]Bal Sheet - Standardized!R66C33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6" s="3"/>
      </tp>
      <tp t="s">
        <v>—</v>
        <stp/>
        <stp>##V3_BDHV12</stp>
        <stp>XOM US Equity</stp>
        <stp>IS_GAIN_LOSS_DISPOSAL_ASSETS</stp>
        <stp>FQ4 2011</stp>
        <stp>FQ4 2011</stp>
        <stp>[FA1_m42y3cpi.xlsx]Income - Adjusted!R27C16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2"/>
      </tp>
      <tp t="s">
        <v>—</v>
        <stp/>
        <stp>##V3_BDHV12</stp>
        <stp>XOM US Equity</stp>
        <stp>IS_GAIN_LOSS_DISPOSAL_ASSETS</stp>
        <stp>FQ1 2016</stp>
        <stp>FQ1 2016</stp>
        <stp>[FA1_m42y3cpi.xlsx]Income - Adjusted!R27C33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2"/>
      </tp>
      <tp t="s">
        <v>—</v>
        <stp/>
        <stp>##V3_BDHV12</stp>
        <stp>XOM US Equity</stp>
        <stp>IS_GAIN_LOSS_DISPOSAL_ASSETS</stp>
        <stp>FQ2 2015</stp>
        <stp>FQ2 2015</stp>
        <stp>[FA1_m42y3cpi.xlsx]Income - Adjusted!R27C30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2"/>
      </tp>
      <tp>
        <v>161015</v>
        <stp/>
        <stp>##V3_BDHV12</stp>
        <stp>XOM US Equity</stp>
        <stp>BS_TOT_LIAB2</stp>
        <stp>FQ3 2011</stp>
        <stp>FQ3 2011</stp>
        <stp>[FA1_m42y3cpi.xlsx]Bal Sheet - Standardized!R66C15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6" s="3"/>
      </tp>
      <tp>
        <v>160438</v>
        <stp/>
        <stp>##V3_BDHV12</stp>
        <stp>XOM US Equity</stp>
        <stp>BS_TOT_LIAB2</stp>
        <stp>FQ1 2017</stp>
        <stp>FQ1 2017</stp>
        <stp>[FA1_m42y3cpi.xlsx]Bal Sheet - Standardized!R66C37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6" s="3"/>
      </tp>
      <tp t="s">
        <v>—</v>
        <stp/>
        <stp>##V3_BDHV12</stp>
        <stp>XOM US Equity</stp>
        <stp>IS_GAIN_LOSS_DISPOSAL_ASSETS</stp>
        <stp>FQ2 2014</stp>
        <stp>FQ2 2014</stp>
        <stp>[FA1_m42y3cpi.xlsx]Income - Adjusted!R27C26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2"/>
      </tp>
      <tp>
        <v>-923.07690000000002</v>
        <stp/>
        <stp>##V3_BDHV12</stp>
        <stp>XOM US Equity</stp>
        <stp>IS_GAIN_LOSS_DISPOSAL_ASSETS</stp>
        <stp>FQ4 2012</stp>
        <stp>FQ4 2012</stp>
        <stp>[FA1_m42y3cpi.xlsx]Income - Adjusted!R27C20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2"/>
      </tp>
      <tp>
        <v>149394</v>
        <stp/>
        <stp>##V3_BDHV12</stp>
        <stp>XOM US Equity</stp>
        <stp>BS_TOT_LIAB2</stp>
        <stp>FQ3 2010</stp>
        <stp>FQ3 2010</stp>
        <stp>[FA1_m42y3cpi.xlsx]Bal Sheet - Standardized!R66C11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6" s="3"/>
      </tp>
      <tp>
        <v>85</v>
        <stp/>
        <stp>##V3_BDHV12</stp>
        <stp>XOM US Equity</stp>
        <stp>IS_INT_EXPENSE</stp>
        <stp>FQ2 2013</stp>
        <stp>FQ2 2013</stp>
        <stp>[FA1_m42y3cpi.xlsx]Income - Adjusted!R19C22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9" s="2"/>
      </tp>
      <tp>
        <v>54</v>
        <stp/>
        <stp>##V3_BDHV12</stp>
        <stp>XOM US Equity</stp>
        <stp>IS_INT_EXPENSE</stp>
        <stp>FQ3 2010</stp>
        <stp>FQ3 2010</stp>
        <stp>[FA1_m42y3cpi.xlsx]Income - Adjusted!R19C11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9" s="2"/>
      </tp>
      <tp>
        <v>66</v>
        <stp/>
        <stp>##V3_BDHV12</stp>
        <stp>XOM US Equity</stp>
        <stp>IS_INT_EXPENSE</stp>
        <stp>FQ1 2014</stp>
        <stp>FQ1 2014</stp>
        <stp>[FA1_m42y3cpi.xlsx]Income - Adjusted!R19C25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9" s="2"/>
      </tp>
      <tp>
        <v>162836</v>
        <stp/>
        <stp>##V3_BDHV12</stp>
        <stp>XOM US Equity</stp>
        <stp>BS_TOT_LIAB2</stp>
        <stp>FQ3 2012</stp>
        <stp>FQ3 2012</stp>
        <stp>[FA1_m42y3cpi.xlsx]Bal Sheet - Standardized!R66C19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6" s="3"/>
      </tp>
      <tp>
        <v>4234.5290000000005</v>
        <stp/>
        <stp>##V3_BDHV12</stp>
        <stp>XOM US Equity</stp>
        <stp>EQY_SH_OUT</stp>
        <stp>FQ4 2014</stp>
        <stp>FQ4 2014</stp>
        <stp>[FA1_m42y3cpi.xlsx]Stock Value!R13C28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3" s="6"/>
      </tp>
      <tp>
        <v>8232</v>
        <stp/>
        <stp>##V3_BDHV12</stp>
        <stp>XOM US Equity</stp>
        <stp>OTHER_NONCURRENT_ASSETS_DETAILED</stp>
        <stp>FQ3 2013</stp>
        <stp>FQ3 2013</stp>
        <stp>[FA1_m42y3cpi.xlsx]Bal Sheet - Standardized!R37C23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7" s="3"/>
      </tp>
      <tp>
        <v>26893</v>
        <stp/>
        <stp>##V3_BDHV12</stp>
        <stp>XOM US Equity</stp>
        <stp>BS_DEFERRED_TAX_LIABILITIES_LT</stp>
        <stp>FQ4 2017</stp>
        <stp>FQ4 2017</stp>
        <stp>[FA1_m42y3cpi.xlsx]Bal Sheet - Standardized!R62C40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2" s="3"/>
      </tp>
      <tp>
        <v>36121</v>
        <stp/>
        <stp>##V3_BDHV12</stp>
        <stp>XOM US Equity</stp>
        <stp>BS_DEFERRED_TAX_LIABILITIES_LT</stp>
        <stp>FQ1 2011</stp>
        <stp>FQ1 2011</stp>
        <stp>[FA1_m42y3cpi.xlsx]Bal Sheet - Standardized!R62C13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2" s="3"/>
      </tp>
      <tp>
        <v>38947</v>
        <stp/>
        <stp>##V3_BDHV12</stp>
        <stp>XOM US Equity</stp>
        <stp>BS_DEFERRED_TAX_LIABILITIES_LT</stp>
        <stp>FQ2 2013</stp>
        <stp>FQ2 2013</stp>
        <stp>[FA1_m42y3cpi.xlsx]Bal Sheet - Standardized!R62C22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2" s="3"/>
      </tp>
      <tp>
        <v>41000</v>
        <stp/>
        <stp>##V3_BDHV12</stp>
        <stp>XOM US Equity</stp>
        <stp>BS_DEFERRED_TAX_LIABILITIES_LT</stp>
        <stp>FQ2 2014</stp>
        <stp>FQ2 2014</stp>
        <stp>[FA1_m42y3cpi.xlsx]Bal Sheet - Standardized!R62C26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2" s="3"/>
      </tp>
      <tp>
        <v>34857</v>
        <stp/>
        <stp>##V3_BDHV12</stp>
        <stp>XOM US Equity</stp>
        <stp>BS_DEFERRED_TAX_LIABILITIES_LT</stp>
        <stp>FQ3 2016</stp>
        <stp>FQ3 2016</stp>
        <stp>[FA1_m42y3cpi.xlsx]Bal Sheet - Standardized!R62C35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2" s="3"/>
      </tp>
      <tp>
        <v>7751</v>
        <stp/>
        <stp>##V3_BDHV12</stp>
        <stp>XOM US Equity</stp>
        <stp>OTHER_NONCURRENT_ASSETS_DETAILED</stp>
        <stp>FQ3 2014</stp>
        <stp>FQ3 2014</stp>
        <stp>[FA1_m42y3cpi.xlsx]Bal Sheet - Standardized!R37C27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7" s="3"/>
      </tp>
      <tp>
        <v>8401</v>
        <stp/>
        <stp>##V3_BDHV12</stp>
        <stp>XOM US Equity</stp>
        <stp>OTHER_NONCURRENT_ASSETS_DETAILED</stp>
        <stp>FQ2 2016</stp>
        <stp>FQ2 2016</stp>
        <stp>[FA1_m42y3cpi.xlsx]Bal Sheet - Standardized!R37C34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7" s="3"/>
      </tp>
      <tp>
        <v>8798</v>
        <stp/>
        <stp>##V3_BDHV12</stp>
        <stp>XOM US Equity</stp>
        <stp>OTHER_NONCURRENT_ASSETS_DETAILED</stp>
        <stp>FQ2 2015</stp>
        <stp>FQ2 2015</stp>
        <stp>[FA1_m42y3cpi.xlsx]Bal Sheet - Standardized!R37C30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7" s="3"/>
      </tp>
      <tp>
        <v>224</v>
        <stp/>
        <stp>##V3_BDHV12</stp>
        <stp>XOM US Equity</stp>
        <stp>CF_NET_CHNG_CASH</stp>
        <stp>FQ3 2017</stp>
        <stp>FQ3 2017</stp>
        <stp>[FA1_m42y3cpi.xlsx]Cash Flow - Standardized!R53C39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3" s="4"/>
      </tp>
      <tp>
        <v>38210</v>
        <stp/>
        <stp>##V3_BDHV12</stp>
        <stp>XOM US Equity</stp>
        <stp>BS_DEFERRED_TAX_LIABILITIES_LT</stp>
        <stp>FQ3 2015</stp>
        <stp>FQ3 2015</stp>
        <stp>[FA1_m42y3cpi.xlsx]Bal Sheet - Standardized!R62C31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2" s="3"/>
      </tp>
      <tp>
        <v>36286</v>
        <stp/>
        <stp>##V3_BDHV12</stp>
        <stp>XOM US Equity</stp>
        <stp>BS_DEFERRED_TAX_LIABILITIES_LT</stp>
        <stp>FQ1 2012</stp>
        <stp>FQ1 2012</stp>
        <stp>[FA1_m42y3cpi.xlsx]Bal Sheet - Standardized!R62C17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2" s="3"/>
      </tp>
      <tp>
        <v>735</v>
        <stp/>
        <stp>##V3_BDHV12</stp>
        <stp>XOM US Equity</stp>
        <stp>CF_NET_CHNG_CASH</stp>
        <stp>FQ3 2016</stp>
        <stp>FQ3 2016</stp>
        <stp>[FA1_m42y3cpi.xlsx]Cash Flow - Standardized!R53C35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3" s="4"/>
      </tp>
      <tp>
        <v>482</v>
        <stp/>
        <stp>##V3_BDHV12</stp>
        <stp>XOM US Equity</stp>
        <stp>CF_NET_CHNG_CASH</stp>
        <stp>FQ2 2014</stp>
        <stp>FQ2 2014</stp>
        <stp>[FA1_m42y3cpi.xlsx]Cash Flow - Standardized!R53C26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3" s="4"/>
      </tp>
      <tp>
        <v>-1605</v>
        <stp/>
        <stp>##V3_BDHV12</stp>
        <stp>XOM US Equity</stp>
        <stp>CF_NET_CHNG_CASH</stp>
        <stp>FQ2 2013</stp>
        <stp>FQ2 2013</stp>
        <stp>[FA1_m42y3cpi.xlsx]Cash Flow - Standardized!R53C22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3" s="4"/>
      </tp>
      <tp>
        <v>5008</v>
        <stp/>
        <stp>##V3_BDHV12</stp>
        <stp>XOM US Equity</stp>
        <stp>CF_NET_CHNG_CASH</stp>
        <stp>FQ1 2011</stp>
        <stp>FQ1 2011</stp>
        <stp>[FA1_m42y3cpi.xlsx]Cash Flow - Standardized!R53C13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3" s="4"/>
      </tp>
      <tp>
        <v>-1089</v>
        <stp/>
        <stp>##V3_BDHV12</stp>
        <stp>XOM US Equity</stp>
        <stp>CF_NET_CHNG_CASH</stp>
        <stp>FQ4 2017</stp>
        <stp>FQ4 2017</stp>
        <stp>[FA1_m42y3cpi.xlsx]Cash Flow - Standardized!R53C40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3" s="4"/>
      </tp>
      <tp>
        <v>6006</v>
        <stp/>
        <stp>##V3_BDHV12</stp>
        <stp>XOM US Equity</stp>
        <stp>CF_NET_CHNG_CASH</stp>
        <stp>FQ1 2012</stp>
        <stp>FQ1 2012</stp>
        <stp>[FA1_m42y3cpi.xlsx]Cash Flow - Standardized!R53C17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3" s="4"/>
      </tp>
      <tp>
        <v>10126</v>
        <stp/>
        <stp>##V3_BDHV12</stp>
        <stp>XOM US Equity</stp>
        <stp>OTHER_NONCURRENT_ASSETS_DETAILED</stp>
        <stp>FQ2 2017</stp>
        <stp>FQ2 2017</stp>
        <stp>[FA1_m42y3cpi.xlsx]Bal Sheet - Standardized!R37C38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7" s="3"/>
      </tp>
      <tp>
        <v>-47</v>
        <stp/>
        <stp>##V3_BDHV12</stp>
        <stp>XOM US Equity</stp>
        <stp>CF_NET_CHNG_CASH</stp>
        <stp>FQ3 2015</stp>
        <stp>FQ3 2015</stp>
        <stp>[FA1_m42y3cpi.xlsx]Cash Flow - Standardized!R53C31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3" s="4"/>
      </tp>
      <tp>
        <v>34430</v>
        <stp/>
        <stp>##V3_BDHV12</stp>
        <stp>XOM US Equity</stp>
        <stp>BS_DEFERRED_TAX_LIABILITIES_LT</stp>
        <stp>FQ3 2017</stp>
        <stp>FQ3 2017</stp>
        <stp>[FA1_m42y3cpi.xlsx]Bal Sheet - Standardized!R62C39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2" s="3"/>
      </tp>
      <tp>
        <v>103417</v>
        <stp/>
        <stp>##V3_BDHV12</stp>
        <stp>XOM US Equity</stp>
        <stp>IS_SALES_AND_SERVICES_REVENUES</stp>
        <stp>FQ3 2012</stp>
        <stp>FQ3 2012</stp>
        <stp>[FA1_m42y3cpi.xlsx]Income - Adjusted!R7C19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7" s="2"/>
      </tp>
      <tp>
        <v>104718</v>
        <stp/>
        <stp>##V3_BDHV12</stp>
        <stp>XOM US Equity</stp>
        <stp>IS_SALES_AND_SERVICES_REVENUES</stp>
        <stp>FQ2 2012</stp>
        <stp>FQ2 2012</stp>
        <stp>[FA1_m42y3cpi.xlsx]Income - Adjusted!R7C18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7" s="2"/>
      </tp>
      <tp>
        <v>76085</v>
        <stp/>
        <stp>##V3_BDHV12</stp>
        <stp>XOM US Equity</stp>
        <stp>IS_SALES_AND_SERVICES_REVENUES</stp>
        <stp>FQ4 2014</stp>
        <stp>FQ4 2014</stp>
        <stp>[FA1_m42y3cpi.xlsx]Income - Adjusted!R7C28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7" s="2"/>
      </tp>
      <tp>
        <v>66565</v>
        <stp/>
        <stp>##V3_BDHV12</stp>
        <stp>XOM US Equity</stp>
        <stp>ACCT_PAYABLE_&amp;_ACCRUALS_DETAILED</stp>
        <stp>FQ3 2012</stp>
        <stp>FQ3 2012</stp>
        <stp>[FA1_m42y3cpi.xlsx]Bal Sheet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3"/>
      </tp>
      <tp>
        <v>3280</v>
        <stp/>
        <stp>##V3_BDHV12</stp>
        <stp>XOM US Equity</stp>
        <stp>IS_D&amp;A_COST_OF_REVENUE</stp>
        <stp>FQ1 2010</stp>
        <stp>FQ1 2010</stp>
        <stp>[FA1_m42y3cpi.xlsx]Income - Adjusted!R10C9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71456</v>
        <stp/>
        <stp>##V3_BDHV12</stp>
        <stp>XOM US Equity</stp>
        <stp>IS_SALES_AND_SERVICES_REVENUES</stp>
        <stp>FQ2 2018</stp>
        <stp>FQ2 2018</stp>
        <stp>[FA1_m42y3cpi.xlsx]Income - Adjusted!R7C42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7" s="2"/>
      </tp>
      <tp>
        <v>65436</v>
        <stp/>
        <stp>##V3_BDHV12</stp>
        <stp>XOM US Equity</stp>
        <stp>IS_SALES_AND_SERVICES_REVENUES</stp>
        <stp>FQ1 2018</stp>
        <stp>FQ1 2018</stp>
        <stp>[FA1_m42y3cpi.xlsx]Income - Adjusted!R7C41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7" s="2"/>
      </tp>
      <tp>
        <v>35186</v>
        <stp/>
        <stp>##V3_BDHV12</stp>
        <stp>XOM US Equity</stp>
        <stp>ACCT_PAYABLE_&amp;_ACCRUALS_DETAILED</stp>
        <stp>FQ1 2016</stp>
        <stp>FQ1 2016</stp>
        <stp>[FA1_m42y3cpi.xlsx]Bal Sheet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3"/>
      </tp>
      <tp t="s">
        <v>—</v>
        <stp/>
        <stp>##V3_BDHV12</stp>
        <stp>XOM US Equity</stp>
        <stp>IS_MERGER_ACQUISITION_EXPENSE</stp>
        <stp>FQ4 2013</stp>
        <stp>FQ4 2013</stp>
        <stp>[FA1_m42y3cpi.xlsx]Income - Adjusted!R26C24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2"/>
      </tp>
      <tp>
        <v>67540</v>
        <stp/>
        <stp>##V3_BDHV12</stp>
        <stp>XOM US Equity</stp>
        <stp>ACCT_PAYABLE_&amp;_ACCRUALS_DETAILED</stp>
        <stp>FQ3 2011</stp>
        <stp>FQ3 2011</stp>
        <stp>[FA1_m42y3cpi.xlsx]Bal Sheet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3"/>
      </tp>
      <tp t="s">
        <v>—</v>
        <stp/>
        <stp>##V3_BDHV12</stp>
        <stp>XOM US Equity</stp>
        <stp>IS_MERGER_ACQUISITION_EXPENSE</stp>
        <stp>FQ3 2015</stp>
        <stp>FQ3 2015</stp>
        <stp>[FA1_m42y3cpi.xlsx]Income - Adjusted!R26C31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2"/>
      </tp>
      <tp>
        <v>34891</v>
        <stp/>
        <stp>##V3_BDHV12</stp>
        <stp>XOM US Equity</stp>
        <stp>ACCT_PAYABLE_&amp;_ACCRUALS_DETAILED</stp>
        <stp>FQ1 2017</stp>
        <stp>FQ1 2017</stp>
        <stp>[FA1_m42y3cpi.xlsx]Bal Sheet - Standardized!R42C37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2" s="3"/>
      </tp>
      <tp>
        <v>1</v>
        <stp/>
        <stp>##V3_BDHV12</stp>
        <stp>XOM US Equity</stp>
        <stp>IS_MERGER_ACQUISITION_EXPENSE</stp>
        <stp>FQ4 2010</stp>
        <stp>FQ4 2010</stp>
        <stp>[FA1_m42y3cpi.xlsx]Income - Adjusted!R26C12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2"/>
      </tp>
      <tp t="s">
        <v>—</v>
        <stp/>
        <stp>##V3_BDHV12</stp>
        <stp>XOM US Equity</stp>
        <stp>IS_MERGER_ACQUISITION_EXPENSE</stp>
        <stp>FQ3 2014</stp>
        <stp>FQ3 2014</stp>
        <stp>[FA1_m42y3cpi.xlsx]Income - Adjusted!R26C27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2"/>
      </tp>
      <tp t="s">
        <v>—</v>
        <stp/>
        <stp>##V3_BDHV12</stp>
        <stp>XOM US Equity</stp>
        <stp>IS_MERGER_ACQUISITION_EXPENSE</stp>
        <stp>FQ1 2017</stp>
        <stp>FQ1 2017</stp>
        <stp>[FA1_m42y3cpi.xlsx]Income - Adjusted!R26C37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2"/>
      </tp>
      <tp>
        <v>58694</v>
        <stp/>
        <stp>##V3_BDHV12</stp>
        <stp>XOM US Equity</stp>
        <stp>ACCT_PAYABLE_&amp;_ACCRUALS_DETAILED</stp>
        <stp>FQ3 2010</stp>
        <stp>FQ3 2010</stp>
        <stp>[FA1_m42y3cpi.xlsx]Bal Sheet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3"/>
      </tp>
      <tp>
        <v>50</v>
        <stp/>
        <stp>##V3_BDHV12</stp>
        <stp>XOM US Equity</stp>
        <stp>BS_PREPAID_PENSION_COSTS_LT</stp>
        <stp>FQ4 2012</stp>
        <stp>FQ4 2012</stp>
        <stp>[FA1_m42y3cpi.xlsx]Bal Sheet - Standardized!R35C20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3"/>
      </tp>
      <tp>
        <v>0</v>
        <stp/>
        <stp>##V3_BDHV12</stp>
        <stp>XOM US Equity</stp>
        <stp>IS_DISCONTINUED_OPERATIONS</stp>
        <stp>FQ4 2014</stp>
        <stp>FQ4 2014</stp>
        <stp>[FA1_m42y3cpi.xlsx]Income - Adjusted!R36C28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2"/>
      </tp>
      <tp>
        <v>202</v>
        <stp/>
        <stp>##V3_BDHV12</stp>
        <stp>XOM US Equity</stp>
        <stp>BS_PREPAID_PENSION_COSTS_LT</stp>
        <stp>FQ4 2013</stp>
        <stp>FQ4 2013</stp>
        <stp>[FA1_m42y3cpi.xlsx]Bal Sheet - Standardized!R35C24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3"/>
      </tp>
      <tp>
        <v>20778</v>
        <stp/>
        <stp>##V3_BDHV12</stp>
        <stp>XOM US Equity</stp>
        <stp>PENSION_LIABILITIES</stp>
        <stp>FQ2 2017</stp>
        <stp>FQ2 2017</stp>
        <stp>[FA1_m42y3cpi.xlsx]Bal Sheet - Standardized!R60C38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0" s="3"/>
      </tp>
      <tp>
        <v>21583</v>
        <stp/>
        <stp>##V3_BDHV12</stp>
        <stp>XOM US Equity</stp>
        <stp>PENSION_LIABILITIES</stp>
        <stp>FQ2 2016</stp>
        <stp>FQ2 2016</stp>
        <stp>[FA1_m42y3cpi.xlsx]Bal Sheet - Standardized!R60C34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0" s="3"/>
      </tp>
      <tp>
        <v>19268</v>
        <stp/>
        <stp>##V3_BDHV12</stp>
        <stp>XOM US Equity</stp>
        <stp>PENSION_LIABILITIES</stp>
        <stp>FQ3 2014</stp>
        <stp>FQ3 2014</stp>
        <stp>[FA1_m42y3cpi.xlsx]Bal Sheet - Standardized!R60C27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0" s="3"/>
      </tp>
      <tp>
        <v>4151.9849999999997</v>
        <stp/>
        <stp>##V3_BDHV12</stp>
        <stp>XOM US Equity</stp>
        <stp>EQY_FLOAT</stp>
        <stp>FQ4 2015</stp>
        <stp>FQ4 2015</stp>
        <stp>[FA1_m42y3cpi.xlsx]Stock Value!R14C32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4" s="6"/>
      </tp>
      <tp>
        <v>0</v>
        <stp/>
        <stp>##V3_BDHV12</stp>
        <stp>XOM US Equity</stp>
        <stp>IS_DISCONTINUED_OPERATIONS</stp>
        <stp>FQ4 2015</stp>
        <stp>FQ4 2015</stp>
        <stp>[FA1_m42y3cpi.xlsx]Income - Adjusted!R36C32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2"/>
      </tp>
      <tp>
        <v>4702.9229999999998</v>
        <stp/>
        <stp>##V3_BDHV12</stp>
        <stp>XOM US Equity</stp>
        <stp>EQY_FLOAT</stp>
        <stp>FQ1 2012</stp>
        <stp>FQ1 2012</stp>
        <stp>[FA1_m42y3cpi.xlsx]Stock Value!R14C17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4" s="6"/>
      </tp>
      <tp>
        <v>4915.8770000000004</v>
        <stp/>
        <stp>##V3_BDHV12</stp>
        <stp>XOM US Equity</stp>
        <stp>EQY_FLOAT</stp>
        <stp>FQ2 2011</stp>
        <stp>FQ2 2011</stp>
        <stp>[FA1_m42y3cpi.xlsx]Stock Value!R14C14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4" s="6"/>
      </tp>
      <tp>
        <v>25319</v>
        <stp/>
        <stp>##V3_BDHV12</stp>
        <stp>XOM US Equity</stp>
        <stp>PENSION_LIABILITIES</stp>
        <stp>FQ3 2013</stp>
        <stp>FQ3 2013</stp>
        <stp>[FA1_m42y3cpi.xlsx]Bal Sheet - Standardized!R60C23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0" s="3"/>
      </tp>
      <tp>
        <v>4852.8459999999995</v>
        <stp/>
        <stp>##V3_BDHV12</stp>
        <stp>XOM US Equity</stp>
        <stp>EQY_FLOAT</stp>
        <stp>FQ3 2011</stp>
        <stp>FQ3 2011</stp>
        <stp>[FA1_m42y3cpi.xlsx]Stock Value!R14C15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4" s="6"/>
      </tp>
      <tp>
        <v>0</v>
        <stp/>
        <stp>##V3_BDHV12</stp>
        <stp>XOM US Equity</stp>
        <stp>IS_DISCONTINUED_OPERATIONS</stp>
        <stp>FQ2 2011</stp>
        <stp>FQ2 2011</stp>
        <stp>[FA1_m42y3cpi.xlsx]Income - Adjusted!R36C14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2"/>
      </tp>
      <tp>
        <v>0</v>
        <stp/>
        <stp>##V3_BDHV12</stp>
        <stp>XOM US Equity</stp>
        <stp>IS_DISCONTINUED_OPERATIONS</stp>
        <stp>FQ1 2012</stp>
        <stp>FQ1 2012</stp>
        <stp>[FA1_m42y3cpi.xlsx]Income - Adjusted!R36C17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2"/>
      </tp>
      <tp t="s">
        <v>—</v>
        <stp/>
        <stp>##V3_BDHV12</stp>
        <stp>XOM US Equity</stp>
        <stp>IS_IMPAIRMENT_ASSETS</stp>
        <stp>FQ1 2010</stp>
        <stp>FQ1 2010</stp>
        <stp>[FA1_m42y3cpi.xlsx]Income - Adjusted!R28C9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2"/>
      </tp>
      <tp>
        <v>4136.8050000000003</v>
        <stp/>
        <stp>##V3_BDHV12</stp>
        <stp>XOM US Equity</stp>
        <stp>EQY_FLOAT</stp>
        <stp>FQ3 2016</stp>
        <stp>FQ3 2016</stp>
        <stp>[FA1_m42y3cpi.xlsx]Stock Value!R14C35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4" s="6"/>
      </tp>
      <tp>
        <v>5032.3459999999995</v>
        <stp/>
        <stp>##V3_BDHV12</stp>
        <stp>XOM US Equity</stp>
        <stp>EQY_FLOAT</stp>
        <stp>FQ4 2010</stp>
        <stp>FQ4 2010</stp>
        <stp>[FA1_m42y3cpi.xlsx]Stock Value!R14C12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4" s="6"/>
      </tp>
      <tp>
        <v>4136.9070000000002</v>
        <stp/>
        <stp>##V3_BDHV12</stp>
        <stp>XOM US Equity</stp>
        <stp>EQY_FLOAT</stp>
        <stp>FQ2 2016</stp>
        <stp>FQ2 2016</stp>
        <stp>[FA1_m42y3cpi.xlsx]Stock Value!R14C34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4" s="6"/>
      </tp>
      <tp>
        <v>0</v>
        <stp/>
        <stp>##V3_BDHV12</stp>
        <stp>XOM US Equity</stp>
        <stp>IS_DISCONTINUED_OPERATIONS</stp>
        <stp>FQ3 2013</stp>
        <stp>FQ3 2013</stp>
        <stp>[FA1_m42y3cpi.xlsx]Income - Adjusted!R36C23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2"/>
      </tp>
      <tp>
        <v>25039</v>
        <stp/>
        <stp>##V3_BDHV12</stp>
        <stp>XOM US Equity</stp>
        <stp>PENSION_LIABILITIES</stp>
        <stp>FQ2 2015</stp>
        <stp>FQ2 2015</stp>
        <stp>[FA1_m42y3cpi.xlsx]Bal Sheet - Standardized!R60C30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0" s="3"/>
      </tp>
      <tp>
        <v>302</v>
        <stp/>
        <stp>##V3_BDHV12</stp>
        <stp>XOM US Equity</stp>
        <stp>BS_PREPAID_PENSION_COSTS_LT</stp>
        <stp>FQ4 2014</stp>
        <stp>FQ4 2014</stp>
        <stp>[FA1_m42y3cpi.xlsx]Bal Sheet - Standardized!R35C28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3"/>
      </tp>
      <tp t="s">
        <v>—</v>
        <stp/>
        <stp>##V3_BDHV12</stp>
        <stp>XOM US Equity</stp>
        <stp>BS_PREPAID_PENSION_COSTS_LT</stp>
        <stp>FQ2 2018</stp>
        <stp>FQ2 2018</stp>
        <stp>[FA1_m42y3cpi.xlsx]Bal Sheet - Standardized!R35C42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5" s="3"/>
      </tp>
      <tp>
        <v>4134.9390000000003</v>
        <stp/>
        <stp>##V3_BDHV12</stp>
        <stp>XOM US Equity</stp>
        <stp>EQY_FLOAT</stp>
        <stp>FQ1 2017</stp>
        <stp>FQ1 2017</stp>
        <stp>[FA1_m42y3cpi.xlsx]Stock Value!R14C37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4" s="6"/>
      </tp>
      <tp>
        <v>0</v>
        <stp/>
        <stp>##V3_BDHV12</stp>
        <stp>XOM US Equity</stp>
        <stp>IS_DISCONTINUED_OPERATIONS</stp>
        <stp>FQ3 2010</stp>
        <stp>FQ3 2010</stp>
        <stp>[FA1_m42y3cpi.xlsx]Income - Adjusted!R36C11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2"/>
      </tp>
      <tp>
        <v>139636</v>
        <stp/>
        <stp>##V3_BDHV12</stp>
        <stp>XOM US Equity</stp>
        <stp>BS_AMT_OF_TSY_STOCK</stp>
        <stp>FQ3 2008</stp>
        <stp>FQ3 2008</stp>
        <stp>[FA1_m42y3cpi.xlsx]Bal Sheet - Standardized!R69C3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9" s="3"/>
      </tp>
      <tp>
        <v>148098</v>
        <stp/>
        <stp>##V3_BDHV12</stp>
        <stp>XOM US Equity</stp>
        <stp>BS_AMT_OF_TSY_STOCK</stp>
        <stp>FQ4 2008</stp>
        <stp>FQ4 2008</stp>
        <stp>[FA1_m42y3cpi.xlsx]Bal Sheet - Standardized!R69C4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9" s="3"/>
      </tp>
      <tp>
        <v>160579</v>
        <stp/>
        <stp>##V3_BDHV12</stp>
        <stp>XOM US Equity</stp>
        <stp>BS_AMT_OF_TSY_STOCK</stp>
        <stp>FQ2 2009</stp>
        <stp>FQ2 2009</stp>
        <stp>[FA1_m42y3cpi.xlsx]Bal Sheet - Standardized!R69C6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9" s="3"/>
      </tp>
      <tp>
        <v>164679</v>
        <stp/>
        <stp>##V3_BDHV12</stp>
        <stp>XOM US Equity</stp>
        <stp>BS_AMT_OF_TSY_STOCK</stp>
        <stp>FQ3 2009</stp>
        <stp>FQ3 2009</stp>
        <stp>[FA1_m42y3cpi.xlsx]Bal Sheet - Standardized!R69C7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9" s="3"/>
      </tp>
      <tp>
        <v>155412</v>
        <stp/>
        <stp>##V3_BDHV12</stp>
        <stp>XOM US Equity</stp>
        <stp>BS_AMT_OF_TSY_STOCK</stp>
        <stp>FQ1 2009</stp>
        <stp>FQ1 2009</stp>
        <stp>[FA1_m42y3cpi.xlsx]Bal Sheet - Standardized!R69C5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9" s="3"/>
      </tp>
      <tp>
        <v>168473</v>
        <stp/>
        <stp>##V3_BDHV12</stp>
        <stp>XOM US Equity</stp>
        <stp>BS_AMT_OF_TSY_STOCK</stp>
        <stp>FQ1 2010</stp>
        <stp>FQ1 2010</stp>
        <stp>[FA1_m42y3cpi.xlsx]Bal Sheet - Standardized!R69C9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9" s="3"/>
      </tp>
      <tp>
        <v>166410</v>
        <stp/>
        <stp>##V3_BDHV12</stp>
        <stp>XOM US Equity</stp>
        <stp>BS_AMT_OF_TSY_STOCK</stp>
        <stp>FQ4 2009</stp>
        <stp>FQ4 2009</stp>
        <stp>[FA1_m42y3cpi.xlsx]Bal Sheet - Standardized!R69C8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9" s="3"/>
      </tp>
      <tp>
        <v>3607</v>
        <stp/>
        <stp>##V3_BDHV12</stp>
        <stp>XOM US Equity</stp>
        <stp>OTHER_CURRENT_ASSETS_DETAILED</stp>
        <stp>FQ4 2014</stp>
        <stp>FQ4 2014</stp>
        <stp>[FA1_m42y3cpi.xlsx]Bal Sheet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3"/>
      </tp>
      <tp>
        <v>1649</v>
        <stp/>
        <stp>##V3_BDHV12</stp>
        <stp>XOM US Equity</stp>
        <stp>OTHER_CURRENT_ASSETS_DETAILED</stp>
        <stp>FQ2 2018</stp>
        <stp>FQ2 2018</stp>
        <stp>[FA1_m42y3cpi.xlsx]Bal Sheet - Standardized!R18C42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8" s="3"/>
      </tp>
      <tp t="s">
        <v>—</v>
        <stp/>
        <stp>##V3_BDHV12</stp>
        <stp>XOM US Equity</stp>
        <stp>IS_IMPAIRMENT_ASSETS</stp>
        <stp>FQ1 2013</stp>
        <stp>FQ1 2013</stp>
        <stp>[FA1_m42y3cpi.xlsx]Income - Adjusted!R28C21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2"/>
      </tp>
      <tp>
        <v>5377</v>
        <stp/>
        <stp>##V3_BDHV12</stp>
        <stp>XOM US Equity</stp>
        <stp>OTHER_CURRENT_ASSETS_DETAILED</stp>
        <stp>FQ4 2013</stp>
        <stp>FQ4 2013</stp>
        <stp>[FA1_m42y3cpi.xlsx]Bal Sheet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3"/>
      </tp>
      <tp t="s">
        <v>—</v>
        <stp/>
        <stp>##V3_BDHV12</stp>
        <stp>XOM US Equity</stp>
        <stp>IS_IMPAIRMENT_ASSETS</stp>
        <stp>FQ3 2012</stp>
        <stp>FQ3 2012</stp>
        <stp>[FA1_m42y3cpi.xlsx]Income - Adjusted!R28C19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2"/>
      </tp>
      <tp>
        <v>5349</v>
        <stp/>
        <stp>##V3_BDHV12</stp>
        <stp>XOM US Equity</stp>
        <stp>OTHER_CURRENT_ASSETS_DETAILED</stp>
        <stp>FQ4 2012</stp>
        <stp>FQ4 2012</stp>
        <stp>[FA1_m42y3cpi.xlsx]Bal Sheet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3"/>
      </tp>
      <tp t="s">
        <v>—</v>
        <stp/>
        <stp>##V3_BDHV12</stp>
        <stp>XOM US Equity</stp>
        <stp>IS_GAIN_LOSS_DISPOSAL_ASSETS</stp>
        <stp>FQ4 2013</stp>
        <stp>FQ4 2013</stp>
        <stp>[FA1_m42y3cpi.xlsx]Income - Adjusted!R27C24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2"/>
      </tp>
      <tp>
        <v>164369</v>
        <stp/>
        <stp>##V3_BDHV12</stp>
        <stp>XOM US Equity</stp>
        <stp>BS_TOT_LIAB2</stp>
        <stp>FQ2 2011</stp>
        <stp>FQ2 2011</stp>
        <stp>[FA1_m42y3cpi.xlsx]Bal Sheet - Standardized!R66C14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6" s="3"/>
      </tp>
      <tp t="s">
        <v>—</v>
        <stp/>
        <stp>##V3_BDHV12</stp>
        <stp>XOM US Equity</stp>
        <stp>IS_GAIN_LOSS_DISPOSAL_ASSETS</stp>
        <stp>FQ3 2015</stp>
        <stp>FQ3 2015</stp>
        <stp>[FA1_m42y3cpi.xlsx]Income - Adjusted!R27C31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2"/>
      </tp>
      <tp>
        <v>170142</v>
        <stp/>
        <stp>##V3_BDHV12</stp>
        <stp>XOM US Equity</stp>
        <stp>BS_TOT_LIAB2</stp>
        <stp>FQ1 2014</stp>
        <stp>FQ1 2014</stp>
        <stp>[FA1_m42y3cpi.xlsx]Bal Sheet - Standardized!R66C25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6" s="3"/>
      </tp>
      <tp t="s">
        <v>—</v>
        <stp/>
        <stp>##V3_BDHV12</stp>
        <stp>XOM US Equity</stp>
        <stp>IS_GAIN_LOSS_DISPOSAL_ASSETS</stp>
        <stp>FQ3 2014</stp>
        <stp>FQ3 2014</stp>
        <stp>[FA1_m42y3cpi.xlsx]Income - Adjusted!R27C27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2"/>
      </tp>
      <tp t="s">
        <v>—</v>
        <stp/>
        <stp>##V3_BDHV12</stp>
        <stp>XOM US Equity</stp>
        <stp>IS_GAIN_LOSS_DISPOSAL_ASSETS</stp>
        <stp>FQ4 2010</stp>
        <stp>FQ4 2010</stp>
        <stp>[FA1_m42y3cpi.xlsx]Income - Adjusted!R27C12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2"/>
      </tp>
      <tp>
        <v>145701</v>
        <stp/>
        <stp>##V3_BDHV12</stp>
        <stp>XOM US Equity</stp>
        <stp>BS_TOT_LIAB2</stp>
        <stp>FQ2 2010</stp>
        <stp>FQ2 2010</stp>
        <stp>[FA1_m42y3cpi.xlsx]Bal Sheet - Standardized!R66C10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6" s="3"/>
      </tp>
      <tp>
        <v>166562</v>
        <stp/>
        <stp>##V3_BDHV12</stp>
        <stp>XOM US Equity</stp>
        <stp>BS_TOT_LIAB2</stp>
        <stp>FQ1 2013</stp>
        <stp>FQ1 2013</stp>
        <stp>[FA1_m42y3cpi.xlsx]Bal Sheet - Standardized!R66C21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6" s="3"/>
      </tp>
      <tp t="s">
        <v>—</v>
        <stp/>
        <stp>##V3_BDHV12</stp>
        <stp>XOM US Equity</stp>
        <stp>IS_GAIN_LOSS_DISPOSAL_ASSETS</stp>
        <stp>FQ1 2017</stp>
        <stp>FQ1 2017</stp>
        <stp>[FA1_m42y3cpi.xlsx]Income - Adjusted!R27C37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2"/>
      </tp>
      <tp>
        <v>165515</v>
        <stp/>
        <stp>##V3_BDHV12</stp>
        <stp>XOM US Equity</stp>
        <stp>BS_TOT_LIAB2</stp>
        <stp>FQ1 2015</stp>
        <stp>FQ1 2015</stp>
        <stp>[FA1_m42y3cpi.xlsx]Bal Sheet - Standardized!R66C29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6" s="3"/>
      </tp>
      <tp>
        <v>195</v>
        <stp/>
        <stp>##V3_BDHV12</stp>
        <stp>XOM US Equity</stp>
        <stp>IS_INT_EXPENSE</stp>
        <stp>FQ4 2016</stp>
        <stp>FQ4 2016</stp>
        <stp>[FA1_m42y3cpi.xlsx]Income - Adjusted!R19C36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9" s="2"/>
      </tp>
      <tp>
        <v>40</v>
        <stp/>
        <stp>##V3_BDHV12</stp>
        <stp>XOM US Equity</stp>
        <stp>IS_INT_EXPENSE</stp>
        <stp>FQ2 2010</stp>
        <stp>FQ2 2010</stp>
        <stp>[FA1_m42y3cpi.xlsx]Income - Adjusted!R19C10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9" s="2"/>
      </tp>
      <tp>
        <v>52</v>
        <stp/>
        <stp>##V3_BDHV12</stp>
        <stp>XOM US Equity</stp>
        <stp>IS_INT_EXPENSE</stp>
        <stp>FQ3 2013</stp>
        <stp>FQ3 2013</stp>
        <stp>[FA1_m42y3cpi.xlsx]Income - Adjusted!R19C23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9" s="2"/>
      </tp>
      <tp>
        <v>146</v>
        <stp/>
        <stp>##V3_BDHV12</stp>
        <stp>XOM US Equity</stp>
        <stp>IS_INT_EXPENSE</stp>
        <stp>FQ1 2017</stp>
        <stp>FQ1 2017</stp>
        <stp>[FA1_m42y3cpi.xlsx]Income - Adjusted!R19C37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9" s="2"/>
      </tp>
      <tp>
        <v>161660</v>
        <stp/>
        <stp>##V3_BDHV12</stp>
        <stp>XOM US Equity</stp>
        <stp>BS_TOT_LIAB2</stp>
        <stp>FQ2 2012</stp>
        <stp>FQ2 2012</stp>
        <stp>[FA1_m42y3cpi.xlsx]Bal Sheet - Standardized!R66C18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6" s="3"/>
      </tp>
      <tp>
        <v>305906</v>
        <stp/>
        <stp>##V3_BDHV12</stp>
        <stp>XOM US Equity</stp>
        <stp>BS_GROSS_FIX_ASSET</stp>
        <stp>FQ4 2009</stp>
        <stp>FQ4 2009</stp>
        <stp>[FA1_m42y3cpi.xlsx]Bal Sheet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3"/>
      </tp>
      <tp t="s">
        <v>—</v>
        <stp/>
        <stp>##V3_BDHV12</stp>
        <stp>XOM US Equity</stp>
        <stp>BS_GROSS_FIX_ASSET</stp>
        <stp>FQ1 2010</stp>
        <stp>FQ1 2010</stp>
        <stp>[FA1_m42y3cpi.xlsx]Bal Sheet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3"/>
      </tp>
      <tp t="s">
        <v>—</v>
        <stp/>
        <stp>##V3_BDHV12</stp>
        <stp>XOM US Equity</stp>
        <stp>BS_GROSS_FIX_ASSET</stp>
        <stp>FQ1 2009</stp>
        <stp>FQ1 2009</stp>
        <stp>[FA1_m42y3cpi.xlsx]Bal Sheet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3"/>
      </tp>
      <tp t="s">
        <v>—</v>
        <stp/>
        <stp>##V3_BDHV12</stp>
        <stp>XOM US Equity</stp>
        <stp>BS_GROSS_FIX_ASSET</stp>
        <stp>FQ2 2009</stp>
        <stp>FQ2 2009</stp>
        <stp>[FA1_m42y3cpi.xlsx]Bal Sheet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3"/>
      </tp>
      <tp t="s">
        <v>—</v>
        <stp/>
        <stp>##V3_BDHV12</stp>
        <stp>XOM US Equity</stp>
        <stp>BS_GROSS_FIX_ASSET</stp>
        <stp>FQ3 2009</stp>
        <stp>FQ3 2009</stp>
        <stp>[FA1_m42y3cpi.xlsx]Bal Sheet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270845</v>
        <stp/>
        <stp>##V3_BDHV12</stp>
        <stp>XOM US Equity</stp>
        <stp>BS_GROSS_FIX_ASSET</stp>
        <stp>FQ4 2008</stp>
        <stp>FQ4 2008</stp>
        <stp>[FA1_m42y3cpi.xlsx]Bal Sheet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3"/>
      </tp>
      <tp t="s">
        <v>—</v>
        <stp/>
        <stp>##V3_BDHV12</stp>
        <stp>XOM US Equity</stp>
        <stp>BS_GROSS_FIX_ASSET</stp>
        <stp>FQ3 2008</stp>
        <stp>FQ3 2008</stp>
        <stp>[FA1_m42y3cpi.xlsx]Bal Sheet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8578</v>
        <stp/>
        <stp>##V3_BDHV12</stp>
        <stp>XOM US Equity</stp>
        <stp>OTHER_NONCURRENT_ASSETS_DETAILED</stp>
        <stp>FQ1 2011</stp>
        <stp>FQ1 2011</stp>
        <stp>[FA1_m42y3cpi.xlsx]Bal Sheet - Standardized!R37C13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7" s="3"/>
      </tp>
      <tp>
        <v>7888</v>
        <stp/>
        <stp>##V3_BDHV12</stp>
        <stp>XOM US Equity</stp>
        <stp>OTHER_NONCURRENT_ASSETS_DETAILED</stp>
        <stp>FQ2 2013</stp>
        <stp>FQ2 2013</stp>
        <stp>[FA1_m42y3cpi.xlsx]Bal Sheet - Standardized!R37C22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7" s="3"/>
      </tp>
      <tp>
        <v>8364</v>
        <stp/>
        <stp>##V3_BDHV12</stp>
        <stp>XOM US Equity</stp>
        <stp>OTHER_NONCURRENT_ASSETS_DETAILED</stp>
        <stp>FQ4 2017</stp>
        <stp>FQ4 2017</stp>
        <stp>[FA1_m42y3cpi.xlsx]Bal Sheet - Standardized!R37C40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7" s="3"/>
      </tp>
      <tp>
        <v>139116</v>
        <stp/>
        <stp>##V3_BDHV12</stp>
        <stp>XOM US Equity</stp>
        <stp>BS_NET_FIX_ASSET</stp>
        <stp>FQ4 2009</stp>
        <stp>FQ4 2009</stp>
        <stp>[FA1_m42y3cpi.xlsx]Bal Sheet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39506</v>
        <stp/>
        <stp>##V3_BDHV12</stp>
        <stp>XOM US Equity</stp>
        <stp>BS_DEFERRED_TAX_LIABILITIES_LT</stp>
        <stp>FQ3 2013</stp>
        <stp>FQ3 2013</stp>
        <stp>[FA1_m42y3cpi.xlsx]Bal Sheet - Standardized!R62C23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2" s="3"/>
      </tp>
      <tp>
        <v>0</v>
        <stp/>
        <stp>##V3_BDHV12</stp>
        <stp>XOM US Equity</stp>
        <stp>OTHER_INTANGIBLE_ASSETS_DETAILED</stp>
        <stp>FQ4 2011</stp>
        <stp>FQ4 2011</stp>
        <stp>[FA1_m42y3cpi.xlsx]Bal Sheet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3"/>
      </tp>
      <tp>
        <v>41132</v>
        <stp/>
        <stp>##V3_BDHV12</stp>
        <stp>XOM US Equity</stp>
        <stp>BS_DEFERRED_TAX_LIABILITIES_LT</stp>
        <stp>FQ3 2014</stp>
        <stp>FQ3 2014</stp>
        <stp>[FA1_m42y3cpi.xlsx]Bal Sheet - Standardized!R62C27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2" s="3"/>
      </tp>
      <tp>
        <v>36012</v>
        <stp/>
        <stp>##V3_BDHV12</stp>
        <stp>XOM US Equity</stp>
        <stp>BS_DEFERRED_TAX_LIABILITIES_LT</stp>
        <stp>FQ2 2016</stp>
        <stp>FQ2 2016</stp>
        <stp>[FA1_m42y3cpi.xlsx]Bal Sheet - Standardized!R62C34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2" s="3"/>
      </tp>
      <tp>
        <v>8110</v>
        <stp/>
        <stp>##V3_BDHV12</stp>
        <stp>XOM US Equity</stp>
        <stp>OTHER_NONCURRENT_ASSETS_DETAILED</stp>
        <stp>FQ2 2014</stp>
        <stp>FQ2 2014</stp>
        <stp>[FA1_m42y3cpi.xlsx]Bal Sheet - Standardized!R37C26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7" s="3"/>
      </tp>
      <tp>
        <v>40184</v>
        <stp/>
        <stp>##V3_BDHV12</stp>
        <stp>XOM US Equity</stp>
        <stp>OTHER_NONCURRENT_ASSETS_DETAILED</stp>
        <stp>FQ3 2016</stp>
        <stp>FQ3 2016</stp>
        <stp>[FA1_m42y3cpi.xlsx]Bal Sheet - Standardized!R37C35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7" s="3"/>
      </tp>
      <tp>
        <v>140819</v>
        <stp/>
        <stp>##V3_BDHV12</stp>
        <stp>XOM US Equity</stp>
        <stp>BS_NET_FIX_ASSET</stp>
        <stp>FQ1 2010</stp>
        <stp>FQ1 2010</stp>
        <stp>[FA1_m42y3cpi.xlsx]Bal Sheet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0</v>
        <stp/>
        <stp>##V3_BDHV12</stp>
        <stp>XOM US Equity</stp>
        <stp>OTHER_INTANGIBLE_ASSETS_DETAILED</stp>
        <stp>FQ4 2010</stp>
        <stp>FQ4 2010</stp>
        <stp>[FA1_m42y3cpi.xlsx]Bal Sheet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3"/>
      </tp>
      <tp>
        <v>42845</v>
        <stp/>
        <stp>##V3_BDHV12</stp>
        <stp>XOM US Equity</stp>
        <stp>OTHER_NONCURRENT_ASSETS_DETAILED</stp>
        <stp>FQ3 2015</stp>
        <stp>FQ3 2015</stp>
        <stp>[FA1_m42y3cpi.xlsx]Bal Sheet - Standardized!R37C31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7" s="3"/>
      </tp>
      <tp>
        <v>-855</v>
        <stp/>
        <stp>##V3_BDHV12</stp>
        <stp>XOM US Equity</stp>
        <stp>CF_NET_CHNG_CASH</stp>
        <stp>FQ2 2017</stp>
        <stp>FQ2 2017</stp>
        <stp>[FA1_m42y3cpi.xlsx]Cash Flow - Standardized!R53C38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3" s="4"/>
      </tp>
      <tp>
        <v>39419</v>
        <stp/>
        <stp>##V3_BDHV12</stp>
        <stp>XOM US Equity</stp>
        <stp>BS_DEFERRED_TAX_LIABILITIES_LT</stp>
        <stp>FQ2 2015</stp>
        <stp>FQ2 2015</stp>
        <stp>[FA1_m42y3cpi.xlsx]Bal Sheet - Standardized!R62C30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2" s="3"/>
      </tp>
      <tp>
        <v>19863</v>
        <stp/>
        <stp>##V3_BDHV12</stp>
        <stp>XOM US Equity</stp>
        <stp>OTHER_NONCURRENT_ASSETS_DETAILED</stp>
        <stp>FQ1 2012</stp>
        <stp>FQ1 2012</stp>
        <stp>[FA1_m42y3cpi.xlsx]Bal Sheet - Standardized!R37C17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7" s="3"/>
      </tp>
      <tp>
        <v>-488</v>
        <stp/>
        <stp>##V3_BDHV12</stp>
        <stp>XOM US Equity</stp>
        <stp>CF_NET_CHNG_CASH</stp>
        <stp>FQ2 2016</stp>
        <stp>FQ2 2016</stp>
        <stp>[FA1_m42y3cpi.xlsx]Cash Flow - Standardized!R53C34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3" s="4"/>
      </tp>
      <tp>
        <v>-1121</v>
        <stp/>
        <stp>##V3_BDHV12</stp>
        <stp>XOM US Equity</stp>
        <stp>CF_NET_CHNG_CASH</stp>
        <stp>FQ3 2014</stp>
        <stp>FQ3 2014</stp>
        <stp>[FA1_m42y3cpi.xlsx]Cash Flow - Standardized!R53C27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3" s="4"/>
      </tp>
      <tp>
        <v>122224</v>
        <stp/>
        <stp>##V3_BDHV12</stp>
        <stp>XOM US Equity</stp>
        <stp>BS_NET_FIX_ASSET</stp>
        <stp>FQ1 2009</stp>
        <stp>FQ1 2009</stp>
        <stp>[FA1_m42y3cpi.xlsx]Bal Sheet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3"/>
      </tp>
      <tp>
        <v>127861</v>
        <stp/>
        <stp>##V3_BDHV12</stp>
        <stp>XOM US Equity</stp>
        <stp>BS_NET_FIX_ASSET</stp>
        <stp>FQ2 2009</stp>
        <stp>FQ2 2009</stp>
        <stp>[FA1_m42y3cpi.xlsx]Bal Sheet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3"/>
      </tp>
      <tp>
        <v>132874</v>
        <stp/>
        <stp>##V3_BDHV12</stp>
        <stp>XOM US Equity</stp>
        <stp>BS_NET_FIX_ASSET</stp>
        <stp>FQ3 2009</stp>
        <stp>FQ3 2009</stp>
        <stp>[FA1_m42y3cpi.xlsx]Bal Sheet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3"/>
      </tp>
      <tp t="s">
        <v>—</v>
        <stp/>
        <stp>##V3_BDHV12</stp>
        <stp>XOM US Equity</stp>
        <stp>OTHER_INTANGIBLE_ASSETS_DETAILED</stp>
        <stp>FQ1 2018</stp>
        <stp>FQ1 2018</stp>
        <stp>[FA1_m42y3cpi.xlsx]Bal Sheet - Standardized!R32C41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3"/>
      </tp>
      <tp>
        <v>701</v>
        <stp/>
        <stp>##V3_BDHV12</stp>
        <stp>XOM US Equity</stp>
        <stp>CF_NET_CHNG_CASH</stp>
        <stp>FQ3 2013</stp>
        <stp>FQ3 2013</stp>
        <stp>[FA1_m42y3cpi.xlsx]Cash Flow - Standardized!R53C23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3" s="4"/>
      </tp>
      <tp>
        <v>123258</v>
        <stp/>
        <stp>##V3_BDHV12</stp>
        <stp>XOM US Equity</stp>
        <stp>BS_NET_FIX_ASSET</stp>
        <stp>FQ3 2008</stp>
        <stp>FQ3 2008</stp>
        <stp>[FA1_m42y3cpi.xlsx]Bal Sheet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3"/>
      </tp>
      <tp>
        <v>121346</v>
        <stp/>
        <stp>##V3_BDHV12</stp>
        <stp>XOM US Equity</stp>
        <stp>BS_NET_FIX_ASSET</stp>
        <stp>FQ4 2008</stp>
        <stp>FQ4 2008</stp>
        <stp>[FA1_m42y3cpi.xlsx]Bal Sheet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3"/>
      </tp>
      <tp>
        <v>10470</v>
        <stp/>
        <stp>##V3_BDHV12</stp>
        <stp>XOM US Equity</stp>
        <stp>OTHER_NONCURRENT_ASSETS_DETAILED</stp>
        <stp>FQ3 2017</stp>
        <stp>FQ3 2017</stp>
        <stp>[FA1_m42y3cpi.xlsx]Bal Sheet - Standardized!R37C39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7" s="3"/>
      </tp>
      <tp>
        <v>-841</v>
        <stp/>
        <stp>##V3_BDHV12</stp>
        <stp>XOM US Equity</stp>
        <stp>CF_NET_CHNG_CASH</stp>
        <stp>FQ2 2015</stp>
        <stp>FQ2 2015</stp>
        <stp>[FA1_m42y3cpi.xlsx]Cash Flow - Standardized!R53C30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3" s="4"/>
      </tp>
      <tp>
        <v>34585</v>
        <stp/>
        <stp>##V3_BDHV12</stp>
        <stp>XOM US Equity</stp>
        <stp>BS_DEFERRED_TAX_LIABILITIES_LT</stp>
        <stp>FQ2 2017</stp>
        <stp>FQ2 2017</stp>
        <stp>[FA1_m42y3cpi.xlsx]Bal Sheet - Standardized!R62C38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2" s="3"/>
      </tp>
      <tp t="s">
        <v>—</v>
        <stp/>
        <stp>##V3_BDHV12</stp>
        <stp>XOM US Equity</stp>
        <stp>IS_D&amp;A_COST_OF_REVENUE</stp>
        <stp>FQ3 2008</stp>
        <stp>FQ3 2008</stp>
        <stp>[FA1_m42y3cpi.xlsx]Income - Adjusted!R10C3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 t="s">
        <v>—</v>
        <stp/>
        <stp>##V3_BDHV12</stp>
        <stp>XOM US Equity</stp>
        <stp>IS_D&amp;A_COST_OF_REVENUE</stp>
        <stp>FQ4 2008</stp>
        <stp>FQ4 2008</stp>
        <stp>[FA1_m42y3cpi.xlsx]Income - Adjusted!R10C4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>
        <v>42656</v>
        <stp/>
        <stp>##V3_BDHV12</stp>
        <stp>XOM US Equity</stp>
        <stp>ACCT_PAYABLE_&amp;_ACCRUALS_DETAILED</stp>
        <stp>FQ1 2015</stp>
        <stp>FQ1 2015</stp>
        <stp>[FA1_m42y3cpi.xlsx]Bal Sheet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3"/>
      </tp>
      <tp>
        <v>58551</v>
        <stp/>
        <stp>##V3_BDHV12</stp>
        <stp>XOM US Equity</stp>
        <stp>SALES_REV_TURN</stp>
        <stp>FQ3 2017</stp>
        <stp>FQ3 2017</stp>
        <stp>[FA1_m42y3cpi.xlsx]Income - Adjusted!R6C39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6" s="2"/>
      </tp>
      <tp>
        <v>55236</v>
        <stp/>
        <stp>##V3_BDHV12</stp>
        <stp>XOM US Equity</stp>
        <stp>SALES_REV_TURN</stp>
        <stp>FQ2 2017</stp>
        <stp>FQ2 2017</stp>
        <stp>[FA1_m42y3cpi.xlsx]Income - Adjusted!R6C38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6" s="2"/>
      </tp>
      <tp>
        <v>59228</v>
        <stp/>
        <stp>##V3_BDHV12</stp>
        <stp>XOM US Equity</stp>
        <stp>SALES_REV_TURN</stp>
        <stp>FQ1 2015</stp>
        <stp>FQ1 2015</stp>
        <stp>[FA1_m42y3cpi.xlsx]Income - Adjusted!R6C29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63432</v>
        <stp/>
        <stp>##V3_BDHV12</stp>
        <stp>XOM US Equity</stp>
        <stp>ACCT_PAYABLE_&amp;_ACCRUALS_DETAILED</stp>
        <stp>FQ2 2012</stp>
        <stp>FQ2 2012</stp>
        <stp>[FA1_m42y3cpi.xlsx]Bal Sheet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3"/>
      </tp>
      <tp t="s">
        <v>—</v>
        <stp/>
        <stp>##V3_BDHV12</stp>
        <stp>XOM US Equity</stp>
        <stp>IS_MERGER_ACQUISITION_EXPENSE</stp>
        <stp>FQ4 2011</stp>
        <stp>FQ4 2011</stp>
        <stp>[FA1_m42y3cpi.xlsx]Income - Adjusted!R26C16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2"/>
      </tp>
      <tp>
        <v>70168</v>
        <stp/>
        <stp>##V3_BDHV12</stp>
        <stp>XOM US Equity</stp>
        <stp>ACCT_PAYABLE_&amp;_ACCRUALS_DETAILED</stp>
        <stp>FQ2 2011</stp>
        <stp>FQ2 2011</stp>
        <stp>[FA1_m42y3cpi.xlsx]Bal Sheet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3"/>
      </tp>
      <tp t="s">
        <v>—</v>
        <stp/>
        <stp>##V3_BDHV12</stp>
        <stp>XOM US Equity</stp>
        <stp>IS_MERGER_ACQUISITION_EXPENSE</stp>
        <stp>FQ1 2016</stp>
        <stp>FQ1 2016</stp>
        <stp>[FA1_m42y3cpi.xlsx]Income - Adjusted!R26C33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2"/>
      </tp>
      <tp t="s">
        <v>—</v>
        <stp/>
        <stp>##V3_BDHV12</stp>
        <stp>XOM US Equity</stp>
        <stp>IS_MERGER_ACQUISITION_EXPENSE</stp>
        <stp>FQ2 2015</stp>
        <stp>FQ2 2015</stp>
        <stp>[FA1_m42y3cpi.xlsx]Income - Adjusted!R26C30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2"/>
      </tp>
      <tp t="s">
        <v>—</v>
        <stp/>
        <stp>##V3_BDHV12</stp>
        <stp>XOM US Equity</stp>
        <stp>IS_MERGER_ACQUISITION_EXPENSE</stp>
        <stp>FQ2 2014</stp>
        <stp>FQ2 2014</stp>
        <stp>[FA1_m42y3cpi.xlsx]Income - Adjusted!R26C26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2"/>
      </tp>
      <tp t="s">
        <v>—</v>
        <stp/>
        <stp>##V3_BDHV12</stp>
        <stp>XOM US Equity</stp>
        <stp>IS_MERGER_ACQUISITION_EXPENSE</stp>
        <stp>FQ4 2012</stp>
        <stp>FQ4 2012</stp>
        <stp>[FA1_m42y3cpi.xlsx]Income - Adjusted!R26C20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2"/>
      </tp>
      <tp>
        <v>60885</v>
        <stp/>
        <stp>##V3_BDHV12</stp>
        <stp>XOM US Equity</stp>
        <stp>ACCT_PAYABLE_&amp;_ACCRUALS_DETAILED</stp>
        <stp>FQ1 2014</stp>
        <stp>FQ1 2014</stp>
        <stp>[FA1_m42y3cpi.xlsx]Bal Sheet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3"/>
      </tp>
      <tp>
        <v>64147</v>
        <stp/>
        <stp>##V3_BDHV12</stp>
        <stp>XOM US Equity</stp>
        <stp>ACCT_PAYABLE_&amp;_ACCRUALS_DETAILED</stp>
        <stp>FQ1 2013</stp>
        <stp>FQ1 2013</stp>
        <stp>[FA1_m42y3cpi.xlsx]Bal Sheet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3"/>
      </tp>
      <tp>
        <v>54875</v>
        <stp/>
        <stp>##V3_BDHV12</stp>
        <stp>XOM US Equity</stp>
        <stp>ACCT_PAYABLE_&amp;_ACCRUALS_DETAILED</stp>
        <stp>FQ2 2010</stp>
        <stp>FQ2 2010</stp>
        <stp>[FA1_m42y3cpi.xlsx]Bal Sheet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3"/>
      </tp>
      <tp>
        <v>1035</v>
        <stp/>
        <stp>##V3_BDHV12</stp>
        <stp>XOM US Equity</stp>
        <stp>BS_PREPAID_PENSION_COSTS_LT</stp>
        <stp>FQ4 2016</stp>
        <stp>FQ4 2016</stp>
        <stp>[FA1_m42y3cpi.xlsx]Bal Sheet - Standardized!R35C36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3"/>
      </tp>
      <tp>
        <v>454</v>
        <stp/>
        <stp>##V3_BDHV12</stp>
        <stp>XOM US Equity</stp>
        <stp>BS_PREPAID_PENSION_COSTS_LT</stp>
        <stp>FQ4 2015</stp>
        <stp>FQ4 2015</stp>
        <stp>[FA1_m42y3cpi.xlsx]Bal Sheet - Standardized!R35C32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3"/>
      </tp>
      <tp>
        <v>20874</v>
        <stp/>
        <stp>##V3_BDHV12</stp>
        <stp>XOM US Equity</stp>
        <stp>PENSION_LIABILITIES</stp>
        <stp>FQ3 2017</stp>
        <stp>FQ3 2017</stp>
        <stp>[FA1_m42y3cpi.xlsx]Bal Sheet - Standardized!R60C39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0" s="3"/>
      </tp>
      <tp>
        <v>21019</v>
        <stp/>
        <stp>##V3_BDHV12</stp>
        <stp>XOM US Equity</stp>
        <stp>PENSION_LIABILITIES</stp>
        <stp>FQ3 2016</stp>
        <stp>FQ3 2016</stp>
        <stp>[FA1_m42y3cpi.xlsx]Bal Sheet - Standardized!R60C35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0" s="3"/>
      </tp>
      <tp>
        <v>20161</v>
        <stp/>
        <stp>##V3_BDHV12</stp>
        <stp>XOM US Equity</stp>
        <stp>PENSION_LIABILITIES</stp>
        <stp>FQ2 2014</stp>
        <stp>FQ2 2014</stp>
        <stp>[FA1_m42y3cpi.xlsx]Bal Sheet - Standardized!R60C26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0" s="3"/>
      </tp>
      <tp t="s">
        <v>—</v>
        <stp/>
        <stp>##V3_BDHV12</stp>
        <stp>XOM US Equity</stp>
        <stp>IS_IMPAIRMENT_ASSETS</stp>
        <stp>FQ1 2009</stp>
        <stp>FQ1 2009</stp>
        <stp>[FA1_m42y3cpi.xlsx]Income - Adjusted!R28C5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2"/>
      </tp>
      <tp>
        <v>0</v>
        <stp/>
        <stp>##V3_BDHV12</stp>
        <stp>XOM US Equity</stp>
        <stp>IS_DISCONTINUED_OPERATIONS</stp>
        <stp>FQ3 2011</stp>
        <stp>FQ3 2011</stp>
        <stp>[FA1_m42y3cpi.xlsx]Income - Adjusted!R36C15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2"/>
      </tp>
      <tp>
        <v>25281</v>
        <stp/>
        <stp>##V3_BDHV12</stp>
        <stp>XOM US Equity</stp>
        <stp>PENSION_LIABILITIES</stp>
        <stp>FQ2 2013</stp>
        <stp>FQ2 2013</stp>
        <stp>[FA1_m42y3cpi.xlsx]Bal Sheet - Standardized!R60C22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0" s="3"/>
      </tp>
      <tp>
        <v>20076</v>
        <stp/>
        <stp>##V3_BDHV12</stp>
        <stp>XOM US Equity</stp>
        <stp>PENSION_LIABILITIES</stp>
        <stp>FQ1 2011</stp>
        <stp>FQ1 2011</stp>
        <stp>[FA1_m42y3cpi.xlsx]Bal Sheet - Standardized!R60C13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0" s="3"/>
      </tp>
      <tp>
        <v>21132</v>
        <stp/>
        <stp>##V3_BDHV12</stp>
        <stp>XOM US Equity</stp>
        <stp>PENSION_LIABILITIES</stp>
        <stp>FQ4 2017</stp>
        <stp>FQ4 2017</stp>
        <stp>[FA1_m42y3cpi.xlsx]Bal Sheet - Standardized!R60C40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0" s="3"/>
      </tp>
      <tp>
        <v>23559</v>
        <stp/>
        <stp>##V3_BDHV12</stp>
        <stp>XOM US Equity</stp>
        <stp>PENSION_LIABILITIES</stp>
        <stp>FQ1 2012</stp>
        <stp>FQ1 2012</stp>
        <stp>[FA1_m42y3cpi.xlsx]Bal Sheet - Standardized!R60C17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0" s="3"/>
      </tp>
      <tp>
        <v>0</v>
        <stp/>
        <stp>##V3_BDHV12</stp>
        <stp>XOM US Equity</stp>
        <stp>IS_DISCONTINUED_OPERATIONS</stp>
        <stp>FQ2 2010</stp>
        <stp>FQ2 2010</stp>
        <stp>[FA1_m42y3cpi.xlsx]Income - Adjusted!R36C10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2"/>
      </tp>
      <tp>
        <v>24422</v>
        <stp/>
        <stp>##V3_BDHV12</stp>
        <stp>XOM US Equity</stp>
        <stp>PENSION_LIABILITIES</stp>
        <stp>FQ3 2015</stp>
        <stp>FQ3 2015</stp>
        <stp>[FA1_m42y3cpi.xlsx]Bal Sheet - Standardized!R60C31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0" s="3"/>
      </tp>
      <tp>
        <v>0</v>
        <stp/>
        <stp>##V3_BDHV12</stp>
        <stp>XOM US Equity</stp>
        <stp>IS_DISCONTINUED_OPERATIONS</stp>
        <stp>FQ2 2013</stp>
        <stp>FQ2 2013</stp>
        <stp>[FA1_m42y3cpi.xlsx]Income - Adjusted!R36C22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2"/>
      </tp>
      <tp>
        <v>1456</v>
        <stp/>
        <stp>##V3_BDHV12</stp>
        <stp>XOM US Equity</stp>
        <stp>OTHER_CURRENT_ASSETS_DETAILED</stp>
        <stp>FQ1 2018</stp>
        <stp>FQ1 2018</stp>
        <stp>[FA1_m42y3cpi.xlsx]Bal Sheet - Standardized!R18C41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8" s="3"/>
      </tp>
      <tp>
        <v>-8845</v>
        <stp/>
        <stp>##V3_BDHV12</stp>
        <stp>XOM US Equity</stp>
        <stp>CF_DECR_CAP_STOCK</stp>
        <stp>FQ4 2008</stp>
        <stp>FQ4 2008</stp>
        <stp>[FA1_m42y3cpi.xlsx]Cash Flow - Standardized!R46C4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4"/>
      </tp>
      <tp>
        <v>-8663</v>
        <stp/>
        <stp>##V3_BDHV12</stp>
        <stp>XOM US Equity</stp>
        <stp>CF_DECR_CAP_STOCK</stp>
        <stp>FQ3 2008</stp>
        <stp>FQ3 2008</stp>
        <stp>[FA1_m42y3cpi.xlsx]Cash Flow - Standardized!R46C3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4"/>
      </tp>
      <tp t="s">
        <v>—</v>
        <stp/>
        <stp>##V3_BDHV12</stp>
        <stp>XOM US Equity</stp>
        <stp>IS_IMPAIRMENT_ASSETS</stp>
        <stp>FQ3 2011</stp>
        <stp>FQ3 2011</stp>
        <stp>[FA1_m42y3cpi.xlsx]Income - Adjusted!R28C15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2"/>
      </tp>
      <tp>
        <v>-7852</v>
        <stp/>
        <stp>##V3_BDHV12</stp>
        <stp>XOM US Equity</stp>
        <stp>CF_DECR_CAP_STOCK</stp>
        <stp>FQ1 2009</stp>
        <stp>FQ1 2009</stp>
        <stp>[FA1_m42y3cpi.xlsx]Cash Flow - Standardized!R46C5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4"/>
      </tp>
      <tp>
        <v>-4233</v>
        <stp/>
        <stp>##V3_BDHV12</stp>
        <stp>XOM US Equity</stp>
        <stp>CF_DECR_CAP_STOCK</stp>
        <stp>FQ3 2009</stp>
        <stp>FQ3 2009</stp>
        <stp>[FA1_m42y3cpi.xlsx]Cash Flow - Standardized!R46C7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4"/>
      </tp>
      <tp>
        <v>-5246</v>
        <stp/>
        <stp>##V3_BDHV12</stp>
        <stp>XOM US Equity</stp>
        <stp>CF_DECR_CAP_STOCK</stp>
        <stp>FQ2 2009</stp>
        <stp>FQ2 2009</stp>
        <stp>[FA1_m42y3cpi.xlsx]Cash Flow - Standardized!R46C6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4"/>
      </tp>
      <tp t="s">
        <v>—</v>
        <stp/>
        <stp>##V3_BDHV12</stp>
        <stp>XOM US Equity</stp>
        <stp>IS_IMPAIRMENT_ASSETS</stp>
        <stp>FQ2 2013</stp>
        <stp>FQ2 2013</stp>
        <stp>[FA1_m42y3cpi.xlsx]Income - Adjusted!R28C22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2"/>
      </tp>
      <tp t="s">
        <v>—</v>
        <stp/>
        <stp>##V3_BDHV12</stp>
        <stp>XOM US Equity</stp>
        <stp>IS_IMPAIRMENT_ASSETS</stp>
        <stp>FQ2 2010</stp>
        <stp>FQ2 2010</stp>
        <stp>[FA1_m42y3cpi.xlsx]Income - Adjusted!R28C10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2"/>
      </tp>
      <tp>
        <v>6633</v>
        <stp/>
        <stp>##V3_BDHV12</stp>
        <stp>XOM US Equity</stp>
        <stp>OTHER_CURRENT_ASSETS_DETAILED</stp>
        <stp>FQ4 2011</stp>
        <stp>FQ4 2011</stp>
        <stp>[FA1_m42y3cpi.xlsx]Bal Sheet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3"/>
      </tp>
      <tp>
        <v>-2495</v>
        <stp/>
        <stp>##V3_BDHV12</stp>
        <stp>XOM US Equity</stp>
        <stp>CF_DECR_CAP_STOCK</stp>
        <stp>FQ1 2010</stp>
        <stp>FQ1 2010</stp>
        <stp>[FA1_m42y3cpi.xlsx]Cash Flow - Standardized!R46C9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4"/>
      </tp>
      <tp>
        <v>-2372</v>
        <stp/>
        <stp>##V3_BDHV12</stp>
        <stp>XOM US Equity</stp>
        <stp>CF_DECR_CAP_STOCK</stp>
        <stp>FQ4 2009</stp>
        <stp>FQ4 2009</stp>
        <stp>[FA1_m42y3cpi.xlsx]Cash Flow - Standardized!R46C8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4"/>
      </tp>
      <tp>
        <v>5897</v>
        <stp/>
        <stp>##V3_BDHV12</stp>
        <stp>XOM US Equity</stp>
        <stp>OTHER_CURRENT_ASSETS_DETAILED</stp>
        <stp>FQ4 2010</stp>
        <stp>FQ4 2010</stp>
        <stp>[FA1_m42y3cpi.xlsx]Bal Sheet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3"/>
      </tp>
      <tp>
        <v>181035</v>
        <stp/>
        <stp>##V3_BDHV12</stp>
        <stp>XOM US Equity</stp>
        <stp>BS_TOT_LIAB2</stp>
        <stp>FQ1 2012</stp>
        <stp>FQ1 2012</stp>
        <stp>[FA1_m42y3cpi.xlsx]Bal Sheet - Standardized!R66C17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6" s="3"/>
      </tp>
      <tp>
        <v>163823</v>
        <stp/>
        <stp>##V3_BDHV12</stp>
        <stp>XOM US Equity</stp>
        <stp>BS_TOT_LIAB2</stp>
        <stp>FQ3 2015</stp>
        <stp>FQ3 2015</stp>
        <stp>[FA1_m42y3cpi.xlsx]Bal Sheet - Standardized!R66C31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6" s="3"/>
      </tp>
      <tp>
        <v>162376</v>
        <stp/>
        <stp>##V3_BDHV12</stp>
        <stp>XOM US Equity</stp>
        <stp>BS_TOT_LIAB2</stp>
        <stp>FQ3 2016</stp>
        <stp>FQ3 2016</stp>
        <stp>[FA1_m42y3cpi.xlsx]Bal Sheet - Standardized!R66C35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6" s="3"/>
      </tp>
      <tp>
        <v>170455</v>
        <stp/>
        <stp>##V3_BDHV12</stp>
        <stp>XOM US Equity</stp>
        <stp>BS_TOT_LIAB2</stp>
        <stp>FQ2 2014</stp>
        <stp>FQ2 2014</stp>
        <stp>[FA1_m42y3cpi.xlsx]Bal Sheet - Standardized!R66C26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6" s="3"/>
      </tp>
      <tp t="s">
        <v>—</v>
        <stp/>
        <stp>##V3_BDHV12</stp>
        <stp>XOM US Equity</stp>
        <stp>IS_GAIN_LOSS_DISPOSAL_ASSETS</stp>
        <stp>FQ3 2016</stp>
        <stp>FQ3 2016</stp>
        <stp>[FA1_m42y3cpi.xlsx]Income - Adjusted!R27C35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2"/>
      </tp>
      <tp>
        <v>154191</v>
        <stp/>
        <stp>##V3_BDHV12</stp>
        <stp>XOM US Equity</stp>
        <stp>BS_TOT_LIAB2</stp>
        <stp>FQ4 2017</stp>
        <stp>FQ4 2017</stp>
        <stp>[FA1_m42y3cpi.xlsx]Bal Sheet - Standardized!R66C40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6" s="3"/>
      </tp>
      <tp>
        <v>170027</v>
        <stp/>
        <stp>##V3_BDHV12</stp>
        <stp>XOM US Equity</stp>
        <stp>BS_TOT_LIAB2</stp>
        <stp>FQ2 2013</stp>
        <stp>FQ2 2013</stp>
        <stp>[FA1_m42y3cpi.xlsx]Bal Sheet - Standardized!R66C22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6" s="3"/>
      </tp>
      <tp>
        <v>162002</v>
        <stp/>
        <stp>##V3_BDHV12</stp>
        <stp>XOM US Equity</stp>
        <stp>BS_TOT_LIAB2</stp>
        <stp>FQ1 2011</stp>
        <stp>FQ1 2011</stp>
        <stp>[FA1_m42y3cpi.xlsx]Bal Sheet - Standardized!R66C13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6" s="3"/>
      </tp>
      <tp t="s">
        <v>—</v>
        <stp/>
        <stp>##V3_BDHV12</stp>
        <stp>XOM US Equity</stp>
        <stp>IS_GAIN_LOSS_DISPOSAL_ASSETS</stp>
        <stp>FQ2 2017</stp>
        <stp>FQ2 2017</stp>
        <stp>[FA1_m42y3cpi.xlsx]Income - Adjusted!R27C38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2"/>
      </tp>
      <tp>
        <v>160229</v>
        <stp/>
        <stp>##V3_BDHV12</stp>
        <stp>XOM US Equity</stp>
        <stp>BS_TOT_LIAB2</stp>
        <stp>FQ3 2017</stp>
        <stp>FQ3 2017</stp>
        <stp>[FA1_m42y3cpi.xlsx]Bal Sheet - Standardized!R66C39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6" s="3"/>
      </tp>
      <tp>
        <v>88</v>
        <stp/>
        <stp>##V3_BDHV12</stp>
        <stp>XOM US Equity</stp>
        <stp>IS_INT_EXPENSE</stp>
        <stp>FQ3 2014</stp>
        <stp>FQ3 2014</stp>
        <stp>[FA1_m42y3cpi.xlsx]Income - Adjusted!R19C27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9" s="2"/>
      </tp>
      <tp>
        <v>106</v>
        <stp/>
        <stp>##V3_BDHV12</stp>
        <stp>XOM US Equity</stp>
        <stp>IS_INT_EXPENSE</stp>
        <stp>FQ3 2016</stp>
        <stp>FQ3 2016</stp>
        <stp>[FA1_m42y3cpi.xlsx]Income - Adjusted!R19C35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9" s="2"/>
      </tp>
      <tp t="s">
        <v>—</v>
        <stp/>
        <stp>##V3_BDHV12</stp>
        <stp>XOM US Equity</stp>
        <stp>IS_GAIN_LOSS_DISPOSAL_ASSETS</stp>
        <stp>FQ1 2015</stp>
        <stp>FQ1 2015</stp>
        <stp>[FA1_m42y3cpi.xlsx]Income - Adjusted!R27C29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2"/>
      </tp>
      <tp t="s">
        <v>—</v>
        <stp/>
        <stp>##V3_BDHV12</stp>
        <stp>XOM US Equity</stp>
        <stp>TANG_BOOK_VAL_PER_SH</stp>
        <stp>FQ3 2009</stp>
        <stp>FQ3 2009</stp>
        <stp>[FA1_m42y3cpi.xlsx]Per Share!R27C7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7" s="5"/>
      </tp>
      <tp t="s">
        <v>—</v>
        <stp/>
        <stp>##V3_BDHV12</stp>
        <stp>XOM US Equity</stp>
        <stp>TANG_BOOK_VAL_PER_SH</stp>
        <stp>FQ2 2009</stp>
        <stp>FQ2 2009</stp>
        <stp>[FA1_m42y3cpi.xlsx]Per Share!R27C6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7" s="5"/>
      </tp>
      <tp t="s">
        <v>—</v>
        <stp/>
        <stp>##V3_BDHV12</stp>
        <stp>XOM US Equity</stp>
        <stp>TANG_BOOK_VAL_PER_SH</stp>
        <stp>FQ1 2009</stp>
        <stp>FQ1 2009</stp>
        <stp>[FA1_m42y3cpi.xlsx]Per Share!R27C5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7" s="5"/>
      </tp>
      <tp>
        <v>1.33</v>
        <stp/>
        <stp>##V3_BDHV12</stp>
        <stp>XOM US Equity</stp>
        <stp>IS_DIL_EPS_BEF_XO</stp>
        <stp>FQ1 2010</stp>
        <stp>FQ1 2010</stp>
        <stp>[FA1_m42y3cpi.xlsx]Income - Adjusted!R56C9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6" s="2"/>
      </tp>
      <tp>
        <v>332328</v>
        <stp/>
        <stp>##V3_BDHV12</stp>
        <stp>XOM US Equity</stp>
        <stp>HISTORICAL_MARKET_CAP</stp>
        <stp>FQ1 2009</stp>
        <stp>FQ1 2009</stp>
        <stp>[FA1_m42y3cpi.xlsx]Stock Value!R12C5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6"/>
      </tp>
      <tp>
        <v>325691.67</v>
        <stp/>
        <stp>##V3_BDHV12</stp>
        <stp>XOM US Equity</stp>
        <stp>HISTORICAL_MARKET_CAP</stp>
        <stp>FQ3 2009</stp>
        <stp>FQ3 2009</stp>
        <stp>[FA1_m42y3cpi.xlsx]Stock Value!R12C7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6"/>
      </tp>
      <tp>
        <v>335987.46</v>
        <stp/>
        <stp>##V3_BDHV12</stp>
        <stp>XOM US Equity</stp>
        <stp>HISTORICAL_MARKET_CAP</stp>
        <stp>FQ2 2009</stp>
        <stp>FQ2 2009</stp>
        <stp>[FA1_m42y3cpi.xlsx]Stock Value!R12C6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6"/>
      </tp>
      <tp>
        <v>322334.13</v>
        <stp/>
        <stp>##V3_BDHV12</stp>
        <stp>XOM US Equity</stp>
        <stp>HISTORICAL_MARKET_CAP</stp>
        <stp>FQ4 2009</stp>
        <stp>FQ4 2009</stp>
        <stp>[FA1_m42y3cpi.xlsx]Stock Value!R12C8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6"/>
      </tp>
      <tp>
        <v>-4747</v>
        <stp/>
        <stp>##V3_BDHV12</stp>
        <stp>XOM US Equity</stp>
        <stp>CF_NET_CHNG_CASH</stp>
        <stp>FQ3 2012</stp>
        <stp>FQ3 2012</stp>
        <stp>[FA1_m42y3cpi.xlsx]Cash Flow - Standardized!R53C19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3" s="4"/>
      </tp>
      <tp>
        <v>35304</v>
        <stp/>
        <stp>##V3_BDHV12</stp>
        <stp>XOM US Equity</stp>
        <stp>BS_DEFERRED_TAX_LIABILITIES_LT</stp>
        <stp>FQ3 2010</stp>
        <stp>FQ3 2010</stp>
        <stp>[FA1_m42y3cpi.xlsx]Bal Sheet - Standardized!R62C11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2" s="3"/>
      </tp>
      <tp>
        <v>7676</v>
        <stp/>
        <stp>##V3_BDHV12</stp>
        <stp>XOM US Equity</stp>
        <stp>OTHER_NONCURRENT_ASSETS_DETAILED</stp>
        <stp>FQ1 2013</stp>
        <stp>FQ1 2013</stp>
        <stp>[FA1_m42y3cpi.xlsx]Bal Sheet - Standardized!R37C21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7" s="3"/>
      </tp>
      <tp>
        <v>8063</v>
        <stp/>
        <stp>##V3_BDHV12</stp>
        <stp>XOM US Equity</stp>
        <stp>OTHER_NONCURRENT_ASSETS_DETAILED</stp>
        <stp>FQ2 2010</stp>
        <stp>FQ2 2010</stp>
        <stp>[FA1_m42y3cpi.xlsx]Bal Sheet - Standardized!R37C10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7" s="3"/>
      </tp>
      <tp>
        <v>0</v>
        <stp/>
        <stp>##V3_BDHV12</stp>
        <stp>XOM US Equity</stp>
        <stp>OTHER_INTANGIBLE_ASSETS_DETAILED</stp>
        <stp>FQ4 2013</stp>
        <stp>FQ4 2013</stp>
        <stp>[FA1_m42y3cpi.xlsx]Bal Sheet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3"/>
      </tp>
      <tp>
        <v>34772</v>
        <stp/>
        <stp>##V3_BDHV12</stp>
        <stp>XOM US Equity</stp>
        <stp>BS_DEFERRED_TAX_LIABILITIES_LT</stp>
        <stp>FQ1 2017</stp>
        <stp>FQ1 2017</stp>
        <stp>[FA1_m42y3cpi.xlsx]Bal Sheet - Standardized!R62C37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2" s="3"/>
      </tp>
      <tp>
        <v>8103</v>
        <stp/>
        <stp>##V3_BDHV12</stp>
        <stp>XOM US Equity</stp>
        <stp>OTHER_NONCURRENT_ASSETS_DETAILED</stp>
        <stp>FQ1 2014</stp>
        <stp>FQ1 2014</stp>
        <stp>[FA1_m42y3cpi.xlsx]Bal Sheet - Standardized!R37C25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7" s="3"/>
      </tp>
      <tp>
        <v>8851</v>
        <stp/>
        <stp>##V3_BDHV12</stp>
        <stp>XOM US Equity</stp>
        <stp>OTHER_NONCURRENT_ASSETS_DETAILED</stp>
        <stp>FQ2 2011</stp>
        <stp>FQ2 2011</stp>
        <stp>[FA1_m42y3cpi.xlsx]Bal Sheet - Standardized!R37C14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7" s="3"/>
      </tp>
      <tp>
        <v>0</v>
        <stp/>
        <stp>##V3_BDHV12</stp>
        <stp>XOM US Equity</stp>
        <stp>OTHER_INTANGIBLE_ASSETS_DETAILED</stp>
        <stp>FQ4 2012</stp>
        <stp>FQ4 2012</stp>
        <stp>[FA1_m42y3cpi.xlsx]Bal Sheet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3"/>
      </tp>
      <tp>
        <v>36891</v>
        <stp/>
        <stp>##V3_BDHV12</stp>
        <stp>XOM US Equity</stp>
        <stp>BS_DEFERRED_TAX_LIABILITIES_LT</stp>
        <stp>FQ3 2011</stp>
        <stp>FQ3 2011</stp>
        <stp>[FA1_m42y3cpi.xlsx]Bal Sheet - Standardized!R62C15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2" s="3"/>
      </tp>
      <tp>
        <v>36293</v>
        <stp/>
        <stp>##V3_BDHV12</stp>
        <stp>XOM US Equity</stp>
        <stp>BS_DEFERRED_TAX_LIABILITIES_LT</stp>
        <stp>FQ1 2016</stp>
        <stp>FQ1 2016</stp>
        <stp>[FA1_m42y3cpi.xlsx]Bal Sheet - Standardized!R62C33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2" s="3"/>
      </tp>
      <tp>
        <v>1240</v>
        <stp/>
        <stp>##V3_BDHV12</stp>
        <stp>XOM US Equity</stp>
        <stp>CF_NET_CHNG_CASH</stp>
        <stp>FQ1 2017</stp>
        <stp>FQ1 2017</stp>
        <stp>[FA1_m42y3cpi.xlsx]Cash Flow - Standardized!R53C37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3" s="4"/>
      </tp>
      <tp>
        <v>-1008</v>
        <stp/>
        <stp>##V3_BDHV12</stp>
        <stp>XOM US Equity</stp>
        <stp>CF_NET_CHNG_CASH</stp>
        <stp>FQ3 2010</stp>
        <stp>FQ3 2010</stp>
        <stp>[FA1_m42y3cpi.xlsx]Cash Flow - Standardized!R53C11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3" s="4"/>
      </tp>
      <tp>
        <v>37642</v>
        <stp/>
        <stp>##V3_BDHV12</stp>
        <stp>XOM US Equity</stp>
        <stp>BS_DEFERRED_TAX_LIABILITIES_LT</stp>
        <stp>FQ3 2012</stp>
        <stp>FQ3 2012</stp>
        <stp>[FA1_m42y3cpi.xlsx]Bal Sheet - Standardized!R62C19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2" s="3"/>
      </tp>
      <tp>
        <v>0</v>
        <stp/>
        <stp>##V3_BDHV12</stp>
        <stp>XOM US Equity</stp>
        <stp>OTHER_INTANGIBLE_ASSETS_DETAILED</stp>
        <stp>FQ4 2014</stp>
        <stp>FQ4 2014</stp>
        <stp>[FA1_m42y3cpi.xlsx]Bal Sheet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3"/>
      </tp>
      <tp t="s">
        <v>—</v>
        <stp/>
        <stp>##V3_BDHV12</stp>
        <stp>XOM US Equity</stp>
        <stp>OTHER_INTANGIBLE_ASSETS_DETAILED</stp>
        <stp>FQ2 2018</stp>
        <stp>FQ2 2018</stp>
        <stp>[FA1_m42y3cpi.xlsx]Bal Sheet - Standardized!R32C42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3"/>
      </tp>
      <tp>
        <v>7987</v>
        <stp/>
        <stp>##V3_BDHV12</stp>
        <stp>XOM US Equity</stp>
        <stp>OTHER_NONCURRENT_ASSETS_DETAILED</stp>
        <stp>FQ2 2012</stp>
        <stp>FQ2 2012</stp>
        <stp>[FA1_m42y3cpi.xlsx]Bal Sheet - Standardized!R37C18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7" s="3"/>
      </tp>
      <tp>
        <v>1141</v>
        <stp/>
        <stp>##V3_BDHV12</stp>
        <stp>XOM US Equity</stp>
        <stp>CF_NET_CHNG_CASH</stp>
        <stp>FQ1 2016</stp>
        <stp>FQ1 2016</stp>
        <stp>[FA1_m42y3cpi.xlsx]Cash Flow - Standardized!R53C33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3" s="4"/>
      </tp>
      <tp>
        <v>8335</v>
        <stp/>
        <stp>##V3_BDHV12</stp>
        <stp>XOM US Equity</stp>
        <stp>OTHER_NONCURRENT_ASSETS_DETAILED</stp>
        <stp>FQ1 2015</stp>
        <stp>FQ1 2015</stp>
        <stp>[FA1_m42y3cpi.xlsx]Bal Sheet - Standardized!R37C29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7" s="3"/>
      </tp>
      <tp>
        <v>2735</v>
        <stp/>
        <stp>##V3_BDHV12</stp>
        <stp>XOM US Equity</stp>
        <stp>CF_NET_CHNG_CASH</stp>
        <stp>FQ3 2011</stp>
        <stp>FQ3 2011</stp>
        <stp>[FA1_m42y3cpi.xlsx]Cash Flow - Standardized!R53C15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3" s="4"/>
      </tp>
      <tp>
        <v>38036</v>
        <stp/>
        <stp>##V3_BDHV12</stp>
        <stp>XOM US Equity</stp>
        <stp>ACCT_PAYABLE_&amp;_ACCRUALS_DETAILED</stp>
        <stp>FQ3 2017</stp>
        <stp>FQ3 2017</stp>
        <stp>[FA1_m42y3cpi.xlsx]Bal Sheet - Standardized!R42C39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2" s="3"/>
      </tp>
      <tp t="s">
        <v>—</v>
        <stp/>
        <stp>##V3_BDHV12</stp>
        <stp>XOM US Equity</stp>
        <stp>IS_MERGER_ACQUISITION_EXPENSE</stp>
        <stp>FQ3 2017</stp>
        <stp>FQ3 2017</stp>
        <stp>[FA1_m42y3cpi.xlsx]Income - Adjusted!R26C39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2"/>
      </tp>
      <tp>
        <v>73575</v>
        <stp/>
        <stp>##V3_BDHV12</stp>
        <stp>XOM US Equity</stp>
        <stp>ACCT_PAYABLE_&amp;_ACCRUALS_DETAILED</stp>
        <stp>FQ1 2012</stp>
        <stp>FQ1 2012</stp>
        <stp>[FA1_m42y3cpi.xlsx]Bal Sheet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3"/>
      </tp>
      <tp t="s">
        <v>—</v>
        <stp/>
        <stp>##V3_BDHV12</stp>
        <stp>XOM US Equity</stp>
        <stp>IS_MERGER_ACQUISITION_EXPENSE</stp>
        <stp>FQ4 2017</stp>
        <stp>FQ4 2017</stp>
        <stp>[FA1_m42y3cpi.xlsx]Income - Adjusted!R26C40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2"/>
      </tp>
      <tp>
        <v>40355</v>
        <stp/>
        <stp>##V3_BDHV12</stp>
        <stp>XOM US Equity</stp>
        <stp>ACCT_PAYABLE_&amp;_ACCRUALS_DETAILED</stp>
        <stp>FQ3 2015</stp>
        <stp>FQ3 2015</stp>
        <stp>[FA1_m42y3cpi.xlsx]Bal Sheet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3"/>
      </tp>
      <tp t="s">
        <v>—</v>
        <stp/>
        <stp>##V3_BDHV12</stp>
        <stp>XOM US Equity</stp>
        <stp>IS_MERGER_ACQUISITION_EXPENSE</stp>
        <stp>FQ2 2016</stp>
        <stp>FQ2 2016</stp>
        <stp>[FA1_m42y3cpi.xlsx]Income - Adjusted!R26C34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2"/>
      </tp>
      <tp>
        <v>59581</v>
        <stp/>
        <stp>##V3_BDHV12</stp>
        <stp>XOM US Equity</stp>
        <stp>ACCT_PAYABLE_&amp;_ACCRUALS_DETAILED</stp>
        <stp>FQ2 2014</stp>
        <stp>FQ2 2014</stp>
        <stp>[FA1_m42y3cpi.xlsx]Bal Sheet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3"/>
      </tp>
      <tp>
        <v>32782</v>
        <stp/>
        <stp>##V3_BDHV12</stp>
        <stp>XOM US Equity</stp>
        <stp>ACCT_PAYABLE_&amp;_ACCRUALS_DETAILED</stp>
        <stp>FQ3 2016</stp>
        <stp>FQ3 2016</stp>
        <stp>[FA1_m42y3cpi.xlsx]Bal Sheet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3"/>
      </tp>
      <tp>
        <v>39841</v>
        <stp/>
        <stp>##V3_BDHV12</stp>
        <stp>XOM US Equity</stp>
        <stp>ACCT_PAYABLE_&amp;_ACCRUALS_DETAILED</stp>
        <stp>FQ4 2017</stp>
        <stp>FQ4 2017</stp>
        <stp>[FA1_m42y3cpi.xlsx]Bal Sheet - Standardized!R42C40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2" s="3"/>
      </tp>
      <tp>
        <v>70016</v>
        <stp/>
        <stp>##V3_BDHV12</stp>
        <stp>XOM US Equity</stp>
        <stp>ACCT_PAYABLE_&amp;_ACCRUALS_DETAILED</stp>
        <stp>FQ1 2011</stp>
        <stp>FQ1 2011</stp>
        <stp>[FA1_m42y3cpi.xlsx]Bal Sheet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3"/>
      </tp>
      <tp>
        <v>60827</v>
        <stp/>
        <stp>##V3_BDHV12</stp>
        <stp>XOM US Equity</stp>
        <stp>ACCT_PAYABLE_&amp;_ACCRUALS_DETAILED</stp>
        <stp>FQ2 2013</stp>
        <stp>FQ2 2013</stp>
        <stp>[FA1_m42y3cpi.xlsx]Bal Sheet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3"/>
      </tp>
      <tp t="s">
        <v>—</v>
        <stp/>
        <stp>##V3_BDHV12</stp>
        <stp>XOM US Equity</stp>
        <stp>IS_MERGER_ACQUISITION_EXPENSE</stp>
        <stp>FQ1 2014</stp>
        <stp>FQ1 2014</stp>
        <stp>[FA1_m42y3cpi.xlsx]Income - Adjusted!R26C25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2"/>
      </tp>
      <tp>
        <v>22117</v>
        <stp/>
        <stp>##V3_BDHV12</stp>
        <stp>XOM US Equity</stp>
        <stp>PENSION_LIABILITIES</stp>
        <stp>FQ2 2012</stp>
        <stp>FQ2 2012</stp>
        <stp>[FA1_m42y3cpi.xlsx]Bal Sheet - Standardized!R60C18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0" s="3"/>
      </tp>
      <tp>
        <v>1.0358000000000001</v>
        <stp/>
        <stp>##V3_BDHV12</stp>
        <stp>XOM US Equity</stp>
        <stp>FREE_CASH_FLOW_PER_SH</stp>
        <stp>FQ4 2008</stp>
        <stp>FQ4 2008</stp>
        <stp>[FA1_m42y3cpi.xlsx]Per Share!R23C4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3" s="5"/>
      </tp>
      <tp>
        <v>1.8151999999999999</v>
        <stp/>
        <stp>##V3_BDHV12</stp>
        <stp>XOM US Equity</stp>
        <stp>FREE_CASH_FLOW_PER_SH</stp>
        <stp>FQ3 2008</stp>
        <stp>FQ3 2008</stp>
        <stp>[FA1_m42y3cpi.xlsx]Per Share!R23C3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3" s="5"/>
      </tp>
      <tp>
        <v>24632</v>
        <stp/>
        <stp>##V3_BDHV12</stp>
        <stp>XOM US Equity</stp>
        <stp>PENSION_LIABILITIES</stp>
        <stp>FQ1 2015</stp>
        <stp>FQ1 2015</stp>
        <stp>[FA1_m42y3cpi.xlsx]Bal Sheet - Standardized!R60C29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0" s="3"/>
      </tp>
      <tp>
        <v>0</v>
        <stp/>
        <stp>##V3_BDHV12</stp>
        <stp>XOM US Equity</stp>
        <stp>IS_DISCONTINUED_OPERATIONS</stp>
        <stp>FQ3 2012</stp>
        <stp>FQ3 2012</stp>
        <stp>[FA1_m42y3cpi.xlsx]Income - Adjusted!R36C19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2"/>
      </tp>
      <tp>
        <v>20215</v>
        <stp/>
        <stp>##V3_BDHV12</stp>
        <stp>XOM US Equity</stp>
        <stp>PENSION_LIABILITIES</stp>
        <stp>FQ1 2014</stp>
        <stp>FQ1 2014</stp>
        <stp>[FA1_m42y3cpi.xlsx]Bal Sheet - Standardized!R60C25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0" s="3"/>
      </tp>
      <tp t="s">
        <v>—</v>
        <stp/>
        <stp>##V3_BDHV12</stp>
        <stp>XOM US Equity</stp>
        <stp>IS_IMPAIRMENT_ASSETS</stp>
        <stp>FQ2 2009</stp>
        <stp>FQ2 2009</stp>
        <stp>[FA1_m42y3cpi.xlsx]Income - Adjusted!R28C6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2"/>
      </tp>
      <tp>
        <v>17143</v>
        <stp/>
        <stp>##V3_BDHV12</stp>
        <stp>XOM US Equity</stp>
        <stp>PENSION_LIABILITIES</stp>
        <stp>FQ2 2010</stp>
        <stp>FQ2 2010</stp>
        <stp>[FA1_m42y3cpi.xlsx]Bal Sheet - Standardized!R60C10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0" s="3"/>
      </tp>
      <tp>
        <v>4224.942</v>
        <stp/>
        <stp>##V3_BDHV12</stp>
        <stp>XOM US Equity</stp>
        <stp>EQY_FLOAT</stp>
        <stp>FQ4 2017</stp>
        <stp>FQ4 2017</stp>
        <stp>[FA1_m42y3cpi.xlsx]Stock Value!R14C40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4" s="6"/>
      </tp>
      <tp>
        <v>25286</v>
        <stp/>
        <stp>##V3_BDHV12</stp>
        <stp>XOM US Equity</stp>
        <stp>PENSION_LIABILITIES</stp>
        <stp>FQ1 2013</stp>
        <stp>FQ1 2013</stp>
        <stp>[FA1_m42y3cpi.xlsx]Bal Sheet - Standardized!R60C21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0" s="3"/>
      </tp>
      <tp>
        <v>7.5525000000000002</v>
        <stp/>
        <stp>##V3_BDHV12</stp>
        <stp>XOM US Equity</stp>
        <stp>PROF_MARGIN</stp>
        <stp>FQ4 2009</stp>
        <stp>FQ4 2009</stp>
        <stp>[FA1_m42y3cpi.xlsx]Income - Adjusted!R67C8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67" s="2"/>
      </tp>
      <tp>
        <v>8.0929000000000002</v>
        <stp/>
        <stp>##V3_BDHV12</stp>
        <stp>XOM US Equity</stp>
        <stp>PROF_MARGIN</stp>
        <stp>FQ1 2009</stp>
        <stp>FQ1 2009</stp>
        <stp>[FA1_m42y3cpi.xlsx]Income - Adjusted!R67C5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67" s="2"/>
      </tp>
      <tp>
        <v>6.2016</v>
        <stp/>
        <stp>##V3_BDHV12</stp>
        <stp>XOM US Equity</stp>
        <stp>PROF_MARGIN</stp>
        <stp>FQ2 2009</stp>
        <stp>FQ2 2009</stp>
        <stp>[FA1_m42y3cpi.xlsx]Income - Adjusted!R67C6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67" s="2"/>
      </tp>
      <tp>
        <v>6.4542999999999999</v>
        <stp/>
        <stp>##V3_BDHV12</stp>
        <stp>XOM US Equity</stp>
        <stp>PROF_MARGIN</stp>
        <stp>FQ3 2009</stp>
        <stp>FQ3 2009</stp>
        <stp>[FA1_m42y3cpi.xlsx]Income - Adjusted!R67C7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67" s="2"/>
      </tp>
      <tp>
        <v>4310.0820000000003</v>
        <stp/>
        <stp>##V3_BDHV12</stp>
        <stp>XOM US Equity</stp>
        <stp>EQY_FLOAT</stp>
        <stp>FQ1 2014</stp>
        <stp>FQ1 2014</stp>
        <stp>[FA1_m42y3cpi.xlsx]Stock Value!R14C25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4" s="6"/>
      </tp>
      <tp>
        <v>0</v>
        <stp/>
        <stp>##V3_BDHV12</stp>
        <stp>XOM US Equity</stp>
        <stp>IS_DISCONTINUED_OPERATIONS</stp>
        <stp>FQ1 2013</stp>
        <stp>FQ1 2013</stp>
        <stp>[FA1_m42y3cpi.xlsx]Income - Adjusted!R36C21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2"/>
      </tp>
      <tp>
        <v>4253.2250000000004</v>
        <stp/>
        <stp>##V3_BDHV12</stp>
        <stp>XOM US Equity</stp>
        <stp>EQY_FLOAT</stp>
        <stp>FQ3 2014</stp>
        <stp>FQ3 2014</stp>
        <stp>[FA1_m42y3cpi.xlsx]Stock Value!R14C27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4" s="6"/>
      </tp>
      <tp>
        <v>20257</v>
        <stp/>
        <stp>##V3_BDHV12</stp>
        <stp>XOM US Equity</stp>
        <stp>PENSION_LIABILITIES</stp>
        <stp>FQ2 2011</stp>
        <stp>FQ2 2011</stp>
        <stp>[FA1_m42y3cpi.xlsx]Bal Sheet - Standardized!R60C14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0" s="3"/>
      </tp>
      <tp>
        <v>4548.5290000000005</v>
        <stp/>
        <stp>##V3_BDHV12</stp>
        <stp>XOM US Equity</stp>
        <stp>EQY_FLOAT</stp>
        <stp>FQ4 2012</stp>
        <stp>FQ4 2012</stp>
        <stp>[FA1_m42y3cpi.xlsx]Stock Value!R14C20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4" s="6"/>
      </tp>
      <tp>
        <v>4283.2330000000002</v>
        <stp/>
        <stp>##V3_BDHV12</stp>
        <stp>XOM US Equity</stp>
        <stp>EQY_FLOAT</stp>
        <stp>FQ2 2014</stp>
        <stp>FQ2 2014</stp>
        <stp>[FA1_m42y3cpi.xlsx]Stock Value!R14C26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4" s="6"/>
      </tp>
      <tp t="s">
        <v>—</v>
        <stp/>
        <stp>##V3_BDHV12</stp>
        <stp>XOM US Equity</stp>
        <stp>IS_IMPAIRMENT_ASSETS</stp>
        <stp>FQ4 2015</stp>
        <stp>FQ4 2015</stp>
        <stp>[FA1_m42y3cpi.xlsx]Income - Adjusted!R28C32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2"/>
      </tp>
      <tp t="s">
        <v>—</v>
        <stp/>
        <stp>##V3_BDHV12</stp>
        <stp>XOM US Equity</stp>
        <stp>IS_IMPAIRMENT_ASSETS</stp>
        <stp>FQ2 2011</stp>
        <stp>FQ2 2011</stp>
        <stp>[FA1_m42y3cpi.xlsx]Income - Adjusted!R28C14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2"/>
      </tp>
      <tp t="s">
        <v>—</v>
        <stp/>
        <stp>##V3_BDHV12</stp>
        <stp>XOM US Equity</stp>
        <stp>IS_IMPAIRMENT_ASSETS</stp>
        <stp>FQ1 2012</stp>
        <stp>FQ1 2012</stp>
        <stp>[FA1_m42y3cpi.xlsx]Income - Adjusted!R28C17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2"/>
      </tp>
      <tp t="s">
        <v>—</v>
        <stp/>
        <stp>##V3_BDHV12</stp>
        <stp>XOM US Equity</stp>
        <stp>IS_IMPAIRMENT_ASSETS</stp>
        <stp>FQ3 2010</stp>
        <stp>FQ3 2010</stp>
        <stp>[FA1_m42y3cpi.xlsx]Income - Adjusted!R28C11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2"/>
      </tp>
      <tp t="s">
        <v>—</v>
        <stp/>
        <stp>##V3_BDHV12</stp>
        <stp>XOM US Equity</stp>
        <stp>IS_IMPAIRMENT_ASSETS</stp>
        <stp>FQ3 2013</stp>
        <stp>FQ3 2013</stp>
        <stp>[FA1_m42y3cpi.xlsx]Income - Adjusted!R28C23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2"/>
      </tp>
      <tp t="s">
        <v>—</v>
        <stp/>
        <stp>##V3_BDHV12</stp>
        <stp>XOM US Equity</stp>
        <stp>IS_IMPAIRMENT_ASSETS</stp>
        <stp>FQ4 2014</stp>
        <stp>FQ4 2014</stp>
        <stp>[FA1_m42y3cpi.xlsx]Income - Adjusted!R28C28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2"/>
      </tp>
      <tp t="s">
        <v>—</v>
        <stp/>
        <stp>##V3_BDHV12</stp>
        <stp>XOM US Equity</stp>
        <stp>IS_GAIN_LOSS_DISPOSAL_ASSETS</stp>
        <stp>FQ4 2017</stp>
        <stp>FQ4 2017</stp>
        <stp>[FA1_m42y3cpi.xlsx]Income - Adjusted!R27C40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2"/>
      </tp>
      <tp>
        <v>169262</v>
        <stp/>
        <stp>##V3_BDHV12</stp>
        <stp>XOM US Equity</stp>
        <stp>BS_TOT_LIAB2</stp>
        <stp>FQ2 2015</stp>
        <stp>FQ2 2015</stp>
        <stp>[FA1_m42y3cpi.xlsx]Bal Sheet - Standardized!R66C30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6" s="3"/>
      </tp>
      <tp>
        <v>165598</v>
        <stp/>
        <stp>##V3_BDHV12</stp>
        <stp>XOM US Equity</stp>
        <stp>BS_TOT_LIAB2</stp>
        <stp>FQ2 2016</stp>
        <stp>FQ2 2016</stp>
        <stp>[FA1_m42y3cpi.xlsx]Bal Sheet - Standardized!R66C34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6" s="3"/>
      </tp>
      <tp>
        <v>165269</v>
        <stp/>
        <stp>##V3_BDHV12</stp>
        <stp>XOM US Equity</stp>
        <stp>BS_TOT_LIAB2</stp>
        <stp>FQ3 2014</stp>
        <stp>FQ3 2014</stp>
        <stp>[FA1_m42y3cpi.xlsx]Bal Sheet - Standardized!R66C27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6" s="3"/>
      </tp>
      <tp t="s">
        <v>—</v>
        <stp/>
        <stp>##V3_BDHV12</stp>
        <stp>XOM US Equity</stp>
        <stp>IS_GAIN_LOSS_DISPOSAL_ASSETS</stp>
        <stp>FQ2 2016</stp>
        <stp>FQ2 2016</stp>
        <stp>[FA1_m42y3cpi.xlsx]Income - Adjusted!R27C34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2"/>
      </tp>
      <tp t="s">
        <v>—</v>
        <stp/>
        <stp>##V3_BDHV12</stp>
        <stp>XOM US Equity</stp>
        <stp>IS_GAIN_LOSS_DISPOSAL_ASSETS</stp>
        <stp>FQ1 2014</stp>
        <stp>FQ1 2014</stp>
        <stp>[FA1_m42y3cpi.xlsx]Income - Adjusted!R27C25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2"/>
      </tp>
      <tp>
        <v>172086</v>
        <stp/>
        <stp>##V3_BDHV12</stp>
        <stp>XOM US Equity</stp>
        <stp>BS_TOT_LIAB2</stp>
        <stp>FQ3 2013</stp>
        <stp>FQ3 2013</stp>
        <stp>[FA1_m42y3cpi.xlsx]Bal Sheet - Standardized!R66C23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6" s="3"/>
      </tp>
      <tp>
        <v>157174</v>
        <stp/>
        <stp>##V3_BDHV12</stp>
        <stp>XOM US Equity</stp>
        <stp>BS_TOT_LIAB2</stp>
        <stp>FQ2 2017</stp>
        <stp>FQ2 2017</stp>
        <stp>[FA1_m42y3cpi.xlsx]Bal Sheet - Standardized!R66C38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6" s="3"/>
      </tp>
      <tp t="s">
        <v>—</v>
        <stp/>
        <stp>##V3_BDHV12</stp>
        <stp>XOM US Equity</stp>
        <stp>IS_GAIN_LOSS_DISPOSAL_ASSETS</stp>
        <stp>FQ3 2017</stp>
        <stp>FQ3 2017</stp>
        <stp>[FA1_m42y3cpi.xlsx]Income - Adjusted!R27C39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2"/>
      </tp>
      <tp>
        <v>111</v>
        <stp/>
        <stp>##V3_BDHV12</stp>
        <stp>XOM US Equity</stp>
        <stp>IS_INT_EXPENSE</stp>
        <stp>FQ4 2012</stp>
        <stp>FQ4 2012</stp>
        <stp>[FA1_m42y3cpi.xlsx]Income - Adjusted!R19C20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9" s="2"/>
      </tp>
      <tp>
        <v>110</v>
        <stp/>
        <stp>##V3_BDHV12</stp>
        <stp>XOM US Equity</stp>
        <stp>IS_INT_EXPENSE</stp>
        <stp>FQ4 2010</stp>
        <stp>FQ4 2010</stp>
        <stp>[FA1_m42y3cpi.xlsx]Income - Adjusted!R19C12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9" s="2"/>
      </tp>
      <tp>
        <v>64</v>
        <stp/>
        <stp>##V3_BDHV12</stp>
        <stp>XOM US Equity</stp>
        <stp>IS_INT_EXPENSE</stp>
        <stp>FQ2 2014</stp>
        <stp>FQ2 2014</stp>
        <stp>[FA1_m42y3cpi.xlsx]Income - Adjusted!R19C26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9" s="2"/>
      </tp>
      <tp>
        <v>75</v>
        <stp/>
        <stp>##V3_BDHV12</stp>
        <stp>XOM US Equity</stp>
        <stp>IS_INT_EXPENSE</stp>
        <stp>FQ2 2016</stp>
        <stp>FQ2 2016</stp>
        <stp>[FA1_m42y3cpi.xlsx]Income - Adjusted!R19C34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9" s="2"/>
      </tp>
      <tp>
        <v>24</v>
        <stp/>
        <stp>##V3_BDHV12</stp>
        <stp>XOM US Equity</stp>
        <stp>IS_INT_EXPENSE</stp>
        <stp>FQ1 2013</stp>
        <stp>FQ1 2013</stp>
        <stp>[FA1_m42y3cpi.xlsx]Income - Adjusted!R19C21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9" s="2"/>
      </tp>
      <tp>
        <v>29</v>
        <stp/>
        <stp>##V3_BDHV12</stp>
        <stp>XOM US Equity</stp>
        <stp>IS_INT_EXPENSE</stp>
        <stp>FQ1 2011</stp>
        <stp>FQ1 2011</stp>
        <stp>[FA1_m42y3cpi.xlsx]Income - Adjusted!R19C13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9" s="2"/>
      </tp>
      <tp>
        <v>5503</v>
        <stp/>
        <stp>##V3_BDHV12</stp>
        <stp>XOM US Equity</stp>
        <stp>BS_SH_CAP_AND_APIC</stp>
        <stp>FQ4 2009</stp>
        <stp>FQ4 2009</stp>
        <stp>[FA1_m42y3cpi.xlsx]Bal Sheet - Standardized!R68C8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8" s="3"/>
      </tp>
      <tp>
        <v>5300</v>
        <stp/>
        <stp>##V3_BDHV12</stp>
        <stp>XOM US Equity</stp>
        <stp>BS_SH_CAP_AND_APIC</stp>
        <stp>FQ1 2010</stp>
        <stp>FQ1 2010</stp>
        <stp>[FA1_m42y3cpi.xlsx]Bal Sheet - Standardized!R68C9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8" s="3"/>
      </tp>
      <tp>
        <v>5260</v>
        <stp/>
        <stp>##V3_BDHV12</stp>
        <stp>XOM US Equity</stp>
        <stp>BS_SH_CAP_AND_APIC</stp>
        <stp>FQ2 2009</stp>
        <stp>FQ2 2009</stp>
        <stp>[FA1_m42y3cpi.xlsx]Bal Sheet - Standardized!R68C6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8" s="3"/>
      </tp>
      <tp>
        <v>5445</v>
        <stp/>
        <stp>##V3_BDHV12</stp>
        <stp>XOM US Equity</stp>
        <stp>BS_SH_CAP_AND_APIC</stp>
        <stp>FQ3 2009</stp>
        <stp>FQ3 2009</stp>
        <stp>[FA1_m42y3cpi.xlsx]Bal Sheet - Standardized!R68C7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8" s="3"/>
      </tp>
      <tp>
        <v>5066</v>
        <stp/>
        <stp>##V3_BDHV12</stp>
        <stp>XOM US Equity</stp>
        <stp>BS_SH_CAP_AND_APIC</stp>
        <stp>FQ1 2009</stp>
        <stp>FQ1 2009</stp>
        <stp>[FA1_m42y3cpi.xlsx]Bal Sheet - Standardized!R68C5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8" s="3"/>
      </tp>
      <tp>
        <v>5105</v>
        <stp/>
        <stp>##V3_BDHV12</stp>
        <stp>XOM US Equity</stp>
        <stp>BS_SH_CAP_AND_APIC</stp>
        <stp>FQ3 2008</stp>
        <stp>FQ3 2008</stp>
        <stp>[FA1_m42y3cpi.xlsx]Bal Sheet - Standardized!R68C3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8" s="3"/>
      </tp>
      <tp>
        <v>5314</v>
        <stp/>
        <stp>##V3_BDHV12</stp>
        <stp>XOM US Equity</stp>
        <stp>BS_SH_CAP_AND_APIC</stp>
        <stp>FQ4 2008</stp>
        <stp>FQ4 2008</stp>
        <stp>[FA1_m42y3cpi.xlsx]Bal Sheet - Standardized!R68C4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8" s="3"/>
      </tp>
      <tp>
        <v>395056.42</v>
        <stp/>
        <stp>##V3_BDHV12</stp>
        <stp>XOM US Equity</stp>
        <stp>HISTORICAL_MARKET_CAP</stp>
        <stp>FQ3 2008</stp>
        <stp>FQ3 2008</stp>
        <stp>[FA1_m42y3cpi.xlsx]Stock Value!R12C3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6"/>
      </tp>
      <tp>
        <v>397234.08</v>
        <stp/>
        <stp>##V3_BDHV12</stp>
        <stp>XOM US Equity</stp>
        <stp>HISTORICAL_MARKET_CAP</stp>
        <stp>FQ4 2008</stp>
        <stp>FQ4 2008</stp>
        <stp>[FA1_m42y3cpi.xlsx]Stock Value!R12C4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6"/>
      </tp>
      <tp>
        <v>2.86</v>
        <stp/>
        <stp>##V3_BDHV12</stp>
        <stp>XOM US Equity</stp>
        <stp>IS_DIL_EPS_BEF_XO</stp>
        <stp>FQ3 2008</stp>
        <stp>FQ3 2008</stp>
        <stp>[FA1_m42y3cpi.xlsx]Income - Adjusted!R56C3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6" s="2"/>
      </tp>
      <tp>
        <v>1.55</v>
        <stp/>
        <stp>##V3_BDHV12</stp>
        <stp>XOM US Equity</stp>
        <stp>IS_DIL_EPS_BEF_XO</stp>
        <stp>FQ4 2008</stp>
        <stp>FQ4 2008</stp>
        <stp>[FA1_m42y3cpi.xlsx]Income - Adjusted!R56C4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6" s="2"/>
      </tp>
      <tp>
        <v>-868</v>
        <stp/>
        <stp>##V3_BDHV12</stp>
        <stp>XOM US Equity</stp>
        <stp>CF_NET_CHNG_CASH</stp>
        <stp>FQ2 2012</stp>
        <stp>FQ2 2012</stp>
        <stp>[FA1_m42y3cpi.xlsx]Cash Flow - Standardized!R53C18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3" s="4"/>
      </tp>
      <tp>
        <v>34283</v>
        <stp/>
        <stp>##V3_BDHV12</stp>
        <stp>XOM US Equity</stp>
        <stp>BS_DEFERRED_TAX_LIABILITIES_LT</stp>
        <stp>FQ2 2010</stp>
        <stp>FQ2 2010</stp>
        <stp>[FA1_m42y3cpi.xlsx]Bal Sheet - Standardized!R62C10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2" s="3"/>
      </tp>
      <tp>
        <v>38712</v>
        <stp/>
        <stp>##V3_BDHV12</stp>
        <stp>XOM US Equity</stp>
        <stp>BS_DEFERRED_TAX_LIABILITIES_LT</stp>
        <stp>FQ1 2013</stp>
        <stp>FQ1 2013</stp>
        <stp>[FA1_m42y3cpi.xlsx]Bal Sheet - Standardized!R62C21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2" s="3"/>
      </tp>
      <tp>
        <v>8695</v>
        <stp/>
        <stp>##V3_BDHV12</stp>
        <stp>XOM US Equity</stp>
        <stp>OTHER_NONCURRENT_ASSETS_DETAILED</stp>
        <stp>FQ3 2010</stp>
        <stp>FQ3 2010</stp>
        <stp>[FA1_m42y3cpi.xlsx]Bal Sheet - Standardized!R37C11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7" s="3"/>
      </tp>
      <tp>
        <v>0</v>
        <stp/>
        <stp>##V3_BDHV12</stp>
        <stp>XOM US Equity</stp>
        <stp>OTHER_INTANGIBLE_ASSETS_DETAILED</stp>
        <stp>FQ4 2015</stp>
        <stp>FQ4 2015</stp>
        <stp>[FA1_m42y3cpi.xlsx]Bal Sheet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3"/>
      </tp>
      <tp>
        <v>40783</v>
        <stp/>
        <stp>##V3_BDHV12</stp>
        <stp>XOM US Equity</stp>
        <stp>BS_DEFERRED_TAX_LIABILITIES_LT</stp>
        <stp>FQ1 2014</stp>
        <stp>FQ1 2014</stp>
        <stp>[FA1_m42y3cpi.xlsx]Bal Sheet - Standardized!R62C25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2" s="3"/>
      </tp>
      <tp>
        <v>9663</v>
        <stp/>
        <stp>##V3_BDHV12</stp>
        <stp>XOM US Equity</stp>
        <stp>OTHER_NONCURRENT_ASSETS_DETAILED</stp>
        <stp>FQ1 2017</stp>
        <stp>FQ1 2017</stp>
        <stp>[FA1_m42y3cpi.xlsx]Bal Sheet - Standardized!R37C37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7" s="3"/>
      </tp>
      <tp>
        <v>9315</v>
        <stp/>
        <stp>##V3_BDHV12</stp>
        <stp>XOM US Equity</stp>
        <stp>OTHER_NONCURRENT_ASSETS_DETAILED</stp>
        <stp>FQ3 2011</stp>
        <stp>FQ3 2011</stp>
        <stp>[FA1_m42y3cpi.xlsx]Bal Sheet - Standardized!R37C15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7" s="3"/>
      </tp>
      <tp>
        <v>568</v>
        <stp/>
        <stp>##V3_BDHV12</stp>
        <stp>XOM US Equity</stp>
        <stp>CF_NET_CHNG_CASH</stp>
        <stp>FQ1 2015</stp>
        <stp>FQ1 2015</stp>
        <stp>[FA1_m42y3cpi.xlsx]Cash Flow - Standardized!R53C29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3" s="4"/>
      </tp>
      <tp>
        <v>37193</v>
        <stp/>
        <stp>##V3_BDHV12</stp>
        <stp>XOM US Equity</stp>
        <stp>BS_DEFERRED_TAX_LIABILITIES_LT</stp>
        <stp>FQ2 2011</stp>
        <stp>FQ2 2011</stp>
        <stp>[FA1_m42y3cpi.xlsx]Bal Sheet - Standardized!R62C14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2" s="3"/>
      </tp>
      <tp>
        <v>0</v>
        <stp/>
        <stp>##V3_BDHV12</stp>
        <stp>XOM US Equity</stp>
        <stp>OTHER_INTANGIBLE_ASSETS_DETAILED</stp>
        <stp>FQ4 2016</stp>
        <stp>FQ4 2016</stp>
        <stp>[FA1_m42y3cpi.xlsx]Bal Sheet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3"/>
      </tp>
      <tp>
        <v>8366</v>
        <stp/>
        <stp>##V3_BDHV12</stp>
        <stp>XOM US Equity</stp>
        <stp>OTHER_NONCURRENT_ASSETS_DETAILED</stp>
        <stp>FQ1 2016</stp>
        <stp>FQ1 2016</stp>
        <stp>[FA1_m42y3cpi.xlsx]Bal Sheet - Standardized!R37C33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7" s="3"/>
      </tp>
      <tp>
        <v>957</v>
        <stp/>
        <stp>##V3_BDHV12</stp>
        <stp>XOM US Equity</stp>
        <stp>CF_NET_CHNG_CASH</stp>
        <stp>FQ1 2014</stp>
        <stp>FQ1 2014</stp>
        <stp>[FA1_m42y3cpi.xlsx]Cash Flow - Standardized!R53C25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3" s="4"/>
      </tp>
      <tp>
        <v>-490</v>
        <stp/>
        <stp>##V3_BDHV12</stp>
        <stp>XOM US Equity</stp>
        <stp>CF_NET_CHNG_CASH</stp>
        <stp>FQ2 2010</stp>
        <stp>FQ2 2010</stp>
        <stp>[FA1_m42y3cpi.xlsx]Cash Flow - Standardized!R53C10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3" s="4"/>
      </tp>
      <tp>
        <v>36851</v>
        <stp/>
        <stp>##V3_BDHV12</stp>
        <stp>XOM US Equity</stp>
        <stp>BS_DEFERRED_TAX_LIABILITIES_LT</stp>
        <stp>FQ2 2012</stp>
        <stp>FQ2 2012</stp>
        <stp>[FA1_m42y3cpi.xlsx]Bal Sheet - Standardized!R62C18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2" s="3"/>
      </tp>
      <tp>
        <v>-3368</v>
        <stp/>
        <stp>##V3_BDHV12</stp>
        <stp>XOM US Equity</stp>
        <stp>CF_NET_CHNG_CASH</stp>
        <stp>FQ1 2013</stp>
        <stp>FQ1 2013</stp>
        <stp>[FA1_m42y3cpi.xlsx]Cash Flow - Standardized!R53C21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3" s="4"/>
      </tp>
      <tp>
        <v>7618</v>
        <stp/>
        <stp>##V3_BDHV12</stp>
        <stp>XOM US Equity</stp>
        <stp>OTHER_NONCURRENT_ASSETS_DETAILED</stp>
        <stp>FQ3 2012</stp>
        <stp>FQ3 2012</stp>
        <stp>[FA1_m42y3cpi.xlsx]Bal Sheet - Standardized!R37C19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7" s="3"/>
      </tp>
      <tp>
        <v>-4546</v>
        <stp/>
        <stp>##V3_BDHV12</stp>
        <stp>XOM US Equity</stp>
        <stp>CF_NET_CHNG_CASH</stp>
        <stp>FQ2 2011</stp>
        <stp>FQ2 2011</stp>
        <stp>[FA1_m42y3cpi.xlsx]Cash Flow - Standardized!R53C14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3" s="4"/>
      </tp>
      <tp>
        <v>38935</v>
        <stp/>
        <stp>##V3_BDHV12</stp>
        <stp>XOM US Equity</stp>
        <stp>BS_DEFERRED_TAX_LIABILITIES_LT</stp>
        <stp>FQ1 2015</stp>
        <stp>FQ1 2015</stp>
        <stp>[FA1_m42y3cpi.xlsx]Bal Sheet - Standardized!R62C29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2" s="3"/>
      </tp>
      <tp>
        <v>33764</v>
        <stp/>
        <stp>##V3_BDHV12</stp>
        <stp>XOM US Equity</stp>
        <stp>ACCT_PAYABLE_&amp;_ACCRUALS_DETAILED</stp>
        <stp>FQ2 2017</stp>
        <stp>FQ2 2017</stp>
        <stp>[FA1_m42y3cpi.xlsx]Bal Sheet - Standardized!R42C38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2" s="3"/>
      </tp>
      <tp t="s">
        <v>—</v>
        <stp/>
        <stp>##V3_BDHV12</stp>
        <stp>XOM US Equity</stp>
        <stp>IS_MERGER_ACQUISITION_EXPENSE</stp>
        <stp>FQ2 2017</stp>
        <stp>FQ2 2017</stp>
        <stp>[FA1_m42y3cpi.xlsx]Income - Adjusted!R26C38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2"/>
      </tp>
      <tp t="s">
        <v>—</v>
        <stp/>
        <stp>##V3_BDHV12</stp>
        <stp>XOM US Equity</stp>
        <stp>IS_MERGER_ACQUISITION_EXPENSE</stp>
        <stp>FQ1 2015</stp>
        <stp>FQ1 2015</stp>
        <stp>[FA1_m42y3cpi.xlsx]Income - Adjusted!R26C29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2"/>
      </tp>
      <tp>
        <v>8574</v>
        <stp/>
        <stp>##V3_BDHV12</stp>
        <stp>XOM US Equity</stp>
        <stp>EBITDA</stp>
        <stp>FQ2 2009</stp>
        <stp>FQ2 2009</stp>
        <stp>[FA1_m42y3cpi.xlsx]Income - Adjusted!R61C6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1" s="2"/>
      </tp>
      <tp>
        <v>10023</v>
        <stp/>
        <stp>##V3_BDHV12</stp>
        <stp>XOM US Equity</stp>
        <stp>EBITDA</stp>
        <stp>FQ3 2009</stp>
        <stp>FQ3 2009</stp>
        <stp>[FA1_m42y3cpi.xlsx]Income - Adjusted!R61C7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1" s="2"/>
      </tp>
      <tp>
        <v>8850</v>
        <stp/>
        <stp>##V3_BDHV12</stp>
        <stp>XOM US Equity</stp>
        <stp>EBITDA</stp>
        <stp>FQ1 2009</stp>
        <stp>FQ1 2009</stp>
        <stp>[FA1_m42y3cpi.xlsx]Income - Adjusted!R61C5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1" s="2"/>
      </tp>
      <tp>
        <v>43963</v>
        <stp/>
        <stp>##V3_BDHV12</stp>
        <stp>XOM US Equity</stp>
        <stp>ACCT_PAYABLE_&amp;_ACCRUALS_DETAILED</stp>
        <stp>FQ2 2015</stp>
        <stp>FQ2 2015</stp>
        <stp>[FA1_m42y3cpi.xlsx]Bal Sheet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3"/>
      </tp>
      <tp>
        <v>55741</v>
        <stp/>
        <stp>##V3_BDHV12</stp>
        <stp>XOM US Equity</stp>
        <stp>ACCT_PAYABLE_&amp;_ACCRUALS_DETAILED</stp>
        <stp>FQ3 2014</stp>
        <stp>FQ3 2014</stp>
        <stp>[FA1_m42y3cpi.xlsx]Bal Sheet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3"/>
      </tp>
      <tp>
        <v>36532</v>
        <stp/>
        <stp>##V3_BDHV12</stp>
        <stp>XOM US Equity</stp>
        <stp>ACCT_PAYABLE_&amp;_ACCRUALS_DETAILED</stp>
        <stp>FQ2 2016</stp>
        <stp>FQ2 2016</stp>
        <stp>[FA1_m42y3cpi.xlsx]Bal Sheet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3"/>
      </tp>
      <tp t="s">
        <v>—</v>
        <stp/>
        <stp>##V3_BDHV12</stp>
        <stp>XOM US Equity</stp>
        <stp>IS_MERGER_ACQUISITION_EXPENSE</stp>
        <stp>FQ3 2016</stp>
        <stp>FQ3 2016</stp>
        <stp>[FA1_m42y3cpi.xlsx]Income - Adjusted!R26C35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2"/>
      </tp>
      <tp>
        <v>58860</v>
        <stp/>
        <stp>##V3_BDHV12</stp>
        <stp>XOM US Equity</stp>
        <stp>ACCT_PAYABLE_&amp;_ACCRUALS_DETAILED</stp>
        <stp>FQ3 2013</stp>
        <stp>FQ3 2013</stp>
        <stp>[FA1_m42y3cpi.xlsx]Bal Sheet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3"/>
      </tp>
      <tp>
        <v>21652</v>
        <stp/>
        <stp>##V3_BDHV12</stp>
        <stp>XOM US Equity</stp>
        <stp>PENSION_LIABILITIES</stp>
        <stp>FQ3 2012</stp>
        <stp>FQ3 2012</stp>
        <stp>[FA1_m42y3cpi.xlsx]Bal Sheet - Standardized!R60C19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0" s="3"/>
      </tp>
      <tp t="s">
        <v>—</v>
        <stp/>
        <stp>##V3_BDHV12</stp>
        <stp>XOM US Equity</stp>
        <stp>BS_PREPAID_PENSION_COSTS_LT</stp>
        <stp>FQ4 2010</stp>
        <stp>FQ4 2010</stp>
        <stp>[FA1_m42y3cpi.xlsx]Bal Sheet - Standardized!R35C12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3"/>
      </tp>
      <tp>
        <v>1.0684</v>
        <stp/>
        <stp>##V3_BDHV12</stp>
        <stp>XOM US Equity</stp>
        <stp>CUR_RATIO</stp>
        <stp>FQ1 2010</stp>
        <stp>FQ1 2010</stp>
        <stp>[FA1_m42y3cpi.xlsx]Bal Sheet - Standardized!R89C9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9" s="3"/>
      </tp>
      <tp t="s">
        <v>—</v>
        <stp/>
        <stp>##V3_BDHV12</stp>
        <stp>XOM US Equity</stp>
        <stp>BS_PREPAID_PENSION_COSTS_LT</stp>
        <stp>FQ4 2011</stp>
        <stp>FQ4 2011</stp>
        <stp>[FA1_m42y3cpi.xlsx]Bal Sheet - Standardized!R35C16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3"/>
      </tp>
      <tp>
        <v>0</v>
        <stp/>
        <stp>##V3_BDHV12</stp>
        <stp>XOM US Equity</stp>
        <stp>IS_DISCONTINUED_OPERATIONS</stp>
        <stp>FQ2 2012</stp>
        <stp>FQ2 2012</stp>
        <stp>[FA1_m42y3cpi.xlsx]Income - Adjusted!R36C18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2"/>
      </tp>
      <tp t="s">
        <v>—</v>
        <stp/>
        <stp>##V3_BDHV12</stp>
        <stp>XOM US Equity</stp>
        <stp>IS_IMPAIRMENT_ASSETS</stp>
        <stp>FQ3 2009</stp>
        <stp>FQ3 2009</stp>
        <stp>[FA1_m42y3cpi.xlsx]Income - Adjusted!R28C7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2"/>
      </tp>
      <tp>
        <v>20584</v>
        <stp/>
        <stp>##V3_BDHV12</stp>
        <stp>XOM US Equity</stp>
        <stp>PENSION_LIABILITIES</stp>
        <stp>FQ1 2017</stp>
        <stp>FQ1 2017</stp>
        <stp>[FA1_m42y3cpi.xlsx]Bal Sheet - Standardized!R60C37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0" s="3"/>
      </tp>
      <tp>
        <v>1.5438000000000001</v>
        <stp/>
        <stp>##V3_BDHV12</stp>
        <stp>XOM US Equity</stp>
        <stp>FREE_CASH_FLOW_PER_SH</stp>
        <stp>FQ1 2010</stp>
        <stp>FQ1 2010</stp>
        <stp>[FA1_m42y3cpi.xlsx]Per Share!R23C9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3" s="5"/>
      </tp>
      <tp>
        <v>18012</v>
        <stp/>
        <stp>##V3_BDHV12</stp>
        <stp>XOM US Equity</stp>
        <stp>PENSION_LIABILITIES</stp>
        <stp>FQ3 2010</stp>
        <stp>FQ3 2010</stp>
        <stp>[FA1_m42y3cpi.xlsx]Bal Sheet - Standardized!R60C11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0" s="3"/>
      </tp>
      <tp>
        <v>10.6708</v>
        <stp/>
        <stp>##V3_BDHV12</stp>
        <stp>XOM US Equity</stp>
        <stp>PROF_MARGIN</stp>
        <stp>FQ4 2008</stp>
        <stp>FQ4 2008</stp>
        <stp>[FA1_m42y3cpi.xlsx]Income - Adjusted!R67C4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67" s="2"/>
      </tp>
      <tp>
        <v>12.0807</v>
        <stp/>
        <stp>##V3_BDHV12</stp>
        <stp>XOM US Equity</stp>
        <stp>PROF_MARGIN</stp>
        <stp>FQ3 2008</stp>
        <stp>FQ3 2008</stp>
        <stp>[FA1_m42y3cpi.xlsx]Income - Adjusted!R67C3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67" s="2"/>
      </tp>
      <tp>
        <v>22401</v>
        <stp/>
        <stp>##V3_BDHV12</stp>
        <stp>XOM US Equity</stp>
        <stp>PENSION_LIABILITIES</stp>
        <stp>FQ1 2016</stp>
        <stp>FQ1 2016</stp>
        <stp>[FA1_m42y3cpi.xlsx]Bal Sheet - Standardized!R60C33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0" s="3"/>
      </tp>
      <tp>
        <v>0</v>
        <stp/>
        <stp>##V3_BDHV12</stp>
        <stp>XOM US Equity</stp>
        <stp>IS_DISCONTINUED_OPERATIONS</stp>
        <stp>FQ1 2011</stp>
        <stp>FQ1 2011</stp>
        <stp>[FA1_m42y3cpi.xlsx]Income - Adjusted!R36C13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2"/>
      </tp>
      <tp t="s">
        <v>—</v>
        <stp/>
        <stp>##V3_BDHV12</stp>
        <stp>XOM US Equity</stp>
        <stp>IS_IMPAIRMENT_ASSETS</stp>
        <stp>FQ3 2008</stp>
        <stp>FQ3 2008</stp>
        <stp>[FA1_m42y3cpi.xlsx]Income - Adjusted!R28C3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2"/>
      </tp>
      <tp>
        <v>0</v>
        <stp/>
        <stp>##V3_BDHV12</stp>
        <stp>XOM US Equity</stp>
        <stp>IS_DISCONTINUED_OPERATIONS</stp>
        <stp>FQ4 2016</stp>
        <stp>FQ4 2016</stp>
        <stp>[FA1_m42y3cpi.xlsx]Income - Adjusted!R36C36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2"/>
      </tp>
      <tp>
        <v>19557</v>
        <stp/>
        <stp>##V3_BDHV12</stp>
        <stp>XOM US Equity</stp>
        <stp>PENSION_LIABILITIES</stp>
        <stp>FQ3 2011</stp>
        <stp>FQ3 2011</stp>
        <stp>[FA1_m42y3cpi.xlsx]Bal Sheet - Standardized!R60C15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0" s="3"/>
      </tp>
      <tp t="s">
        <v>—</v>
        <stp/>
        <stp>##V3_BDHV12</stp>
        <stp>XOM US Equity</stp>
        <stp>BS_PREPAID_PENSION_COSTS_LT</stp>
        <stp>FQ1 2018</stp>
        <stp>FQ1 2018</stp>
        <stp>[FA1_m42y3cpi.xlsx]Bal Sheet - Standardized!R35C41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5" s="3"/>
      </tp>
      <tp t="s">
        <v>—</v>
        <stp/>
        <stp>##V3_BDHV12</stp>
        <stp>XOM US Equity</stp>
        <stp>ST_DEFERRED_REVENUE</stp>
        <stp>FQ4 2008</stp>
        <stp>FQ4 2008</stp>
        <stp>[FA1_m42y3cpi.xlsx]Bal Sheet - Standardized!R51C4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1" s="3"/>
      </tp>
      <tp t="s">
        <v>—</v>
        <stp/>
        <stp>##V3_BDHV12</stp>
        <stp>XOM US Equity</stp>
        <stp>LT_DEFERRED_REVENUE</stp>
        <stp>FQ4 2008</stp>
        <stp>FQ4 2008</stp>
        <stp>[FA1_m42y3cpi.xlsx]Bal Sheet - Standardized!R61C4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1" s="3"/>
      </tp>
      <tp t="s">
        <v>—</v>
        <stp/>
        <stp>##V3_BDHV12</stp>
        <stp>XOM US Equity</stp>
        <stp>LT_DEFERRED_REVENUE</stp>
        <stp>FQ3 2008</stp>
        <stp>FQ3 2008</stp>
        <stp>[FA1_m42y3cpi.xlsx]Bal Sheet - Standardized!R61C3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1" s="3"/>
      </tp>
      <tp t="s">
        <v>—</v>
        <stp/>
        <stp>##V3_BDHV12</stp>
        <stp>XOM US Equity</stp>
        <stp>ST_DEFERRED_REVENUE</stp>
        <stp>FQ3 2008</stp>
        <stp>FQ3 2008</stp>
        <stp>[FA1_m42y3cpi.xlsx]Bal Sheet - Standardized!R51C3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1" s="3"/>
      </tp>
      <tp>
        <v>4698</v>
        <stp/>
        <stp>##V3_BDHV12</stp>
        <stp>XOM US Equity</stp>
        <stp>BS_SH_OUT</stp>
        <stp>FQ1 2010</stp>
        <stp>FQ1 2010</stp>
        <stp>[FA1_m42y3cpi.xlsx]Bal Sheet - Standardized!R79C9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9" s="3"/>
      </tp>
      <tp t="s">
        <v>—</v>
        <stp/>
        <stp>##V3_BDHV12</stp>
        <stp>XOM US Equity</stp>
        <stp>LT_DEFERRED_REVENUE</stp>
        <stp>FQ3 2009</stp>
        <stp>FQ3 2009</stp>
        <stp>[FA1_m42y3cpi.xlsx]Bal Sheet - Standardized!R61C7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1" s="3"/>
      </tp>
      <tp t="s">
        <v>—</v>
        <stp/>
        <stp>##V3_BDHV12</stp>
        <stp>XOM US Equity</stp>
        <stp>ST_DEFERRED_REVENUE</stp>
        <stp>FQ1 2009</stp>
        <stp>FQ1 2009</stp>
        <stp>[FA1_m42y3cpi.xlsx]Bal Sheet - Standardized!R51C5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1" s="3"/>
      </tp>
      <tp t="s">
        <v>—</v>
        <stp/>
        <stp>##V3_BDHV12</stp>
        <stp>XOM US Equity</stp>
        <stp>LT_DEFERRED_REVENUE</stp>
        <stp>FQ2 2009</stp>
        <stp>FQ2 2009</stp>
        <stp>[FA1_m42y3cpi.xlsx]Bal Sheet - Standardized!R61C6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1" s="3"/>
      </tp>
      <tp t="s">
        <v>—</v>
        <stp/>
        <stp>##V3_BDHV12</stp>
        <stp>XOM US Equity</stp>
        <stp>ST_DEFERRED_REVENUE</stp>
        <stp>FQ2 2009</stp>
        <stp>FQ2 2009</stp>
        <stp>[FA1_m42y3cpi.xlsx]Bal Sheet - Standardized!R51C6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1" s="3"/>
      </tp>
      <tp t="s">
        <v>—</v>
        <stp/>
        <stp>##V3_BDHV12</stp>
        <stp>XOM US Equity</stp>
        <stp>LT_DEFERRED_REVENUE</stp>
        <stp>FQ1 2009</stp>
        <stp>FQ1 2009</stp>
        <stp>[FA1_m42y3cpi.xlsx]Bal Sheet - Standardized!R61C5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1" s="3"/>
      </tp>
      <tp t="s">
        <v>—</v>
        <stp/>
        <stp>##V3_BDHV12</stp>
        <stp>XOM US Equity</stp>
        <stp>ST_DEFERRED_REVENUE</stp>
        <stp>FQ3 2009</stp>
        <stp>FQ3 2009</stp>
        <stp>[FA1_m42y3cpi.xlsx]Bal Sheet - Standardized!R51C7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1" s="3"/>
      </tp>
      <tp t="s">
        <v>—</v>
        <stp/>
        <stp>##V3_BDHV12</stp>
        <stp>XOM US Equity</stp>
        <stp>ST_DEFERRED_REVENUE</stp>
        <stp>FQ1 2010</stp>
        <stp>FQ1 2010</stp>
        <stp>[FA1_m42y3cpi.xlsx]Bal Sheet - Standardized!R51C9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1" s="3"/>
      </tp>
      <tp t="s">
        <v>—</v>
        <stp/>
        <stp>##V3_BDHV12</stp>
        <stp>XOM US Equity</stp>
        <stp>LT_DEFERRED_REVENUE</stp>
        <stp>FQ1 2010</stp>
        <stp>FQ1 2010</stp>
        <stp>[FA1_m42y3cpi.xlsx]Bal Sheet - Standardized!R61C9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1" s="3"/>
      </tp>
      <tp>
        <v>0</v>
        <stp/>
        <stp>##V3_BDHV12</stp>
        <stp>XOM US Equity</stp>
        <stp>ST_DEFERRED_REVENUE</stp>
        <stp>FQ4 2009</stp>
        <stp>FQ4 2009</stp>
        <stp>[FA1_m42y3cpi.xlsx]Bal Sheet - Standardized!R51C8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1" s="3"/>
      </tp>
      <tp>
        <v>0</v>
        <stp/>
        <stp>##V3_BDHV12</stp>
        <stp>XOM US Equity</stp>
        <stp>LT_DEFERRED_REVENUE</stp>
        <stp>FQ4 2009</stp>
        <stp>FQ4 2009</stp>
        <stp>[FA1_m42y3cpi.xlsx]Bal Sheet - Standardized!R61C8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1" s="3"/>
      </tp>
      <tp t="s">
        <v>—</v>
        <stp/>
        <stp>##V3_BDHV12</stp>
        <stp>XOM US Equity</stp>
        <stp>IS_IMPAIRMENT_ASSETS</stp>
        <stp>FQ4 2013</stp>
        <stp>FQ4 2013</stp>
        <stp>[FA1_m42y3cpi.xlsx]Income - Adjusted!R28C24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2"/>
      </tp>
      <tp>
        <v>6096</v>
        <stp/>
        <stp>##V3_BDHV12</stp>
        <stp>XOM US Equity</stp>
        <stp>OTHER_CURRENT_ASSETS_DETAILED</stp>
        <stp>FQ2 2012</stp>
        <stp>FQ2 2012</stp>
        <stp>[FA1_m42y3cpi.xlsx]Bal Sheet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3"/>
      </tp>
      <tp t="s">
        <v>—</v>
        <stp/>
        <stp>##V3_BDHV12</stp>
        <stp>XOM US Equity</stp>
        <stp>IS_IMPAIRMENT_ASSETS</stp>
        <stp>FQ3 2015</stp>
        <stp>FQ3 2015</stp>
        <stp>[FA1_m42y3cpi.xlsx]Income - Adjusted!R28C31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2"/>
      </tp>
      <tp t="s">
        <v>—</v>
        <stp/>
        <stp>##V3_BDHV12</stp>
        <stp>XOM US Equity</stp>
        <stp>IS_IMPAIRMENT_ASSETS</stp>
        <stp>FQ3 2014</stp>
        <stp>FQ3 2014</stp>
        <stp>[FA1_m42y3cpi.xlsx]Income - Adjusted!R28C27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2"/>
      </tp>
      <tp>
        <v>4341</v>
        <stp/>
        <stp>##V3_BDHV12</stp>
        <stp>XOM US Equity</stp>
        <stp>OTHER_CURRENT_ASSETS_DETAILED</stp>
        <stp>FQ1 2015</stp>
        <stp>FQ1 2015</stp>
        <stp>[FA1_m42y3cpi.xlsx]Bal Sheet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3"/>
      </tp>
      <tp t="s">
        <v>—</v>
        <stp/>
        <stp>##V3_BDHV12</stp>
        <stp>XOM US Equity</stp>
        <stp>IS_IMPAIRMENT_ASSETS</stp>
        <stp>FQ4 2010</stp>
        <stp>FQ4 2010</stp>
        <stp>[FA1_m42y3cpi.xlsx]Income - Adjusted!R28C12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2"/>
      </tp>
      <tp t="s">
        <v>—</v>
        <stp/>
        <stp>##V3_BDHV12</stp>
        <stp>XOM US Equity</stp>
        <stp>IS_IMPAIRMENT_ASSETS</stp>
        <stp>FQ1 2017</stp>
        <stp>FQ1 2017</stp>
        <stp>[FA1_m42y3cpi.xlsx]Income - Adjusted!R28C37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2"/>
      </tp>
      <tp>
        <v>5215</v>
        <stp/>
        <stp>##V3_BDHV12</stp>
        <stp>XOM US Equity</stp>
        <stp>OTHER_CURRENT_ASSETS_DETAILED</stp>
        <stp>FQ1 2014</stp>
        <stp>FQ1 2014</stp>
        <stp>[FA1_m42y3cpi.xlsx]Bal Sheet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3"/>
      </tp>
      <tp>
        <v>5858</v>
        <stp/>
        <stp>##V3_BDHV12</stp>
        <stp>XOM US Equity</stp>
        <stp>OTHER_CURRENT_ASSETS_DETAILED</stp>
        <stp>FQ1 2013</stp>
        <stp>FQ1 2013</stp>
        <stp>[FA1_m42y3cpi.xlsx]Bal Sheet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3"/>
      </tp>
      <tp>
        <v>6304</v>
        <stp/>
        <stp>##V3_BDHV12</stp>
        <stp>XOM US Equity</stp>
        <stp>OTHER_CURRENT_ASSETS_DETAILED</stp>
        <stp>FQ2 2010</stp>
        <stp>FQ2 2010</stp>
        <stp>[FA1_m42y3cpi.xlsx]Bal Sheet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3"/>
      </tp>
      <tp>
        <v>7885</v>
        <stp/>
        <stp>##V3_BDHV12</stp>
        <stp>XOM US Equity</stp>
        <stp>OTHER_CURRENT_ASSETS_DETAILED</stp>
        <stp>FQ2 2011</stp>
        <stp>FQ2 2011</stp>
        <stp>[FA1_m42y3cpi.xlsx]Bal Sheet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3"/>
      </tp>
      <tp>
        <v>162135</v>
        <stp/>
        <stp>##V3_BDHV12</stp>
        <stp>XOM US Equity</stp>
        <stp>BS_TOT_LIAB2</stp>
        <stp>FQ4 2012</stp>
        <stp>FQ4 2012</stp>
        <stp>[FA1_m42y3cpi.xlsx]Bal Sheet - Standardized!R66C20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6" s="3"/>
      </tp>
      <tp t="s">
        <v>—</v>
        <stp/>
        <stp>##V3_BDHV12</stp>
        <stp>XOM US Equity</stp>
        <stp>IS_GAIN_LOSS_DISPOSAL_ASSETS</stp>
        <stp>FQ1 2013</stp>
        <stp>FQ1 2013</stp>
        <stp>[FA1_m42y3cpi.xlsx]Income - Adjusted!R27C21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2"/>
      </tp>
      <tp>
        <v>166313</v>
        <stp/>
        <stp>##V3_BDHV12</stp>
        <stp>XOM US Equity</stp>
        <stp>BS_TOT_LIAB2</stp>
        <stp>FQ4 2013</stp>
        <stp>FQ4 2013</stp>
        <stp>[FA1_m42y3cpi.xlsx]Bal Sheet - Standardized!R66C24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6" s="3"/>
      </tp>
      <tp>
        <v>85</v>
        <stp/>
        <stp>##V3_BDHV12</stp>
        <stp>XOM US Equity</stp>
        <stp>IS_INT_EXPENSE</stp>
        <stp>FQ2 2015</stp>
        <stp>FQ2 2015</stp>
        <stp>[FA1_m42y3cpi.xlsx]Income - Adjusted!R19C30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9" s="2"/>
      </tp>
      <tp>
        <v>45</v>
        <stp/>
        <stp>##V3_BDHV12</stp>
        <stp>XOM US Equity</stp>
        <stp>IS_INT_EXPENSE</stp>
        <stp>FQ2 2011</stp>
        <stp>FQ2 2011</stp>
        <stp>[FA1_m42y3cpi.xlsx]Income - Adjusted!R19C14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9" s="2"/>
      </tp>
      <tp>
        <v>77</v>
        <stp/>
        <stp>##V3_BDHV12</stp>
        <stp>XOM US Equity</stp>
        <stp>IS_INT_EXPENSE</stp>
        <stp>FQ1 2016</stp>
        <stp>FQ1 2016</stp>
        <stp>[FA1_m42y3cpi.xlsx]Income - Adjusted!R19C33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9" s="2"/>
      </tp>
      <tp>
        <v>107</v>
        <stp/>
        <stp>##V3_BDHV12</stp>
        <stp>XOM US Equity</stp>
        <stp>IS_INT_EXPENSE</stp>
        <stp>FQ1 2012</stp>
        <stp>FQ1 2012</stp>
        <stp>[FA1_m42y3cpi.xlsx]Income - Adjusted!R19C17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9" s="2"/>
      </tp>
      <tp>
        <v>168429</v>
        <stp/>
        <stp>##V3_BDHV12</stp>
        <stp>XOM US Equity</stp>
        <stp>BS_TOT_LIAB2</stp>
        <stp>FQ4 2014</stp>
        <stp>FQ4 2014</stp>
        <stp>[FA1_m42y3cpi.xlsx]Bal Sheet - Standardized!R66C28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6" s="3"/>
      </tp>
      <tp>
        <v>155257</v>
        <stp/>
        <stp>##V3_BDHV12</stp>
        <stp>XOM US Equity</stp>
        <stp>BS_TOT_LIAB2</stp>
        <stp>FQ2 2018</stp>
        <stp>FQ2 2018</stp>
        <stp>[FA1_m42y3cpi.xlsx]Bal Sheet - Standardized!R66C42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6" s="3"/>
      </tp>
      <tp t="s">
        <v>—</v>
        <stp/>
        <stp>##V3_BDHV12</stp>
        <stp>XOM US Equity</stp>
        <stp>IS_GAIN_LOSS_DISPOSAL_ASSETS</stp>
        <stp>FQ3 2012</stp>
        <stp>FQ3 2012</stp>
        <stp>[FA1_m42y3cpi.xlsx]Income - Adjusted!R27C19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2"/>
      </tp>
      <tp>
        <v>4194.6899999999996</v>
        <stp/>
        <stp>##V3_BDHV12</stp>
        <stp>XOM US Equity</stp>
        <stp>EQY_SH_OUT</stp>
        <stp>FQ1 2015</stp>
        <stp>FQ1 2015</stp>
        <stp>[FA1_m42y3cpi.xlsx]Stock Value!R13C29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3" s="6"/>
      </tp>
      <tp>
        <v>9092</v>
        <stp/>
        <stp>##V3_BDHV12</stp>
        <stp>XOM US Equity</stp>
        <stp>OTHER_NONCURRENT_ASSETS_DETAILED</stp>
        <stp>FQ4 2011</stp>
        <stp>FQ4 2011</stp>
        <stp>[FA1_m42y3cpi.xlsx]Bal Sheet - Standardized!R37C16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7" s="3"/>
      </tp>
      <tp t="s">
        <v>—</v>
        <stp/>
        <stp>##V3_BDHV12</stp>
        <stp>XOM US Equity</stp>
        <stp>OTHER_INTANGIBLE_ASSETS_DETAILED</stp>
        <stp>FQ1 2011</stp>
        <stp>FQ1 2011</stp>
        <stp>[FA1_m42y3cpi.xlsx]Bal Sheet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3"/>
      </tp>
      <tp t="s">
        <v>—</v>
        <stp/>
        <stp>##V3_BDHV12</stp>
        <stp>XOM US Equity</stp>
        <stp>OTHER_INTANGIBLE_ASSETS_DETAILED</stp>
        <stp>FQ2 2013</stp>
        <stp>FQ2 2013</stp>
        <stp>[FA1_m42y3cpi.xlsx]Bal Sheet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3"/>
      </tp>
      <tp>
        <v>0</v>
        <stp/>
        <stp>##V3_BDHV12</stp>
        <stp>XOM US Equity</stp>
        <stp>OTHER_INTANGIBLE_ASSETS_DETAILED</stp>
        <stp>FQ4 2017</stp>
        <stp>FQ4 2017</stp>
        <stp>[FA1_m42y3cpi.xlsx]Bal Sheet - Standardized!R32C40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3"/>
      </tp>
      <tp t="s">
        <v>—</v>
        <stp/>
        <stp>##V3_BDHV12</stp>
        <stp>XOM US Equity</stp>
        <stp>OTHER_INTANGIBLE_ASSETS_DETAILED</stp>
        <stp>FQ2 2014</stp>
        <stp>FQ2 2014</stp>
        <stp>[FA1_m42y3cpi.xlsx]Bal Sheet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3"/>
      </tp>
      <tp t="s">
        <v>—</v>
        <stp/>
        <stp>##V3_BDHV12</stp>
        <stp>XOM US Equity</stp>
        <stp>OTHER_INTANGIBLE_ASSETS_DETAILED</stp>
        <stp>FQ3 2016</stp>
        <stp>FQ3 2016</stp>
        <stp>[FA1_m42y3cpi.xlsx]Bal Sheet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3"/>
      </tp>
      <tp>
        <v>8640</v>
        <stp/>
        <stp>##V3_BDHV12</stp>
        <stp>XOM US Equity</stp>
        <stp>OTHER_NONCURRENT_ASSETS_DETAILED</stp>
        <stp>FQ4 2010</stp>
        <stp>FQ4 2010</stp>
        <stp>[FA1_m42y3cpi.xlsx]Bal Sheet - Standardized!R37C12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7" s="3"/>
      </tp>
      <tp t="s">
        <v>—</v>
        <stp/>
        <stp>##V3_BDHV12</stp>
        <stp>XOM US Equity</stp>
        <stp>OTHER_INTANGIBLE_ASSETS_DETAILED</stp>
        <stp>FQ3 2015</stp>
        <stp>FQ3 2015</stp>
        <stp>[FA1_m42y3cpi.xlsx]Bal Sheet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3"/>
      </tp>
      <tp t="s">
        <v>—</v>
        <stp/>
        <stp>##V3_BDHV12</stp>
        <stp>XOM US Equity</stp>
        <stp>OTHER_INTANGIBLE_ASSETS_DETAILED</stp>
        <stp>FQ1 2012</stp>
        <stp>FQ1 2012</stp>
        <stp>[FA1_m42y3cpi.xlsx]Bal Sheet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3"/>
      </tp>
      <tp>
        <v>50159</v>
        <stp/>
        <stp>##V3_BDHV12</stp>
        <stp>XOM US Equity</stp>
        <stp>OTHER_NONCURRENT_ASSETS_DETAILED</stp>
        <stp>FQ1 2018</stp>
        <stp>FQ1 2018</stp>
        <stp>[FA1_m42y3cpi.xlsx]Bal Sheet - Standardized!R37C41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7" s="3"/>
      </tp>
      <tp t="s">
        <v>—</v>
        <stp/>
        <stp>##V3_BDHV12</stp>
        <stp>XOM US Equity</stp>
        <stp>OTHER_INTANGIBLE_ASSETS_DETAILED</stp>
        <stp>FQ3 2017</stp>
        <stp>FQ3 2017</stp>
        <stp>[FA1_m42y3cpi.xlsx]Bal Sheet - Standardized!R32C39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3"/>
      </tp>
      <tp>
        <v>2793</v>
        <stp/>
        <stp>##V3_BDHV12</stp>
        <stp>XOM US Equity</stp>
        <stp>IS_D&amp;A_COST_OF_REVENUE</stp>
        <stp>FQ1 2009</stp>
        <stp>FQ1 2009</stp>
        <stp>[FA1_m42y3cpi.xlsx]Income - Adjusted!R10C5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>
        <v>2927</v>
        <stp/>
        <stp>##V3_BDHV12</stp>
        <stp>XOM US Equity</stp>
        <stp>IS_D&amp;A_COST_OF_REVENUE</stp>
        <stp>FQ3 2009</stp>
        <stp>FQ3 2009</stp>
        <stp>[FA1_m42y3cpi.xlsx]Income - Adjusted!R10C7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>
        <v>3004</v>
        <stp/>
        <stp>##V3_BDHV12</stp>
        <stp>XOM US Equity</stp>
        <stp>IS_D&amp;A_COST_OF_REVENUE</stp>
        <stp>FQ2 2009</stp>
        <stp>FQ2 2009</stp>
        <stp>[FA1_m42y3cpi.xlsx]Income - Adjusted!R10C6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76085</v>
        <stp/>
        <stp>##V3_BDHV12</stp>
        <stp>XOM US Equity</stp>
        <stp>SALES_REV_TURN</stp>
        <stp>FQ4 2014</stp>
        <stp>FQ4 2014</stp>
        <stp>[FA1_m42y3cpi.xlsx]Income - Adjusted!R6C28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103417</v>
        <stp/>
        <stp>##V3_BDHV12</stp>
        <stp>XOM US Equity</stp>
        <stp>SALES_REV_TURN</stp>
        <stp>FQ3 2012</stp>
        <stp>FQ3 2012</stp>
        <stp>[FA1_m42y3cpi.xlsx]Income - Adjusted!R6C19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>
        <v>104718</v>
        <stp/>
        <stp>##V3_BDHV12</stp>
        <stp>XOM US Equity</stp>
        <stp>SALES_REV_TURN</stp>
        <stp>FQ2 2012</stp>
        <stp>FQ2 2012</stp>
        <stp>[FA1_m42y3cpi.xlsx]Income - Adjusted!R6C18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 t="s">
        <v>—</v>
        <stp/>
        <stp>##V3_BDHV12</stp>
        <stp>XOM US Equity</stp>
        <stp>IS_MERGER_ACQUISITION_EXPENSE</stp>
        <stp>FQ2 2012</stp>
        <stp>FQ2 2012</stp>
        <stp>[FA1_m42y3cpi.xlsx]Income - Adjusted!R26C18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2"/>
      </tp>
      <tp>
        <v>47165</v>
        <stp/>
        <stp>##V3_BDHV12</stp>
        <stp>XOM US Equity</stp>
        <stp>ACCT_PAYABLE_&amp;_ACCRUALS_DETAILED</stp>
        <stp>FQ4 2014</stp>
        <stp>FQ4 2014</stp>
        <stp>[FA1_m42y3cpi.xlsx]Bal Sheet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3"/>
      </tp>
      <tp>
        <v>41947</v>
        <stp/>
        <stp>##V3_BDHV12</stp>
        <stp>XOM US Equity</stp>
        <stp>ACCT_PAYABLE_&amp;_ACCRUALS_DETAILED</stp>
        <stp>FQ2 2018</stp>
        <stp>FQ2 2018</stp>
        <stp>[FA1_m42y3cpi.xlsx]Bal Sheet - Standardized!R42C42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2" s="3"/>
      </tp>
      <tp>
        <v>60486</v>
        <stp/>
        <stp>##V3_BDHV12</stp>
        <stp>XOM US Equity</stp>
        <stp>ACCT_PAYABLE_&amp;_ACCRUALS_DETAILED</stp>
        <stp>FQ4 2012</stp>
        <stp>FQ4 2012</stp>
        <stp>[FA1_m42y3cpi.xlsx]Bal Sheet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3"/>
      </tp>
      <tp t="s">
        <v>—</v>
        <stp/>
        <stp>##V3_BDHV12</stp>
        <stp>XOM US Equity</stp>
        <stp>IS_MERGER_ACQUISITION_EXPENSE</stp>
        <stp>FQ1 2011</stp>
        <stp>FQ1 2011</stp>
        <stp>[FA1_m42y3cpi.xlsx]Income - Adjusted!R26C13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2"/>
      </tp>
      <tp>
        <v>65436</v>
        <stp/>
        <stp>##V3_BDHV12</stp>
        <stp>XOM US Equity</stp>
        <stp>SALES_REV_TURN</stp>
        <stp>FQ1 2018</stp>
        <stp>FQ1 2018</stp>
        <stp>[FA1_m42y3cpi.xlsx]Income - Adjusted!R6C41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6" s="2"/>
      </tp>
      <tp>
        <v>71456</v>
        <stp/>
        <stp>##V3_BDHV12</stp>
        <stp>XOM US Equity</stp>
        <stp>SALES_REV_TURN</stp>
        <stp>FQ2 2018</stp>
        <stp>FQ2 2018</stp>
        <stp>[FA1_m42y3cpi.xlsx]Income - Adjusted!R6C42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6" s="2"/>
      </tp>
      <tp>
        <v>55916</v>
        <stp/>
        <stp>##V3_BDHV12</stp>
        <stp>XOM US Equity</stp>
        <stp>ACCT_PAYABLE_&amp;_ACCRUALS_DETAILED</stp>
        <stp>FQ4 2013</stp>
        <stp>FQ4 2013</stp>
        <stp>[FA1_m42y3cpi.xlsx]Bal Sheet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3"/>
      </tp>
      <tp t="s">
        <v>—</v>
        <stp/>
        <stp>##V3_BDHV12</stp>
        <stp>XOM US Equity</stp>
        <stp>IS_MERGER_ACQUISITION_EXPENSE</stp>
        <stp>FQ4 2016</stp>
        <stp>FQ4 2016</stp>
        <stp>[FA1_m42y3cpi.xlsx]Income - Adjusted!R26C36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2"/>
      </tp>
      <tp>
        <v>21696</v>
        <stp/>
        <stp>##V3_BDHV12</stp>
        <stp>XOM US Equity</stp>
        <stp>PENSION_LIABILITIES</stp>
        <stp>FQ1 2018</stp>
        <stp>FQ1 2018</stp>
        <stp>[FA1_m42y3cpi.xlsx]Bal Sheet - Standardized!R60C41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0" s="3"/>
      </tp>
      <tp t="s">
        <v>—</v>
        <stp/>
        <stp>##V3_BDHV12</stp>
        <stp>XOM US Equity</stp>
        <stp>BS_PREPAID_PENSION_COSTS_LT</stp>
        <stp>FQ3 2011</stp>
        <stp>FQ3 2011</stp>
        <stp>[FA1_m42y3cpi.xlsx]Bal Sheet - Standardized!R35C15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3"/>
      </tp>
      <tp t="s">
        <v>—</v>
        <stp/>
        <stp>##V3_BDHV12</stp>
        <stp>XOM US Equity</stp>
        <stp>IS_IMPAIRMENT_ASSETS</stp>
        <stp>FQ4 2009</stp>
        <stp>FQ4 2009</stp>
        <stp>[FA1_m42y3cpi.xlsx]Income - Adjusted!R28C8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2"/>
      </tp>
      <tp>
        <v>0</v>
        <stp/>
        <stp>##V3_BDHV12</stp>
        <stp>XOM US Equity</stp>
        <stp>IS_DISCONTINUED_OPERATIONS</stp>
        <stp>FQ2 2017</stp>
        <stp>FQ2 2017</stp>
        <stp>[FA1_m42y3cpi.xlsx]Income - Adjusted!R36C38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2"/>
      </tp>
      <tp>
        <v>0</v>
        <stp/>
        <stp>##V3_BDHV12</stp>
        <stp>XOM US Equity</stp>
        <stp>IS_DISCONTINUED_OPERATIONS</stp>
        <stp>FQ1 2015</stp>
        <stp>FQ1 2015</stp>
        <stp>[FA1_m42y3cpi.xlsx]Income - Adjusted!R36C29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2"/>
      </tp>
      <tp t="s">
        <v>—</v>
        <stp/>
        <stp>##V3_BDHV12</stp>
        <stp>XOM US Equity</stp>
        <stp>BS_PREPAID_PENSION_COSTS_LT</stp>
        <stp>FQ1 2016</stp>
        <stp>FQ1 2016</stp>
        <stp>[FA1_m42y3cpi.xlsx]Bal Sheet - Standardized!R35C33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3"/>
      </tp>
      <tp t="s">
        <v>—</v>
        <stp/>
        <stp>##V3_BDHV12</stp>
        <stp>XOM US Equity</stp>
        <stp>BS_PREPAID_PENSION_COSTS_LT</stp>
        <stp>FQ3 2010</stp>
        <stp>FQ3 2010</stp>
        <stp>[FA1_m42y3cpi.xlsx]Bal Sheet - Standardized!R35C11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3"/>
      </tp>
      <tp t="s">
        <v>—</v>
        <stp/>
        <stp>##V3_BDHV12</stp>
        <stp>XOM US Equity</stp>
        <stp>BS_PREPAID_PENSION_COSTS_LT</stp>
        <stp>FQ1 2017</stp>
        <stp>FQ1 2017</stp>
        <stp>[FA1_m42y3cpi.xlsx]Bal Sheet - Standardized!R35C37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5" s="3"/>
      </tp>
      <tp>
        <v>4948.49</v>
        <stp/>
        <stp>##V3_BDHV12</stp>
        <stp>XOM US Equity</stp>
        <stp>EQY_FLOAT</stp>
        <stp>FQ1 2011</stp>
        <stp>FQ1 2011</stp>
        <stp>[FA1_m42y3cpi.xlsx]Stock Value!R14C13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4" s="6"/>
      </tp>
      <tp>
        <v>5082.47</v>
        <stp/>
        <stp>##V3_BDHV12</stp>
        <stp>XOM US Equity</stp>
        <stp>EQY_FLOAT</stp>
        <stp>FQ3 2010</stp>
        <stp>FQ3 2010</stp>
        <stp>[FA1_m42y3cpi.xlsx]Stock Value!R14C11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4" s="6"/>
      </tp>
      <tp>
        <v>24994</v>
        <stp/>
        <stp>##V3_BDHV12</stp>
        <stp>XOM US Equity</stp>
        <stp>PENSION_LIABILITIES</stp>
        <stp>FQ4 2011</stp>
        <stp>FQ4 2011</stp>
        <stp>[FA1_m42y3cpi.xlsx]Bal Sheet - Standardized!R60C16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0" s="3"/>
      </tp>
      <tp>
        <v>5105.57</v>
        <stp/>
        <stp>##V3_BDHV12</stp>
        <stp>XOM US Equity</stp>
        <stp>EQY_FLOAT</stp>
        <stp>FQ2 2010</stp>
        <stp>FQ2 2010</stp>
        <stp>[FA1_m42y3cpi.xlsx]Stock Value!R14C10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4" s="6"/>
      </tp>
      <tp>
        <v>4135.3429999999998</v>
        <stp/>
        <stp>##V3_BDHV12</stp>
        <stp>XOM US Equity</stp>
        <stp>EQY_FLOAT</stp>
        <stp>FQ4 2016</stp>
        <stp>FQ4 2016</stp>
        <stp>[FA1_m42y3cpi.xlsx]Stock Value!R14C36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4" s="6"/>
      </tp>
      <tp>
        <v>4782.9040000000005</v>
        <stp/>
        <stp>##V3_BDHV12</stp>
        <stp>XOM US Equity</stp>
        <stp>EQY_FLOAT</stp>
        <stp>FQ4 2011</stp>
        <stp>FQ4 2011</stp>
        <stp>[FA1_m42y3cpi.xlsx]Stock Value!R14C16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4" s="6"/>
      </tp>
      <tp t="s">
        <v>—</v>
        <stp/>
        <stp>##V3_BDHV12</stp>
        <stp>XOM US Equity</stp>
        <stp>IS_IMPAIRMENT_ASSETS</stp>
        <stp>FQ4 2008</stp>
        <stp>FQ4 2008</stp>
        <stp>[FA1_m42y3cpi.xlsx]Income - Adjusted!R28C4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2"/>
      </tp>
      <tp>
        <v>0</v>
        <stp/>
        <stp>##V3_BDHV12</stp>
        <stp>XOM US Equity</stp>
        <stp>IS_DISCONTINUED_OPERATIONS</stp>
        <stp>FQ3 2016</stp>
        <stp>FQ3 2016</stp>
        <stp>[FA1_m42y3cpi.xlsx]Income - Adjusted!R36C35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2"/>
      </tp>
      <tp>
        <v>19367</v>
        <stp/>
        <stp>##V3_BDHV12</stp>
        <stp>XOM US Equity</stp>
        <stp>PENSION_LIABILITIES</stp>
        <stp>FQ4 2010</stp>
        <stp>FQ4 2010</stp>
        <stp>[FA1_m42y3cpi.xlsx]Bal Sheet - Standardized!R60C12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0" s="3"/>
      </tp>
      <tp>
        <v>4141.8249999999998</v>
        <stp/>
        <stp>##V3_BDHV12</stp>
        <stp>XOM US Equity</stp>
        <stp>EQY_FLOAT</stp>
        <stp>FQ1 2016</stp>
        <stp>FQ1 2016</stp>
        <stp>[FA1_m42y3cpi.xlsx]Stock Value!R14C33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4" s="6"/>
      </tp>
      <tp>
        <v>4170.8649999999998</v>
        <stp/>
        <stp>##V3_BDHV12</stp>
        <stp>XOM US Equity</stp>
        <stp>EQY_FLOAT</stp>
        <stp>FQ2 2015</stp>
        <stp>FQ2 2015</stp>
        <stp>[FA1_m42y3cpi.xlsx]Stock Value!R14C30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4" s="6"/>
      </tp>
      <tp t="s">
        <v>—</v>
        <stp/>
        <stp>##V3_BDHV12</stp>
        <stp>XOM US Equity</stp>
        <stp>BS_PREPAID_PENSION_COSTS_LT</stp>
        <stp>FQ3 2012</stp>
        <stp>FQ3 2012</stp>
        <stp>[FA1_m42y3cpi.xlsx]Bal Sheet - Standardized!R35C19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3"/>
      </tp>
      <tp>
        <v>4159.9750000000004</v>
        <stp/>
        <stp>##V3_BDHV12</stp>
        <stp>XOM US Equity</stp>
        <stp>EQY_FLOAT</stp>
        <stp>FQ3 2015</stp>
        <stp>FQ3 2015</stp>
        <stp>[FA1_m42y3cpi.xlsx]Stock Value!R14C31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4" s="6"/>
      </tp>
      <tp>
        <v>4783</v>
        <stp/>
        <stp>##V3_BDHV12</stp>
        <stp>XOM US Equity</stp>
        <stp>IS_INC_BEF_XO_ITEM</stp>
        <stp>FQ1 2018</stp>
        <stp>FQ1 2018</stp>
        <stp>[FA1_m42y3cpi.xlsx]Income - Adjusted!R34C41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4" s="2"/>
      </tp>
      <tp>
        <v>52061</v>
        <stp/>
        <stp>##V3_BDHV12</stp>
        <stp>XOM US Equity</stp>
        <stp>BS_CUR_LIAB</stp>
        <stp>FQ4 2009</stp>
        <stp>FQ4 2009</stp>
        <stp>[FA1_m42y3cpi.xlsx]Bal Sheet - Standardized!R55C8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5" s="3"/>
      </tp>
      <tp>
        <v>57744</v>
        <stp/>
        <stp>##V3_BDHV12</stp>
        <stp>XOM US Equity</stp>
        <stp>BS_CUR_LIAB</stp>
        <stp>FQ1 2010</stp>
        <stp>FQ1 2010</stp>
        <stp>[FA1_m42y3cpi.xlsx]Bal Sheet - Standardized!R55C9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5" s="3"/>
      </tp>
      <tp>
        <v>52933</v>
        <stp/>
        <stp>##V3_BDHV12</stp>
        <stp>XOM US Equity</stp>
        <stp>BS_CUR_LIAB</stp>
        <stp>FQ3 2009</stp>
        <stp>FQ3 2009</stp>
        <stp>[FA1_m42y3cpi.xlsx]Bal Sheet - Standardized!R55C7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5" s="3"/>
      </tp>
      <tp>
        <v>51614</v>
        <stp/>
        <stp>##V3_BDHV12</stp>
        <stp>XOM US Equity</stp>
        <stp>BS_CUR_LIAB</stp>
        <stp>FQ2 2009</stp>
        <stp>FQ2 2009</stp>
        <stp>[FA1_m42y3cpi.xlsx]Bal Sheet - Standardized!R55C6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5" s="3"/>
      </tp>
      <tp>
        <v>49505</v>
        <stp/>
        <stp>##V3_BDHV12</stp>
        <stp>XOM US Equity</stp>
        <stp>BS_CUR_LIAB</stp>
        <stp>FQ1 2009</stp>
        <stp>FQ1 2009</stp>
        <stp>[FA1_m42y3cpi.xlsx]Bal Sheet - Standardized!R55C5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5" s="3"/>
      </tp>
      <tp>
        <v>49100</v>
        <stp/>
        <stp>##V3_BDHV12</stp>
        <stp>XOM US Equity</stp>
        <stp>BS_CUR_LIAB</stp>
        <stp>FQ4 2008</stp>
        <stp>FQ4 2008</stp>
        <stp>[FA1_m42y3cpi.xlsx]Bal Sheet - Standardized!R55C4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5" s="3"/>
      </tp>
      <tp>
        <v>67631</v>
        <stp/>
        <stp>##V3_BDHV12</stp>
        <stp>XOM US Equity</stp>
        <stp>BS_CUR_LIAB</stp>
        <stp>FQ3 2008</stp>
        <stp>FQ3 2008</stp>
        <stp>[FA1_m42y3cpi.xlsx]Bal Sheet - Standardized!R55C3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5" s="3"/>
      </tp>
      <tp t="s">
        <v>—</v>
        <stp/>
        <stp>##V3_BDHV12</stp>
        <stp>XOM US Equity</stp>
        <stp>IS_IMPAIRMENT_ASSETS</stp>
        <stp>FQ4 2011</stp>
        <stp>FQ4 2011</stp>
        <stp>[FA1_m42y3cpi.xlsx]Income - Adjusted!R28C16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2"/>
      </tp>
      <tp>
        <v>5873</v>
        <stp/>
        <stp>##V3_BDHV12</stp>
        <stp>XOM US Equity</stp>
        <stp>OTHER_CURRENT_ASSETS_DETAILED</stp>
        <stp>FQ3 2012</stp>
        <stp>FQ3 2012</stp>
        <stp>[FA1_m42y3cpi.xlsx]Bal Sheet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3"/>
      </tp>
      <tp t="s">
        <v>—</v>
        <stp/>
        <stp>##V3_BDHV12</stp>
        <stp>XOM US Equity</stp>
        <stp>IS_IMPAIRMENT_ASSETS</stp>
        <stp>FQ2 2015</stp>
        <stp>FQ2 2015</stp>
        <stp>[FA1_m42y3cpi.xlsx]Income - Adjusted!R28C30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2"/>
      </tp>
      <tp t="s">
        <v>—</v>
        <stp/>
        <stp>##V3_BDHV12</stp>
        <stp>XOM US Equity</stp>
        <stp>IS_IMPAIRMENT_ASSETS</stp>
        <stp>FQ1 2016</stp>
        <stp>FQ1 2016</stp>
        <stp>[FA1_m42y3cpi.xlsx]Income - Adjusted!R28C33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2"/>
      </tp>
      <tp t="s">
        <v>—</v>
        <stp/>
        <stp>##V3_BDHV12</stp>
        <stp>XOM US Equity</stp>
        <stp>IS_IMPAIRMENT_ASSETS</stp>
        <stp>FQ4 2012</stp>
        <stp>FQ4 2012</stp>
        <stp>[FA1_m42y3cpi.xlsx]Income - Adjusted!R28C20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2"/>
      </tp>
      <tp t="s">
        <v>—</v>
        <stp/>
        <stp>##V3_BDHV12</stp>
        <stp>XOM US Equity</stp>
        <stp>IS_IMPAIRMENT_ASSETS</stp>
        <stp>FQ2 2014</stp>
        <stp>FQ2 2014</stp>
        <stp>[FA1_m42y3cpi.xlsx]Income - Adjusted!R28C26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2"/>
      </tp>
      <tp>
        <v>1519</v>
        <stp/>
        <stp>##V3_BDHV12</stp>
        <stp>XOM US Equity</stp>
        <stp>OTHER_CURRENT_ASSETS_DETAILED</stp>
        <stp>FQ1 2017</stp>
        <stp>FQ1 2017</stp>
        <stp>[FA1_m42y3cpi.xlsx]Bal Sheet - Standardized!R18C37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8" s="3"/>
      </tp>
      <tp>
        <v>5828</v>
        <stp/>
        <stp>##V3_BDHV12</stp>
        <stp>XOM US Equity</stp>
        <stp>OTHER_CURRENT_ASSETS_DETAILED</stp>
        <stp>FQ3 2010</stp>
        <stp>FQ3 2010</stp>
        <stp>[FA1_m42y3cpi.xlsx]Bal Sheet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3"/>
      </tp>
      <tp>
        <v>67113</v>
        <stp/>
        <stp>##V3_BDHV12</stp>
        <stp>XOM US Equity</stp>
        <stp>IS_COGS_TO_FE_AND_PP_AND_G</stp>
        <stp>FQ1 2010</stp>
        <stp>FQ1 2010</stp>
        <stp>[FA1_m42y3cpi.xlsx]Income - Adjusted!R8C9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>
        <v>3368</v>
        <stp/>
        <stp>##V3_BDHV12</stp>
        <stp>XOM US Equity</stp>
        <stp>OTHER_CURRENT_ASSETS_DETAILED</stp>
        <stp>FQ1 2016</stp>
        <stp>FQ1 2016</stp>
        <stp>[FA1_m42y3cpi.xlsx]Bal Sheet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3"/>
      </tp>
      <tp>
        <v>7256</v>
        <stp/>
        <stp>##V3_BDHV12</stp>
        <stp>XOM US Equity</stp>
        <stp>OTHER_CURRENT_ASSETS_DETAILED</stp>
        <stp>FQ3 2011</stp>
        <stp>FQ3 2011</stp>
        <stp>[FA1_m42y3cpi.xlsx]Bal Sheet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3"/>
      </tp>
      <tp>
        <v>156484</v>
        <stp/>
        <stp>##V3_BDHV12</stp>
        <stp>XOM US Equity</stp>
        <stp>BS_TOT_LIAB2</stp>
        <stp>FQ4 2016</stp>
        <stp>FQ4 2016</stp>
        <stp>[FA1_m42y3cpi.xlsx]Bal Sheet - Standardized!R66C36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6" s="3"/>
      </tp>
      <tp t="s">
        <v>—</v>
        <stp/>
        <stp>##V3_BDHV12</stp>
        <stp>XOM US Equity</stp>
        <stp>IS_GAIN_LOSS_DISPOSAL_ASSETS</stp>
        <stp>FQ1 2011</stp>
        <stp>FQ1 2011</stp>
        <stp>[FA1_m42y3cpi.xlsx]Income - Adjusted!R27C13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2"/>
      </tp>
      <tp>
        <v>159948</v>
        <stp/>
        <stp>##V3_BDHV12</stp>
        <stp>XOM US Equity</stp>
        <stp>BS_TOT_LIAB2</stp>
        <stp>FQ4 2015</stp>
        <stp>FQ4 2015</stp>
        <stp>[FA1_m42y3cpi.xlsx]Bal Sheet - Standardized!R66C32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6" s="3"/>
      </tp>
      <tp t="s">
        <v>—</v>
        <stp/>
        <stp>##V3_BDHV12</stp>
        <stp>XOM US Equity</stp>
        <stp>IS_GAIN_LOSS_DISPOSAL_ASSETS</stp>
        <stp>FQ4 2016</stp>
        <stp>FQ4 2016</stp>
        <stp>[FA1_m42y3cpi.xlsx]Income - Adjusted!R27C36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2"/>
      </tp>
      <tp>
        <v>78</v>
        <stp/>
        <stp>##V3_BDHV12</stp>
        <stp>XOM US Equity</stp>
        <stp>IS_INT_EXPENSE</stp>
        <stp>FQ3 2015</stp>
        <stp>FQ3 2015</stp>
        <stp>[FA1_m42y3cpi.xlsx]Income - Adjusted!R19C31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9" s="2"/>
      </tp>
      <tp>
        <v>98</v>
        <stp/>
        <stp>##V3_BDHV12</stp>
        <stp>XOM US Equity</stp>
        <stp>IS_INT_EXPENSE</stp>
        <stp>FQ3 2011</stp>
        <stp>FQ3 2011</stp>
        <stp>[FA1_m42y3cpi.xlsx]Income - Adjusted!R19C15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9" s="2"/>
      </tp>
      <tp>
        <v>1.8867</v>
        <stp/>
        <stp>##V3_BDHV12</stp>
        <stp>XOM US Equity</stp>
        <stp>OPER_INC_PER_SH</stp>
        <stp>FQ1 2010</stp>
        <stp>FQ1 2010</stp>
        <stp>[FA1_m42y3cpi.xlsx]Per Share!R13C9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3" s="5"/>
      </tp>
      <tp t="s">
        <v>—</v>
        <stp/>
        <stp>##V3_BDHV12</stp>
        <stp>XOM US Equity</stp>
        <stp>IS_GAIN_LOSS_DISPOSAL_ASSETS</stp>
        <stp>FQ2 2012</stp>
        <stp>FQ2 2012</stp>
        <stp>[FA1_m42y3cpi.xlsx]Income - Adjusted!R27C18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2"/>
      </tp>
      <tp>
        <v>948</v>
        <stp/>
        <stp>##V3_BDHV12</stp>
        <stp>XOM US Equity</stp>
        <stp>CF_NET_CHNG_CASH</stp>
        <stp>FQ1 2018</stp>
        <stp>FQ1 2018</stp>
        <stp>[FA1_m42y3cpi.xlsx]Cash Flow - Standardized!R53C41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3" s="4"/>
      </tp>
      <tp>
        <v>36618</v>
        <stp/>
        <stp>##V3_BDHV12</stp>
        <stp>XOM US Equity</stp>
        <stp>BS_DEFERRED_TAX_LIABILITIES_LT</stp>
        <stp>FQ4 2011</stp>
        <stp>FQ4 2011</stp>
        <stp>[FA1_m42y3cpi.xlsx]Bal Sheet - Standardized!R62C16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2" s="3"/>
      </tp>
      <tp t="s">
        <v>—</v>
        <stp/>
        <stp>##V3_BDHV12</stp>
        <stp>XOM US Equity</stp>
        <stp>OTHER_INTANGIBLE_ASSETS_DETAILED</stp>
        <stp>FQ3 2013</stp>
        <stp>FQ3 2013</stp>
        <stp>[FA1_m42y3cpi.xlsx]Bal Sheet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3"/>
      </tp>
      <tp t="s">
        <v>—</v>
        <stp/>
        <stp>##V3_BDHV12</stp>
        <stp>XOM US Equity</stp>
        <stp>OTHER_INTANGIBLE_ASSETS_DETAILED</stp>
        <stp>FQ3 2014</stp>
        <stp>FQ3 2014</stp>
        <stp>[FA1_m42y3cpi.xlsx]Bal Sheet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3"/>
      </tp>
      <tp t="s">
        <v>—</v>
        <stp/>
        <stp>##V3_BDHV12</stp>
        <stp>XOM US Equity</stp>
        <stp>OTHER_INTANGIBLE_ASSETS_DETAILED</stp>
        <stp>FQ2 2016</stp>
        <stp>FQ2 2016</stp>
        <stp>[FA1_m42y3cpi.xlsx]Bal Sheet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3"/>
      </tp>
      <tp>
        <v>35150</v>
        <stp/>
        <stp>##V3_BDHV12</stp>
        <stp>XOM US Equity</stp>
        <stp>BS_DEFERRED_TAX_LIABILITIES_LT</stp>
        <stp>FQ4 2010</stp>
        <stp>FQ4 2010</stp>
        <stp>[FA1_m42y3cpi.xlsx]Bal Sheet - Standardized!R62C12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2" s="3"/>
      </tp>
      <tp t="s">
        <v>—</v>
        <stp/>
        <stp>##V3_BDHV12</stp>
        <stp>XOM US Equity</stp>
        <stp>OTHER_INTANGIBLE_ASSETS_DETAILED</stp>
        <stp>FQ2 2015</stp>
        <stp>FQ2 2015</stp>
        <stp>[FA1_m42y3cpi.xlsx]Bal Sheet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3"/>
      </tp>
      <tp>
        <v>26760</v>
        <stp/>
        <stp>##V3_BDHV12</stp>
        <stp>XOM US Equity</stp>
        <stp>BS_DEFERRED_TAX_LIABILITIES_LT</stp>
        <stp>FQ1 2018</stp>
        <stp>FQ1 2018</stp>
        <stp>[FA1_m42y3cpi.xlsx]Bal Sheet - Standardized!R62C41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2" s="3"/>
      </tp>
      <tp>
        <v>1642</v>
        <stp/>
        <stp>##V3_BDHV12</stp>
        <stp>XOM US Equity</stp>
        <stp>CF_NET_CHNG_CASH</stp>
        <stp>FQ4 2011</stp>
        <stp>FQ4 2011</stp>
        <stp>[FA1_m42y3cpi.xlsx]Cash Flow - Standardized!R53C16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3" s="4"/>
      </tp>
      <tp>
        <v>-4419</v>
        <stp/>
        <stp>##V3_BDHV12</stp>
        <stp>XOM US Equity</stp>
        <stp>CF_NET_CHNG_CASH</stp>
        <stp>FQ4 2010</stp>
        <stp>FQ4 2010</stp>
        <stp>[FA1_m42y3cpi.xlsx]Cash Flow - Standardized!R53C12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3" s="4"/>
      </tp>
      <tp t="s">
        <v>—</v>
        <stp/>
        <stp>##V3_BDHV12</stp>
        <stp>XOM US Equity</stp>
        <stp>OTHER_INTANGIBLE_ASSETS_DETAILED</stp>
        <stp>FQ2 2017</stp>
        <stp>FQ2 2017</stp>
        <stp>[FA1_m42y3cpi.xlsx]Bal Sheet - Standardized!R32C38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3"/>
      </tp>
      <tp>
        <v>59228</v>
        <stp/>
        <stp>##V3_BDHV12</stp>
        <stp>XOM US Equity</stp>
        <stp>IS_SALES_AND_SERVICES_REVENUES</stp>
        <stp>FQ1 2015</stp>
        <stp>FQ1 2015</stp>
        <stp>[FA1_m42y3cpi.xlsx]Income - Adjusted!R7C29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7" s="2"/>
      </tp>
      <tp t="s">
        <v>—</v>
        <stp/>
        <stp>##V3_BDHV12</stp>
        <stp>XOM US Equity</stp>
        <stp>IS_MERGER_ACQUISITION_EXPENSE</stp>
        <stp>FQ3 2012</stp>
        <stp>FQ3 2012</stp>
        <stp>[FA1_m42y3cpi.xlsx]Income - Adjusted!R26C19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2"/>
      </tp>
      <tp>
        <v>58551</v>
        <stp/>
        <stp>##V3_BDHV12</stp>
        <stp>XOM US Equity</stp>
        <stp>IS_SALES_AND_SERVICES_REVENUES</stp>
        <stp>FQ3 2017</stp>
        <stp>FQ3 2017</stp>
        <stp>[FA1_m42y3cpi.xlsx]Income - Adjusted!R7C39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7" s="2"/>
      </tp>
      <tp>
        <v>55236</v>
        <stp/>
        <stp>##V3_BDHV12</stp>
        <stp>XOM US Equity</stp>
        <stp>IS_SALES_AND_SERVICES_REVENUES</stp>
        <stp>FQ2 2017</stp>
        <stp>FQ2 2017</stp>
        <stp>[FA1_m42y3cpi.xlsx]Income - Adjusted!R7C38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7" s="2"/>
      </tp>
      <tp>
        <v>33808</v>
        <stp/>
        <stp>##V3_BDHV12</stp>
        <stp>XOM US Equity</stp>
        <stp>ACCT_PAYABLE_&amp;_ACCRUALS_DETAILED</stp>
        <stp>FQ4 2016</stp>
        <stp>FQ4 2016</stp>
        <stp>[FA1_m42y3cpi.xlsx]Bal Sheet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3"/>
      </tp>
      <tp t="s">
        <v>—</v>
        <stp/>
        <stp>##V3_BDHV12</stp>
        <stp>XOM US Equity</stp>
        <stp>IS_MERGER_ACQUISITION_EXPENSE</stp>
        <stp>FQ1 2013</stp>
        <stp>FQ1 2013</stp>
        <stp>[FA1_m42y3cpi.xlsx]Income - Adjusted!R26C21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2"/>
      </tp>
      <tp>
        <v>35214</v>
        <stp/>
        <stp>##V3_BDHV12</stp>
        <stp>XOM US Equity</stp>
        <stp>ACCT_PAYABLE_&amp;_ACCRUALS_DETAILED</stp>
        <stp>FQ4 2015</stp>
        <stp>FQ4 2015</stp>
        <stp>[FA1_m42y3cpi.xlsx]Bal Sheet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3"/>
      </tp>
      <tp t="s">
        <v>—</v>
        <stp/>
        <stp>##V3_BDHV12</stp>
        <stp>XOM US Equity</stp>
        <stp>BS_PREPAID_PENSION_COSTS_LT</stp>
        <stp>FQ2 2011</stp>
        <stp>FQ2 2011</stp>
        <stp>[FA1_m42y3cpi.xlsx]Bal Sheet - Standardized!R35C14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3"/>
      </tp>
      <tp>
        <v>0</v>
        <stp/>
        <stp>##V3_BDHV12</stp>
        <stp>XOM US Equity</stp>
        <stp>IS_DISCONTINUED_OPERATIONS</stp>
        <stp>FQ3 2017</stp>
        <stp>FQ3 2017</stp>
        <stp>[FA1_m42y3cpi.xlsx]Income - Adjusted!R36C39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2"/>
      </tp>
      <tp t="s">
        <v>—</v>
        <stp/>
        <stp>##V3_BDHV12</stp>
        <stp>XOM US Equity</stp>
        <stp>BS_PREPAID_PENSION_COSTS_LT</stp>
        <stp>FQ1 2013</stp>
        <stp>FQ1 2013</stp>
        <stp>[FA1_m42y3cpi.xlsx]Bal Sheet - Standardized!R35C21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3"/>
      </tp>
      <tp t="s">
        <v>—</v>
        <stp/>
        <stp>##V3_BDHV12</stp>
        <stp>XOM US Equity</stp>
        <stp>BS_PREPAID_PENSION_COSTS_LT</stp>
        <stp>FQ2 2010</stp>
        <stp>FQ2 2010</stp>
        <stp>[FA1_m42y3cpi.xlsx]Bal Sheet - Standardized!R35C10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3"/>
      </tp>
      <tp t="s">
        <v>—</v>
        <stp/>
        <stp>##V3_BDHV12</stp>
        <stp>XOM US Equity</stp>
        <stp>BS_PREPAID_PENSION_COSTS_LT</stp>
        <stp>FQ1 2014</stp>
        <stp>FQ1 2014</stp>
        <stp>[FA1_m42y3cpi.xlsx]Bal Sheet - Standardized!R35C25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3"/>
      </tp>
      <tp>
        <v>0</v>
        <stp/>
        <stp>##V3_BDHV12</stp>
        <stp>XOM US Equity</stp>
        <stp>IS_DISCONTINUED_OPERATIONS</stp>
        <stp>FQ4 2017</stp>
        <stp>FQ4 2017</stp>
        <stp>[FA1_m42y3cpi.xlsx]Income - Adjusted!R36C40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2"/>
      </tp>
      <tp t="s">
        <v>—</v>
        <stp/>
        <stp>##V3_BDHV12</stp>
        <stp>XOM US Equity</stp>
        <stp>BS_PREPAID_PENSION_COSTS_LT</stp>
        <stp>FQ1 2015</stp>
        <stp>FQ1 2015</stp>
        <stp>[FA1_m42y3cpi.xlsx]Bal Sheet - Standardized!R35C29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3"/>
      </tp>
      <tp>
        <v>0</v>
        <stp/>
        <stp>##V3_BDHV12</stp>
        <stp>XOM US Equity</stp>
        <stp>IS_DISCONTINUED_OPERATIONS</stp>
        <stp>FQ2 2016</stp>
        <stp>FQ2 2016</stp>
        <stp>[FA1_m42y3cpi.xlsx]Income - Adjusted!R36C34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2"/>
      </tp>
      <tp t="s">
        <v>—</v>
        <stp/>
        <stp>##V3_BDHV12</stp>
        <stp>XOM US Equity</stp>
        <stp>BS_PREPAID_PENSION_COSTS_LT</stp>
        <stp>FQ2 2012</stp>
        <stp>FQ2 2012</stp>
        <stp>[FA1_m42y3cpi.xlsx]Bal Sheet - Standardized!R35C18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3"/>
      </tp>
      <tp>
        <v>0</v>
        <stp/>
        <stp>##V3_BDHV12</stp>
        <stp>XOM US Equity</stp>
        <stp>IS_DISCONTINUED_OPERATIONS</stp>
        <stp>FQ1 2014</stp>
        <stp>FQ1 2014</stp>
        <stp>[FA1_m42y3cpi.xlsx]Income - Adjusted!R36C25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2"/>
      </tp>
      <tp>
        <v>1990.7692</v>
        <stp/>
        <stp>##V3_BDHV12</stp>
        <stp>XOM US Equity</stp>
        <stp>IS_IMPAIRMENT_ASSETS</stp>
        <stp>FQ4 2017</stp>
        <stp>FQ4 2017</stp>
        <stp>[FA1_m42y3cpi.xlsx]Income - Adjusted!R28C40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2"/>
      </tp>
      <tp>
        <v>1544</v>
        <stp/>
        <stp>##V3_BDHV12</stp>
        <stp>XOM US Equity</stp>
        <stp>OTHER_CURRENT_ASSETS_DETAILED</stp>
        <stp>FQ2 2017</stp>
        <stp>FQ2 2017</stp>
        <stp>[FA1_m42y3cpi.xlsx]Bal Sheet - Standardized!R18C38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8" s="3"/>
      </tp>
      <tp t="s">
        <v>—</v>
        <stp/>
        <stp>##V3_BDHV12</stp>
        <stp>XOM US Equity</stp>
        <stp>IS_IMPAIRMENT_ASSETS</stp>
        <stp>FQ2 2016</stp>
        <stp>FQ2 2016</stp>
        <stp>[FA1_m42y3cpi.xlsx]Income - Adjusted!R28C34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2"/>
      </tp>
      <tp t="s">
        <v>—</v>
        <stp/>
        <stp>##V3_BDHV12</stp>
        <stp>XOM US Equity</stp>
        <stp>IS_IMPAIRMENT_ASSETS</stp>
        <stp>FQ1 2014</stp>
        <stp>FQ1 2014</stp>
        <stp>[FA1_m42y3cpi.xlsx]Income - Adjusted!R28C25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2"/>
      </tp>
      <tp t="s">
        <v>—</v>
        <stp/>
        <stp>##V3_BDHV12</stp>
        <stp>XOM US Equity</stp>
        <stp>IS_IMPAIRMENT_ASSETS</stp>
        <stp>FQ3 2017</stp>
        <stp>FQ3 2017</stp>
        <stp>[FA1_m42y3cpi.xlsx]Income - Adjusted!R28C39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2"/>
      </tp>
      <tp>
        <v>3768</v>
        <stp/>
        <stp>##V3_BDHV12</stp>
        <stp>XOM US Equity</stp>
        <stp>OTHER_CURRENT_ASSETS_DETAILED</stp>
        <stp>FQ2 2016</stp>
        <stp>FQ2 2016</stp>
        <stp>[FA1_m42y3cpi.xlsx]Bal Sheet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3"/>
      </tp>
      <tp>
        <v>4909</v>
        <stp/>
        <stp>##V3_BDHV12</stp>
        <stp>XOM US Equity</stp>
        <stp>OTHER_CURRENT_ASSETS_DETAILED</stp>
        <stp>FQ3 2014</stp>
        <stp>FQ3 2014</stp>
        <stp>[FA1_m42y3cpi.xlsx]Bal Sheet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3"/>
      </tp>
      <tp>
        <v>5896</v>
        <stp/>
        <stp>##V3_BDHV12</stp>
        <stp>XOM US Equity</stp>
        <stp>OTHER_CURRENT_ASSETS_DETAILED</stp>
        <stp>FQ3 2013</stp>
        <stp>FQ3 2013</stp>
        <stp>[FA1_m42y3cpi.xlsx]Bal Sheet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3"/>
      </tp>
      <tp>
        <v>4684</v>
        <stp/>
        <stp>##V3_BDHV12</stp>
        <stp>XOM US Equity</stp>
        <stp>OTHER_CURRENT_ASSETS_DETAILED</stp>
        <stp>FQ2 2015</stp>
        <stp>FQ2 2015</stp>
        <stp>[FA1_m42y3cpi.xlsx]Bal Sheet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3"/>
      </tp>
      <tp t="s">
        <v>—</v>
        <stp/>
        <stp>##V3_BDHV12</stp>
        <stp>XOM US Equity</stp>
        <stp>IS_GAIN_LOSS_DISPOSAL_ASSETS</stp>
        <stp>FQ4 2015</stp>
        <stp>FQ4 2015</stp>
        <stp>[FA1_m42y3cpi.xlsx]Income - Adjusted!R27C32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2"/>
      </tp>
      <tp t="s">
        <v>—</v>
        <stp/>
        <stp>##V3_BDHV12</stp>
        <stp>XOM US Equity</stp>
        <stp>IS_GAIN_LOSS_DISPOSAL_ASSETS</stp>
        <stp>FQ1 2012</stp>
        <stp>FQ1 2012</stp>
        <stp>[FA1_m42y3cpi.xlsx]Income - Adjusted!R27C17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2"/>
      </tp>
      <tp t="s">
        <v>—</v>
        <stp/>
        <stp>##V3_BDHV12</stp>
        <stp>XOM US Equity</stp>
        <stp>IS_GAIN_LOSS_DISPOSAL_ASSETS</stp>
        <stp>FQ2 2011</stp>
        <stp>FQ2 2011</stp>
        <stp>[FA1_m42y3cpi.xlsx]Income - Adjusted!R27C14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2"/>
      </tp>
      <tp t="s">
        <v>—</v>
        <stp/>
        <stp>##V3_BDHV12</stp>
        <stp>XOM US Equity</stp>
        <stp>IS_GAIN_LOSS_DISPOSAL_ASSETS</stp>
        <stp>FQ3 2010</stp>
        <stp>FQ3 2010</stp>
        <stp>[FA1_m42y3cpi.xlsx]Income - Adjusted!R27C11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2"/>
      </tp>
      <tp t="s">
        <v>—</v>
        <stp/>
        <stp>##V3_BDHV12</stp>
        <stp>XOM US Equity</stp>
        <stp>IS_GAIN_LOSS_DISPOSAL_ASSETS</stp>
        <stp>FQ3 2013</stp>
        <stp>FQ3 2013</stp>
        <stp>[FA1_m42y3cpi.xlsx]Income - Adjusted!R27C23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2"/>
      </tp>
      <tp>
        <v>75</v>
        <stp/>
        <stp>##V3_BDHV12</stp>
        <stp>XOM US Equity</stp>
        <stp>IS_INT_EXPENSE</stp>
        <stp>FQ4 2011</stp>
        <stp>FQ4 2011</stp>
        <stp>[FA1_m42y3cpi.xlsx]Income - Adjusted!R19C16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9" s="2"/>
      </tp>
      <tp t="s">
        <v>—</v>
        <stp/>
        <stp>##V3_BDHV12</stp>
        <stp>XOM US Equity</stp>
        <stp>IS_INT_EXPENSE</stp>
        <stp>FQ4 2013</stp>
        <stp>FQ4 2013</stp>
        <stp>[FA1_m42y3cpi.xlsx]Income - Adjusted!R19C24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9" s="2"/>
      </tp>
      <tp>
        <v>186</v>
        <stp/>
        <stp>##V3_BDHV12</stp>
        <stp>XOM US Equity</stp>
        <stp>IS_INT_EXPENSE</stp>
        <stp>FQ4 2017</stp>
        <stp>FQ4 2017</stp>
        <stp>[FA1_m42y3cpi.xlsx]Income - Adjusted!R19C40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9" s="2"/>
      </tp>
      <tp>
        <v>60</v>
        <stp/>
        <stp>##V3_BDHV12</stp>
        <stp>XOM US Equity</stp>
        <stp>IS_INT_EXPENSE</stp>
        <stp>FQ4 2015</stp>
        <stp>FQ4 2015</stp>
        <stp>[FA1_m42y3cpi.xlsx]Income - Adjusted!R19C32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9" s="2"/>
      </tp>
      <tp t="s">
        <v>—</v>
        <stp/>
        <stp>##V3_BDHV12</stp>
        <stp>XOM US Equity</stp>
        <stp>IS_GAIN_LOSS_DISPOSAL_ASSETS</stp>
        <stp>FQ4 2014</stp>
        <stp>FQ4 2014</stp>
        <stp>[FA1_m42y3cpi.xlsx]Income - Adjusted!R27C28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2"/>
      </tp>
      <tp t="s">
        <v>—</v>
        <stp/>
        <stp>##V3_BDHV12</stp>
        <stp>XOM US Equity</stp>
        <stp>TANG_BOOK_VAL_PER_SH</stp>
        <stp>FQ1 2010</stp>
        <stp>FQ1 2010</stp>
        <stp>[FA1_m42y3cpi.xlsx]Per Share!R27C9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7" s="5"/>
      </tp>
      <tp>
        <v>4676.1660000000002</v>
        <stp/>
        <stp>##V3_BDHV12</stp>
        <stp>XOM US Equity</stp>
        <stp>EQY_SH_OUT</stp>
        <stp>FQ2 2012</stp>
        <stp>FQ2 2012</stp>
        <stp>[FA1_m42y3cpi.xlsx]Stock Value!R13C18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3" s="6"/>
      </tp>
      <tp>
        <v>4615.9390000000003</v>
        <stp/>
        <stp>##V3_BDHV12</stp>
        <stp>XOM US Equity</stp>
        <stp>EQY_SH_OUT</stp>
        <stp>FQ3 2012</stp>
        <stp>FQ3 2012</stp>
        <stp>[FA1_m42y3cpi.xlsx]Stock Value!R13C19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3" s="6"/>
      </tp>
      <tp>
        <v>4237.1059999999998</v>
        <stp/>
        <stp>##V3_BDHV12</stp>
        <stp>XOM US Equity</stp>
        <stp>EQY_SH_OUT</stp>
        <stp>FQ3 2017</stp>
        <stp>FQ3 2017</stp>
        <stp>[FA1_m42y3cpi.xlsx]Stock Value!R13C39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3" s="6"/>
      </tp>
      <tp>
        <v>4237.2659999999996</v>
        <stp/>
        <stp>##V3_BDHV12</stp>
        <stp>XOM US Equity</stp>
        <stp>EQY_SH_OUT</stp>
        <stp>FQ2 2017</stp>
        <stp>FQ2 2017</stp>
        <stp>[FA1_m42y3cpi.xlsx]Stock Value!R13C38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3" s="6"/>
      </tp>
      <tp>
        <v>0.92</v>
        <stp/>
        <stp>##V3_BDHV12</stp>
        <stp>XOM US Equity</stp>
        <stp>IS_DIL_EPS_BEF_XO</stp>
        <stp>FQ1 2009</stp>
        <stp>FQ1 2009</stp>
        <stp>[FA1_m42y3cpi.xlsx]Income - Adjusted!R56C5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6" s="2"/>
      </tp>
      <tp>
        <v>0.81</v>
        <stp/>
        <stp>##V3_BDHV12</stp>
        <stp>XOM US Equity</stp>
        <stp>IS_DIL_EPS_BEF_XO</stp>
        <stp>FQ2 2009</stp>
        <stp>FQ2 2009</stp>
        <stp>[FA1_m42y3cpi.xlsx]Income - Adjusted!R56C6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6" s="2"/>
      </tp>
      <tp>
        <v>0.98</v>
        <stp/>
        <stp>##V3_BDHV12</stp>
        <stp>XOM US Equity</stp>
        <stp>IS_DIL_EPS_BEF_XO</stp>
        <stp>FQ3 2009</stp>
        <stp>FQ3 2009</stp>
        <stp>[FA1_m42y3cpi.xlsx]Income - Adjusted!R56C7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6" s="2"/>
      </tp>
      <tp>
        <v>-695</v>
        <stp/>
        <stp>##V3_BDHV12</stp>
        <stp>XOM US Equity</stp>
        <stp>CF_NET_CHNG_CASH</stp>
        <stp>FQ2 2018</stp>
        <stp>FQ2 2018</stp>
        <stp>[FA1_m42y3cpi.xlsx]Cash Flow - Standardized!R53C42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3" s="4"/>
      </tp>
      <tp>
        <v>-346</v>
        <stp/>
        <stp>##V3_BDHV12</stp>
        <stp>XOM US Equity</stp>
        <stp>CF_NET_CHNG_CASH</stp>
        <stp>FQ4 2014</stp>
        <stp>FQ4 2014</stp>
        <stp>[FA1_m42y3cpi.xlsx]Cash Flow - Standardized!R53C28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3" s="4"/>
      </tp>
      <tp t="s">
        <v>—</v>
        <stp/>
        <stp>##V3_BDHV12</stp>
        <stp>XOM US Equity</stp>
        <stp>OTHER_INTANGIBLE_ASSETS_DETAILED</stp>
        <stp>FQ3 2010</stp>
        <stp>FQ3 2010</stp>
        <stp>[FA1_m42y3cpi.xlsx]Bal Sheet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3"/>
      </tp>
      <tp>
        <v>7831</v>
        <stp/>
        <stp>##V3_BDHV12</stp>
        <stp>XOM US Equity</stp>
        <stp>OTHER_NONCURRENT_ASSETS_DETAILED</stp>
        <stp>FQ4 2015</stp>
        <stp>FQ4 2015</stp>
        <stp>[FA1_m42y3cpi.xlsx]Bal Sheet - Standardized!R37C32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7" s="3"/>
      </tp>
      <tp>
        <v>40530</v>
        <stp/>
        <stp>##V3_BDHV12</stp>
        <stp>XOM US Equity</stp>
        <stp>BS_DEFERRED_TAX_LIABILITIES_LT</stp>
        <stp>FQ4 2013</stp>
        <stp>FQ4 2013</stp>
        <stp>[FA1_m42y3cpi.xlsx]Bal Sheet - Standardized!R62C24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2" s="3"/>
      </tp>
      <tp t="s">
        <v>—</v>
        <stp/>
        <stp>##V3_BDHV12</stp>
        <stp>XOM US Equity</stp>
        <stp>OTHER_INTANGIBLE_ASSETS_DETAILED</stp>
        <stp>FQ1 2017</stp>
        <stp>FQ1 2017</stp>
        <stp>[FA1_m42y3cpi.xlsx]Bal Sheet - Standardized!R32C37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3"/>
      </tp>
      <tp>
        <v>37570</v>
        <stp/>
        <stp>##V3_BDHV12</stp>
        <stp>XOM US Equity</stp>
        <stp>BS_DEFERRED_TAX_LIABILITIES_LT</stp>
        <stp>FQ4 2012</stp>
        <stp>FQ4 2012</stp>
        <stp>[FA1_m42y3cpi.xlsx]Bal Sheet - Standardized!R62C20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2" s="3"/>
      </tp>
      <tp t="s">
        <v>—</v>
        <stp/>
        <stp>##V3_BDHV12</stp>
        <stp>XOM US Equity</stp>
        <stp>OTHER_INTANGIBLE_ASSETS_DETAILED</stp>
        <stp>FQ3 2011</stp>
        <stp>FQ3 2011</stp>
        <stp>[FA1_m42y3cpi.xlsx]Bal Sheet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3"/>
      </tp>
      <tp t="s">
        <v>—</v>
        <stp/>
        <stp>##V3_BDHV12</stp>
        <stp>XOM US Equity</stp>
        <stp>OTHER_INTANGIBLE_ASSETS_DETAILED</stp>
        <stp>FQ1 2016</stp>
        <stp>FQ1 2016</stp>
        <stp>[FA1_m42y3cpi.xlsx]Bal Sheet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3"/>
      </tp>
      <tp>
        <v>8537</v>
        <stp/>
        <stp>##V3_BDHV12</stp>
        <stp>XOM US Equity</stp>
        <stp>OTHER_NONCURRENT_ASSETS_DETAILED</stp>
        <stp>FQ4 2016</stp>
        <stp>FQ4 2016</stp>
        <stp>[FA1_m42y3cpi.xlsx]Bal Sheet - Standardized!R37C36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7" s="3"/>
      </tp>
      <tp>
        <v>39230</v>
        <stp/>
        <stp>##V3_BDHV12</stp>
        <stp>XOM US Equity</stp>
        <stp>BS_DEFERRED_TAX_LIABILITIES_LT</stp>
        <stp>FQ4 2014</stp>
        <stp>FQ4 2014</stp>
        <stp>[FA1_m42y3cpi.xlsx]Bal Sheet - Standardized!R62C28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2" s="3"/>
      </tp>
      <tp>
        <v>26783</v>
        <stp/>
        <stp>##V3_BDHV12</stp>
        <stp>XOM US Equity</stp>
        <stp>BS_DEFERRED_TAX_LIABILITIES_LT</stp>
        <stp>FQ2 2018</stp>
        <stp>FQ2 2018</stp>
        <stp>[FA1_m42y3cpi.xlsx]Bal Sheet - Standardized!R62C42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2" s="3"/>
      </tp>
      <tp t="s">
        <v>—</v>
        <stp/>
        <stp>##V3_BDHV12</stp>
        <stp>XOM US Equity</stp>
        <stp>OTHER_INTANGIBLE_ASSETS_DETAILED</stp>
        <stp>FQ3 2012</stp>
        <stp>FQ3 2012</stp>
        <stp>[FA1_m42y3cpi.xlsx]Bal Sheet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3"/>
      </tp>
      <tp>
        <v>-666</v>
        <stp/>
        <stp>##V3_BDHV12</stp>
        <stp>XOM US Equity</stp>
        <stp>CF_NET_CHNG_CASH</stp>
        <stp>FQ4 2013</stp>
        <stp>FQ4 2013</stp>
        <stp>[FA1_m42y3cpi.xlsx]Cash Flow - Standardized!R53C24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3" s="4"/>
      </tp>
      <tp>
        <v>-3473</v>
        <stp/>
        <stp>##V3_BDHV12</stp>
        <stp>XOM US Equity</stp>
        <stp>CF_NET_CHNG_CASH</stp>
        <stp>FQ4 2012</stp>
        <stp>FQ4 2012</stp>
        <stp>[FA1_m42y3cpi.xlsx]Cash Flow - Standardized!R53C20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3" s="4"/>
      </tp>
      <tp>
        <v>2.2978999999999998</v>
        <stp/>
        <stp>##V3_BDHV12</stp>
        <stp>XOM US Equity</stp>
        <stp>CASH_ST_INVESTMENTS_PER_SH</stp>
        <stp>FQ4 2009</stp>
        <stp>FQ4 2009</stp>
        <stp>[FA1_m42y3cpi.xlsx]Per Share!R25C8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5" s="5"/>
      </tp>
      <tp>
        <v>12071</v>
        <stp/>
        <stp>##V3_BDHV12</stp>
        <stp>XOM US Equity</stp>
        <stp>EBITDA</stp>
        <stp>FQ4 2008</stp>
        <stp>FQ4 2008</stp>
        <stp>[FA1_m42y3cpi.xlsx]Income - Adjusted!R61C4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1" s="2"/>
      </tp>
      <tp>
        <v>24367</v>
        <stp/>
        <stp>##V3_BDHV12</stp>
        <stp>XOM US Equity</stp>
        <stp>EBITDA</stp>
        <stp>FQ3 2008</stp>
        <stp>FQ3 2008</stp>
        <stp>[FA1_m42y3cpi.xlsx]Income - Adjusted!R61C3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1" s="2"/>
      </tp>
      <tp t="s">
        <v>—</v>
        <stp/>
        <stp>##V3_BDHV12</stp>
        <stp>XOM US Equity</stp>
        <stp>IS_MERGER_ACQUISITION_EXPENSE</stp>
        <stp>FQ3 2011</stp>
        <stp>FQ3 2011</stp>
        <stp>[FA1_m42y3cpi.xlsx]Income - Adjusted!R26C15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2"/>
      </tp>
      <tp>
        <v>15</v>
        <stp/>
        <stp>##V3_BDHV12</stp>
        <stp>XOM US Equity</stp>
        <stp>IS_MERGER_ACQUISITION_EXPENSE</stp>
        <stp>FQ2 2010</stp>
        <stp>FQ2 2010</stp>
        <stp>[FA1_m42y3cpi.xlsx]Income - Adjusted!R26C10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2"/>
      </tp>
      <tp t="s">
        <v>—</v>
        <stp/>
        <stp>##V3_BDHV12</stp>
        <stp>XOM US Equity</stp>
        <stp>IS_MERGER_ACQUISITION_EXPENSE</stp>
        <stp>FQ2 2013</stp>
        <stp>FQ2 2013</stp>
        <stp>[FA1_m42y3cpi.xlsx]Income - Adjusted!R26C22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2"/>
      </tp>
      <tp t="s">
        <v>—</v>
        <stp/>
        <stp>##V3_BDHV12</stp>
        <stp>XOM US Equity</stp>
        <stp>BS_PREPAID_PENSION_COSTS_LT</stp>
        <stp>FQ3 2015</stp>
        <stp>FQ3 2015</stp>
        <stp>[FA1_m42y3cpi.xlsx]Bal Sheet - Standardized!R35C31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3"/>
      </tp>
      <tp>
        <v>4225.0349999999999</v>
        <stp/>
        <stp>##V3_BDHV12</stp>
        <stp>XOM US Equity</stp>
        <stp>EQY_FLOAT</stp>
        <stp>FQ1 2018</stp>
        <stp>FQ1 2018</stp>
        <stp>[FA1_m42y3cpi.xlsx]Stock Value!R14C41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4" s="6"/>
      </tp>
      <tp t="s">
        <v>—</v>
        <stp/>
        <stp>##V3_BDHV12</stp>
        <stp>XOM US Equity</stp>
        <stp>BS_PREPAID_PENSION_COSTS_LT</stp>
        <stp>FQ1 2012</stp>
        <stp>FQ1 2012</stp>
        <stp>[FA1_m42y3cpi.xlsx]Bal Sheet - Standardized!R35C17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3"/>
      </tp>
      <tp>
        <v>4221.4080000000004</v>
        <stp/>
        <stp>##V3_BDHV12</stp>
        <stp>XOM US Equity</stp>
        <stp>EQY_FLOAT</stp>
        <stp>FQ2 2018</stp>
        <stp>FQ2 2018</stp>
        <stp>[FA1_m42y3cpi.xlsx]Stock Value!R14C42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4" s="6"/>
      </tp>
      <tp t="s">
        <v>—</v>
        <stp/>
        <stp>##V3_BDHV12</stp>
        <stp>XOM US Equity</stp>
        <stp>BS_PREPAID_PENSION_COSTS_LT</stp>
        <stp>FQ1 2011</stp>
        <stp>FQ1 2011</stp>
        <stp>[FA1_m42y3cpi.xlsx]Bal Sheet - Standardized!R35C13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3"/>
      </tp>
      <tp t="s">
        <v>—</v>
        <stp/>
        <stp>##V3_BDHV12</stp>
        <stp>XOM US Equity</stp>
        <stp>BS_PREPAID_PENSION_COSTS_LT</stp>
        <stp>FQ2 2013</stp>
        <stp>FQ2 2013</stp>
        <stp>[FA1_m42y3cpi.xlsx]Bal Sheet - Standardized!R35C22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3"/>
      </tp>
      <tp>
        <v>1403</v>
        <stp/>
        <stp>##V3_BDHV12</stp>
        <stp>XOM US Equity</stp>
        <stp>BS_PREPAID_PENSION_COSTS_LT</stp>
        <stp>FQ4 2017</stp>
        <stp>FQ4 2017</stp>
        <stp>[FA1_m42y3cpi.xlsx]Bal Sheet - Standardized!R35C40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5" s="3"/>
      </tp>
      <tp t="s">
        <v>—</v>
        <stp/>
        <stp>##V3_BDHV12</stp>
        <stp>XOM US Equity</stp>
        <stp>BS_PREPAID_PENSION_COSTS_LT</stp>
        <stp>FQ2 2014</stp>
        <stp>FQ2 2014</stp>
        <stp>[FA1_m42y3cpi.xlsx]Bal Sheet - Standardized!R35C26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3"/>
      </tp>
      <tp t="s">
        <v>—</v>
        <stp/>
        <stp>##V3_BDHV12</stp>
        <stp>XOM US Equity</stp>
        <stp>BS_PREPAID_PENSION_COSTS_LT</stp>
        <stp>FQ3 2016</stp>
        <stp>FQ3 2016</stp>
        <stp>[FA1_m42y3cpi.xlsx]Bal Sheet - Standardized!R35C35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3"/>
      </tp>
      <tp>
        <v>4436.0469999999996</v>
        <stp/>
        <stp>##V3_BDHV12</stp>
        <stp>XOM US Equity</stp>
        <stp>EQY_FLOAT</stp>
        <stp>FQ2 2013</stp>
        <stp>FQ2 2013</stp>
        <stp>[FA1_m42y3cpi.xlsx]Stock Value!R14C22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4" s="6"/>
      </tp>
      <tp>
        <v>4391.3109999999997</v>
        <stp/>
        <stp>##V3_BDHV12</stp>
        <stp>XOM US Equity</stp>
        <stp>EQY_FLOAT</stp>
        <stp>FQ3 2013</stp>
        <stp>FQ3 2013</stp>
        <stp>[FA1_m42y3cpi.xlsx]Stock Value!R14C23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4" s="6"/>
      </tp>
      <tp>
        <v>0</v>
        <stp/>
        <stp>##V3_BDHV12</stp>
        <stp>XOM US Equity</stp>
        <stp>IS_DISCONTINUED_OPERATIONS</stp>
        <stp>FQ4 2011</stp>
        <stp>FQ4 2011</stp>
        <stp>[FA1_m42y3cpi.xlsx]Income - Adjusted!R36C16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2"/>
      </tp>
      <tp t="s">
        <v>—</v>
        <stp/>
        <stp>##V3_BDHV12</stp>
        <stp>XOM US Equity</stp>
        <stp>BS_PREPAID_PENSION_COSTS_LT</stp>
        <stp>FQ3 2017</stp>
        <stp>FQ3 2017</stp>
        <stp>[FA1_m42y3cpi.xlsx]Bal Sheet - Standardized!R35C39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5" s="3"/>
      </tp>
      <tp>
        <v>22647</v>
        <stp/>
        <stp>##V3_BDHV12</stp>
        <stp>XOM US Equity</stp>
        <stp>PENSION_LIABILITIES</stp>
        <stp>FQ4 2015</stp>
        <stp>FQ4 2015</stp>
        <stp>[FA1_m42y3cpi.xlsx]Bal Sheet - Standardized!R60C32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0" s="3"/>
      </tp>
      <tp>
        <v>4469.5379999999996</v>
        <stp/>
        <stp>##V3_BDHV12</stp>
        <stp>XOM US Equity</stp>
        <stp>EQY_FLOAT</stp>
        <stp>FQ1 2013</stp>
        <stp>FQ1 2013</stp>
        <stp>[FA1_m42y3cpi.xlsx]Stock Value!R14C21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4" s="6"/>
      </tp>
      <tp>
        <v>0</v>
        <stp/>
        <stp>##V3_BDHV12</stp>
        <stp>XOM US Equity</stp>
        <stp>IS_DISCONTINUED_OPERATIONS</stp>
        <stp>FQ2 2015</stp>
        <stp>FQ2 2015</stp>
        <stp>[FA1_m42y3cpi.xlsx]Income - Adjusted!R36C30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2"/>
      </tp>
      <tp>
        <v>0</v>
        <stp/>
        <stp>##V3_BDHV12</stp>
        <stp>XOM US Equity</stp>
        <stp>IS_DISCONTINUED_OPERATIONS</stp>
        <stp>FQ1 2016</stp>
        <stp>FQ1 2016</stp>
        <stp>[FA1_m42y3cpi.xlsx]Income - Adjusted!R36C33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2"/>
      </tp>
      <tp>
        <v>20680</v>
        <stp/>
        <stp>##V3_BDHV12</stp>
        <stp>XOM US Equity</stp>
        <stp>PENSION_LIABILITIES</stp>
        <stp>FQ4 2016</stp>
        <stp>FQ4 2016</stp>
        <stp>[FA1_m42y3cpi.xlsx]Bal Sheet - Standardized!R60C36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0" s="3"/>
      </tp>
      <tp>
        <v>0</v>
        <stp/>
        <stp>##V3_BDHV12</stp>
        <stp>XOM US Equity</stp>
        <stp>IS_DISCONTINUED_OPERATIONS</stp>
        <stp>FQ2 2014</stp>
        <stp>FQ2 2014</stp>
        <stp>[FA1_m42y3cpi.xlsx]Income - Adjusted!R36C26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2"/>
      </tp>
      <tp>
        <v>0</v>
        <stp/>
        <stp>##V3_BDHV12</stp>
        <stp>XOM US Equity</stp>
        <stp>IS_DISCONTINUED_OPERATIONS</stp>
        <stp>FQ4 2012</stp>
        <stp>FQ4 2012</stp>
        <stp>[FA1_m42y3cpi.xlsx]Income - Adjusted!R36C20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2"/>
      </tp>
      <tp>
        <v>1.0609999999999999</v>
        <stp/>
        <stp>##V3_BDHV12</stp>
        <stp>XOM US Equity</stp>
        <stp>CUR_RATIO</stp>
        <stp>FQ4 2009</stp>
        <stp>FQ4 2009</stp>
        <stp>[FA1_m42y3cpi.xlsx]Bal Sheet - Standardized!R89C8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9" s="3"/>
      </tp>
      <tp>
        <v>4357.3729999999996</v>
        <stp/>
        <stp>##V3_BDHV12</stp>
        <stp>XOM US Equity</stp>
        <stp>EQY_FLOAT</stp>
        <stp>FQ4 2013</stp>
        <stp>FQ4 2013</stp>
        <stp>[FA1_m42y3cpi.xlsx]Stock Value!R14C24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4" s="6"/>
      </tp>
      <tp>
        <v>4727</v>
        <stp/>
        <stp>##V3_BDHV12</stp>
        <stp>XOM US Equity</stp>
        <stp>BS_SH_OUT</stp>
        <stp>FQ4 2009</stp>
        <stp>FQ4 2009</stp>
        <stp>[FA1_m42y3cpi.xlsx]Bal Sheet - Standardized!R79C8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9" s="3"/>
      </tp>
      <tp t="s">
        <v>—</v>
        <stp/>
        <stp>##V3_BDHV12</stp>
        <stp>XOM US Equity</stp>
        <stp>IS_IMPAIRMENT_ASSETS</stp>
        <stp>FQ3 2016</stp>
        <stp>FQ3 2016</stp>
        <stp>[FA1_m42y3cpi.xlsx]Income - Adjusted!R28C35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2"/>
      </tp>
      <tp>
        <v>1480</v>
        <stp/>
        <stp>##V3_BDHV12</stp>
        <stp>XOM US Equity</stp>
        <stp>OTHER_CURRENT_ASSETS_DETAILED</stp>
        <stp>FQ3 2017</stp>
        <stp>FQ3 2017</stp>
        <stp>[FA1_m42y3cpi.xlsx]Bal Sheet - Standardized!R18C39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8" s="3"/>
      </tp>
      <tp t="s">
        <v>—</v>
        <stp/>
        <stp>##V3_BDHV12</stp>
        <stp>XOM US Equity</stp>
        <stp>IS_IMPAIRMENT_ASSETS</stp>
        <stp>FQ2 2017</stp>
        <stp>FQ2 2017</stp>
        <stp>[FA1_m42y3cpi.xlsx]Income - Adjusted!R28C38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2"/>
      </tp>
      <tp>
        <v>2122</v>
        <stp/>
        <stp>##V3_BDHV12</stp>
        <stp>XOM US Equity</stp>
        <stp>OTHER_CURRENT_ASSETS_DETAILED</stp>
        <stp>FQ3 2016</stp>
        <stp>FQ3 2016</stp>
        <stp>[FA1_m42y3cpi.xlsx]Bal Sheet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3"/>
      </tp>
      <tp>
        <v>5571</v>
        <stp/>
        <stp>##V3_BDHV12</stp>
        <stp>XOM US Equity</stp>
        <stp>OTHER_CURRENT_ASSETS_DETAILED</stp>
        <stp>FQ2 2014</stp>
        <stp>FQ2 2014</stp>
        <stp>[FA1_m42y3cpi.xlsx]Bal Sheet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3"/>
      </tp>
      <tp>
        <v>5698</v>
        <stp/>
        <stp>##V3_BDHV12</stp>
        <stp>XOM US Equity</stp>
        <stp>OTHER_CURRENT_ASSETS_DETAILED</stp>
        <stp>FQ2 2013</stp>
        <stp>FQ2 2013</stp>
        <stp>[FA1_m42y3cpi.xlsx]Bal Sheet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3"/>
      </tp>
      <tp>
        <v>7781</v>
        <stp/>
        <stp>##V3_BDHV12</stp>
        <stp>XOM US Equity</stp>
        <stp>OTHER_CURRENT_ASSETS_DETAILED</stp>
        <stp>FQ1 2011</stp>
        <stp>FQ1 2011</stp>
        <stp>[FA1_m42y3cpi.xlsx]Bal Sheet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3"/>
      </tp>
      <tp>
        <v>1368</v>
        <stp/>
        <stp>##V3_BDHV12</stp>
        <stp>XOM US Equity</stp>
        <stp>OTHER_CURRENT_ASSETS_DETAILED</stp>
        <stp>FQ4 2017</stp>
        <stp>FQ4 2017</stp>
        <stp>[FA1_m42y3cpi.xlsx]Bal Sheet - Standardized!R18C40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8" s="3"/>
      </tp>
      <tp t="s">
        <v>—</v>
        <stp/>
        <stp>##V3_BDHV12</stp>
        <stp>XOM US Equity</stp>
        <stp>IS_IMPAIRMENT_ASSETS</stp>
        <stp>FQ1 2015</stp>
        <stp>FQ1 2015</stp>
        <stp>[FA1_m42y3cpi.xlsx]Income - Adjusted!R28C29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2"/>
      </tp>
      <tp>
        <v>6897</v>
        <stp/>
        <stp>##V3_BDHV12</stp>
        <stp>XOM US Equity</stp>
        <stp>OTHER_CURRENT_ASSETS_DETAILED</stp>
        <stp>FQ1 2012</stp>
        <stp>FQ1 2012</stp>
        <stp>[FA1_m42y3cpi.xlsx]Bal Sheet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3"/>
      </tp>
      <tp>
        <v>4197</v>
        <stp/>
        <stp>##V3_BDHV12</stp>
        <stp>XOM US Equity</stp>
        <stp>OTHER_CURRENT_ASSETS_DETAILED</stp>
        <stp>FQ3 2015</stp>
        <stp>FQ3 2015</stp>
        <stp>[FA1_m42y3cpi.xlsx]Bal Sheet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3"/>
      </tp>
      <tp>
        <v>149831</v>
        <stp/>
        <stp>##V3_BDHV12</stp>
        <stp>XOM US Equity</stp>
        <stp>BS_TOT_LIAB2</stp>
        <stp>FQ4 2010</stp>
        <stp>FQ4 2010</stp>
        <stp>[FA1_m42y3cpi.xlsx]Bal Sheet - Standardized!R66C12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6" s="3"/>
      </tp>
      <tp t="s">
        <v>—</v>
        <stp/>
        <stp>##V3_BDHV12</stp>
        <stp>XOM US Equity</stp>
        <stp>IS_GAIN_LOSS_DISPOSAL_ASSETS</stp>
        <stp>FQ3 2011</stp>
        <stp>FQ3 2011</stp>
        <stp>[FA1_m42y3cpi.xlsx]Income - Adjusted!R27C15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2"/>
      </tp>
      <tp t="s">
        <v>—</v>
        <stp/>
        <stp>##V3_BDHV12</stp>
        <stp>XOM US Equity</stp>
        <stp>IS_GAIN_LOSS_DISPOSAL_ASSETS</stp>
        <stp>FQ2 2013</stp>
        <stp>FQ2 2013</stp>
        <stp>[FA1_m42y3cpi.xlsx]Income - Adjusted!R27C22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2"/>
      </tp>
      <tp>
        <v>170308</v>
        <stp/>
        <stp>##V3_BDHV12</stp>
        <stp>XOM US Equity</stp>
        <stp>BS_TOT_LIAB2</stp>
        <stp>FQ4 2011</stp>
        <stp>FQ4 2011</stp>
        <stp>[FA1_m42y3cpi.xlsx]Bal Sheet - Standardized!R66C16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6" s="3"/>
      </tp>
      <tp t="s">
        <v>—</v>
        <stp/>
        <stp>##V3_BDHV12</stp>
        <stp>XOM US Equity</stp>
        <stp>IS_GAIN_LOSS_DISPOSAL_ASSETS</stp>
        <stp>FQ2 2010</stp>
        <stp>FQ2 2010</stp>
        <stp>[FA1_m42y3cpi.xlsx]Income - Adjusted!R27C10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2"/>
      </tp>
      <tp>
        <v>153915</v>
        <stp/>
        <stp>##V3_BDHV12</stp>
        <stp>XOM US Equity</stp>
        <stp>BS_TOT_LIAB2</stp>
        <stp>FQ1 2018</stp>
        <stp>FQ1 2018</stp>
        <stp>[FA1_m42y3cpi.xlsx]Bal Sheet - Standardized!R66C41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6" s="3"/>
      </tp>
      <tp>
        <v>22.701999999999998</v>
        <stp/>
        <stp>##V3_BDHV12</stp>
        <stp>XOM US Equity</stp>
        <stp>TANG_BOOK_VAL_PER_SH</stp>
        <stp>FQ4 2008</stp>
        <stp>FQ4 2008</stp>
        <stp>[FA1_m42y3cpi.xlsx]Per Share!R27C4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7" s="5"/>
      </tp>
      <tp>
        <v>24.628699999999998</v>
        <stp/>
        <stp>##V3_BDHV12</stp>
        <stp>XOM US Equity</stp>
        <stp>TANG_BOOK_VAL_PER_SH</stp>
        <stp>FQ3 2008</stp>
        <stp>FQ3 2008</stp>
        <stp>[FA1_m42y3cpi.xlsx]Per Share!R27C3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7" s="5"/>
      </tp>
      <tp t="s">
        <v>—</v>
        <stp/>
        <stp>##V3_BDHV12</stp>
        <stp>XOM US Equity</stp>
        <stp>OTHER_INTANGIBLE_ASSETS_DETAILED</stp>
        <stp>FQ2 2010</stp>
        <stp>FQ2 2010</stp>
        <stp>[FA1_m42y3cpi.xlsx]Bal Sheet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3"/>
      </tp>
      <tp>
        <v>7320</v>
        <stp/>
        <stp>##V3_BDHV12</stp>
        <stp>XOM US Equity</stp>
        <stp>OTHER_NONCURRENT_ASSETS_DETAILED</stp>
        <stp>FQ4 2013</stp>
        <stp>FQ4 2013</stp>
        <stp>[FA1_m42y3cpi.xlsx]Bal Sheet - Standardized!R37C24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7" s="3"/>
      </tp>
      <tp>
        <v>36818</v>
        <stp/>
        <stp>##V3_BDHV12</stp>
        <stp>XOM US Equity</stp>
        <stp>BS_DEFERRED_TAX_LIABILITIES_LT</stp>
        <stp>FQ4 2015</stp>
        <stp>FQ4 2015</stp>
        <stp>[FA1_m42y3cpi.xlsx]Bal Sheet - Standardized!R62C32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2" s="3"/>
      </tp>
      <tp t="s">
        <v>—</v>
        <stp/>
        <stp>##V3_BDHV12</stp>
        <stp>XOM US Equity</stp>
        <stp>OTHER_INTANGIBLE_ASSETS_DETAILED</stp>
        <stp>FQ1 2013</stp>
        <stp>FQ1 2013</stp>
        <stp>[FA1_m42y3cpi.xlsx]Bal Sheet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3"/>
      </tp>
      <tp t="s">
        <v>—</v>
        <stp/>
        <stp>##V3_BDHV12</stp>
        <stp>XOM US Equity</stp>
        <stp>OTHER_INTANGIBLE_ASSETS_DETAILED</stp>
        <stp>FQ1 2014</stp>
        <stp>FQ1 2014</stp>
        <stp>[FA1_m42y3cpi.xlsx]Bal Sheet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3"/>
      </tp>
      <tp t="s">
        <v>—</v>
        <stp/>
        <stp>##V3_BDHV12</stp>
        <stp>XOM US Equity</stp>
        <stp>OTHER_INTANGIBLE_ASSETS_DETAILED</stp>
        <stp>FQ2 2011</stp>
        <stp>FQ2 2011</stp>
        <stp>[FA1_m42y3cpi.xlsx]Bal Sheet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3"/>
      </tp>
      <tp>
        <v>7618</v>
        <stp/>
        <stp>##V3_BDHV12</stp>
        <stp>XOM US Equity</stp>
        <stp>OTHER_NONCURRENT_ASSETS_DETAILED</stp>
        <stp>FQ4 2012</stp>
        <stp>FQ4 2012</stp>
        <stp>[FA1_m42y3cpi.xlsx]Bal Sheet - Standardized!R37C20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7" s="3"/>
      </tp>
      <tp>
        <v>34041</v>
        <stp/>
        <stp>##V3_BDHV12</stp>
        <stp>XOM US Equity</stp>
        <stp>BS_DEFERRED_TAX_LIABILITIES_LT</stp>
        <stp>FQ4 2016</stp>
        <stp>FQ4 2016</stp>
        <stp>[FA1_m42y3cpi.xlsx]Bal Sheet - Standardized!R62C36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2" s="3"/>
      </tp>
      <tp t="s">
        <v>—</v>
        <stp/>
        <stp>##V3_BDHV12</stp>
        <stp>XOM US Equity</stp>
        <stp>OTHER_INTANGIBLE_ASSETS_DETAILED</stp>
        <stp>FQ2 2012</stp>
        <stp>FQ2 2012</stp>
        <stp>[FA1_m42y3cpi.xlsx]Bal Sheet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3"/>
      </tp>
      <tp>
        <v>-591</v>
        <stp/>
        <stp>##V3_BDHV12</stp>
        <stp>XOM US Equity</stp>
        <stp>CF_NET_CHNG_CASH</stp>
        <stp>FQ4 2015</stp>
        <stp>FQ4 2015</stp>
        <stp>[FA1_m42y3cpi.xlsx]Cash Flow - Standardized!R53C32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3" s="4"/>
      </tp>
      <tp>
        <v>8374</v>
        <stp/>
        <stp>##V3_BDHV12</stp>
        <stp>XOM US Equity</stp>
        <stp>OTHER_NONCURRENT_ASSETS_DETAILED</stp>
        <stp>FQ4 2014</stp>
        <stp>FQ4 2014</stp>
        <stp>[FA1_m42y3cpi.xlsx]Bal Sheet - Standardized!R37C28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7" s="3"/>
      </tp>
      <tp>
        <v>50026</v>
        <stp/>
        <stp>##V3_BDHV12</stp>
        <stp>XOM US Equity</stp>
        <stp>OTHER_NONCURRENT_ASSETS_DETAILED</stp>
        <stp>FQ2 2018</stp>
        <stp>FQ2 2018</stp>
        <stp>[FA1_m42y3cpi.xlsx]Bal Sheet - Standardized!R37C42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7" s="3"/>
      </tp>
      <tp>
        <v>-1436</v>
        <stp/>
        <stp>##V3_BDHV12</stp>
        <stp>XOM US Equity</stp>
        <stp>CF_NET_CHNG_CASH</stp>
        <stp>FQ4 2016</stp>
        <stp>FQ4 2016</stp>
        <stp>[FA1_m42y3cpi.xlsx]Cash Flow - Standardized!R53C36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3" s="4"/>
      </tp>
      <tp t="s">
        <v>—</v>
        <stp/>
        <stp>##V3_BDHV12</stp>
        <stp>XOM US Equity</stp>
        <stp>OTHER_INTANGIBLE_ASSETS_DETAILED</stp>
        <stp>FQ1 2015</stp>
        <stp>FQ1 2015</stp>
        <stp>[FA1_m42y3cpi.xlsx]Bal Sheet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3"/>
      </tp>
      <tp>
        <v>36</v>
        <stp/>
        <stp>##V3_BDHV12</stp>
        <stp>XOM US Equity</stp>
        <stp>IS_INT_EXPENSE</stp>
        <stp>FQ4 2009</stp>
        <stp>FQ4 2009</stp>
        <stp>[FA1_m42y3cpi.xlsx]Income - Adjusted!R19C8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9" s="2"/>
      </tp>
      <tp>
        <v>27645</v>
        <stp/>
        <stp>##V3_BDHV12</stp>
        <stp>XOM US Equity</stp>
        <stp>BS_ACCT_NOTE_RCV</stp>
        <stp>FQ4 2009</stp>
        <stp>FQ4 2009</stp>
        <stp>[FA1_m42y3cpi.xlsx]Bal Sheet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3"/>
      </tp>
      <tp t="s">
        <v>—</v>
        <stp/>
        <stp>##V3_BDHV12</stp>
        <stp>XOM US Equity</stp>
        <stp>IS_MERGER_ACQUISITION_EXPENSE</stp>
        <stp>FQ4 2014</stp>
        <stp>FQ4 2014</stp>
        <stp>[FA1_m42y3cpi.xlsx]Income - Adjusted!R26C28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2"/>
      </tp>
      <tp>
        <v>29052</v>
        <stp/>
        <stp>##V3_BDHV12</stp>
        <stp>XOM US Equity</stp>
        <stp>BS_ACCT_NOTE_RCV</stp>
        <stp>FQ1 2010</stp>
        <stp>FQ1 2010</stp>
        <stp>[FA1_m42y3cpi.xlsx]Bal Sheet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3"/>
      </tp>
      <tp>
        <v>40470</v>
        <stp/>
        <stp>##V3_BDHV12</stp>
        <stp>XOM US Equity</stp>
        <stp>ACCT_PAYABLE_&amp;_ACCRUALS_DETAILED</stp>
        <stp>FQ1 2018</stp>
        <stp>FQ1 2018</stp>
        <stp>[FA1_m42y3cpi.xlsx]Bal Sheet - Standardized!R42C41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2" s="3"/>
      </tp>
      <tp>
        <v>26862</v>
        <stp/>
        <stp>##V3_BDHV12</stp>
        <stp>XOM US Equity</stp>
        <stp>BS_ACCT_NOTE_RCV</stp>
        <stp>FQ2 2009</stp>
        <stp>FQ2 2009</stp>
        <stp>[FA1_m42y3cpi.xlsx]Bal Sheet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3"/>
      </tp>
      <tp>
        <v>26937</v>
        <stp/>
        <stp>##V3_BDHV12</stp>
        <stp>XOM US Equity</stp>
        <stp>BS_ACCT_NOTE_RCV</stp>
        <stp>FQ3 2009</stp>
        <stp>FQ3 2009</stp>
        <stp>[FA1_m42y3cpi.xlsx]Bal Sheet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3"/>
      </tp>
      <tp>
        <v>22942</v>
        <stp/>
        <stp>##V3_BDHV12</stp>
        <stp>XOM US Equity</stp>
        <stp>BS_ACCT_NOTE_RCV</stp>
        <stp>FQ1 2009</stp>
        <stp>FQ1 2009</stp>
        <stp>[FA1_m42y3cpi.xlsx]Bal Sheet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3"/>
      </tp>
      <tp t="s">
        <v>—</v>
        <stp/>
        <stp>##V3_BDHV12</stp>
        <stp>XOM US Equity</stp>
        <stp>IS_MERGER_ACQUISITION_EXPENSE</stp>
        <stp>FQ4 2015</stp>
        <stp>FQ4 2015</stp>
        <stp>[FA1_m42y3cpi.xlsx]Income - Adjusted!R26C32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2"/>
      </tp>
      <tp>
        <v>59846</v>
        <stp/>
        <stp>##V3_BDHV12</stp>
        <stp>XOM US Equity</stp>
        <stp>ACCT_PAYABLE_&amp;_ACCRUALS_DETAILED</stp>
        <stp>FQ4 2010</stp>
        <stp>FQ4 2010</stp>
        <stp>[FA1_m42y3cpi.xlsx]Bal Sheet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3"/>
      </tp>
      <tp t="s">
        <v>—</v>
        <stp/>
        <stp>##V3_BDHV12</stp>
        <stp>XOM US Equity</stp>
        <stp>IS_MERGER_ACQUISITION_EXPENSE</stp>
        <stp>FQ1 2012</stp>
        <stp>FQ1 2012</stp>
        <stp>[FA1_m42y3cpi.xlsx]Income - Adjusted!R26C17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2"/>
      </tp>
      <tp t="s">
        <v>—</v>
        <stp/>
        <stp>##V3_BDHV12</stp>
        <stp>XOM US Equity</stp>
        <stp>IS_MERGER_ACQUISITION_EXPENSE</stp>
        <stp>FQ2 2011</stp>
        <stp>FQ2 2011</stp>
        <stp>[FA1_m42y3cpi.xlsx]Income - Adjusted!R26C14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2"/>
      </tp>
      <tp>
        <v>24702</v>
        <stp/>
        <stp>##V3_BDHV12</stp>
        <stp>XOM US Equity</stp>
        <stp>BS_ACCT_NOTE_RCV</stp>
        <stp>FQ4 2008</stp>
        <stp>FQ4 2008</stp>
        <stp>[FA1_m42y3cpi.xlsx]Bal Sheet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3"/>
      </tp>
      <tp>
        <v>35251</v>
        <stp/>
        <stp>##V3_BDHV12</stp>
        <stp>XOM US Equity</stp>
        <stp>BS_ACCT_NOTE_RCV</stp>
        <stp>FQ3 2008</stp>
        <stp>FQ3 2008</stp>
        <stp>[FA1_m42y3cpi.xlsx]Bal Sheet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69794</v>
        <stp/>
        <stp>##V3_BDHV12</stp>
        <stp>XOM US Equity</stp>
        <stp>ACCT_PAYABLE_&amp;_ACCRUALS_DETAILED</stp>
        <stp>FQ4 2011</stp>
        <stp>FQ4 2011</stp>
        <stp>[FA1_m42y3cpi.xlsx]Bal Sheet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3"/>
      </tp>
      <tp t="s">
        <v>—</v>
        <stp/>
        <stp>##V3_BDHV12</stp>
        <stp>XOM US Equity</stp>
        <stp>IS_MERGER_ACQUISITION_EXPENSE</stp>
        <stp>FQ3 2013</stp>
        <stp>FQ3 2013</stp>
        <stp>[FA1_m42y3cpi.xlsx]Income - Adjusted!R26C23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2"/>
      </tp>
      <tp>
        <v>2</v>
        <stp/>
        <stp>##V3_BDHV12</stp>
        <stp>XOM US Equity</stp>
        <stp>IS_MERGER_ACQUISITION_EXPENSE</stp>
        <stp>FQ3 2010</stp>
        <stp>FQ3 2010</stp>
        <stp>[FA1_m42y3cpi.xlsx]Income - Adjusted!R26C11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2"/>
      </tp>
      <tp>
        <v>12189</v>
        <stp/>
        <stp>##V3_BDHV12</stp>
        <stp>XOM US Equity</stp>
        <stp>EBITDA</stp>
        <stp>FQ1 2010</stp>
        <stp>FQ1 2010</stp>
        <stp>[FA1_m42y3cpi.xlsx]Income - Adjusted!R61C9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1" s="2"/>
      </tp>
      <tp>
        <v>0.85819999999999996</v>
        <stp/>
        <stp>##V3_BDHV12</stp>
        <stp>XOM US Equity</stp>
        <stp>FREE_CASH_FLOW_PER_SH</stp>
        <stp>FQ1 2009</stp>
        <stp>FQ1 2009</stp>
        <stp>[FA1_m42y3cpi.xlsx]Per Share!R23C5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3" s="5"/>
      </tp>
      <tp>
        <v>0.69750000000000001</v>
        <stp/>
        <stp>##V3_BDHV12</stp>
        <stp>XOM US Equity</stp>
        <stp>FREE_CASH_FLOW_PER_SH</stp>
        <stp>FQ3 2009</stp>
        <stp>FQ3 2009</stp>
        <stp>[FA1_m42y3cpi.xlsx]Per Share!R23C7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3" s="5"/>
      </tp>
      <tp>
        <v>-0.69430000000000003</v>
        <stp/>
        <stp>##V3_BDHV12</stp>
        <stp>XOM US Equity</stp>
        <stp>FREE_CASH_FLOW_PER_SH</stp>
        <stp>FQ2 2009</stp>
        <stp>FQ2 2009</stp>
        <stp>[FA1_m42y3cpi.xlsx]Per Share!R23C6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3" s="5"/>
      </tp>
      <tp>
        <v>25802</v>
        <stp/>
        <stp>##V3_BDHV12</stp>
        <stp>XOM US Equity</stp>
        <stp>PENSION_LIABILITIES</stp>
        <stp>FQ4 2014</stp>
        <stp>FQ4 2014</stp>
        <stp>[FA1_m42y3cpi.xlsx]Bal Sheet - Standardized!R60C28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0" s="3"/>
      </tp>
      <tp>
        <v>21504</v>
        <stp/>
        <stp>##V3_BDHV12</stp>
        <stp>XOM US Equity</stp>
        <stp>PENSION_LIABILITIES</stp>
        <stp>FQ2 2018</stp>
        <stp>FQ2 2018</stp>
        <stp>[FA1_m42y3cpi.xlsx]Bal Sheet - Standardized!R60C42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0" s="3"/>
      </tp>
      <tp t="s">
        <v>—</v>
        <stp/>
        <stp>##V3_BDHV12</stp>
        <stp>XOM US Equity</stp>
        <stp>BS_PREPAID_PENSION_COSTS_LT</stp>
        <stp>FQ2 2015</stp>
        <stp>FQ2 2015</stp>
        <stp>[FA1_m42y3cpi.xlsx]Bal Sheet - Standardized!R35C30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3"/>
      </tp>
      <tp t="s">
        <v>—</v>
        <stp/>
        <stp>##V3_BDHV12</stp>
        <stp>XOM US Equity</stp>
        <stp>BS_PREPAID_PENSION_COSTS_LT</stp>
        <stp>FQ3 2013</stp>
        <stp>FQ3 2013</stp>
        <stp>[FA1_m42y3cpi.xlsx]Bal Sheet - Standardized!R35C23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3"/>
      </tp>
      <tp>
        <v>4566</v>
        <stp/>
        <stp>##V3_BDHV12</stp>
        <stp>XOM US Equity</stp>
        <stp>IS_OPERATING_EXPN</stp>
        <stp>FQ4 2009</stp>
        <stp>FQ4 2009</stp>
        <stp>[FA1_m42y3cpi.xlsx]Income - Adjusted!R13C8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 t="s">
        <v>—</v>
        <stp/>
        <stp>##V3_BDHV12</stp>
        <stp>XOM US Equity</stp>
        <stp>BS_PREPAID_PENSION_COSTS_LT</stp>
        <stp>FQ3 2014</stp>
        <stp>FQ3 2014</stp>
        <stp>[FA1_m42y3cpi.xlsx]Bal Sheet - Standardized!R35C27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3"/>
      </tp>
      <tp t="s">
        <v>—</v>
        <stp/>
        <stp>##V3_BDHV12</stp>
        <stp>XOM US Equity</stp>
        <stp>BS_PREPAID_PENSION_COSTS_LT</stp>
        <stp>FQ2 2016</stp>
        <stp>FQ2 2016</stp>
        <stp>[FA1_m42y3cpi.xlsx]Bal Sheet - Standardized!R35C34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3"/>
      </tp>
      <tp>
        <v>0</v>
        <stp/>
        <stp>##V3_BDHV12</stp>
        <stp>XOM US Equity</stp>
        <stp>IS_DISCONTINUED_OPERATIONS</stp>
        <stp>FQ4 2013</stp>
        <stp>FQ4 2013</stp>
        <stp>[FA1_m42y3cpi.xlsx]Income - Adjusted!R36C24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2"/>
      </tp>
      <tp t="s">
        <v>—</v>
        <stp/>
        <stp>##V3_BDHV12</stp>
        <stp>XOM US Equity</stp>
        <stp>BS_PREPAID_PENSION_COSTS_LT</stp>
        <stp>FQ2 2017</stp>
        <stp>FQ2 2017</stp>
        <stp>[FA1_m42y3cpi.xlsx]Bal Sheet - Standardized!R35C38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5" s="3"/>
      </tp>
      <tp>
        <v>0</v>
        <stp/>
        <stp>##V3_BDHV12</stp>
        <stp>XOM US Equity</stp>
        <stp>IS_DISCONTINUED_OPERATIONS</stp>
        <stp>FQ3 2015</stp>
        <stp>FQ3 2015</stp>
        <stp>[FA1_m42y3cpi.xlsx]Income - Adjusted!R36C31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2"/>
      </tp>
      <tp>
        <v>20646</v>
        <stp/>
        <stp>##V3_BDHV12</stp>
        <stp>XOM US Equity</stp>
        <stp>PENSION_LIABILITIES</stp>
        <stp>FQ4 2013</stp>
        <stp>FQ4 2013</stp>
        <stp>[FA1_m42y3cpi.xlsx]Bal Sheet - Standardized!R60C24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0" s="3"/>
      </tp>
      <tp>
        <v>0</v>
        <stp/>
        <stp>##V3_BDHV12</stp>
        <stp>XOM US Equity</stp>
        <stp>IS_DISCONTINUED_OPERATIONS</stp>
        <stp>FQ4 2010</stp>
        <stp>FQ4 2010</stp>
        <stp>[FA1_m42y3cpi.xlsx]Income - Adjusted!R36C12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2"/>
      </tp>
      <tp>
        <v>3986</v>
        <stp/>
        <stp>##V3_BDHV12</stp>
        <stp>XOM US Equity</stp>
        <stp>IS_INC_BEF_XO_ITEM</stp>
        <stp>FQ2 2018</stp>
        <stp>FQ2 2018</stp>
        <stp>[FA1_m42y3cpi.xlsx]Income - Adjusted!R34C42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4" s="2"/>
      </tp>
      <tp>
        <v>0</v>
        <stp/>
        <stp>##V3_BDHV12</stp>
        <stp>XOM US Equity</stp>
        <stp>IS_DISCONTINUED_OPERATIONS</stp>
        <stp>FQ3 2014</stp>
        <stp>FQ3 2014</stp>
        <stp>[FA1_m42y3cpi.xlsx]Income - Adjusted!R36C27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2"/>
      </tp>
      <tp>
        <v>25267</v>
        <stp/>
        <stp>##V3_BDHV12</stp>
        <stp>XOM US Equity</stp>
        <stp>PENSION_LIABILITIES</stp>
        <stp>FQ4 2012</stp>
        <stp>FQ4 2012</stp>
        <stp>[FA1_m42y3cpi.xlsx]Bal Sheet - Standardized!R60C20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0" s="3"/>
      </tp>
      <tp>
        <v>0</v>
        <stp/>
        <stp>##V3_BDHV12</stp>
        <stp>XOM US Equity</stp>
        <stp>IS_DISCONTINUED_OPERATIONS</stp>
        <stp>FQ1 2017</stp>
        <stp>FQ1 2017</stp>
        <stp>[FA1_m42y3cpi.xlsx]Income - Adjusted!R36C37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2"/>
      </tp>
      <tp>
        <v>46366</v>
        <stp/>
        <stp>##V3_BDHV12</stp>
        <stp>XOM US Equity</stp>
        <stp>IS_COGS_TO_FE_AND_PP_AND_G</stp>
        <stp>FQ1 2009</stp>
        <stp>FQ1 2009</stp>
        <stp>[FA1_m42y3cpi.xlsx]Income - Adjusted!R8C5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>
        <v>61807</v>
        <stp/>
        <stp>##V3_BDHV12</stp>
        <stp>XOM US Equity</stp>
        <stp>IS_COGS_TO_FE_AND_PP_AND_G</stp>
        <stp>FQ3 2009</stp>
        <stp>FQ3 2009</stp>
        <stp>[FA1_m42y3cpi.xlsx]Income - Adjusted!R8C7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>
        <v>56372</v>
        <stp/>
        <stp>##V3_BDHV12</stp>
        <stp>XOM US Equity</stp>
        <stp>IS_COGS_TO_FE_AND_PP_AND_G</stp>
        <stp>FQ2 2009</stp>
        <stp>FQ2 2009</stp>
        <stp>[FA1_m42y3cpi.xlsx]Income - Adjusted!R8C6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9331</v>
        <stp/>
        <stp>##V3_BDHV12</stp>
        <stp>XOM US Equity</stp>
        <stp>LONG_TERM_BORROWINGS_DETAILED</stp>
        <stp>FQ3 2011</stp>
        <stp>FQ3 2011</stp>
        <stp>[FA1_m42y3cpi.xlsx]Bal Sheet - Standardized!R57C15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7" s="3"/>
      </tp>
      <tp>
        <v>29568</v>
        <stp/>
        <stp>##V3_BDHV12</stp>
        <stp>XOM US Equity</stp>
        <stp>LONG_TERM_BORROWINGS_DETAILED</stp>
        <stp>FQ1 2016</stp>
        <stp>FQ1 2016</stp>
        <stp>[FA1_m42y3cpi.xlsx]Bal Sheet - Standardized!R57C33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7" s="3"/>
      </tp>
      <tp>
        <v>15248</v>
        <stp/>
        <stp>##V3_BDHV12</stp>
        <stp>XOM US Equity</stp>
        <stp>LONG_TERM_BORROWINGS_DETAILED</stp>
        <stp>FQ3 2010</stp>
        <stp>FQ3 2010</stp>
        <stp>[FA1_m42y3cpi.xlsx]Bal Sheet - Standardized!R57C11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7" s="3"/>
      </tp>
      <tp>
        <v>25124</v>
        <stp/>
        <stp>##V3_BDHV12</stp>
        <stp>XOM US Equity</stp>
        <stp>LONG_TERM_BORROWINGS_DETAILED</stp>
        <stp>FQ1 2017</stp>
        <stp>FQ1 2017</stp>
        <stp>[FA1_m42y3cpi.xlsx]Bal Sheet - Standardized!R57C37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7" s="3"/>
      </tp>
      <tp>
        <v>204</v>
        <stp/>
        <stp>##V3_BDHV12</stp>
        <stp>XOM US Equity</stp>
        <stp>IS_INT_EXPENSE</stp>
        <stp>FQ1 2018</stp>
        <stp>FQ1 2018</stp>
        <stp>[FA1_m42y3cpi.xlsx]Income - Adjusted!R19C41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9" s="2"/>
      </tp>
      <tp>
        <v>8928</v>
        <stp/>
        <stp>##V3_BDHV12</stp>
        <stp>XOM US Equity</stp>
        <stp>LONG_TERM_BORROWINGS_DETAILED</stp>
        <stp>FQ3 2012</stp>
        <stp>FQ3 2012</stp>
        <stp>[FA1_m42y3cpi.xlsx]Bal Sheet - Standardized!R57C19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7" s="3"/>
      </tp>
      <tp>
        <v>4237.1059999999998</v>
        <stp/>
        <stp>##V3_BDHV12</stp>
        <stp>XOM US Equity</stp>
        <stp>EQY_SH_OUT</stp>
        <stp>FQ4 2017</stp>
        <stp>FQ4 2017</stp>
        <stp>[FA1_m42y3cpi.xlsx]Stock Value!R13C40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3" s="6"/>
      </tp>
      <tp>
        <v>4559.3429999999998</v>
        <stp/>
        <stp>##V3_BDHV12</stp>
        <stp>XOM US Equity</stp>
        <stp>EQY_SH_OUT</stp>
        <stp>FQ4 2012</stp>
        <stp>FQ4 2012</stp>
        <stp>[FA1_m42y3cpi.xlsx]Stock Value!R13C20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3" s="6"/>
      </tp>
      <tp>
        <v>4294.375</v>
        <stp/>
        <stp>##V3_BDHV12</stp>
        <stp>XOM US Equity</stp>
        <stp>EQY_SH_OUT</stp>
        <stp>FQ2 2014</stp>
        <stp>FQ2 2014</stp>
        <stp>[FA1_m42y3cpi.xlsx]Stock Value!R13C26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3" s="6"/>
      </tp>
      <tp>
        <v>4264.692</v>
        <stp/>
        <stp>##V3_BDHV12</stp>
        <stp>XOM US Equity</stp>
        <stp>EQY_SH_OUT</stp>
        <stp>FQ3 2014</stp>
        <stp>FQ3 2014</stp>
        <stp>[FA1_m42y3cpi.xlsx]Stock Value!R13C27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3" s="6"/>
      </tp>
      <tp>
        <v>4321.2389999999996</v>
        <stp/>
        <stp>##V3_BDHV12</stp>
        <stp>XOM US Equity</stp>
        <stp>EQY_SH_OUT</stp>
        <stp>FQ1 2014</stp>
        <stp>FQ1 2014</stp>
        <stp>[FA1_m42y3cpi.xlsx]Stock Value!R13C25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3" s="6"/>
      </tp>
      <tp>
        <v>42290</v>
        <stp/>
        <stp>##V3_BDHV12</stp>
        <stp>XOM US Equity</stp>
        <stp>SALES_REV_TURN</stp>
        <stp>FQ1 2016</stp>
        <stp>FQ1 2016</stp>
        <stp>[FA1_m42y3cpi.xlsx]Income - Adjusted!R6C33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52973</v>
        <stp/>
        <stp>##V3_BDHV12</stp>
        <stp>XOM US Equity</stp>
        <stp>SALES_REV_TURN</stp>
        <stp>FQ4 2016</stp>
        <stp>FQ4 2016</stp>
        <stp>[FA1_m42y3cpi.xlsx]Income - Adjusted!R6C36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" s="2"/>
      </tp>
      <tp t="s">
        <v>—</v>
        <stp/>
        <stp>##V3_BDHV12</stp>
        <stp>XOM US Equity</stp>
        <stp>BS_ACCRUED_LIABILITIES</stp>
        <stp>FQ3 2012</stp>
        <stp>FQ3 2012</stp>
        <stp>[FA1_m42y3cpi.xlsx]Bal Sheet - Standardized!R59C19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9" s="3"/>
      </tp>
      <tp>
        <v>5569</v>
        <stp/>
        <stp>##V3_BDHV12</stp>
        <stp>XOM US Equity</stp>
        <stp>MINORITY_NONCONTROLLING_INTEREST</stp>
        <stp>FQ3 2010</stp>
        <stp>FQ3 2010</stp>
        <stp>[FA1_m42y3cpi.xlsx]Bal Sheet - Standardized!R73C11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3" s="3"/>
      </tp>
      <tp>
        <v>6620</v>
        <stp/>
        <stp>##V3_BDHV12</stp>
        <stp>XOM US Equity</stp>
        <stp>MINORITY_NONCONTROLLING_INTEREST</stp>
        <stp>FQ1 2017</stp>
        <stp>FQ1 2017</stp>
        <stp>[FA1_m42y3cpi.xlsx]Bal Sheet - Standardized!R73C37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3" s="3"/>
      </tp>
      <tp>
        <v>110696</v>
        <stp/>
        <stp>##V3_BDHV12</stp>
        <stp>XOM US Equity</stp>
        <stp>SALES_REV_TURN</stp>
        <stp>FQ1 2012</stp>
        <stp>FQ1 2012</stp>
        <stp>[FA1_m42y3cpi.xlsx]Income - Adjusted!R6C17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94344</v>
        <stp/>
        <stp>##V3_BDHV12</stp>
        <stp>XOM US Equity</stp>
        <stp>IS_SALES_AND_SERVICES_REVENUES</stp>
        <stp>FQ1 2014</stp>
        <stp>FQ1 2014</stp>
        <stp>[FA1_m42y3cpi.xlsx]Income - Adjusted!R7C25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7" s="2"/>
      </tp>
      <tp>
        <v>98287</v>
        <stp/>
        <stp>##V3_BDHV12</stp>
        <stp>XOM US Equity</stp>
        <stp>IS_SALES_AND_SERVICES_REVENUES</stp>
        <stp>FQ2 2014</stp>
        <stp>FQ2 2014</stp>
        <stp>[FA1_m42y3cpi.xlsx]Income - Adjusted!R7C26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7" s="2"/>
      </tp>
      <tp>
        <v>96047</v>
        <stp/>
        <stp>##V3_BDHV12</stp>
        <stp>XOM US Equity</stp>
        <stp>IS_SALES_AND_SERVICES_REVENUES</stp>
        <stp>FQ3 2014</stp>
        <stp>FQ3 2014</stp>
        <stp>[FA1_m42y3cpi.xlsx]Income - Adjusted!R7C27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7" s="2"/>
      </tp>
      <tp>
        <v>6273</v>
        <stp/>
        <stp>##V3_BDHV12</stp>
        <stp>XOM US Equity</stp>
        <stp>MINORITY_NONCONTROLLING_INTEREST</stp>
        <stp>FQ3 2011</stp>
        <stp>FQ3 2011</stp>
        <stp>[FA1_m42y3cpi.xlsx]Bal Sheet - Standardized!R73C15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3" s="3"/>
      </tp>
      <tp>
        <v>6311</v>
        <stp/>
        <stp>##V3_BDHV12</stp>
        <stp>XOM US Equity</stp>
        <stp>MINORITY_NONCONTROLLING_INTEREST</stp>
        <stp>FQ1 2016</stp>
        <stp>FQ1 2016</stp>
        <stp>[FA1_m42y3cpi.xlsx]Bal Sheet - Standardized!R73C33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3" s="3"/>
      </tp>
      <tp>
        <v>51330</v>
        <stp/>
        <stp>##V3_BDHV12</stp>
        <stp>XOM US Equity</stp>
        <stp>IS_SALES_AND_SERVICES_REVENUES</stp>
        <stp>FQ3 2016</stp>
        <stp>FQ3 2016</stp>
        <stp>[FA1_m42y3cpi.xlsx]Income - Adjusted!R7C35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7" s="2"/>
      </tp>
      <tp>
        <v>50925</v>
        <stp/>
        <stp>##V3_BDHV12</stp>
        <stp>XOM US Equity</stp>
        <stp>IS_SALES_AND_SERVICES_REVENUES</stp>
        <stp>FQ2 2016</stp>
        <stp>FQ2 2016</stp>
        <stp>[FA1_m42y3cpi.xlsx]Income - Adjusted!R7C34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7" s="2"/>
      </tp>
      <tp t="s">
        <v>—</v>
        <stp/>
        <stp>##V3_BDHV12</stp>
        <stp>XOM US Equity</stp>
        <stp>IS_MERGER_ACQUISITION_EXPENSE</stp>
        <stp>FQ1 2018</stp>
        <stp>FQ1 2018</stp>
        <stp>[FA1_m42y3cpi.xlsx]Income - Adjusted!R26C41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2"/>
      </tp>
      <tp t="s">
        <v>—</v>
        <stp/>
        <stp>##V3_BDHV12</stp>
        <stp>XOM US Equity</stp>
        <stp>BS_ACCRUED_LIABILITIES</stp>
        <stp>FQ1 2017</stp>
        <stp>FQ1 2017</stp>
        <stp>[FA1_m42y3cpi.xlsx]Bal Sheet - Standardized!R59C37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9" s="3"/>
      </tp>
      <tp t="s">
        <v>—</v>
        <stp/>
        <stp>##V3_BDHV12</stp>
        <stp>XOM US Equity</stp>
        <stp>BS_ACCRUED_LIABILITIES</stp>
        <stp>FQ3 2010</stp>
        <stp>FQ3 2010</stp>
        <stp>[FA1_m42y3cpi.xlsx]Bal Sheet - Standardized!R59C11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9" s="3"/>
      </tp>
      <tp>
        <v>5642</v>
        <stp/>
        <stp>##V3_BDHV12</stp>
        <stp>XOM US Equity</stp>
        <stp>MINORITY_NONCONTROLLING_INTEREST</stp>
        <stp>FQ3 2012</stp>
        <stp>FQ3 2012</stp>
        <stp>[FA1_m42y3cpi.xlsx]Bal Sheet - Standardized!R73C19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3" s="3"/>
      </tp>
      <tp t="s">
        <v>—</v>
        <stp/>
        <stp>##V3_BDHV12</stp>
        <stp>XOM US Equity</stp>
        <stp>BS_ACCRUED_LIABILITIES</stp>
        <stp>FQ1 2016</stp>
        <stp>FQ1 2016</stp>
        <stp>[FA1_m42y3cpi.xlsx]Bal Sheet - Standardized!R59C33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9" s="3"/>
      </tp>
      <tp t="s">
        <v>—</v>
        <stp/>
        <stp>##V3_BDHV12</stp>
        <stp>XOM US Equity</stp>
        <stp>BS_ACCRUED_LIABILITIES</stp>
        <stp>FQ3 2011</stp>
        <stp>FQ3 2011</stp>
        <stp>[FA1_m42y3cpi.xlsx]Bal Sheet - Standardized!R59C15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9" s="3"/>
      </tp>
      <tp>
        <v>10913</v>
        <stp/>
        <stp>##V3_BDHV12</stp>
        <stp>XOM US Equity</stp>
        <stp>IS_INC_BEF_XO_ITEM</stp>
        <stp>FQ1 2011</stp>
        <stp>FQ1 2011</stp>
        <stp>[FA1_m42y3cpi.xlsx]Income - Adjusted!R34C13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2"/>
      </tp>
      <tp>
        <v>2024</v>
        <stp/>
        <stp>##V3_BDHV12</stp>
        <stp>XOM US Equity</stp>
        <stp>IS_INC_BEF_XO_ITEM</stp>
        <stp>FQ4 2016</stp>
        <stp>FQ4 2016</stp>
        <stp>[FA1_m42y3cpi.xlsx]Income - Adjusted!R34C36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2"/>
      </tp>
      <tp>
        <v>17654</v>
        <stp/>
        <stp>##V3_BDHV12</stp>
        <stp>XOM US Equity</stp>
        <stp>IS_INC_BEF_XO_ITEM</stp>
        <stp>FQ2 2012</stp>
        <stp>FQ2 2012</stp>
        <stp>[FA1_m42y3cpi.xlsx]Income - Adjusted!R34C18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2"/>
      </tp>
      <tp>
        <v>59308</v>
        <stp/>
        <stp>##V3_BDHV12</stp>
        <stp>XOM US Equity</stp>
        <stp>BS_CUR_ASSET_REPORT</stp>
        <stp>FQ4 2013</stp>
        <stp>FQ4 2013</stp>
        <stp>[FA1_m42y3cpi.xlsx]Bal Sheet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3"/>
      </tp>
      <tp>
        <v>64460</v>
        <stp/>
        <stp>##V3_BDHV12</stp>
        <stp>XOM US Equity</stp>
        <stp>BS_CUR_ASSET_REPORT</stp>
        <stp>FQ4 2012</stp>
        <stp>FQ4 2012</stp>
        <stp>[FA1_m42y3cpi.xlsx]Bal Sheet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3"/>
      </tp>
      <tp t="s">
        <v>—</v>
        <stp/>
        <stp>##V3_BDHV12</stp>
        <stp>XOM US Equity</stp>
        <stp>BS_GOODWILL</stp>
        <stp>FQ1 2018</stp>
        <stp>FQ1 2018</stp>
        <stp>[FA1_m42y3cpi.xlsx]Bal Sheet - Standardized!R31C41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3"/>
      </tp>
      <tp>
        <v>52910</v>
        <stp/>
        <stp>##V3_BDHV12</stp>
        <stp>XOM US Equity</stp>
        <stp>BS_CUR_ASSET_REPORT</stp>
        <stp>FQ4 2014</stp>
        <stp>FQ4 2014</stp>
        <stp>[FA1_m42y3cpi.xlsx]Bal Sheet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3"/>
      </tp>
      <tp>
        <v>50555</v>
        <stp/>
        <stp>##V3_BDHV12</stp>
        <stp>XOM US Equity</stp>
        <stp>BS_CUR_ASSET_REPORT</stp>
        <stp>FQ2 2018</stp>
        <stp>FQ2 2018</stp>
        <stp>[FA1_m42y3cpi.xlsx]Bal Sheet - Standardized!R22C42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3"/>
      </tp>
      <tp>
        <v>0</v>
        <stp/>
        <stp>##V3_BDHV12</stp>
        <stp>XOM US Equity</stp>
        <stp>BS_GOODWILL</stp>
        <stp>FQ4 2010</stp>
        <stp>FQ4 2010</stp>
        <stp>[FA1_m42y3cpi.xlsx]Bal Sheet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3"/>
      </tp>
      <tp>
        <v>0</v>
        <stp/>
        <stp>##V3_BDHV12</stp>
        <stp>XOM US Equity</stp>
        <stp>BS_GOODWILL</stp>
        <stp>FQ4 2011</stp>
        <stp>FQ4 2011</stp>
        <stp>[FA1_m42y3cpi.xlsx]Bal Sheet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3"/>
      </tp>
      <tp>
        <v>12123</v>
        <stp/>
        <stp>##V3_BDHV12</stp>
        <stp>XOM US Equity</stp>
        <stp>LONG_TERM_BORROWINGS_DETAILED</stp>
        <stp>FQ2 2011</stp>
        <stp>FQ2 2011</stp>
        <stp>[FA1_m42y3cpi.xlsx]Bal Sheet - Standardized!R57C14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7" s="3"/>
      </tp>
      <tp>
        <v>17486</v>
        <stp/>
        <stp>##V3_BDHV12</stp>
        <stp>XOM US Equity</stp>
        <stp>LONG_TERM_BORROWINGS_DETAILED</stp>
        <stp>FQ2 2010</stp>
        <stp>FQ2 2010</stp>
        <stp>[FA1_m42y3cpi.xlsx]Bal Sheet - Standardized!R57C10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7" s="3"/>
      </tp>
      <tp>
        <v>7475</v>
        <stp/>
        <stp>##V3_BDHV12</stp>
        <stp>XOM US Equity</stp>
        <stp>LONG_TERM_BORROWINGS_DETAILED</stp>
        <stp>FQ1 2013</stp>
        <stp>FQ1 2013</stp>
        <stp>[FA1_m42y3cpi.xlsx]Bal Sheet - Standardized!R57C21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7" s="3"/>
      </tp>
      <tp>
        <v>12144</v>
        <stp/>
        <stp>##V3_BDHV12</stp>
        <stp>XOM US Equity</stp>
        <stp>LONG_TERM_BORROWINGS_DETAILED</stp>
        <stp>FQ1 2014</stp>
        <stp>FQ1 2014</stp>
        <stp>[FA1_m42y3cpi.xlsx]Bal Sheet - Standardized!R57C25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7" s="3"/>
      </tp>
      <tp>
        <v>19494</v>
        <stp/>
        <stp>##V3_BDHV12</stp>
        <stp>XOM US Equity</stp>
        <stp>LONG_TERM_BORROWINGS_DETAILED</stp>
        <stp>FQ1 2015</stp>
        <stp>FQ1 2015</stp>
        <stp>[FA1_m42y3cpi.xlsx]Bal Sheet - Standardized!R57C29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7" s="3"/>
      </tp>
      <tp t="s">
        <v>—</v>
        <stp/>
        <stp>##V3_BDHV12</stp>
        <stp>XOM US Equity</stp>
        <stp>IS_GAIN_LOSS_DISPOSAL_ASSETS</stp>
        <stp>FQ1 2018</stp>
        <stp>FQ1 2018</stp>
        <stp>[FA1_m42y3cpi.xlsx]Income - Adjusted!R27C41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2"/>
      </tp>
      <tp>
        <v>8877</v>
        <stp/>
        <stp>##V3_BDHV12</stp>
        <stp>XOM US Equity</stp>
        <stp>LONG_TERM_BORROWINGS_DETAILED</stp>
        <stp>FQ2 2012</stp>
        <stp>FQ2 2012</stp>
        <stp>[FA1_m42y3cpi.xlsx]Bal Sheet - Standardized!R57C18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7" s="3"/>
      </tp>
      <tp>
        <v>188195</v>
        <stp/>
        <stp>##V3_BDHV12</stp>
        <stp>XOM US Equity</stp>
        <stp>EQTY_BEF_MINORITY_INT_DETAILED</stp>
        <stp>FQ1 2018</stp>
        <stp>FQ1 2018</stp>
        <stp>[FA1_m42y3cpi.xlsx]Bal Sheet - Standardized!R72C41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2" s="3"/>
      </tp>
      <tp>
        <v>154396</v>
        <stp/>
        <stp>##V3_BDHV12</stp>
        <stp>XOM US Equity</stp>
        <stp>EQTY_BEF_MINORITY_INT_DETAILED</stp>
        <stp>FQ4 2011</stp>
        <stp>FQ4 2011</stp>
        <stp>[FA1_m42y3cpi.xlsx]Bal Sheet - Standardized!R72C16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2" s="3"/>
      </tp>
      <tp>
        <v>146839</v>
        <stp/>
        <stp>##V3_BDHV12</stp>
        <stp>XOM US Equity</stp>
        <stp>EQTY_BEF_MINORITY_INT_DETAILED</stp>
        <stp>FQ4 2010</stp>
        <stp>FQ4 2010</stp>
        <stp>[FA1_m42y3cpi.xlsx]Bal Sheet - Standardized!R72C12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2" s="3"/>
      </tp>
      <tp t="s">
        <v>—</v>
        <stp/>
        <stp>##V3_BDHV12</stp>
        <stp>XOM US Equity</stp>
        <stp>BS_ACCRUED_LIABILITIES</stp>
        <stp>FQ2 2012</stp>
        <stp>FQ2 2012</stp>
        <stp>[FA1_m42y3cpi.xlsx]Bal Sheet - Standardized!R59C18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9" s="3"/>
      </tp>
      <tp>
        <v>5195</v>
        <stp/>
        <stp>##V3_BDHV12</stp>
        <stp>XOM US Equity</stp>
        <stp>MINORITY_NONCONTROLLING_INTEREST</stp>
        <stp>FQ2 2010</stp>
        <stp>FQ2 2010</stp>
        <stp>[FA1_m42y3cpi.xlsx]Bal Sheet - Standardized!R73C10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3" s="3"/>
      </tp>
      <tp>
        <v>6076</v>
        <stp/>
        <stp>##V3_BDHV12</stp>
        <stp>XOM US Equity</stp>
        <stp>MINORITY_NONCONTROLLING_INTEREST</stp>
        <stp>FQ1 2013</stp>
        <stp>FQ1 2013</stp>
        <stp>[FA1_m42y3cpi.xlsx]Bal Sheet - Standardized!R73C21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3" s="3"/>
      </tp>
      <tp>
        <v>6493</v>
        <stp/>
        <stp>##V3_BDHV12</stp>
        <stp>XOM US Equity</stp>
        <stp>MINORITY_NONCONTROLLING_INTEREST</stp>
        <stp>FQ1 2014</stp>
        <stp>FQ1 2014</stp>
        <stp>[FA1_m42y3cpi.xlsx]Bal Sheet - Standardized!R73C25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3" s="3"/>
      </tp>
      <tp t="s">
        <v>—</v>
        <stp/>
        <stp>##V3_BDHV12</stp>
        <stp>XOM US Equity</stp>
        <stp>BS_ACCRUED_LIABILITIES</stp>
        <stp>FQ1 2015</stp>
        <stp>FQ1 2015</stp>
        <stp>[FA1_m42y3cpi.xlsx]Bal Sheet - Standardized!R59C29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9" s="3"/>
      </tp>
      <tp>
        <v>6284</v>
        <stp/>
        <stp>##V3_BDHV12</stp>
        <stp>XOM US Equity</stp>
        <stp>MINORITY_NONCONTROLLING_INTEREST</stp>
        <stp>FQ2 2011</stp>
        <stp>FQ2 2011</stp>
        <stp>[FA1_m42y3cpi.xlsx]Bal Sheet - Standardized!R73C14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3" s="3"/>
      </tp>
      <tp>
        <v>55748</v>
        <stp/>
        <stp>##V3_BDHV12</stp>
        <stp>XOM US Equity</stp>
        <stp>IS_SALES_AND_SERVICES_REVENUES</stp>
        <stp>FQ1 2017</stp>
        <stp>FQ1 2017</stp>
        <stp>[FA1_m42y3cpi.xlsx]Income - Adjusted!R7C37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7" s="2"/>
      </tp>
      <tp t="s">
        <v>—</v>
        <stp/>
        <stp>##V3_BDHV12</stp>
        <stp>XOM US Equity</stp>
        <stp>BS_ACCRUED_LIABILITIES</stp>
        <stp>FQ1 2014</stp>
        <stp>FQ1 2014</stp>
        <stp>[FA1_m42y3cpi.xlsx]Bal Sheet - Standardized!R59C25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9" s="3"/>
      </tp>
      <tp t="s">
        <v>—</v>
        <stp/>
        <stp>##V3_BDHV12</stp>
        <stp>XOM US Equity</stp>
        <stp>BS_ACCRUED_LIABILITIES</stp>
        <stp>FQ2 2010</stp>
        <stp>FQ2 2010</stp>
        <stp>[FA1_m42y3cpi.xlsx]Bal Sheet - Standardized!R59C10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9" s="3"/>
      </tp>
      <tp>
        <v>5174</v>
        <stp/>
        <stp>##V3_BDHV12</stp>
        <stp>XOM US Equity</stp>
        <stp>MINORITY_NONCONTROLLING_INTEREST</stp>
        <stp>FQ2 2012</stp>
        <stp>FQ2 2012</stp>
        <stp>[FA1_m42y3cpi.xlsx]Bal Sheet - Standardized!R73C18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3" s="3"/>
      </tp>
      <tp t="s">
        <v>—</v>
        <stp/>
        <stp>##V3_BDHV12</stp>
        <stp>XOM US Equity</stp>
        <stp>BS_ACCRUED_LIABILITIES</stp>
        <stp>FQ1 2013</stp>
        <stp>FQ1 2013</stp>
        <stp>[FA1_m42y3cpi.xlsx]Bal Sheet - Standardized!R59C21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9" s="3"/>
      </tp>
      <tp t="s">
        <v>—</v>
        <stp/>
        <stp>##V3_BDHV12</stp>
        <stp>XOM US Equity</stp>
        <stp>BS_ACCRUED_LIABILITIES</stp>
        <stp>FQ2 2011</stp>
        <stp>FQ2 2011</stp>
        <stp>[FA1_m42y3cpi.xlsx]Bal Sheet - Standardized!R59C14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9" s="3"/>
      </tp>
      <tp>
        <v>6219</v>
        <stp/>
        <stp>##V3_BDHV12</stp>
        <stp>XOM US Equity</stp>
        <stp>MINORITY_NONCONTROLLING_INTEREST</stp>
        <stp>FQ1 2015</stp>
        <stp>FQ1 2015</stp>
        <stp>[FA1_m42y3cpi.xlsx]Bal Sheet - Standardized!R73C29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3" s="3"/>
      </tp>
      <tp t="s">
        <v>—</v>
        <stp/>
        <stp>##V3_BDHV12</stp>
        <stp>XOM US Equity</stp>
        <stp>OTHER_INTANGIBLE_ASSETS_DETAILED</stp>
        <stp>FQ3 2008</stp>
        <stp>FQ3 2008</stp>
        <stp>[FA1_m42y3cpi.xlsx]Bal Sheet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3"/>
      </tp>
      <tp t="s">
        <v>—</v>
        <stp/>
        <stp>##V3_BDHV12</stp>
        <stp>XOM US Equity</stp>
        <stp>OTHER_INTANGIBLE_ASSETS_DETAILED</stp>
        <stp>FQ4 2008</stp>
        <stp>FQ4 2008</stp>
        <stp>[FA1_m42y3cpi.xlsx]Bal Sheet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3"/>
      </tp>
      <tp t="s">
        <v>—</v>
        <stp/>
        <stp>##V3_BDHV12</stp>
        <stp>XOM US Equity</stp>
        <stp>BS_PREPAID_PENSION_COSTS_LT</stp>
        <stp>FQ4 2008</stp>
        <stp>FQ4 2008</stp>
        <stp>[FA1_m42y3cpi.xlsx]Bal Sheet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3"/>
      </tp>
      <tp t="s">
        <v>—</v>
        <stp/>
        <stp>##V3_BDHV12</stp>
        <stp>XOM US Equity</stp>
        <stp>BS_PREPAID_PENSION_COSTS_LT</stp>
        <stp>FQ3 2008</stp>
        <stp>FQ3 2008</stp>
        <stp>[FA1_m42y3cpi.xlsx]Bal Sheet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3"/>
      </tp>
      <tp t="s">
        <v>—</v>
        <stp/>
        <stp>##V3_BDHV12</stp>
        <stp>XOM US Equity</stp>
        <stp>OTHER_INTANGIBLE_ASSETS_DETAILED</stp>
        <stp>FQ3 2009</stp>
        <stp>FQ3 2009</stp>
        <stp>[FA1_m42y3cpi.xlsx]Bal Sheet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3"/>
      </tp>
      <tp t="s">
        <v>—</v>
        <stp/>
        <stp>##V3_BDHV12</stp>
        <stp>XOM US Equity</stp>
        <stp>OTHER_INTANGIBLE_ASSETS_DETAILED</stp>
        <stp>FQ2 2009</stp>
        <stp>FQ2 2009</stp>
        <stp>[FA1_m42y3cpi.xlsx]Bal Sheet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3"/>
      </tp>
      <tp t="s">
        <v>—</v>
        <stp/>
        <stp>##V3_BDHV12</stp>
        <stp>XOM US Equity</stp>
        <stp>OTHER_INTANGIBLE_ASSETS_DETAILED</stp>
        <stp>FQ1 2009</stp>
        <stp>FQ1 2009</stp>
        <stp>[FA1_m42y3cpi.xlsx]Bal Sheet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3"/>
      </tp>
      <tp>
        <v>9761</v>
        <stp/>
        <stp>##V3_BDHV12</stp>
        <stp>XOM US Equity</stp>
        <stp>IS_INC_BEF_XO_ITEM</stp>
        <stp>FQ1 2013</stp>
        <stp>FQ1 2013</stp>
        <stp>[FA1_m42y3cpi.xlsx]Income - Adjusted!R34C21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2"/>
      </tp>
      <tp t="s">
        <v>—</v>
        <stp/>
        <stp>##V3_BDHV12</stp>
        <stp>XOM US Equity</stp>
        <stp>BS_PREPAID_PENSION_COSTS_LT</stp>
        <stp>FQ2 2009</stp>
        <stp>FQ2 2009</stp>
        <stp>[FA1_m42y3cpi.xlsx]Bal Sheet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3"/>
      </tp>
      <tp t="s">
        <v>—</v>
        <stp/>
        <stp>##V3_BDHV12</stp>
        <stp>XOM US Equity</stp>
        <stp>BS_PREPAID_PENSION_COSTS_LT</stp>
        <stp>FQ3 2009</stp>
        <stp>FQ3 2009</stp>
        <stp>[FA1_m42y3cpi.xlsx]Bal Sheet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3"/>
      </tp>
      <tp t="s">
        <v>—</v>
        <stp/>
        <stp>##V3_BDHV12</stp>
        <stp>XOM US Equity</stp>
        <stp>BS_PREPAID_PENSION_COSTS_LT</stp>
        <stp>FQ1 2009</stp>
        <stp>FQ1 2009</stp>
        <stp>[FA1_m42y3cpi.xlsx]Bal Sheet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3"/>
      </tp>
      <tp t="s">
        <v>—</v>
        <stp/>
        <stp>##V3_BDHV12</stp>
        <stp>XOM US Equity</stp>
        <stp>OTHER_INTANGIBLE_ASSETS_DETAILED</stp>
        <stp>FQ1 2010</stp>
        <stp>FQ1 2010</stp>
        <stp>[FA1_m42y3cpi.xlsx]Bal Sheet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3"/>
      </tp>
      <tp t="s">
        <v>—</v>
        <stp/>
        <stp>##V3_BDHV12</stp>
        <stp>XOM US Equity</stp>
        <stp>BS_PREPAID_PENSION_COSTS_LT</stp>
        <stp>FQ1 2010</stp>
        <stp>FQ1 2010</stp>
        <stp>[FA1_m42y3cpi.xlsx]Bal Sheet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3"/>
      </tp>
      <tp>
        <v>0</v>
        <stp/>
        <stp>##V3_BDHV12</stp>
        <stp>XOM US Equity</stp>
        <stp>OTHER_INTANGIBLE_ASSETS_DETAILED</stp>
        <stp>FQ4 2009</stp>
        <stp>FQ4 2009</stp>
        <stp>[FA1_m42y3cpi.xlsx]Bal Sheet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3"/>
      </tp>
      <tp>
        <v>9926</v>
        <stp/>
        <stp>##V3_BDHV12</stp>
        <stp>XOM US Equity</stp>
        <stp>IS_INC_BEF_XO_ITEM</stp>
        <stp>FQ3 2012</stp>
        <stp>FQ3 2012</stp>
        <stp>[FA1_m42y3cpi.xlsx]Income - Adjusted!R34C19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2"/>
      </tp>
      <tp t="s">
        <v>—</v>
        <stp/>
        <stp>##V3_BDHV12</stp>
        <stp>XOM US Equity</stp>
        <stp>BS_PREPAID_PENSION_COSTS_LT</stp>
        <stp>FQ4 2009</stp>
        <stp>FQ4 2009</stp>
        <stp>[FA1_m42y3cpi.xlsx]Bal Sheet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3"/>
      </tp>
      <tp>
        <v>42623</v>
        <stp/>
        <stp>##V3_BDHV12</stp>
        <stp>XOM US Equity</stp>
        <stp>BS_CUR_ASSET_REPORT</stp>
        <stp>FQ4 2015</stp>
        <stp>FQ4 2015</stp>
        <stp>[FA1_m42y3cpi.xlsx]Bal Sheet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3"/>
      </tp>
      <tp>
        <v>41416</v>
        <stp/>
        <stp>##V3_BDHV12</stp>
        <stp>XOM US Equity</stp>
        <stp>BS_CUR_ASSET_REPORT</stp>
        <stp>FQ4 2016</stp>
        <stp>FQ4 2016</stp>
        <stp>[FA1_m42y3cpi.xlsx]Bal Sheet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3"/>
      </tp>
      <tp>
        <v>19839</v>
        <stp/>
        <stp>##V3_BDHV12</stp>
        <stp>XOM US Equity</stp>
        <stp>LONG_TERM_BORROWINGS_DETAILED</stp>
        <stp>FQ3 2015</stp>
        <stp>FQ3 2015</stp>
        <stp>[FA1_m42y3cpi.xlsx]Bal Sheet - Standardized!R57C31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7" s="3"/>
      </tp>
      <tp>
        <v>9231</v>
        <stp/>
        <stp>##V3_BDHV12</stp>
        <stp>XOM US Equity</stp>
        <stp>LONG_TERM_BORROWINGS_DETAILED</stp>
        <stp>FQ1 2012</stp>
        <stp>FQ1 2012</stp>
        <stp>[FA1_m42y3cpi.xlsx]Bal Sheet - Standardized!R57C17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7" s="3"/>
      </tp>
      <tp>
        <v>24406</v>
        <stp/>
        <stp>##V3_BDHV12</stp>
        <stp>XOM US Equity</stp>
        <stp>LONG_TERM_BORROWINGS_DETAILED</stp>
        <stp>FQ4 2017</stp>
        <stp>FQ4 2017</stp>
        <stp>[FA1_m42y3cpi.xlsx]Bal Sheet - Standardized!R57C40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7" s="3"/>
      </tp>
      <tp>
        <v>7496</v>
        <stp/>
        <stp>##V3_BDHV12</stp>
        <stp>XOM US Equity</stp>
        <stp>LONG_TERM_BORROWINGS_DETAILED</stp>
        <stp>FQ2 2013</stp>
        <stp>FQ2 2013</stp>
        <stp>[FA1_m42y3cpi.xlsx]Bal Sheet - Standardized!R57C22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7" s="3"/>
      </tp>
      <tp>
        <v>12316</v>
        <stp/>
        <stp>##V3_BDHV12</stp>
        <stp>XOM US Equity</stp>
        <stp>LONG_TERM_BORROWINGS_DETAILED</stp>
        <stp>FQ1 2011</stp>
        <stp>FQ1 2011</stp>
        <stp>[FA1_m42y3cpi.xlsx]Bal Sheet - Standardized!R57C13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7" s="3"/>
      </tp>
      <tp>
        <v>28916</v>
        <stp/>
        <stp>##V3_BDHV12</stp>
        <stp>XOM US Equity</stp>
        <stp>LONG_TERM_BORROWINGS_DETAILED</stp>
        <stp>FQ3 2016</stp>
        <stp>FQ3 2016</stp>
        <stp>[FA1_m42y3cpi.xlsx]Bal Sheet - Standardized!R57C35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7" s="3"/>
      </tp>
      <tp>
        <v>11817</v>
        <stp/>
        <stp>##V3_BDHV12</stp>
        <stp>XOM US Equity</stp>
        <stp>LONG_TERM_BORROWINGS_DETAILED</stp>
        <stp>FQ2 2014</stp>
        <stp>FQ2 2014</stp>
        <stp>[FA1_m42y3cpi.xlsx]Bal Sheet - Standardized!R57C26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7" s="3"/>
      </tp>
      <tp>
        <v>59</v>
        <stp/>
        <stp>##V3_BDHV12</stp>
        <stp>XOM US Equity</stp>
        <stp>IS_INT_EXPENSE</stp>
        <stp>FQ3 2012</stp>
        <stp>FQ3 2012</stp>
        <stp>[FA1_m42y3cpi.xlsx]Income - Adjusted!R19C19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9" s="2"/>
      </tp>
      <tp>
        <v>24869</v>
        <stp/>
        <stp>##V3_BDHV12</stp>
        <stp>XOM US Equity</stp>
        <stp>LONG_TERM_BORROWINGS_DETAILED</stp>
        <stp>FQ3 2017</stp>
        <stp>FQ3 2017</stp>
        <stp>[FA1_m42y3cpi.xlsx]Bal Sheet - Standardized!R57C39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7" s="3"/>
      </tp>
      <tp t="s">
        <v>—</v>
        <stp/>
        <stp>##V3_BDHV12</stp>
        <stp>XOM US Equity</stp>
        <stp>IS_GAIN_LOSS_DISPOSAL_ASSETS</stp>
        <stp>FQ2 2018</stp>
        <stp>FQ2 2018</stp>
        <stp>[FA1_m42y3cpi.xlsx]Income - Adjusted!R27C42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2"/>
      </tp>
      <tp>
        <v>23.390899999999998</v>
        <stp/>
        <stp>##V3_BDHV12</stp>
        <stp>XOM US Equity</stp>
        <stp>TANG_BOOK_VAL_PER_SH</stp>
        <stp>FQ4 2009</stp>
        <stp>FQ4 2009</stp>
        <stp>[FA1_m42y3cpi.xlsx]Per Share!R27C8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7" s="5"/>
      </tp>
      <tp>
        <v>4862.1149999999998</v>
        <stp/>
        <stp>##V3_BDHV12</stp>
        <stp>XOM US Equity</stp>
        <stp>EQY_SH_OUT</stp>
        <stp>FQ3 2011</stp>
        <stp>FQ3 2011</stp>
        <stp>[FA1_m42y3cpi.xlsx]Stock Value!R13C15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3" s="6"/>
      </tp>
      <tp>
        <v>4926.0860000000002</v>
        <stp/>
        <stp>##V3_BDHV12</stp>
        <stp>XOM US Equity</stp>
        <stp>EQY_SH_OUT</stp>
        <stp>FQ2 2011</stp>
        <stp>FQ2 2011</stp>
        <stp>[FA1_m42y3cpi.xlsx]Stock Value!R13C14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3" s="6"/>
      </tp>
      <tp>
        <v>4713.2209999999995</v>
        <stp/>
        <stp>##V3_BDHV12</stp>
        <stp>XOM US Equity</stp>
        <stp>EQY_SH_OUT</stp>
        <stp>FQ1 2012</stp>
        <stp>FQ1 2012</stp>
        <stp>[FA1_m42y3cpi.xlsx]Stock Value!R13C17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3" s="6"/>
      </tp>
      <tp>
        <v>4162.9380000000001</v>
        <stp/>
        <stp>##V3_BDHV12</stp>
        <stp>XOM US Equity</stp>
        <stp>EQY_SH_OUT</stp>
        <stp>FQ4 2015</stp>
        <stp>FQ4 2015</stp>
        <stp>[FA1_m42y3cpi.xlsx]Stock Value!R13C32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3" s="6"/>
      </tp>
      <tp>
        <v>4146.5140000000001</v>
        <stp/>
        <stp>##V3_BDHV12</stp>
        <stp>XOM US Equity</stp>
        <stp>EQY_SH_OUT</stp>
        <stp>FQ1 2017</stp>
        <stp>FQ1 2017</stp>
        <stp>[FA1_m42y3cpi.xlsx]Stock Value!R13C37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3" s="6"/>
      </tp>
      <tp>
        <v>5042.5569999999998</v>
        <stp/>
        <stp>##V3_BDHV12</stp>
        <stp>XOM US Equity</stp>
        <stp>EQY_SH_OUT</stp>
        <stp>FQ4 2010</stp>
        <stp>FQ4 2010</stp>
        <stp>[FA1_m42y3cpi.xlsx]Stock Value!R13C12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3" s="6"/>
      </tp>
      <tp>
        <v>4146.6109999999999</v>
        <stp/>
        <stp>##V3_BDHV12</stp>
        <stp>XOM US Equity</stp>
        <stp>EQY_SH_OUT</stp>
        <stp>FQ2 2016</stp>
        <stp>FQ2 2016</stp>
        <stp>[FA1_m42y3cpi.xlsx]Stock Value!R13C34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3" s="6"/>
      </tp>
      <tp>
        <v>4146.6499999999996</v>
        <stp/>
        <stp>##V3_BDHV12</stp>
        <stp>XOM US Equity</stp>
        <stp>EQY_SH_OUT</stp>
        <stp>FQ3 2016</stp>
        <stp>FQ3 2016</stp>
        <stp>[FA1_m42y3cpi.xlsx]Stock Value!R13C35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3" s="6"/>
      </tp>
      <tp>
        <v>187222</v>
        <stp/>
        <stp>##V3_BDHV12</stp>
        <stp>XOM US Equity</stp>
        <stp>EQTY_BEF_MINORITY_INT_DETAILED</stp>
        <stp>FQ2 2018</stp>
        <stp>FQ2 2018</stp>
        <stp>[FA1_m42y3cpi.xlsx]Bal Sheet - Standardized!R72C42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2" s="3"/>
      </tp>
      <tp>
        <v>174399</v>
        <stp/>
        <stp>##V3_BDHV12</stp>
        <stp>XOM US Equity</stp>
        <stp>EQTY_BEF_MINORITY_INT_DETAILED</stp>
        <stp>FQ4 2014</stp>
        <stp>FQ4 2014</stp>
        <stp>[FA1_m42y3cpi.xlsx]Bal Sheet - Standardized!R72C28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2" s="3"/>
      </tp>
      <tp>
        <v>174003</v>
        <stp/>
        <stp>##V3_BDHV12</stp>
        <stp>XOM US Equity</stp>
        <stp>EQTY_BEF_MINORITY_INT_DETAILED</stp>
        <stp>FQ4 2013</stp>
        <stp>FQ4 2013</stp>
        <stp>[FA1_m42y3cpi.xlsx]Bal Sheet - Standardized!R72C24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2" s="3"/>
      </tp>
      <tp>
        <v>165863</v>
        <stp/>
        <stp>##V3_BDHV12</stp>
        <stp>XOM US Equity</stp>
        <stp>EQTY_BEF_MINORITY_INT_DETAILED</stp>
        <stp>FQ4 2012</stp>
        <stp>FQ4 2012</stp>
        <stp>[FA1_m42y3cpi.xlsx]Bal Sheet - Standardized!R72C20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2" s="3"/>
      </tp>
      <tp>
        <v>118</v>
        <stp/>
        <stp>##V3_BDHV12</stp>
        <stp>XOM US Equity</stp>
        <stp>IS_INT_EXPENSE</stp>
        <stp>FQ4 2008</stp>
        <stp>FQ4 2008</stp>
        <stp>[FA1_m42y3cpi.xlsx]Income - Adjusted!R19C4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9" s="2"/>
      </tp>
      <tp>
        <v>318</v>
        <stp/>
        <stp>##V3_BDHV12</stp>
        <stp>XOM US Equity</stp>
        <stp>IS_INT_EXPENSE</stp>
        <stp>FQ3 2008</stp>
        <stp>FQ3 2008</stp>
        <stp>[FA1_m42y3cpi.xlsx]Income - Adjusted!R19C3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9" s="2"/>
      </tp>
      <tp>
        <v>85181</v>
        <stp/>
        <stp>##V3_BDHV12</stp>
        <stp>XOM US Equity</stp>
        <stp>IS_SALES_AND_SERVICES_REVENUES</stp>
        <stp>FQ3 2010</stp>
        <stp>FQ3 2010</stp>
        <stp>[FA1_m42y3cpi.xlsx]Income - Adjusted!R7C11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7" s="2"/>
      </tp>
      <tp>
        <v>82747</v>
        <stp/>
        <stp>##V3_BDHV12</stp>
        <stp>XOM US Equity</stp>
        <stp>IS_SALES_AND_SERVICES_REVENUES</stp>
        <stp>FQ2 2010</stp>
        <stp>FQ2 2010</stp>
        <stp>[FA1_m42y3cpi.xlsx]Income - Adjusted!R7C10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7" s="2"/>
      </tp>
      <tp>
        <v>6812</v>
        <stp/>
        <stp>##V3_BDHV12</stp>
        <stp>XOM US Equity</stp>
        <stp>MINORITY_NONCONTROLLING_INTEREST</stp>
        <stp>FQ4 2017</stp>
        <stp>FQ4 2017</stp>
        <stp>[FA1_m42y3cpi.xlsx]Bal Sheet - Standardized!R73C40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3" s="3"/>
      </tp>
      <tp>
        <v>5941</v>
        <stp/>
        <stp>##V3_BDHV12</stp>
        <stp>XOM US Equity</stp>
        <stp>MINORITY_NONCONTROLLING_INTEREST</stp>
        <stp>FQ2 2013</stp>
        <stp>FQ2 2013</stp>
        <stp>[FA1_m42y3cpi.xlsx]Bal Sheet - Standardized!R73C22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3" s="3"/>
      </tp>
      <tp>
        <v>6051</v>
        <stp/>
        <stp>##V3_BDHV12</stp>
        <stp>XOM US Equity</stp>
        <stp>MINORITY_NONCONTROLLING_INTEREST</stp>
        <stp>FQ1 2011</stp>
        <stp>FQ1 2011</stp>
        <stp>[FA1_m42y3cpi.xlsx]Bal Sheet - Standardized!R73C13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3" s="3"/>
      </tp>
      <tp>
        <v>6413</v>
        <stp/>
        <stp>##V3_BDHV12</stp>
        <stp>XOM US Equity</stp>
        <stp>MINORITY_NONCONTROLLING_INTEREST</stp>
        <stp>FQ3 2016</stp>
        <stp>FQ3 2016</stp>
        <stp>[FA1_m42y3cpi.xlsx]Bal Sheet - Standardized!R73C35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3" s="3"/>
      </tp>
      <tp>
        <v>6976</v>
        <stp/>
        <stp>##V3_BDHV12</stp>
        <stp>XOM US Equity</stp>
        <stp>MINORITY_NONCONTROLLING_INTEREST</stp>
        <stp>FQ2 2014</stp>
        <stp>FQ2 2014</stp>
        <stp>[FA1_m42y3cpi.xlsx]Bal Sheet - Standardized!R73C26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3" s="3"/>
      </tp>
      <tp>
        <v>101409</v>
        <stp/>
        <stp>##V3_BDHV12</stp>
        <stp>XOM US Equity</stp>
        <stp>SALES_REV_TURN</stp>
        <stp>FQ4 2012</stp>
        <stp>FQ4 2012</stp>
        <stp>[FA1_m42y3cpi.xlsx]Income - Adjusted!R6C20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 t="s">
        <v>—</v>
        <stp/>
        <stp>##V3_BDHV12</stp>
        <stp>XOM US Equity</stp>
        <stp>BS_ACCRUED_LIABILITIES</stp>
        <stp>FQ3 2017</stp>
        <stp>FQ3 2017</stp>
        <stp>[FA1_m42y3cpi.xlsx]Bal Sheet - Standardized!R59C39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9" s="3"/>
      </tp>
      <tp>
        <v>6116</v>
        <stp/>
        <stp>##V3_BDHV12</stp>
        <stp>XOM US Equity</stp>
        <stp>MINORITY_NONCONTROLLING_INTEREST</stp>
        <stp>FQ3 2015</stp>
        <stp>FQ3 2015</stp>
        <stp>[FA1_m42y3cpi.xlsx]Bal Sheet - Standardized!R73C31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3" s="3"/>
      </tp>
      <tp>
        <v>93428</v>
        <stp/>
        <stp>##V3_BDHV12</stp>
        <stp>XOM US Equity</stp>
        <stp>SALES_REV_TURN</stp>
        <stp>FQ4 2010</stp>
        <stp>FQ4 2010</stp>
        <stp>[FA1_m42y3cpi.xlsx]Income - Adjusted!R6C12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7105</v>
        <stp/>
        <stp>##V3_BDHV12</stp>
        <stp>XOM US Equity</stp>
        <stp>MINORITY_NONCONTROLLING_INTEREST</stp>
        <stp>FQ1 2012</stp>
        <stp>FQ1 2012</stp>
        <stp>[FA1_m42y3cpi.xlsx]Bal Sheet - Standardized!R73C17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3" s="3"/>
      </tp>
      <tp t="s">
        <v>—</v>
        <stp/>
        <stp>##V3_BDHV12</stp>
        <stp>XOM US Equity</stp>
        <stp>BS_ACCRUED_LIABILITIES</stp>
        <stp>FQ2 2014</stp>
        <stp>FQ2 2014</stp>
        <stp>[FA1_m42y3cpi.xlsx]Bal Sheet - Standardized!R59C26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9" s="3"/>
      </tp>
      <tp t="s">
        <v>—</v>
        <stp/>
        <stp>##V3_BDHV12</stp>
        <stp>XOM US Equity</stp>
        <stp>BS_ACCRUED_LIABILITIES</stp>
        <stp>FQ3 2016</stp>
        <stp>FQ3 2016</stp>
        <stp>[FA1_m42y3cpi.xlsx]Bal Sheet - Standardized!R59C35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9" s="3"/>
      </tp>
      <tp>
        <v>2.9432</v>
        <stp/>
        <stp>##V3_BDHV12</stp>
        <stp>XOM US Equity</stp>
        <stp>CASH_ST_INVESTMENTS_PER_SH</stp>
        <stp>FQ1 2010</stp>
        <stp>FQ1 2010</stp>
        <stp>[FA1_m42y3cpi.xlsx]Per Share!R25C9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5" s="5"/>
      </tp>
      <tp t="s">
        <v>—</v>
        <stp/>
        <stp>##V3_BDHV12</stp>
        <stp>XOM US Equity</stp>
        <stp>BS_ACCRUED_LIABILITIES</stp>
        <stp>FQ1 2011</stp>
        <stp>FQ1 2011</stp>
        <stp>[FA1_m42y3cpi.xlsx]Bal Sheet - Standardized!R59C13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9" s="3"/>
      </tp>
      <tp t="s">
        <v>—</v>
        <stp/>
        <stp>##V3_BDHV12</stp>
        <stp>XOM US Equity</stp>
        <stp>BS_ACCRUED_LIABILITIES</stp>
        <stp>FQ2 2013</stp>
        <stp>FQ2 2013</stp>
        <stp>[FA1_m42y3cpi.xlsx]Bal Sheet - Standardized!R59C22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9" s="3"/>
      </tp>
      <tp>
        <v>0</v>
        <stp/>
        <stp>##V3_BDHV12</stp>
        <stp>XOM US Equity</stp>
        <stp>BS_ACCRUED_LIABILITIES</stp>
        <stp>FQ4 2017</stp>
        <stp>FQ4 2017</stp>
        <stp>[FA1_m42y3cpi.xlsx]Bal Sheet - Standardized!R59C40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9" s="3"/>
      </tp>
      <tp t="s">
        <v>—</v>
        <stp/>
        <stp>##V3_BDHV12</stp>
        <stp>XOM US Equity</stp>
        <stp>BS_ACCRUED_LIABILITIES</stp>
        <stp>FQ1 2012</stp>
        <stp>FQ1 2012</stp>
        <stp>[FA1_m42y3cpi.xlsx]Bal Sheet - Standardized!R59C17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9" s="3"/>
      </tp>
      <tp t="s">
        <v>—</v>
        <stp/>
        <stp>##V3_BDHV12</stp>
        <stp>XOM US Equity</stp>
        <stp>BS_ACCRUED_LIABILITIES</stp>
        <stp>FQ3 2015</stp>
        <stp>FQ3 2015</stp>
        <stp>[FA1_m42y3cpi.xlsx]Bal Sheet - Standardized!R59C31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9" s="3"/>
      </tp>
      <tp>
        <v>6922</v>
        <stp/>
        <stp>##V3_BDHV12</stp>
        <stp>XOM US Equity</stp>
        <stp>MINORITY_NONCONTROLLING_INTEREST</stp>
        <stp>FQ3 2017</stp>
        <stp>FQ3 2017</stp>
        <stp>[FA1_m42y3cpi.xlsx]Bal Sheet - Standardized!R73C39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3" s="3"/>
      </tp>
      <tp>
        <v>10671</v>
        <stp/>
        <stp>##V3_BDHV12</stp>
        <stp>XOM US Equity</stp>
        <stp>IS_INC_BEF_XO_ITEM</stp>
        <stp>FQ3 2011</stp>
        <stp>FQ3 2011</stp>
        <stp>[FA1_m42y3cpi.xlsx]Income - Adjusted!R34C15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2"/>
      </tp>
      <tp>
        <v>7746</v>
        <stp/>
        <stp>##V3_BDHV12</stp>
        <stp>XOM US Equity</stp>
        <stp>IS_INC_BEF_XO_ITEM</stp>
        <stp>FQ2 2010</stp>
        <stp>FQ2 2010</stp>
        <stp>[FA1_m42y3cpi.xlsx]Income - Adjusted!R34C10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2"/>
      </tp>
      <tp>
        <v>4226</v>
        <stp/>
        <stp>##V3_BDHV12</stp>
        <stp>XOM US Equity</stp>
        <stp>IS_OPERATING_EXPN</stp>
        <stp>FQ3 2008</stp>
        <stp>FQ3 2008</stp>
        <stp>[FA1_m42y3cpi.xlsx]Income - Adjusted!R13C3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>
        <v>5049</v>
        <stp/>
        <stp>##V3_BDHV12</stp>
        <stp>XOM US Equity</stp>
        <stp>IS_OPERATING_EXPN</stp>
        <stp>FQ4 2008</stp>
        <stp>FQ4 2008</stp>
        <stp>[FA1_m42y3cpi.xlsx]Income - Adjusted!R13C4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6975</v>
        <stp/>
        <stp>##V3_BDHV12</stp>
        <stp>XOM US Equity</stp>
        <stp>IS_INC_BEF_XO_ITEM</stp>
        <stp>FQ2 2013</stp>
        <stp>FQ2 2013</stp>
        <stp>[FA1_m42y3cpi.xlsx]Income - Adjusted!R34C22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2"/>
      </tp>
      <tp>
        <v>1.4198</v>
        <stp/>
        <stp>##V3_BDHV12</stp>
        <stp>XOM US Equity</stp>
        <stp>CUR_RATIO</stp>
        <stp>FQ3 2008</stp>
        <stp>FQ3 2008</stp>
        <stp>[FA1_m42y3cpi.xlsx]Bal Sheet - Standardized!R89C3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9" s="3"/>
      </tp>
      <tp>
        <v>4224.7439999999997</v>
        <stp/>
        <stp>##V3_BDHV12</stp>
        <stp>XOM US Equity</stp>
        <stp>EQY_FLOAT</stp>
        <stp>FQ4 2014</stp>
        <stp>FQ4 2014</stp>
        <stp>[FA1_m42y3cpi.xlsx]Stock Value!R14C28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4" s="6"/>
      </tp>
      <tp>
        <v>1.4718</v>
        <stp/>
        <stp>##V3_BDHV12</stp>
        <stp>XOM US Equity</stp>
        <stp>CUR_RATIO</stp>
        <stp>FQ4 2008</stp>
        <stp>FQ4 2008</stp>
        <stp>[FA1_m42y3cpi.xlsx]Bal Sheet - Standardized!R89C4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9" s="3"/>
      </tp>
      <tp>
        <v>4976</v>
        <stp/>
        <stp>##V3_BDHV12</stp>
        <stp>XOM US Equity</stp>
        <stp>BS_SH_OUT</stp>
        <stp>FQ4 2008</stp>
        <stp>FQ4 2008</stp>
        <stp>[FA1_m42y3cpi.xlsx]Bal Sheet - Standardized!R79C4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9" s="3"/>
      </tp>
      <tp>
        <v>0</v>
        <stp/>
        <stp>##V3_BDHV12</stp>
        <stp>XOM US Equity</stp>
        <stp>BS_GOODWILL</stp>
        <stp>FQ4 2016</stp>
        <stp>FQ4 2016</stp>
        <stp>[FA1_m42y3cpi.xlsx]Bal Sheet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3"/>
      </tp>
      <tp>
        <v>0</v>
        <stp/>
        <stp>##V3_BDHV12</stp>
        <stp>XOM US Equity</stp>
        <stp>BS_GOODWILL</stp>
        <stp>FQ4 2015</stp>
        <stp>FQ4 2015</stp>
        <stp>[FA1_m42y3cpi.xlsx]Bal Sheet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3"/>
      </tp>
      <tp>
        <v>5087</v>
        <stp/>
        <stp>##V3_BDHV12</stp>
        <stp>XOM US Equity</stp>
        <stp>BS_SH_OUT</stp>
        <stp>FQ3 2008</stp>
        <stp>FQ3 2008</stp>
        <stp>[FA1_m42y3cpi.xlsx]Bal Sheet - Standardized!R79C3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9" s="3"/>
      </tp>
      <tp>
        <v>19431</v>
        <stp/>
        <stp>##V3_BDHV12</stp>
        <stp>XOM US Equity</stp>
        <stp>LONG_TERM_BORROWINGS_DETAILED</stp>
        <stp>FQ2 2015</stp>
        <stp>FQ2 2015</stp>
        <stp>[FA1_m42y3cpi.xlsx]Bal Sheet - Standardized!R57C30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7" s="3"/>
      </tp>
      <tp>
        <v>7404</v>
        <stp/>
        <stp>##V3_BDHV12</stp>
        <stp>XOM US Equity</stp>
        <stp>LONG_TERM_BORROWINGS_DETAILED</stp>
        <stp>FQ3 2013</stp>
        <stp>FQ3 2013</stp>
        <stp>[FA1_m42y3cpi.xlsx]Bal Sheet - Standardized!R57C23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7" s="3"/>
      </tp>
      <tp>
        <v>29499</v>
        <stp/>
        <stp>##V3_BDHV12</stp>
        <stp>XOM US Equity</stp>
        <stp>LONG_TERM_BORROWINGS_DETAILED</stp>
        <stp>FQ2 2016</stp>
        <stp>FQ2 2016</stp>
        <stp>[FA1_m42y3cpi.xlsx]Bal Sheet - Standardized!R57C34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7" s="3"/>
      </tp>
      <tp>
        <v>11591</v>
        <stp/>
        <stp>##V3_BDHV12</stp>
        <stp>XOM US Equity</stp>
        <stp>LONG_TERM_BORROWINGS_DETAILED</stp>
        <stp>FQ3 2014</stp>
        <stp>FQ3 2014</stp>
        <stp>[FA1_m42y3cpi.xlsx]Bal Sheet - Standardized!R57C27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7" s="3"/>
      </tp>
      <tp>
        <v>50</v>
        <stp/>
        <stp>##V3_BDHV12</stp>
        <stp>XOM US Equity</stp>
        <stp>IS_INT_EXPENSE</stp>
        <stp>FQ2 2012</stp>
        <stp>FQ2 2012</stp>
        <stp>[FA1_m42y3cpi.xlsx]Income - Adjusted!R19C18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9" s="2"/>
      </tp>
      <tp>
        <v>147</v>
        <stp/>
        <stp>##V3_BDHV12</stp>
        <stp>XOM US Equity</stp>
        <stp>IS_INT_EXPENSE</stp>
        <stp>FQ2 2018</stp>
        <stp>FQ2 2018</stp>
        <stp>[FA1_m42y3cpi.xlsx]Income - Adjusted!R19C42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9" s="2"/>
      </tp>
      <tp>
        <v>24750</v>
        <stp/>
        <stp>##V3_BDHV12</stp>
        <stp>XOM US Equity</stp>
        <stp>LONG_TERM_BORROWINGS_DETAILED</stp>
        <stp>FQ2 2017</stp>
        <stp>FQ2 2017</stp>
        <stp>[FA1_m42y3cpi.xlsx]Bal Sheet - Standardized!R57C38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7" s="3"/>
      </tp>
      <tp>
        <v>314672.03999999998</v>
        <stp/>
        <stp>##V3_BDHV12</stp>
        <stp>XOM US Equity</stp>
        <stp>HISTORICAL_MARKET_CAP</stp>
        <stp>FQ1 2010</stp>
        <stp>FQ1 2010</stp>
        <stp>[FA1_m42y3cpi.xlsx]Stock Value!R12C9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6"/>
      </tp>
      <tp>
        <v>55</v>
        <stp/>
        <stp>##V3_BDHV12</stp>
        <stp>XOM US Equity</stp>
        <stp>IS_INT_EXPENSE</stp>
        <stp>FQ1 2010</stp>
        <stp>FQ1 2010</stp>
        <stp>[FA1_m42y3cpi.xlsx]Income - Adjusted!R19C9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9" s="2"/>
      </tp>
      <tp>
        <v>170811</v>
        <stp/>
        <stp>##V3_BDHV12</stp>
        <stp>XOM US Equity</stp>
        <stp>EQTY_BEF_MINORITY_INT_DETAILED</stp>
        <stp>FQ4 2015</stp>
        <stp>FQ4 2015</stp>
        <stp>[FA1_m42y3cpi.xlsx]Bal Sheet - Standardized!R72C32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2" s="3"/>
      </tp>
      <tp>
        <v>167325</v>
        <stp/>
        <stp>##V3_BDHV12</stp>
        <stp>XOM US Equity</stp>
        <stp>EQTY_BEF_MINORITY_INT_DETAILED</stp>
        <stp>FQ4 2016</stp>
        <stp>FQ4 2016</stp>
        <stp>[FA1_m42y3cpi.xlsx]Bal Sheet - Standardized!R72C36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2" s="3"/>
      </tp>
      <tp>
        <v>101335</v>
        <stp/>
        <stp>##V3_BDHV12</stp>
        <stp>XOM US Equity</stp>
        <stp>IS_SALES_AND_SERVICES_REVENUES</stp>
        <stp>FQ1 2011</stp>
        <stp>FQ1 2011</stp>
        <stp>[FA1_m42y3cpi.xlsx]Income - Adjusted!R7C13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7" s="2"/>
      </tp>
      <tp>
        <v>107419</v>
        <stp/>
        <stp>##V3_BDHV12</stp>
        <stp>XOM US Equity</stp>
        <stp>IS_SALES_AND_SERVICES_REVENUES</stp>
        <stp>FQ4 2011</stp>
        <stp>FQ4 2011</stp>
        <stp>[FA1_m42y3cpi.xlsx]Income - Adjusted!R7C16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7" s="2"/>
      </tp>
      <tp>
        <v>6.4322999999999997</v>
        <stp/>
        <stp>##V3_BDHV12</stp>
        <stp>XOM US Equity</stp>
        <stp>CASH_ST_INVESTMENTS_PER_SH</stp>
        <stp>FQ4 2008</stp>
        <stp>FQ4 2008</stp>
        <stp>[FA1_m42y3cpi.xlsx]Per Share!R25C4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5" s="5"/>
      </tp>
      <tp>
        <v>7.5552999999999999</v>
        <stp/>
        <stp>##V3_BDHV12</stp>
        <stp>XOM US Equity</stp>
        <stp>CASH_ST_INVESTMENTS_PER_SH</stp>
        <stp>FQ3 2008</stp>
        <stp>FQ3 2008</stp>
        <stp>[FA1_m42y3cpi.xlsx]Per Share!R25C3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5" s="5"/>
      </tp>
      <tp>
        <v>6233</v>
        <stp/>
        <stp>##V3_BDHV12</stp>
        <stp>XOM US Equity</stp>
        <stp>MINORITY_NONCONTROLLING_INTEREST</stp>
        <stp>FQ3 2013</stp>
        <stp>FQ3 2013</stp>
        <stp>[FA1_m42y3cpi.xlsx]Bal Sheet - Standardized!R73C23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3" s="3"/>
      </tp>
      <tp>
        <v>96336</v>
        <stp/>
        <stp>##V3_BDHV12</stp>
        <stp>XOM US Equity</stp>
        <stp>IS_SALES_AND_SERVICES_REVENUES</stp>
        <stp>FQ1 2013</stp>
        <stp>FQ1 2013</stp>
        <stp>[FA1_m42y3cpi.xlsx]Income - Adjusted!R7C21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7" s="2"/>
      </tp>
      <tp>
        <v>95301</v>
        <stp/>
        <stp>##V3_BDHV12</stp>
        <stp>XOM US Equity</stp>
        <stp>IS_SALES_AND_SERVICES_REVENUES</stp>
        <stp>FQ2 2013</stp>
        <stp>FQ2 2013</stp>
        <stp>[FA1_m42y3cpi.xlsx]Income - Adjusted!R7C22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7" s="2"/>
      </tp>
      <tp>
        <v>100508</v>
        <stp/>
        <stp>##V3_BDHV12</stp>
        <stp>XOM US Equity</stp>
        <stp>IS_SALES_AND_SERVICES_REVENUES</stp>
        <stp>FQ3 2013</stp>
        <stp>FQ3 2013</stp>
        <stp>[FA1_m42y3cpi.xlsx]Income - Adjusted!R7C23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7" s="2"/>
      </tp>
      <tp>
        <v>98355</v>
        <stp/>
        <stp>##V3_BDHV12</stp>
        <stp>XOM US Equity</stp>
        <stp>IS_SALES_AND_SERVICES_REVENUES</stp>
        <stp>FQ4 2013</stp>
        <stp>FQ4 2013</stp>
        <stp>[FA1_m42y3cpi.xlsx]Income - Adjusted!R7C24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7" s="2"/>
      </tp>
      <tp>
        <v>6284</v>
        <stp/>
        <stp>##V3_BDHV12</stp>
        <stp>XOM US Equity</stp>
        <stp>MINORITY_NONCONTROLLING_INTEREST</stp>
        <stp>FQ2 2016</stp>
        <stp>FQ2 2016</stp>
        <stp>[FA1_m42y3cpi.xlsx]Bal Sheet - Standardized!R73C34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3" s="3"/>
      </tp>
      <tp>
        <v>6908</v>
        <stp/>
        <stp>##V3_BDHV12</stp>
        <stp>XOM US Equity</stp>
        <stp>MINORITY_NONCONTROLLING_INTEREST</stp>
        <stp>FQ3 2014</stp>
        <stp>FQ3 2014</stp>
        <stp>[FA1_m42y3cpi.xlsx]Bal Sheet - Standardized!R73C27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3" s="3"/>
      </tp>
      <tp>
        <v>59866</v>
        <stp/>
        <stp>##V3_BDHV12</stp>
        <stp>XOM US Equity</stp>
        <stp>SALES_REV_TURN</stp>
        <stp>FQ3 2015</stp>
        <stp>FQ3 2015</stp>
        <stp>[FA1_m42y3cpi.xlsx]Income - Adjusted!R6C31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65395</v>
        <stp/>
        <stp>##V3_BDHV12</stp>
        <stp>XOM US Equity</stp>
        <stp>SALES_REV_TURN</stp>
        <stp>FQ2 2015</stp>
        <stp>FQ2 2015</stp>
        <stp>[FA1_m42y3cpi.xlsx]Income - Adjusted!R6C30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52321</v>
        <stp/>
        <stp>##V3_BDHV12</stp>
        <stp>XOM US Equity</stp>
        <stp>IS_SALES_AND_SERVICES_REVENUES</stp>
        <stp>FQ4 2015</stp>
        <stp>FQ4 2015</stp>
        <stp>[FA1_m42y3cpi.xlsx]Income - Adjusted!R7C32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7" s="2"/>
      </tp>
      <tp t="s">
        <v>—</v>
        <stp/>
        <stp>##V3_BDHV12</stp>
        <stp>XOM US Equity</stp>
        <stp>IS_MERGER_ACQUISITION_EXPENSE</stp>
        <stp>FQ2 2018</stp>
        <stp>FQ2 2018</stp>
        <stp>[FA1_m42y3cpi.xlsx]Income - Adjusted!R26C42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2"/>
      </tp>
      <tp t="s">
        <v>—</v>
        <stp/>
        <stp>##V3_BDHV12</stp>
        <stp>XOM US Equity</stp>
        <stp>BS_ACCRUED_LIABILITIES</stp>
        <stp>FQ2 2017</stp>
        <stp>FQ2 2017</stp>
        <stp>[FA1_m42y3cpi.xlsx]Bal Sheet - Standardized!R59C38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9" s="3"/>
      </tp>
      <tp>
        <v>6330</v>
        <stp/>
        <stp>##V3_BDHV12</stp>
        <stp>XOM US Equity</stp>
        <stp>MINORITY_NONCONTROLLING_INTEREST</stp>
        <stp>FQ2 2015</stp>
        <stp>FQ2 2015</stp>
        <stp>[FA1_m42y3cpi.xlsx]Bal Sheet - Standardized!R73C30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3" s="3"/>
      </tp>
      <tp>
        <v>66515</v>
        <stp/>
        <stp>##V3_BDHV12</stp>
        <stp>XOM US Equity</stp>
        <stp>IS_SALES_AND_SERVICES_REVENUES</stp>
        <stp>FQ4 2017</stp>
        <stp>FQ4 2017</stp>
        <stp>[FA1_m42y3cpi.xlsx]Income - Adjusted!R7C40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7" s="2"/>
      </tp>
      <tp>
        <v>10709</v>
        <stp/>
        <stp>##V3_BDHV12</stp>
        <stp>XOM US Equity</stp>
        <stp>EBITDA</stp>
        <stp>FQ4 2009</stp>
        <stp>FQ4 2009</stp>
        <stp>[FA1_m42y3cpi.xlsx]Income - Adjusted!R61C8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1" s="2"/>
      </tp>
      <tp>
        <v>111991</v>
        <stp/>
        <stp>##V3_BDHV12</stp>
        <stp>XOM US Equity</stp>
        <stp>SALES_REV_TURN</stp>
        <stp>FQ3 2011</stp>
        <stp>FQ3 2011</stp>
        <stp>[FA1_m42y3cpi.xlsx]Income - Adjusted!R6C15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112781</v>
        <stp/>
        <stp>##V3_BDHV12</stp>
        <stp>XOM US Equity</stp>
        <stp>SALES_REV_TURN</stp>
        <stp>FQ2 2011</stp>
        <stp>FQ2 2011</stp>
        <stp>[FA1_m42y3cpi.xlsx]Income - Adjusted!R6C14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 t="s">
        <v>—</v>
        <stp/>
        <stp>##V3_BDHV12</stp>
        <stp>XOM US Equity</stp>
        <stp>BS_ACCRUED_LIABILITIES</stp>
        <stp>FQ3 2014</stp>
        <stp>FQ3 2014</stp>
        <stp>[FA1_m42y3cpi.xlsx]Bal Sheet - Standardized!R59C27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9" s="3"/>
      </tp>
      <tp t="s">
        <v>—</v>
        <stp/>
        <stp>##V3_BDHV12</stp>
        <stp>XOM US Equity</stp>
        <stp>BS_ACCRUED_LIABILITIES</stp>
        <stp>FQ2 2016</stp>
        <stp>FQ2 2016</stp>
        <stp>[FA1_m42y3cpi.xlsx]Bal Sheet - Standardized!R59C34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9" s="3"/>
      </tp>
      <tp t="s">
        <v>—</v>
        <stp/>
        <stp>##V3_BDHV12</stp>
        <stp>XOM US Equity</stp>
        <stp>BS_ACCRUED_LIABILITIES</stp>
        <stp>FQ3 2013</stp>
        <stp>FQ3 2013</stp>
        <stp>[FA1_m42y3cpi.xlsx]Bal Sheet - Standardized!R59C23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9" s="3"/>
      </tp>
      <tp t="s">
        <v>—</v>
        <stp/>
        <stp>##V3_BDHV12</stp>
        <stp>XOM US Equity</stp>
        <stp>BS_ACCRUED_LIABILITIES</stp>
        <stp>FQ2 2015</stp>
        <stp>FQ2 2015</stp>
        <stp>[FA1_m42y3cpi.xlsx]Bal Sheet - Standardized!R59C30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9" s="3"/>
      </tp>
      <tp>
        <v>6660</v>
        <stp/>
        <stp>##V3_BDHV12</stp>
        <stp>XOM US Equity</stp>
        <stp>MINORITY_NONCONTROLLING_INTEREST</stp>
        <stp>FQ2 2017</stp>
        <stp>FQ2 2017</stp>
        <stp>[FA1_m42y3cpi.xlsx]Bal Sheet - Standardized!R73C38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3" s="3"/>
      </tp>
      <tp>
        <v>2830</v>
        <stp/>
        <stp>##V3_BDHV12</stp>
        <stp>XOM US Equity</stp>
        <stp>IS_INC_BEF_XO_ITEM</stp>
        <stp>FQ4 2015</stp>
        <stp>FQ4 2015</stp>
        <stp>[FA1_m42y3cpi.xlsx]Income - Adjusted!R34C32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2"/>
      </tp>
      <tp>
        <v>9799</v>
        <stp/>
        <stp>##V3_BDHV12</stp>
        <stp>XOM US Equity</stp>
        <stp>IS_INC_BEF_XO_ITEM</stp>
        <stp>FQ1 2012</stp>
        <stp>FQ1 2012</stp>
        <stp>[FA1_m42y3cpi.xlsx]Income - Adjusted!R34C17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2"/>
      </tp>
      <tp>
        <v>10898</v>
        <stp/>
        <stp>##V3_BDHV12</stp>
        <stp>XOM US Equity</stp>
        <stp>IS_INC_BEF_XO_ITEM</stp>
        <stp>FQ2 2011</stp>
        <stp>FQ2 2011</stp>
        <stp>[FA1_m42y3cpi.xlsx]Income - Adjusted!R34C14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2"/>
      </tp>
      <tp>
        <v>8069</v>
        <stp/>
        <stp>##V3_BDHV12</stp>
        <stp>XOM US Equity</stp>
        <stp>IS_INC_BEF_XO_ITEM</stp>
        <stp>FQ3 2013</stp>
        <stp>FQ3 2013</stp>
        <stp>[FA1_m42y3cpi.xlsx]Income - Adjusted!R34C23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2"/>
      </tp>
      <tp>
        <v>7561</v>
        <stp/>
        <stp>##V3_BDHV12</stp>
        <stp>XOM US Equity</stp>
        <stp>IS_INC_BEF_XO_ITEM</stp>
        <stp>FQ3 2010</stp>
        <stp>FQ3 2010</stp>
        <stp>[FA1_m42y3cpi.xlsx]Income - Adjusted!R34C11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2"/>
      </tp>
      <tp>
        <v>6782</v>
        <stp/>
        <stp>##V3_BDHV12</stp>
        <stp>XOM US Equity</stp>
        <stp>IS_INC_BEF_XO_ITEM</stp>
        <stp>FQ4 2014</stp>
        <stp>FQ4 2014</stp>
        <stp>[FA1_m42y3cpi.xlsx]Income - Adjusted!R34C28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2"/>
      </tp>
      <tp>
        <v>8.1024999999999991</v>
        <stp/>
        <stp>##V3_BDHV12</stp>
        <stp>XOM US Equity</stp>
        <stp>PROF_MARGIN</stp>
        <stp>FQ1 2010</stp>
        <stp>FQ1 2010</stp>
        <stp>[FA1_m42y3cpi.xlsx]Income - Adjusted!R67C9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67" s="2"/>
      </tp>
      <tp>
        <v>4200</v>
        <stp/>
        <stp>##V3_BDHV12</stp>
        <stp>XOM US Equity</stp>
        <stp>IS_OPERATING_EXPN</stp>
        <stp>FQ1 2010</stp>
        <stp>FQ1 2010</stp>
        <stp>[FA1_m42y3cpi.xlsx]Income - Adjusted!R13C9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>
        <v>72963</v>
        <stp/>
        <stp>##V3_BDHV12</stp>
        <stp>XOM US Equity</stp>
        <stp>BS_CUR_ASSET_REPORT</stp>
        <stp>FQ4 2011</stp>
        <stp>FQ4 2011</stp>
        <stp>[FA1_m42y3cpi.xlsx]Bal Sheet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3"/>
      </tp>
      <tp>
        <v>58984</v>
        <stp/>
        <stp>##V3_BDHV12</stp>
        <stp>XOM US Equity</stp>
        <stp>BS_CUR_ASSET_REPORT</stp>
        <stp>FQ4 2010</stp>
        <stp>FQ4 2010</stp>
        <stp>[FA1_m42y3cpi.xlsx]Bal Sheet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3"/>
      </tp>
      <tp>
        <v>0</v>
        <stp/>
        <stp>##V3_BDHV12</stp>
        <stp>XOM US Equity</stp>
        <stp>BS_GOODWILL</stp>
        <stp>FQ4 2014</stp>
        <stp>FQ4 2014</stp>
        <stp>[FA1_m42y3cpi.xlsx]Bal Sheet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3"/>
      </tp>
      <tp t="s">
        <v>—</v>
        <stp/>
        <stp>##V3_BDHV12</stp>
        <stp>XOM US Equity</stp>
        <stp>BS_GOODWILL</stp>
        <stp>FQ2 2018</stp>
        <stp>FQ2 2018</stp>
        <stp>[FA1_m42y3cpi.xlsx]Bal Sheet - Standardized!R31C42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3"/>
      </tp>
      <tp>
        <v>48315</v>
        <stp/>
        <stp>##V3_BDHV12</stp>
        <stp>XOM US Equity</stp>
        <stp>BS_CUR_ASSET_REPORT</stp>
        <stp>FQ1 2018</stp>
        <stp>FQ1 2018</stp>
        <stp>[FA1_m42y3cpi.xlsx]Bal Sheet - Standardized!R22C41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3"/>
      </tp>
      <tp>
        <v>0</v>
        <stp/>
        <stp>##V3_BDHV12</stp>
        <stp>XOM US Equity</stp>
        <stp>BS_GOODWILL</stp>
        <stp>FQ4 2012</stp>
        <stp>FQ4 2012</stp>
        <stp>[FA1_m42y3cpi.xlsx]Bal Sheet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3"/>
      </tp>
      <tp>
        <v>0</v>
        <stp/>
        <stp>##V3_BDHV12</stp>
        <stp>XOM US Equity</stp>
        <stp>BS_GOODWILL</stp>
        <stp>FQ4 2013</stp>
        <stp>FQ4 2013</stp>
        <stp>[FA1_m42y3cpi.xlsx]Bal Sheet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3"/>
      </tp>
      <tp>
        <v>59341</v>
        <stp/>
        <stp>##V3_BDHV12</stp>
        <stp>XOM US Equity</stp>
        <stp>IS_COGS_TO_FE_AND_PP_AND_G</stp>
        <stp>FQ4 2008</stp>
        <stp>FQ4 2008</stp>
        <stp>[FA1_m42y3cpi.xlsx]Income - Adjusted!R8C4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>
        <v>97173</v>
        <stp/>
        <stp>##V3_BDHV12</stp>
        <stp>XOM US Equity</stp>
        <stp>IS_COGS_TO_FE_AND_PP_AND_G</stp>
        <stp>FQ3 2008</stp>
        <stp>FQ3 2008</stp>
        <stp>[FA1_m42y3cpi.xlsx]Income - Adjusted!R8C3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 t="s">
        <v>—</v>
        <stp/>
        <stp>##V3_BDHV12</stp>
        <stp>XOM US Equity</stp>
        <stp>IS_IMPAIRMENT_ASSETS</stp>
        <stp>FQ1 2018</stp>
        <stp>FQ1 2018</stp>
        <stp>[FA1_m42y3cpi.xlsx]Income - Adjusted!R28C41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2"/>
      </tp>
      <tp>
        <v>7928</v>
        <stp/>
        <stp>##V3_BDHV12</stp>
        <stp>XOM US Equity</stp>
        <stp>LONG_TERM_BORROWINGS_DETAILED</stp>
        <stp>FQ4 2012</stp>
        <stp>FQ4 2012</stp>
        <stp>[FA1_m42y3cpi.xlsx]Bal Sheet - Standardized!R57C20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7" s="3"/>
      </tp>
      <tp>
        <v>6891</v>
        <stp/>
        <stp>##V3_BDHV12</stp>
        <stp>XOM US Equity</stp>
        <stp>LONG_TERM_BORROWINGS_DETAILED</stp>
        <stp>FQ4 2013</stp>
        <stp>FQ4 2013</stp>
        <stp>[FA1_m42y3cpi.xlsx]Bal Sheet - Standardized!R57C24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7" s="3"/>
      </tp>
      <tp>
        <v>1.4833000000000001</v>
        <stp/>
        <stp>##V3_BDHV12</stp>
        <stp>XOM US Equity</stp>
        <stp>OPER_INC_PER_SH</stp>
        <stp>FQ3 2009</stp>
        <stp>FQ3 2009</stp>
        <stp>[FA1_m42y3cpi.xlsx]Per Share!R13C7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3" s="5"/>
      </tp>
      <tp>
        <v>1.1482000000000001</v>
        <stp/>
        <stp>##V3_BDHV12</stp>
        <stp>XOM US Equity</stp>
        <stp>OPER_INC_PER_SH</stp>
        <stp>FQ2 2009</stp>
        <stp>FQ2 2009</stp>
        <stp>[FA1_m42y3cpi.xlsx]Per Share!R13C6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3" s="5"/>
      </tp>
      <tp>
        <v>1.2269000000000001</v>
        <stp/>
        <stp>##V3_BDHV12</stp>
        <stp>XOM US Equity</stp>
        <stp>OPER_INC_PER_SH</stp>
        <stp>FQ1 2009</stp>
        <stp>FQ1 2009</stp>
        <stp>[FA1_m42y3cpi.xlsx]Per Share!R13C5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3" s="5"/>
      </tp>
      <tp>
        <v>1.579</v>
        <stp/>
        <stp>##V3_BDHV12</stp>
        <stp>XOM US Equity</stp>
        <stp>OPER_INC_PER_SH</stp>
        <stp>FQ4 2009</stp>
        <stp>FQ4 2009</stp>
        <stp>[FA1_m42y3cpi.xlsx]Per Share!R13C8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3" s="5"/>
      </tp>
      <tp>
        <v>11653</v>
        <stp/>
        <stp>##V3_BDHV12</stp>
        <stp>XOM US Equity</stp>
        <stp>LONG_TERM_BORROWINGS_DETAILED</stp>
        <stp>FQ4 2014</stp>
        <stp>FQ4 2014</stp>
        <stp>[FA1_m42y3cpi.xlsx]Bal Sheet - Standardized!R57C28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7" s="3"/>
      </tp>
      <tp>
        <v>20720</v>
        <stp/>
        <stp>##V3_BDHV12</stp>
        <stp>XOM US Equity</stp>
        <stp>LONG_TERM_BORROWINGS_DETAILED</stp>
        <stp>FQ2 2018</stp>
        <stp>FQ2 2018</stp>
        <stp>[FA1_m42y3cpi.xlsx]Bal Sheet - Standardized!R57C42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7" s="3"/>
      </tp>
      <tp>
        <v>4233.8339999999998</v>
        <stp/>
        <stp>##V3_BDHV12</stp>
        <stp>XOM US Equity</stp>
        <stp>EQY_SH_OUT</stp>
        <stp>FQ2 2018</stp>
        <stp>FQ2 2018</stp>
        <stp>[FA1_m42y3cpi.xlsx]Stock Value!R13C42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3" s="6"/>
      </tp>
      <tp>
        <v>4237.4620000000004</v>
        <stp/>
        <stp>##V3_BDHV12</stp>
        <stp>XOM US Equity</stp>
        <stp>EQY_SH_OUT</stp>
        <stp>FQ1 2018</stp>
        <stp>FQ1 2018</stp>
        <stp>[FA1_m42y3cpi.xlsx]Stock Value!R13C41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3" s="6"/>
      </tp>
      <tp>
        <v>4480.45</v>
        <stp/>
        <stp>##V3_BDHV12</stp>
        <stp>XOM US Equity</stp>
        <stp>EQY_SH_OUT</stp>
        <stp>FQ1 2013</stp>
        <stp>FQ1 2013</stp>
        <stp>[FA1_m42y3cpi.xlsx]Stock Value!R13C21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3" s="6"/>
      </tp>
      <tp>
        <v>4401.6319999999996</v>
        <stp/>
        <stp>##V3_BDHV12</stp>
        <stp>XOM US Equity</stp>
        <stp>EQY_SH_OUT</stp>
        <stp>FQ3 2013</stp>
        <stp>FQ3 2013</stp>
        <stp>[FA1_m42y3cpi.xlsx]Stock Value!R13C23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3" s="6"/>
      </tp>
      <tp>
        <v>4446.3760000000002</v>
        <stp/>
        <stp>##V3_BDHV12</stp>
        <stp>XOM US Equity</stp>
        <stp>EQY_SH_OUT</stp>
        <stp>FQ2 2013</stp>
        <stp>FQ2 2013</stp>
        <stp>[FA1_m42y3cpi.xlsx]Stock Value!R13C22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3" s="6"/>
      </tp>
      <tp>
        <v>4368.5140000000001</v>
        <stp/>
        <stp>##V3_BDHV12</stp>
        <stp>XOM US Equity</stp>
        <stp>EQY_SH_OUT</stp>
        <stp>FQ4 2013</stp>
        <stp>FQ4 2013</stp>
        <stp>[FA1_m42y3cpi.xlsx]Stock Value!R13C24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3" s="6"/>
      </tp>
      <tp>
        <v>9212</v>
        <stp/>
        <stp>##V3_BDHV12</stp>
        <stp>XOM US Equity</stp>
        <stp>BS_TAXES_PAYABLE</stp>
        <stp>FQ1 2010</stp>
        <stp>FQ1 2010</stp>
        <stp>[FA1_m42y3cpi.xlsx]Bal Sheet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3"/>
      </tp>
      <tp>
        <v>182276</v>
        <stp/>
        <stp>##V3_BDHV12</stp>
        <stp>XOM US Equity</stp>
        <stp>EQTY_BEF_MINORITY_INT_DETAILED</stp>
        <stp>FQ3 2017</stp>
        <stp>FQ3 2017</stp>
        <stp>[FA1_m42y3cpi.xlsx]Bal Sheet - Standardized!R72C39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2" s="3"/>
      </tp>
      <tp>
        <v>8310</v>
        <stp/>
        <stp>##V3_BDHV12</stp>
        <stp>XOM US Equity</stp>
        <stp>BS_TAXES_PAYABLE</stp>
        <stp>FQ4 2009</stp>
        <stp>FQ4 2009</stp>
        <stp>[FA1_m42y3cpi.xlsx]Bal Sheet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3"/>
      </tp>
      <tp>
        <v>151480</v>
        <stp/>
        <stp>##V3_BDHV12</stp>
        <stp>XOM US Equity</stp>
        <stp>EQTY_BEF_MINORITY_INT_DETAILED</stp>
        <stp>FQ1 2011</stp>
        <stp>FQ1 2011</stp>
        <stp>[FA1_m42y3cpi.xlsx]Bal Sheet - Standardized!R72C13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2" s="3"/>
      </tp>
      <tp>
        <v>165647</v>
        <stp/>
        <stp>##V3_BDHV12</stp>
        <stp>XOM US Equity</stp>
        <stp>EQTY_BEF_MINORITY_INT_DETAILED</stp>
        <stp>FQ2 2013</stp>
        <stp>FQ2 2013</stp>
        <stp>[FA1_m42y3cpi.xlsx]Bal Sheet - Standardized!R72C22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2" s="3"/>
      </tp>
      <tp>
        <v>187688</v>
        <stp/>
        <stp>##V3_BDHV12</stp>
        <stp>XOM US Equity</stp>
        <stp>EQTY_BEF_MINORITY_INT_DETAILED</stp>
        <stp>FQ4 2017</stp>
        <stp>FQ4 2017</stp>
        <stp>[FA1_m42y3cpi.xlsx]Bal Sheet - Standardized!R72C40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2" s="3"/>
      </tp>
      <tp t="s">
        <v>—</v>
        <stp/>
        <stp>##V3_BDHV12</stp>
        <stp>XOM US Equity</stp>
        <stp>BS_TAXES_PAYABLE</stp>
        <stp>FQ4 2008</stp>
        <stp>FQ4 2008</stp>
        <stp>[FA1_m42y3cpi.xlsx]Bal Sheet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3"/>
      </tp>
      <tp t="s">
        <v>—</v>
        <stp/>
        <stp>##V3_BDHV12</stp>
        <stp>XOM US Equity</stp>
        <stp>BS_TAXES_PAYABLE</stp>
        <stp>FQ3 2008</stp>
        <stp>FQ3 2008</stp>
        <stp>[FA1_m42y3cpi.xlsx]Bal Sheet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3"/>
      </tp>
      <tp>
        <v>181155</v>
        <stp/>
        <stp>##V3_BDHV12</stp>
        <stp>XOM US Equity</stp>
        <stp>EQTY_BEF_MINORITY_INT_DETAILED</stp>
        <stp>FQ2 2014</stp>
        <stp>FQ2 2014</stp>
        <stp>[FA1_m42y3cpi.xlsx]Bal Sheet - Standardized!R72C26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2" s="3"/>
      </tp>
      <tp>
        <v>170597</v>
        <stp/>
        <stp>##V3_BDHV12</stp>
        <stp>XOM US Equity</stp>
        <stp>EQTY_BEF_MINORITY_INT_DETAILED</stp>
        <stp>FQ3 2016</stp>
        <stp>FQ3 2016</stp>
        <stp>[FA1_m42y3cpi.xlsx]Bal Sheet - Standardized!R72C35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2" s="3"/>
      </tp>
      <tp>
        <v>170723</v>
        <stp/>
        <stp>##V3_BDHV12</stp>
        <stp>XOM US Equity</stp>
        <stp>EQTY_BEF_MINORITY_INT_DETAILED</stp>
        <stp>FQ3 2015</stp>
        <stp>FQ3 2015</stp>
        <stp>[FA1_m42y3cpi.xlsx]Bal Sheet - Standardized!R72C31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2" s="3"/>
      </tp>
      <tp>
        <v>7562</v>
        <stp/>
        <stp>##V3_BDHV12</stp>
        <stp>XOM US Equity</stp>
        <stp>BS_TAXES_PAYABLE</stp>
        <stp>FQ2 2009</stp>
        <stp>FQ2 2009</stp>
        <stp>[FA1_m42y3cpi.xlsx]Bal Sheet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3"/>
      </tp>
      <tp>
        <v>7870</v>
        <stp/>
        <stp>##V3_BDHV12</stp>
        <stp>XOM US Equity</stp>
        <stp>BS_TAXES_PAYABLE</stp>
        <stp>FQ3 2009</stp>
        <stp>FQ3 2009</stp>
        <stp>[FA1_m42y3cpi.xlsx]Bal Sheet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3"/>
      </tp>
      <tp>
        <v>8874</v>
        <stp/>
        <stp>##V3_BDHV12</stp>
        <stp>XOM US Equity</stp>
        <stp>BS_TAXES_PAYABLE</stp>
        <stp>FQ1 2009</stp>
        <stp>FQ1 2009</stp>
        <stp>[FA1_m42y3cpi.xlsx]Bal Sheet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3"/>
      </tp>
      <tp>
        <v>157012</v>
        <stp/>
        <stp>##V3_BDHV12</stp>
        <stp>XOM US Equity</stp>
        <stp>EQTY_BEF_MINORITY_INT_DETAILED</stp>
        <stp>FQ1 2012</stp>
        <stp>FQ1 2012</stp>
        <stp>[FA1_m42y3cpi.xlsx]Bal Sheet - Standardized!R72C17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2" s="3"/>
      </tp>
      <tp>
        <v>51330</v>
        <stp/>
        <stp>##V3_BDHV12</stp>
        <stp>XOM US Equity</stp>
        <stp>SALES_REV_TURN</stp>
        <stp>FQ3 2016</stp>
        <stp>FQ3 2016</stp>
        <stp>[FA1_m42y3cpi.xlsx]Income - Adjusted!R6C35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" s="2"/>
      </tp>
      <tp>
        <v>50925</v>
        <stp/>
        <stp>##V3_BDHV12</stp>
        <stp>XOM US Equity</stp>
        <stp>SALES_REV_TURN</stp>
        <stp>FQ2 2016</stp>
        <stp>FQ2 2016</stp>
        <stp>[FA1_m42y3cpi.xlsx]Income - Adjusted!R6C34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>
        <v>0</v>
        <stp/>
        <stp>##V3_BDHV12</stp>
        <stp>XOM US Equity</stp>
        <stp>BS_ACCRUED_LIABILITIES</stp>
        <stp>FQ4 2014</stp>
        <stp>FQ4 2014</stp>
        <stp>[FA1_m42y3cpi.xlsx]Bal Sheet - Standardized!R59C28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9" s="3"/>
      </tp>
      <tp t="s">
        <v>—</v>
        <stp/>
        <stp>##V3_BDHV12</stp>
        <stp>XOM US Equity</stp>
        <stp>BS_ACCRUED_LIABILITIES</stp>
        <stp>FQ2 2018</stp>
        <stp>FQ2 2018</stp>
        <stp>[FA1_m42y3cpi.xlsx]Bal Sheet - Standardized!R59C42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9" s="3"/>
      </tp>
      <tp>
        <v>3193</v>
        <stp/>
        <stp>##V3_BDHV12</stp>
        <stp>XOM US Equity</stp>
        <stp>IS_D&amp;A_COST_OF_REVENUE</stp>
        <stp>FQ4 2009</stp>
        <stp>FQ4 2009</stp>
        <stp>[FA1_m42y3cpi.xlsx]Income - Adjusted!R10C8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6492</v>
        <stp/>
        <stp>##V3_BDHV12</stp>
        <stp>XOM US Equity</stp>
        <stp>MINORITY_NONCONTROLLING_INTEREST</stp>
        <stp>FQ4 2013</stp>
        <stp>FQ4 2013</stp>
        <stp>[FA1_m42y3cpi.xlsx]Bal Sheet - Standardized!R73C24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3" s="3"/>
      </tp>
      <tp>
        <v>98287</v>
        <stp/>
        <stp>##V3_BDHV12</stp>
        <stp>XOM US Equity</stp>
        <stp>SALES_REV_TURN</stp>
        <stp>FQ2 2014</stp>
        <stp>FQ2 2014</stp>
        <stp>[FA1_m42y3cpi.xlsx]Income - Adjusted!R6C26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96047</v>
        <stp/>
        <stp>##V3_BDHV12</stp>
        <stp>XOM US Equity</stp>
        <stp>SALES_REV_TURN</stp>
        <stp>FQ3 2014</stp>
        <stp>FQ3 2014</stp>
        <stp>[FA1_m42y3cpi.xlsx]Income - Adjusted!R6C27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94344</v>
        <stp/>
        <stp>##V3_BDHV12</stp>
        <stp>XOM US Equity</stp>
        <stp>SALES_REV_TURN</stp>
        <stp>FQ1 2014</stp>
        <stp>FQ1 2014</stp>
        <stp>[FA1_m42y3cpi.xlsx]Income - Adjusted!R6C25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110696</v>
        <stp/>
        <stp>##V3_BDHV12</stp>
        <stp>XOM US Equity</stp>
        <stp>IS_SALES_AND_SERVICES_REVENUES</stp>
        <stp>FQ1 2012</stp>
        <stp>FQ1 2012</stp>
        <stp>[FA1_m42y3cpi.xlsx]Income - Adjusted!R7C17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7" s="2"/>
      </tp>
      <tp>
        <v>5797</v>
        <stp/>
        <stp>##V3_BDHV12</stp>
        <stp>XOM US Equity</stp>
        <stp>MINORITY_NONCONTROLLING_INTEREST</stp>
        <stp>FQ4 2012</stp>
        <stp>FQ4 2012</stp>
        <stp>[FA1_m42y3cpi.xlsx]Bal Sheet - Standardized!R73C20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3" s="3"/>
      </tp>
      <tp>
        <v>42290</v>
        <stp/>
        <stp>##V3_BDHV12</stp>
        <stp>XOM US Equity</stp>
        <stp>IS_SALES_AND_SERVICES_REVENUES</stp>
        <stp>FQ1 2016</stp>
        <stp>FQ1 2016</stp>
        <stp>[FA1_m42y3cpi.xlsx]Income - Adjusted!R7C33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7" s="2"/>
      </tp>
      <tp>
        <v>52973</v>
        <stp/>
        <stp>##V3_BDHV12</stp>
        <stp>XOM US Equity</stp>
        <stp>IS_SALES_AND_SERVICES_REVENUES</stp>
        <stp>FQ4 2016</stp>
        <stp>FQ4 2016</stp>
        <stp>[FA1_m42y3cpi.xlsx]Income - Adjusted!R7C36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7" s="2"/>
      </tp>
      <tp>
        <v>6311</v>
        <stp/>
        <stp>##V3_BDHV12</stp>
        <stp>XOM US Equity</stp>
        <stp>MINORITY_NONCONTROLLING_INTEREST</stp>
        <stp>FQ2 2018</stp>
        <stp>FQ2 2018</stp>
        <stp>[FA1_m42y3cpi.xlsx]Bal Sheet - Standardized!R73C42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3" s="3"/>
      </tp>
      <tp>
        <v>6665</v>
        <stp/>
        <stp>##V3_BDHV12</stp>
        <stp>XOM US Equity</stp>
        <stp>MINORITY_NONCONTROLLING_INTEREST</stp>
        <stp>FQ4 2014</stp>
        <stp>FQ4 2014</stp>
        <stp>[FA1_m42y3cpi.xlsx]Bal Sheet - Standardized!R73C28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3" s="3"/>
      </tp>
      <tp>
        <v>0</v>
        <stp/>
        <stp>##V3_BDHV12</stp>
        <stp>XOM US Equity</stp>
        <stp>BS_ACCRUED_LIABILITIES</stp>
        <stp>FQ4 2013</stp>
        <stp>FQ4 2013</stp>
        <stp>[FA1_m42y3cpi.xlsx]Bal Sheet - Standardized!R59C24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9" s="3"/>
      </tp>
      <tp>
        <v>0</v>
        <stp/>
        <stp>##V3_BDHV12</stp>
        <stp>XOM US Equity</stp>
        <stp>BS_ACCRUED_LIABILITIES</stp>
        <stp>FQ4 2012</stp>
        <stp>FQ4 2012</stp>
        <stp>[FA1_m42y3cpi.xlsx]Bal Sheet - Standardized!R59C20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9" s="3"/>
      </tp>
      <tp>
        <v>8643</v>
        <stp/>
        <stp>##V3_BDHV12</stp>
        <stp>XOM US Equity</stp>
        <stp>IS_INC_BEF_XO_ITEM</stp>
        <stp>FQ4 2013</stp>
        <stp>FQ4 2013</stp>
        <stp>[FA1_m42y3cpi.xlsx]Income - Adjusted!R34C24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2"/>
      </tp>
      <tp>
        <v>4823</v>
        <stp/>
        <stp>##V3_BDHV12</stp>
        <stp>XOM US Equity</stp>
        <stp>MINORITY_NONCONTROLLING_INTEREST</stp>
        <stp>FQ4 2009</stp>
        <stp>FQ4 2009</stp>
        <stp>[FA1_m42y3cpi.xlsx]Bal Sheet - Standardized!R73C8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3" s="3"/>
      </tp>
      <tp>
        <v>4384</v>
        <stp/>
        <stp>##V3_BDHV12</stp>
        <stp>XOM US Equity</stp>
        <stp>IS_INC_BEF_XO_ITEM</stp>
        <stp>FQ3 2015</stp>
        <stp>FQ3 2015</stp>
        <stp>[FA1_m42y3cpi.xlsx]Income - Adjusted!R34C31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2"/>
      </tp>
      <tp>
        <v>0</v>
        <stp/>
        <stp>##V3_BDHV12</stp>
        <stp>XOM US Equity</stp>
        <stp>IS_DISCONTINUED_OPERATIONS</stp>
        <stp>FQ2 2018</stp>
        <stp>FQ2 2018</stp>
        <stp>[FA1_m42y3cpi.xlsx]Income - Adjusted!R36C42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2"/>
      </tp>
      <tp>
        <v>9516</v>
        <stp/>
        <stp>##V3_BDHV12</stp>
        <stp>XOM US Equity</stp>
        <stp>IS_INC_BEF_XO_ITEM</stp>
        <stp>FQ4 2010</stp>
        <stp>FQ4 2010</stp>
        <stp>[FA1_m42y3cpi.xlsx]Income - Adjusted!R34C12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2"/>
      </tp>
      <tp>
        <v>8346</v>
        <stp/>
        <stp>##V3_BDHV12</stp>
        <stp>XOM US Equity</stp>
        <stp>IS_INC_BEF_XO_ITEM</stp>
        <stp>FQ3 2014</stp>
        <stp>FQ3 2014</stp>
        <stp>[FA1_m42y3cpi.xlsx]Income - Adjusted!R34C27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2"/>
      </tp>
      <tp>
        <v>4090</v>
        <stp/>
        <stp>##V3_BDHV12</stp>
        <stp>XOM US Equity</stp>
        <stp>IS_INC_BEF_XO_ITEM</stp>
        <stp>FQ1 2017</stp>
        <stp>FQ1 2017</stp>
        <stp>[FA1_m42y3cpi.xlsx]Income - Adjusted!R34C37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4" s="2"/>
      </tp>
      <tp>
        <v>5125</v>
        <stp/>
        <stp>##V3_BDHV12</stp>
        <stp>XOM US Equity</stp>
        <stp>MINORITY_NONCONTROLLING_INTEREST</stp>
        <stp>FQ1 2010</stp>
        <stp>FQ1 2010</stp>
        <stp>[FA1_m42y3cpi.xlsx]Bal Sheet - Standardized!R73C9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3" s="3"/>
      </tp>
      <tp>
        <v>4605.6040000000003</v>
        <stp/>
        <stp>##V3_BDHV12</stp>
        <stp>XOM US Equity</stp>
        <stp>EQY_FLOAT</stp>
        <stp>FQ3 2012</stp>
        <stp>FQ3 2012</stp>
        <stp>[FA1_m42y3cpi.xlsx]Stock Value!R14C19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4" s="6"/>
      </tp>
      <tp>
        <v>4665.7809999999999</v>
        <stp/>
        <stp>##V3_BDHV12</stp>
        <stp>XOM US Equity</stp>
        <stp>EQY_FLOAT</stp>
        <stp>FQ2 2012</stp>
        <stp>FQ2 2012</stp>
        <stp>[FA1_m42y3cpi.xlsx]Stock Value!R14C18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4" s="6"/>
      </tp>
      <tp>
        <v>4840</v>
        <stp/>
        <stp>##V3_BDHV12</stp>
        <stp>XOM US Equity</stp>
        <stp>MINORITY_NONCONTROLLING_INTEREST</stp>
        <stp>FQ3 2009</stp>
        <stp>FQ3 2009</stp>
        <stp>[FA1_m42y3cpi.xlsx]Bal Sheet - Standardized!R73C7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3" s="3"/>
      </tp>
      <tp>
        <v>4561</v>
        <stp/>
        <stp>##V3_BDHV12</stp>
        <stp>XOM US Equity</stp>
        <stp>MINORITY_NONCONTROLLING_INTEREST</stp>
        <stp>FQ2 2009</stp>
        <stp>FQ2 2009</stp>
        <stp>[FA1_m42y3cpi.xlsx]Bal Sheet - Standardized!R73C6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3" s="3"/>
      </tp>
      <tp>
        <v>4375</v>
        <stp/>
        <stp>##V3_BDHV12</stp>
        <stp>XOM US Equity</stp>
        <stp>MINORITY_NONCONTROLLING_INTEREST</stp>
        <stp>FQ1 2009</stp>
        <stp>FQ1 2009</stp>
        <stp>[FA1_m42y3cpi.xlsx]Bal Sheet - Standardized!R73C5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3" s="3"/>
      </tp>
      <tp>
        <v>4225.6620000000003</v>
        <stp/>
        <stp>##V3_BDHV12</stp>
        <stp>XOM US Equity</stp>
        <stp>EQY_FLOAT</stp>
        <stp>FQ2 2017</stp>
        <stp>FQ2 2017</stp>
        <stp>[FA1_m42y3cpi.xlsx]Stock Value!R14C38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4" s="6"/>
      </tp>
      <tp>
        <v>4225.3370000000004</v>
        <stp/>
        <stp>##V3_BDHV12</stp>
        <stp>XOM US Equity</stp>
        <stp>EQY_FLOAT</stp>
        <stp>FQ3 2017</stp>
        <stp>FQ3 2017</stp>
        <stp>[FA1_m42y3cpi.xlsx]Stock Value!R14C39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4" s="6"/>
      </tp>
      <tp>
        <v>0</v>
        <stp/>
        <stp>##V3_BDHV12</stp>
        <stp>XOM US Equity</stp>
        <stp>MINORITY_NONCONTROLLING_INTEREST</stp>
        <stp>FQ3 2008</stp>
        <stp>FQ3 2008</stp>
        <stp>[FA1_m42y3cpi.xlsx]Bal Sheet - Standardized!R73C3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3" s="3"/>
      </tp>
      <tp>
        <v>4558</v>
        <stp/>
        <stp>##V3_BDHV12</stp>
        <stp>XOM US Equity</stp>
        <stp>MINORITY_NONCONTROLLING_INTEREST</stp>
        <stp>FQ4 2008</stp>
        <stp>FQ4 2008</stp>
        <stp>[FA1_m42y3cpi.xlsx]Bal Sheet - Standardized!R73C4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3" s="3"/>
      </tp>
      <tp>
        <v>43131</v>
        <stp/>
        <stp>##V3_BDHV12</stp>
        <stp>XOM US Equity</stp>
        <stp>BS_CUR_ASSET_REPORT</stp>
        <stp>FQ1 2017</stp>
        <stp>FQ1 2017</stp>
        <stp>[FA1_m42y3cpi.xlsx]Bal Sheet - Standardized!R22C37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3"/>
      </tp>
      <tp>
        <v>62633</v>
        <stp/>
        <stp>##V3_BDHV12</stp>
        <stp>XOM US Equity</stp>
        <stp>BS_CUR_ASSET_REPORT</stp>
        <stp>FQ3 2010</stp>
        <stp>FQ3 2010</stp>
        <stp>[FA1_m42y3cpi.xlsx]Bal Sheet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3"/>
      </tp>
      <tp t="s">
        <v>—</v>
        <stp/>
        <stp>##V3_BDHV12</stp>
        <stp>XOM US Equity</stp>
        <stp>BS_GOODWILL</stp>
        <stp>FQ2 2017</stp>
        <stp>FQ2 2017</stp>
        <stp>[FA1_m42y3cpi.xlsx]Bal Sheet - Standardized!R31C38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3"/>
      </tp>
      <tp>
        <v>44251</v>
        <stp/>
        <stp>##V3_BDHV12</stp>
        <stp>XOM US Equity</stp>
        <stp>BS_CUR_ASSET_REPORT</stp>
        <stp>FQ1 2016</stp>
        <stp>FQ1 2016</stp>
        <stp>[FA1_m42y3cpi.xlsx]Bal Sheet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3"/>
      </tp>
      <tp>
        <v>69376</v>
        <stp/>
        <stp>##V3_BDHV12</stp>
        <stp>XOM US Equity</stp>
        <stp>BS_CUR_ASSET_REPORT</stp>
        <stp>FQ3 2011</stp>
        <stp>FQ3 2011</stp>
        <stp>[FA1_m42y3cpi.xlsx]Bal Sheet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3"/>
      </tp>
      <tp>
        <v>72138</v>
        <stp/>
        <stp>##V3_BDHV12</stp>
        <stp>XOM US Equity</stp>
        <stp>BS_CUR_ASSET_REPORT</stp>
        <stp>FQ3 2012</stp>
        <stp>FQ3 2012</stp>
        <stp>[FA1_m42y3cpi.xlsx]Bal Sheet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3"/>
      </tp>
      <tp t="s">
        <v>—</v>
        <stp/>
        <stp>##V3_BDHV12</stp>
        <stp>XOM US Equity</stp>
        <stp>BS_GOODWILL</stp>
        <stp>FQ2 2015</stp>
        <stp>FQ2 2015</stp>
        <stp>[FA1_m42y3cpi.xlsx]Bal Sheet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3"/>
      </tp>
      <tp t="s">
        <v>—</v>
        <stp/>
        <stp>##V3_BDHV12</stp>
        <stp>XOM US Equity</stp>
        <stp>BS_GOODWILL</stp>
        <stp>FQ3 2013</stp>
        <stp>FQ3 2013</stp>
        <stp>[FA1_m42y3cpi.xlsx]Bal Sheet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3"/>
      </tp>
      <tp t="s">
        <v>—</v>
        <stp/>
        <stp>##V3_BDHV12</stp>
        <stp>XOM US Equity</stp>
        <stp>BS_GOODWILL</stp>
        <stp>FQ2 2016</stp>
        <stp>FQ2 2016</stp>
        <stp>[FA1_m42y3cpi.xlsx]Bal Sheet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3"/>
      </tp>
      <tp t="s">
        <v>—</v>
        <stp/>
        <stp>##V3_BDHV12</stp>
        <stp>XOM US Equity</stp>
        <stp>BS_GOODWILL</stp>
        <stp>FQ3 2014</stp>
        <stp>FQ3 2014</stp>
        <stp>[FA1_m42y3cpi.xlsx]Bal Sheet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3"/>
      </tp>
      <tp>
        <v>28932</v>
        <stp/>
        <stp>##V3_BDHV12</stp>
        <stp>XOM US Equity</stp>
        <stp>LONG_TERM_BORROWINGS_DETAILED</stp>
        <stp>FQ4 2016</stp>
        <stp>FQ4 2016</stp>
        <stp>[FA1_m42y3cpi.xlsx]Bal Sheet - Standardized!R57C36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7" s="3"/>
      </tp>
      <tp>
        <v>19925</v>
        <stp/>
        <stp>##V3_BDHV12</stp>
        <stp>XOM US Equity</stp>
        <stp>LONG_TERM_BORROWINGS_DETAILED</stp>
        <stp>FQ4 2015</stp>
        <stp>FQ4 2015</stp>
        <stp>[FA1_m42y3cpi.xlsx]Bal Sheet - Standardized!R57C32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7" s="3"/>
      </tp>
      <tp>
        <v>68</v>
        <stp/>
        <stp>##V3_BDHV12</stp>
        <stp>XOM US Equity</stp>
        <stp>IS_INT_EXPENSE</stp>
        <stp>FQ4 2014</stp>
        <stp>FQ4 2014</stp>
        <stp>[FA1_m42y3cpi.xlsx]Income - Adjusted!R19C28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9" s="2"/>
      </tp>
      <tp>
        <v>88</v>
        <stp/>
        <stp>##V3_BDHV12</stp>
        <stp>XOM US Equity</stp>
        <stp>IS_INT_EXPENSE</stp>
        <stp>FQ1 2015</stp>
        <stp>FQ1 2015</stp>
        <stp>[FA1_m42y3cpi.xlsx]Income - Adjusted!R19C29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9" s="2"/>
      </tp>
      <tp>
        <v>4.1863999999999999</v>
        <stp/>
        <stp>##V3_BDHV12</stp>
        <stp>XOM US Equity</stp>
        <stp>OPER_INC_PER_SH</stp>
        <stp>FQ3 2008</stp>
        <stp>FQ3 2008</stp>
        <stp>[FA1_m42y3cpi.xlsx]Per Share!R13C3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3" s="5"/>
      </tp>
      <tp>
        <v>1.7856000000000001</v>
        <stp/>
        <stp>##V3_BDHV12</stp>
        <stp>XOM US Equity</stp>
        <stp>OPER_INC_PER_SH</stp>
        <stp>FQ4 2008</stp>
        <stp>FQ4 2008</stp>
        <stp>[FA1_m42y3cpi.xlsx]Per Share!R13C4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3" s="5"/>
      </tp>
      <tp>
        <v>-22582</v>
        <stp/>
        <stp>##V3_BDHV12</stp>
        <stp>XOM US Equity</stp>
        <stp>NET_DEBT</stp>
        <stp>FQ4 2008</stp>
        <stp>FQ4 2008</stp>
        <stp>[FA1_m42y3cpi.xlsx]Bal Sheet - Standardized!R86C4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6" s="3"/>
      </tp>
      <tp>
        <v>-28170</v>
        <stp/>
        <stp>##V3_BDHV12</stp>
        <stp>XOM US Equity</stp>
        <stp>NET_DEBT</stp>
        <stp>FQ3 2008</stp>
        <stp>FQ3 2008</stp>
        <stp>[FA1_m42y3cpi.xlsx]Bal Sheet - Standardized!R86C3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6" s="3"/>
      </tp>
      <tp>
        <v>179178</v>
        <stp/>
        <stp>##V3_BDHV12</stp>
        <stp>XOM US Equity</stp>
        <stp>EQTY_BEF_MINORITY_INT_DETAILED</stp>
        <stp>FQ2 2017</stp>
        <stp>FQ2 2017</stp>
        <stp>[FA1_m42y3cpi.xlsx]Bal Sheet - Standardized!R72C38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2" s="3"/>
      </tp>
      <tp>
        <v>-15936</v>
        <stp/>
        <stp>##V3_BDHV12</stp>
        <stp>XOM US Equity</stp>
        <stp>NET_DEBT</stp>
        <stp>FQ1 2009</stp>
        <stp>FQ1 2009</stp>
        <stp>[FA1_m42y3cpi.xlsx]Bal Sheet - Standardized!R86C5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6" s="3"/>
      </tp>
      <tp>
        <v>-3020</v>
        <stp/>
        <stp>##V3_BDHV12</stp>
        <stp>XOM US Equity</stp>
        <stp>NET_DEBT</stp>
        <stp>FQ3 2009</stp>
        <stp>FQ3 2009</stp>
        <stp>[FA1_m42y3cpi.xlsx]Bal Sheet - Standardized!R86C7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6" s="3"/>
      </tp>
      <tp>
        <v>-6455</v>
        <stp/>
        <stp>##V3_BDHV12</stp>
        <stp>XOM US Equity</stp>
        <stp>NET_DEBT</stp>
        <stp>FQ2 2009</stp>
        <stp>FQ2 2009</stp>
        <stp>[FA1_m42y3cpi.xlsx]Bal Sheet - Standardized!R86C6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6" s="3"/>
      </tp>
      <tp>
        <v>169245</v>
        <stp/>
        <stp>##V3_BDHV12</stp>
        <stp>XOM US Equity</stp>
        <stp>EQTY_BEF_MINORITY_INT_DETAILED</stp>
        <stp>FQ3 2013</stp>
        <stp>FQ3 2013</stp>
        <stp>[FA1_m42y3cpi.xlsx]Bal Sheet - Standardized!R72C23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2" s="3"/>
      </tp>
      <tp>
        <v>-4377</v>
        <stp/>
        <stp>##V3_BDHV12</stp>
        <stp>XOM US Equity</stp>
        <stp>NET_DEBT</stp>
        <stp>FQ1 2010</stp>
        <stp>FQ1 2010</stp>
        <stp>[FA1_m42y3cpi.xlsx]Bal Sheet - Standardized!R86C9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6" s="3"/>
      </tp>
      <tp>
        <v>180587</v>
        <stp/>
        <stp>##V3_BDHV12</stp>
        <stp>XOM US Equity</stp>
        <stp>EQTY_BEF_MINORITY_INT_DETAILED</stp>
        <stp>FQ3 2014</stp>
        <stp>FQ3 2014</stp>
        <stp>[FA1_m42y3cpi.xlsx]Bal Sheet - Standardized!R72C27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2" s="3"/>
      </tp>
      <tp>
        <v>170591</v>
        <stp/>
        <stp>##V3_BDHV12</stp>
        <stp>XOM US Equity</stp>
        <stp>EQTY_BEF_MINORITY_INT_DETAILED</stp>
        <stp>FQ2 2016</stp>
        <stp>FQ2 2016</stp>
        <stp>[FA1_m42y3cpi.xlsx]Bal Sheet - Standardized!R72C34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2" s="3"/>
      </tp>
      <tp>
        <v>172668</v>
        <stp/>
        <stp>##V3_BDHV12</stp>
        <stp>XOM US Equity</stp>
        <stp>EQTY_BEF_MINORITY_INT_DETAILED</stp>
        <stp>FQ2 2015</stp>
        <stp>FQ2 2015</stp>
        <stp>[FA1_m42y3cpi.xlsx]Bal Sheet - Standardized!R72C30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2" s="3"/>
      </tp>
      <tp>
        <v>-1257</v>
        <stp/>
        <stp>##V3_BDHV12</stp>
        <stp>XOM US Equity</stp>
        <stp>NET_DEBT</stp>
        <stp>FQ4 2009</stp>
        <stp>FQ4 2009</stp>
        <stp>[FA1_m42y3cpi.xlsx]Bal Sheet - Standardized!R86C8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6" s="3"/>
      </tp>
      <tp>
        <v>55748</v>
        <stp/>
        <stp>##V3_BDHV12</stp>
        <stp>XOM US Equity</stp>
        <stp>SALES_REV_TURN</stp>
        <stp>FQ1 2017</stp>
        <stp>FQ1 2017</stp>
        <stp>[FA1_m42y3cpi.xlsx]Income - Adjusted!R6C37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6" s="2"/>
      </tp>
      <tp>
        <v>5999</v>
        <stp/>
        <stp>##V3_BDHV12</stp>
        <stp>XOM US Equity</stp>
        <stp>MINORITY_NONCONTROLLING_INTEREST</stp>
        <stp>FQ4 2015</stp>
        <stp>FQ4 2015</stp>
        <stp>[FA1_m42y3cpi.xlsx]Bal Sheet - Standardized!R73C32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3" s="3"/>
      </tp>
      <tp>
        <v>6505</v>
        <stp/>
        <stp>##V3_BDHV12</stp>
        <stp>XOM US Equity</stp>
        <stp>MINORITY_NONCONTROLLING_INTEREST</stp>
        <stp>FQ4 2016</stp>
        <stp>FQ4 2016</stp>
        <stp>[FA1_m42y3cpi.xlsx]Bal Sheet - Standardized!R73C36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3" s="3"/>
      </tp>
      <tp>
        <v>0</v>
        <stp/>
        <stp>##V3_BDHV12</stp>
        <stp>XOM US Equity</stp>
        <stp>BS_ACCRUED_LIABILITIES</stp>
        <stp>FQ4 2015</stp>
        <stp>FQ4 2015</stp>
        <stp>[FA1_m42y3cpi.xlsx]Bal Sheet - Standardized!R59C32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9" s="3"/>
      </tp>
      <tp>
        <v>0</v>
        <stp/>
        <stp>##V3_BDHV12</stp>
        <stp>XOM US Equity</stp>
        <stp>BS_ACCRUED_LIABILITIES</stp>
        <stp>FQ4 2016</stp>
        <stp>FQ4 2016</stp>
        <stp>[FA1_m42y3cpi.xlsx]Bal Sheet - Standardized!R59C36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9" s="3"/>
      </tp>
      <tp>
        <v>9724</v>
        <stp/>
        <stp>##V3_BDHV12</stp>
        <stp>XOM US Equity</stp>
        <stp>IS_INC_BEF_XO_ITEM</stp>
        <stp>FQ4 2011</stp>
        <stp>FQ4 2011</stp>
        <stp>[FA1_m42y3cpi.xlsx]Income - Adjusted!R34C16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2"/>
      </tp>
      <tp>
        <v>1781</v>
        <stp/>
        <stp>##V3_BDHV12</stp>
        <stp>XOM US Equity</stp>
        <stp>IS_INC_BEF_XO_ITEM</stp>
        <stp>FQ1 2016</stp>
        <stp>FQ1 2016</stp>
        <stp>[FA1_m42y3cpi.xlsx]Income - Adjusted!R34C33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2"/>
      </tp>
      <tp>
        <v>4262</v>
        <stp/>
        <stp>##V3_BDHV12</stp>
        <stp>XOM US Equity</stp>
        <stp>IS_INC_BEF_XO_ITEM</stp>
        <stp>FQ2 2015</stp>
        <stp>FQ2 2015</stp>
        <stp>[FA1_m42y3cpi.xlsx]Income - Adjusted!R34C30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2"/>
      </tp>
      <tp>
        <v>9117</v>
        <stp/>
        <stp>##V3_BDHV12</stp>
        <stp>XOM US Equity</stp>
        <stp>IS_INC_BEF_XO_ITEM</stp>
        <stp>FQ2 2014</stp>
        <stp>FQ2 2014</stp>
        <stp>[FA1_m42y3cpi.xlsx]Income - Adjusted!R34C26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2"/>
      </tp>
      <tp>
        <v>10302</v>
        <stp/>
        <stp>##V3_BDHV12</stp>
        <stp>XOM US Equity</stp>
        <stp>IS_INC_BEF_XO_ITEM</stp>
        <stp>FQ4 2012</stp>
        <stp>FQ4 2012</stp>
        <stp>[FA1_m42y3cpi.xlsx]Income - Adjusted!R34C20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2"/>
      </tp>
      <tp>
        <v>61864</v>
        <stp/>
        <stp>##V3_BDHV12</stp>
        <stp>XOM US Equity</stp>
        <stp>BS_CUR_ASSET_REPORT</stp>
        <stp>FQ1 2014</stp>
        <stp>FQ1 2014</stp>
        <stp>[FA1_m42y3cpi.xlsx]Bal Sheet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3"/>
      </tp>
      <tp>
        <v>62216</v>
        <stp/>
        <stp>##V3_BDHV12</stp>
        <stp>XOM US Equity</stp>
        <stp>BS_CUR_ASSET_REPORT</stp>
        <stp>FQ2 2010</stp>
        <stp>FQ2 2010</stp>
        <stp>[FA1_m42y3cpi.xlsx]Bal Sheet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3"/>
      </tp>
      <tp t="s">
        <v>—</v>
        <stp/>
        <stp>##V3_BDHV12</stp>
        <stp>XOM US Equity</stp>
        <stp>BS_GOODWILL</stp>
        <stp>FQ3 2017</stp>
        <stp>FQ3 2017</stp>
        <stp>[FA1_m42y3cpi.xlsx]Bal Sheet - Standardized!R31C39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3"/>
      </tp>
      <tp>
        <v>62594</v>
        <stp/>
        <stp>##V3_BDHV12</stp>
        <stp>XOM US Equity</stp>
        <stp>BS_CUR_ASSET_REPORT</stp>
        <stp>FQ1 2013</stp>
        <stp>FQ1 2013</stp>
        <stp>[FA1_m42y3cpi.xlsx]Bal Sheet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3"/>
      </tp>
      <tp>
        <v>72305</v>
        <stp/>
        <stp>##V3_BDHV12</stp>
        <stp>XOM US Equity</stp>
        <stp>BS_CUR_ASSET_REPORT</stp>
        <stp>FQ2 2011</stp>
        <stp>FQ2 2011</stp>
        <stp>[FA1_m42y3cpi.xlsx]Bal Sheet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3"/>
      </tp>
      <tp>
        <v>72797</v>
        <stp/>
        <stp>##V3_BDHV12</stp>
        <stp>XOM US Equity</stp>
        <stp>BS_CUR_ASSET_REPORT</stp>
        <stp>FQ2 2012</stp>
        <stp>FQ2 2012</stp>
        <stp>[FA1_m42y3cpi.xlsx]Bal Sheet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3"/>
      </tp>
      <tp t="s">
        <v>—</v>
        <stp/>
        <stp>##V3_BDHV12</stp>
        <stp>XOM US Equity</stp>
        <stp>BS_GOODWILL</stp>
        <stp>FQ3 2015</stp>
        <stp>FQ3 2015</stp>
        <stp>[FA1_m42y3cpi.xlsx]Bal Sheet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3"/>
      </tp>
      <tp>
        <v>12.7943</v>
        <stp/>
        <stp>##V3_BDHV12</stp>
        <stp>XOM US Equity</stp>
        <stp>EBITDA_MARGIN</stp>
        <stp>FQ4 2016</stp>
        <stp>FQ4 2016</stp>
        <stp>[FA1_m42y3cpi.xlsx]Income - Adjusted!R62C36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62" s="2"/>
      </tp>
      <tp>
        <v>13.061500000000001</v>
        <stp/>
        <stp>##V3_BDHV12</stp>
        <stp>XOM US Equity</stp>
        <stp>EBITDA_MARGIN</stp>
        <stp>FQ4 2015</stp>
        <stp>FQ4 2015</stp>
        <stp>[FA1_m42y3cpi.xlsx]Income - Adjusted!R62C32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62" s="2"/>
      </tp>
      <tp>
        <v>14.020099999999999</v>
        <stp/>
        <stp>##V3_BDHV12</stp>
        <stp>XOM US Equity</stp>
        <stp>EBITDA_MARGIN</stp>
        <stp>FQ4 2014</stp>
        <stp>FQ4 2014</stp>
        <stp>[FA1_m42y3cpi.xlsx]Income - Adjusted!R62C28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62" s="2"/>
      </tp>
      <tp>
        <v>16.072500000000002</v>
        <stp/>
        <stp>##V3_BDHV12</stp>
        <stp>XOM US Equity</stp>
        <stp>EBITDA_MARGIN</stp>
        <stp>FQ4 2010</stp>
        <stp>FQ4 2010</stp>
        <stp>[FA1_m42y3cpi.xlsx]Income - Adjusted!R62C12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62" s="2"/>
      </tp>
      <tp>
        <v>14.712899999999999</v>
        <stp/>
        <stp>##V3_BDHV12</stp>
        <stp>XOM US Equity</stp>
        <stp>EBITDA_MARGIN</stp>
        <stp>FQ4 2013</stp>
        <stp>FQ4 2013</stp>
        <stp>[FA1_m42y3cpi.xlsx]Income - Adjusted!R62C24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62" s="2"/>
      </tp>
      <tp>
        <v>13.0687</v>
        <stp/>
        <stp>##V3_BDHV12</stp>
        <stp>XOM US Equity</stp>
        <stp>EBITDA_MARGIN</stp>
        <stp>FQ4 2012</stp>
        <stp>FQ4 2012</stp>
        <stp>[FA1_m42y3cpi.xlsx]Income - Adjusted!R62C20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62" s="2"/>
      </tp>
      <tp>
        <v>16.0745</v>
        <stp/>
        <stp>##V3_BDHV12</stp>
        <stp>XOM US Equity</stp>
        <stp>EBITDA_MARGIN</stp>
        <stp>FQ4 2011</stp>
        <stp>FQ4 2011</stp>
        <stp>[FA1_m42y3cpi.xlsx]Income - Adjusted!R62C16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62" s="2"/>
      </tp>
      <tp>
        <v>14.451000000000001</v>
        <stp/>
        <stp>##V3_BDHV12</stp>
        <stp>XOM US Equity</stp>
        <stp>EBITDA_MARGIN</stp>
        <stp>FQ4 2017</stp>
        <stp>FQ4 2017</stp>
        <stp>[FA1_m42y3cpi.xlsx]Income - Adjusted!R62C40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62" s="2"/>
      </tp>
      <tp t="s">
        <v>—</v>
        <stp/>
        <stp>##V3_BDHV12</stp>
        <stp>XOM US Equity</stp>
        <stp>BS_GOODWILL</stp>
        <stp>FQ1 2012</stp>
        <stp>FQ1 2012</stp>
        <stp>[FA1_m42y3cpi.xlsx]Bal Sheet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3"/>
      </tp>
      <tp t="s">
        <v>—</v>
        <stp/>
        <stp>##V3_BDHV12</stp>
        <stp>XOM US Equity</stp>
        <stp>BS_GOODWILL</stp>
        <stp>FQ2 2013</stp>
        <stp>FQ2 2013</stp>
        <stp>[FA1_m42y3cpi.xlsx]Bal Sheet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3"/>
      </tp>
      <tp t="s">
        <v>—</v>
        <stp/>
        <stp>##V3_BDHV12</stp>
        <stp>XOM US Equity</stp>
        <stp>BS_GOODWILL</stp>
        <stp>FQ1 2011</stp>
        <stp>FQ1 2011</stp>
        <stp>[FA1_m42y3cpi.xlsx]Bal Sheet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3"/>
      </tp>
      <tp>
        <v>0</v>
        <stp/>
        <stp>##V3_BDHV12</stp>
        <stp>XOM US Equity</stp>
        <stp>BS_GOODWILL</stp>
        <stp>FQ4 2017</stp>
        <stp>FQ4 2017</stp>
        <stp>[FA1_m42y3cpi.xlsx]Bal Sheet - Standardized!R31C40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3"/>
      </tp>
      <tp>
        <v>14.2165</v>
        <stp/>
        <stp>##V3_BDHV12</stp>
        <stp>XOM US Equity</stp>
        <stp>EBITDA_MARGIN</stp>
        <stp>FQ1 2018</stp>
        <stp>FQ1 2018</stp>
        <stp>[FA1_m42y3cpi.xlsx]Income - Adjusted!R62C41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62" s="2"/>
      </tp>
      <tp>
        <v>16.726400000000002</v>
        <stp/>
        <stp>##V3_BDHV12</stp>
        <stp>XOM US Equity</stp>
        <stp>EBITDA_MARGIN</stp>
        <stp>FQ1 2011</stp>
        <stp>FQ1 2011</stp>
        <stp>[FA1_m42y3cpi.xlsx]Income - Adjusted!R62C13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62" s="2"/>
      </tp>
      <tp>
        <v>13.1845</v>
        <stp/>
        <stp>##V3_BDHV12</stp>
        <stp>XOM US Equity</stp>
        <stp>EBITDA_MARGIN</stp>
        <stp>FQ1 2013</stp>
        <stp>FQ1 2013</stp>
        <stp>[FA1_m42y3cpi.xlsx]Income - Adjusted!R62C21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62" s="2"/>
      </tp>
      <tp>
        <v>15.429</v>
        <stp/>
        <stp>##V3_BDHV12</stp>
        <stp>XOM US Equity</stp>
        <stp>EBITDA_MARGIN</stp>
        <stp>FQ1 2012</stp>
        <stp>FQ1 2012</stp>
        <stp>[FA1_m42y3cpi.xlsx]Income - Adjusted!R62C17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62" s="2"/>
      </tp>
      <tp>
        <v>13.9666</v>
        <stp/>
        <stp>##V3_BDHV12</stp>
        <stp>XOM US Equity</stp>
        <stp>EBITDA_MARGIN</stp>
        <stp>FQ1 2017</stp>
        <stp>FQ1 2017</stp>
        <stp>[FA1_m42y3cpi.xlsx]Income - Adjusted!R62C37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62" s="2"/>
      </tp>
      <tp>
        <v>12.615500000000001</v>
        <stp/>
        <stp>##V3_BDHV12</stp>
        <stp>XOM US Equity</stp>
        <stp>EBITDA_MARGIN</stp>
        <stp>FQ1 2016</stp>
        <stp>FQ1 2016</stp>
        <stp>[FA1_m42y3cpi.xlsx]Income - Adjusted!R62C33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62" s="2"/>
      </tp>
      <tp>
        <v>14.6028</v>
        <stp/>
        <stp>##V3_BDHV12</stp>
        <stp>XOM US Equity</stp>
        <stp>EBITDA_MARGIN</stp>
        <stp>FQ1 2014</stp>
        <stp>FQ1 2014</stp>
        <stp>[FA1_m42y3cpi.xlsx]Income - Adjusted!R62C25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62" s="2"/>
      </tp>
      <tp>
        <v>13.579599999999999</v>
        <stp/>
        <stp>##V3_BDHV12</stp>
        <stp>XOM US Equity</stp>
        <stp>EBITDA_MARGIN</stp>
        <stp>FQ1 2015</stp>
        <stp>FQ1 2015</stp>
        <stp>[FA1_m42y3cpi.xlsx]Income - Adjusted!R62C29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62" s="2"/>
      </tp>
      <tp>
        <v>50658</v>
        <stp/>
        <stp>##V3_BDHV12</stp>
        <stp>XOM US Equity</stp>
        <stp>BS_CUR_ASSET_REPORT</stp>
        <stp>FQ1 2015</stp>
        <stp>FQ1 2015</stp>
        <stp>[FA1_m42y3cpi.xlsx]Bal Sheet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3"/>
      </tp>
      <tp>
        <v>12.8744</v>
        <stp/>
        <stp>##V3_BDHV12</stp>
        <stp>XOM US Equity</stp>
        <stp>EBITDA_MARGIN</stp>
        <stp>FQ3 2012</stp>
        <stp>FQ3 2012</stp>
        <stp>[FA1_m42y3cpi.xlsx]Income - Adjusted!R62C19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62" s="2"/>
      </tp>
      <tp>
        <v>16.6279</v>
        <stp/>
        <stp>##V3_BDHV12</stp>
        <stp>XOM US Equity</stp>
        <stp>EBITDA_MARGIN</stp>
        <stp>FQ3 2011</stp>
        <stp>FQ3 2011</stp>
        <stp>[FA1_m42y3cpi.xlsx]Income - Adjusted!R62C15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62" s="2"/>
      </tp>
      <tp>
        <v>14.9437</v>
        <stp/>
        <stp>##V3_BDHV12</stp>
        <stp>XOM US Equity</stp>
        <stp>EBITDA_MARGIN</stp>
        <stp>FQ3 2013</stp>
        <stp>FQ3 2013</stp>
        <stp>[FA1_m42y3cpi.xlsx]Income - Adjusted!R62C23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62" s="2"/>
      </tp>
      <tp>
        <v>15.245699999999999</v>
        <stp/>
        <stp>##V3_BDHV12</stp>
        <stp>XOM US Equity</stp>
        <stp>EBITDA_MARGIN</stp>
        <stp>FQ3 2010</stp>
        <stp>FQ3 2010</stp>
        <stp>[FA1_m42y3cpi.xlsx]Income - Adjusted!R62C11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62" s="2"/>
      </tp>
      <tp>
        <v>14.3782</v>
        <stp/>
        <stp>##V3_BDHV12</stp>
        <stp>XOM US Equity</stp>
        <stp>EBITDA_MARGIN</stp>
        <stp>FQ3 2014</stp>
        <stp>FQ3 2014</stp>
        <stp>[FA1_m42y3cpi.xlsx]Income - Adjusted!R62C27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62" s="2"/>
      </tp>
      <tp>
        <v>13.4895</v>
        <stp/>
        <stp>##V3_BDHV12</stp>
        <stp>XOM US Equity</stp>
        <stp>EBITDA_MARGIN</stp>
        <stp>FQ3 2015</stp>
        <stp>FQ3 2015</stp>
        <stp>[FA1_m42y3cpi.xlsx]Income - Adjusted!R62C31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62" s="2"/>
      </tp>
      <tp>
        <v>14.979800000000001</v>
        <stp/>
        <stp>##V3_BDHV12</stp>
        <stp>XOM US Equity</stp>
        <stp>EBITDA_MARGIN</stp>
        <stp>FQ3 2017</stp>
        <stp>FQ3 2017</stp>
        <stp>[FA1_m42y3cpi.xlsx]Income - Adjusted!R62C39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62" s="2"/>
      </tp>
      <tp>
        <v>11.3184</v>
        <stp/>
        <stp>##V3_BDHV12</stp>
        <stp>XOM US Equity</stp>
        <stp>EBITDA_MARGIN</stp>
        <stp>FQ3 2016</stp>
        <stp>FQ3 2016</stp>
        <stp>[FA1_m42y3cpi.xlsx]Income - Adjusted!R62C35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62" s="2"/>
      </tp>
      <tp t="s">
        <v>—</v>
        <stp/>
        <stp>##V3_BDHV12</stp>
        <stp>XOM US Equity</stp>
        <stp>BS_GOODWILL</stp>
        <stp>FQ3 2016</stp>
        <stp>FQ3 2016</stp>
        <stp>[FA1_m42y3cpi.xlsx]Bal Sheet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3"/>
      </tp>
      <tp t="s">
        <v>—</v>
        <stp/>
        <stp>##V3_BDHV12</stp>
        <stp>XOM US Equity</stp>
        <stp>BS_GOODWILL</stp>
        <stp>FQ2 2014</stp>
        <stp>FQ2 2014</stp>
        <stp>[FA1_m42y3cpi.xlsx]Bal Sheet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3"/>
      </tp>
      <tp>
        <v>14.252599999999999</v>
        <stp/>
        <stp>##V3_BDHV12</stp>
        <stp>XOM US Equity</stp>
        <stp>EBITDA_MARGIN</stp>
        <stp>FQ2 2018</stp>
        <stp>FQ2 2018</stp>
        <stp>[FA1_m42y3cpi.xlsx]Income - Adjusted!R62C42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62" s="2"/>
      </tp>
      <tp>
        <v>12.741199999999999</v>
        <stp/>
        <stp>##V3_BDHV12</stp>
        <stp>XOM US Equity</stp>
        <stp>EBITDA_MARGIN</stp>
        <stp>FQ2 2012</stp>
        <stp>FQ2 2012</stp>
        <stp>[FA1_m42y3cpi.xlsx]Income - Adjusted!R62C18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62" s="2"/>
      </tp>
      <tp>
        <v>14.621</v>
        <stp/>
        <stp>##V3_BDHV12</stp>
        <stp>XOM US Equity</stp>
        <stp>EBITDA_MARGIN</stp>
        <stp>FQ2 2010</stp>
        <stp>FQ2 2010</stp>
        <stp>[FA1_m42y3cpi.xlsx]Income - Adjusted!R62C10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62" s="2"/>
      </tp>
      <tp>
        <v>15.549200000000001</v>
        <stp/>
        <stp>##V3_BDHV12</stp>
        <stp>XOM US Equity</stp>
        <stp>EBITDA_MARGIN</stp>
        <stp>FQ2 2013</stp>
        <stp>FQ2 2013</stp>
        <stp>[FA1_m42y3cpi.xlsx]Income - Adjusted!R62C22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62" s="2"/>
      </tp>
      <tp>
        <v>16.750699999999998</v>
        <stp/>
        <stp>##V3_BDHV12</stp>
        <stp>XOM US Equity</stp>
        <stp>EBITDA_MARGIN</stp>
        <stp>FQ2 2011</stp>
        <stp>FQ2 2011</stp>
        <stp>[FA1_m42y3cpi.xlsx]Income - Adjusted!R62C14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62" s="2"/>
      </tp>
      <tp>
        <v>14.354100000000001</v>
        <stp/>
        <stp>##V3_BDHV12</stp>
        <stp>XOM US Equity</stp>
        <stp>EBITDA_MARGIN</stp>
        <stp>FQ2 2014</stp>
        <stp>FQ2 2014</stp>
        <stp>[FA1_m42y3cpi.xlsx]Income - Adjusted!R62C26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62" s="2"/>
      </tp>
      <tp>
        <v>13.6244</v>
        <stp/>
        <stp>##V3_BDHV12</stp>
        <stp>XOM US Equity</stp>
        <stp>EBITDA_MARGIN</stp>
        <stp>FQ2 2015</stp>
        <stp>FQ2 2015</stp>
        <stp>[FA1_m42y3cpi.xlsx]Income - Adjusted!R62C30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62" s="2"/>
      </tp>
      <tp>
        <v>12.151299999999999</v>
        <stp/>
        <stp>##V3_BDHV12</stp>
        <stp>XOM US Equity</stp>
        <stp>EBITDA_MARGIN</stp>
        <stp>FQ2 2016</stp>
        <stp>FQ2 2016</stp>
        <stp>[FA1_m42y3cpi.xlsx]Income - Adjusted!R62C34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62" s="2"/>
      </tp>
      <tp>
        <v>14.2521</v>
        <stp/>
        <stp>##V3_BDHV12</stp>
        <stp>XOM US Equity</stp>
        <stp>EBITDA_MARGIN</stp>
        <stp>FQ2 2017</stp>
        <stp>FQ2 2017</stp>
        <stp>[FA1_m42y3cpi.xlsx]Income - Adjusted!R62C38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62" s="2"/>
      </tp>
      <tp>
        <v>158</v>
        <stp/>
        <stp>##V3_BDHV12</stp>
        <stp>XOM US Equity</stp>
        <stp>IS_INT_EXPENSE</stp>
        <stp>FQ2 2017</stp>
        <stp>FQ2 2017</stp>
        <stp>[FA1_m42y3cpi.xlsx]Income - Adjusted!R19C38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9" s="2"/>
      </tp>
      <tp>
        <v>5114.5540000000001</v>
        <stp/>
        <stp>##V3_BDHV12</stp>
        <stp>XOM US Equity</stp>
        <stp>EQY_SH_OUT</stp>
        <stp>FQ2 2010</stp>
        <stp>FQ2 2010</stp>
        <stp>[FA1_m42y3cpi.xlsx]Stock Value!R13C10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3" s="6"/>
      </tp>
      <tp>
        <v>4146.6930000000002</v>
        <stp/>
        <stp>##V3_BDHV12</stp>
        <stp>XOM US Equity</stp>
        <stp>EQY_SH_OUT</stp>
        <stp>FQ4 2016</stp>
        <stp>FQ4 2016</stp>
        <stp>[FA1_m42y3cpi.xlsx]Stock Value!R13C36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3" s="6"/>
      </tp>
      <tp>
        <v>5091.8040000000001</v>
        <stp/>
        <stp>##V3_BDHV12</stp>
        <stp>XOM US Equity</stp>
        <stp>EQY_SH_OUT</stp>
        <stp>FQ3 2010</stp>
        <stp>FQ3 2010</stp>
        <stp>[FA1_m42y3cpi.xlsx]Stock Value!R13C11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3" s="6"/>
      </tp>
      <tp>
        <v>4958.598</v>
        <stp/>
        <stp>##V3_BDHV12</stp>
        <stp>XOM US Equity</stp>
        <stp>EQY_SH_OUT</stp>
        <stp>FQ1 2011</stp>
        <stp>FQ1 2011</stp>
        <stp>[FA1_m42y3cpi.xlsx]Stock Value!R13C13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3" s="6"/>
      </tp>
      <tp>
        <v>4169.4489999999996</v>
        <stp/>
        <stp>##V3_BDHV12</stp>
        <stp>XOM US Equity</stp>
        <stp>EQY_SH_OUT</stp>
        <stp>FQ3 2015</stp>
        <stp>FQ3 2015</stp>
        <stp>[FA1_m42y3cpi.xlsx]Stock Value!R13C31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3" s="6"/>
      </tp>
      <tp>
        <v>4181.1080000000002</v>
        <stp/>
        <stp>##V3_BDHV12</stp>
        <stp>XOM US Equity</stp>
        <stp>EQY_SH_OUT</stp>
        <stp>FQ2 2015</stp>
        <stp>FQ2 2015</stp>
        <stp>[FA1_m42y3cpi.xlsx]Stock Value!R13C30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3" s="6"/>
      </tp>
      <tp>
        <v>4152.7569999999996</v>
        <stp/>
        <stp>##V3_BDHV12</stp>
        <stp>XOM US Equity</stp>
        <stp>EQY_SH_OUT</stp>
        <stp>FQ1 2016</stp>
        <stp>FQ1 2016</stp>
        <stp>[FA1_m42y3cpi.xlsx]Stock Value!R13C33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3" s="6"/>
      </tp>
      <tp>
        <v>4793.2079999999996</v>
        <stp/>
        <stp>##V3_BDHV12</stp>
        <stp>XOM US Equity</stp>
        <stp>EQY_SH_OUT</stp>
        <stp>FQ4 2011</stp>
        <stp>FQ4 2011</stp>
        <stp>[FA1_m42y3cpi.xlsx]Stock Value!R13C16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3" s="6"/>
      </tp>
      <tp>
        <v>1.27</v>
        <stp/>
        <stp>##V3_BDHV12</stp>
        <stp>XOM US Equity</stp>
        <stp>IS_DIL_EPS_BEF_XO</stp>
        <stp>FQ4 2009</stp>
        <stp>FQ4 2009</stp>
        <stp>[FA1_m42y3cpi.xlsx]Income - Adjusted!R56C8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6" s="2"/>
      </tp>
      <tp>
        <v>166713</v>
        <stp/>
        <stp>##V3_BDHV12</stp>
        <stp>XOM US Equity</stp>
        <stp>EQTY_BEF_MINORITY_INT_DETAILED</stp>
        <stp>FQ3 2012</stp>
        <stp>FQ3 2012</stp>
        <stp>[FA1_m42y3cpi.xlsx]Bal Sheet - Standardized!R72C19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2" s="3"/>
      </tp>
      <tp>
        <v>145031</v>
        <stp/>
        <stp>##V3_BDHV12</stp>
        <stp>XOM US Equity</stp>
        <stp>EQTY_BEF_MINORITY_INT_DETAILED</stp>
        <stp>FQ3 2010</stp>
        <stp>FQ3 2010</stp>
        <stp>[FA1_m42y3cpi.xlsx]Bal Sheet - Standardized!R72C11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2" s="3"/>
      </tp>
      <tp>
        <v>177151</v>
        <stp/>
        <stp>##V3_BDHV12</stp>
        <stp>XOM US Equity</stp>
        <stp>EQTY_BEF_MINORITY_INT_DETAILED</stp>
        <stp>FQ1 2017</stp>
        <stp>FQ1 2017</stp>
        <stp>[FA1_m42y3cpi.xlsx]Bal Sheet - Standardized!R72C37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2" s="3"/>
      </tp>
      <tp>
        <v>155939</v>
        <stp/>
        <stp>##V3_BDHV12</stp>
        <stp>XOM US Equity</stp>
        <stp>EQTY_BEF_MINORITY_INT_DETAILED</stp>
        <stp>FQ3 2011</stp>
        <stp>FQ3 2011</stp>
        <stp>[FA1_m42y3cpi.xlsx]Bal Sheet - Standardized!R72C15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2" s="3"/>
      </tp>
      <tp>
        <v>172187</v>
        <stp/>
        <stp>##V3_BDHV12</stp>
        <stp>XOM US Equity</stp>
        <stp>EQTY_BEF_MINORITY_INT_DETAILED</stp>
        <stp>FQ1 2016</stp>
        <stp>FQ1 2016</stp>
        <stp>[FA1_m42y3cpi.xlsx]Bal Sheet - Standardized!R72C33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2" s="3"/>
      </tp>
      <tp>
        <v>93428</v>
        <stp/>
        <stp>##V3_BDHV12</stp>
        <stp>XOM US Equity</stp>
        <stp>IS_SALES_AND_SERVICES_REVENUES</stp>
        <stp>FQ4 2010</stp>
        <stp>FQ4 2010</stp>
        <stp>[FA1_m42y3cpi.xlsx]Income - Adjusted!R7C12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7" s="2"/>
      </tp>
      <tp>
        <v>2.6592000000000002</v>
        <stp/>
        <stp>##V3_BDHV12</stp>
        <stp>XOM US Equity</stp>
        <stp>CASH_ST_INVESTMENTS_PER_SH</stp>
        <stp>FQ3 2009</stp>
        <stp>FQ3 2009</stp>
        <stp>[FA1_m42y3cpi.xlsx]Per Share!R25C7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5" s="5"/>
      </tp>
      <tp>
        <v>3.2728000000000002</v>
        <stp/>
        <stp>##V3_BDHV12</stp>
        <stp>XOM US Equity</stp>
        <stp>CASH_ST_INVESTMENTS_PER_SH</stp>
        <stp>FQ2 2009</stp>
        <stp>FQ2 2009</stp>
        <stp>[FA1_m42y3cpi.xlsx]Per Share!R25C6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5" s="5"/>
      </tp>
      <tp>
        <v>5.1516000000000002</v>
        <stp/>
        <stp>##V3_BDHV12</stp>
        <stp>XOM US Equity</stp>
        <stp>CASH_ST_INVESTMENTS_PER_SH</stp>
        <stp>FQ1 2009</stp>
        <stp>FQ1 2009</stp>
        <stp>[FA1_m42y3cpi.xlsx]Per Share!R25C5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5" s="5"/>
      </tp>
      <tp>
        <v>101409</v>
        <stp/>
        <stp>##V3_BDHV12</stp>
        <stp>XOM US Equity</stp>
        <stp>IS_SALES_AND_SERVICES_REVENUES</stp>
        <stp>FQ4 2012</stp>
        <stp>FQ4 2012</stp>
        <stp>[FA1_m42y3cpi.xlsx]Income - Adjusted!R7C20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7" s="2"/>
      </tp>
      <tp t="s">
        <v>—</v>
        <stp/>
        <stp>##V3_BDHV12</stp>
        <stp>XOM US Equity</stp>
        <stp>BS_DISCLOSED_INTANGIBLES</stp>
        <stp>FQ1 2010</stp>
        <stp>FQ1 2010</stp>
        <stp>[FA1_m42y3cpi.xlsx]Bal Sheet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3"/>
      </tp>
      <tp>
        <v>0</v>
        <stp/>
        <stp>##V3_BDHV12</stp>
        <stp>XOM US Equity</stp>
        <stp>BS_DISCLOSED_INTANGIBLES</stp>
        <stp>FQ4 2009</stp>
        <stp>FQ4 2009</stp>
        <stp>[FA1_m42y3cpi.xlsx]Bal Sheet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3"/>
      </tp>
      <tp>
        <v>85181</v>
        <stp/>
        <stp>##V3_BDHV12</stp>
        <stp>XOM US Equity</stp>
        <stp>SALES_REV_TURN</stp>
        <stp>FQ3 2010</stp>
        <stp>FQ3 2010</stp>
        <stp>[FA1_m42y3cpi.xlsx]Income - Adjusted!R6C11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82747</v>
        <stp/>
        <stp>##V3_BDHV12</stp>
        <stp>XOM US Equity</stp>
        <stp>SALES_REV_TURN</stp>
        <stp>FQ2 2010</stp>
        <stp>FQ2 2010</stp>
        <stp>[FA1_m42y3cpi.xlsx]Income - Adjusted!R6C10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0</v>
        <stp/>
        <stp>##V3_BDHV12</stp>
        <stp>XOM US Equity</stp>
        <stp>BS_DISCLOSED_INTANGIBLES</stp>
        <stp>FQ4 2008</stp>
        <stp>FQ4 2008</stp>
        <stp>[FA1_m42y3cpi.xlsx]Bal Sheet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3"/>
      </tp>
      <tp>
        <v>0</v>
        <stp/>
        <stp>##V3_BDHV12</stp>
        <stp>XOM US Equity</stp>
        <stp>BS_DISCLOSED_INTANGIBLES</stp>
        <stp>FQ3 2008</stp>
        <stp>FQ3 2008</stp>
        <stp>[FA1_m42y3cpi.xlsx]Bal Sheet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3"/>
      </tp>
      <tp t="s">
        <v>—</v>
        <stp/>
        <stp>##V3_BDHV12</stp>
        <stp>XOM US Equity</stp>
        <stp>BS_DISCLOSED_INTANGIBLES</stp>
        <stp>FQ1 2009</stp>
        <stp>FQ1 2009</stp>
        <stp>[FA1_m42y3cpi.xlsx]Bal Sheet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3"/>
      </tp>
      <tp t="s">
        <v>—</v>
        <stp/>
        <stp>##V3_BDHV12</stp>
        <stp>XOM US Equity</stp>
        <stp>BS_DISCLOSED_INTANGIBLES</stp>
        <stp>FQ2 2009</stp>
        <stp>FQ2 2009</stp>
        <stp>[FA1_m42y3cpi.xlsx]Bal Sheet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3"/>
      </tp>
      <tp t="s">
        <v>—</v>
        <stp/>
        <stp>##V3_BDHV12</stp>
        <stp>XOM US Equity</stp>
        <stp>BS_DISCLOSED_INTANGIBLES</stp>
        <stp>FQ3 2009</stp>
        <stp>FQ3 2009</stp>
        <stp>[FA1_m42y3cpi.xlsx]Bal Sheet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3"/>
      </tp>
      <tp>
        <v>20451</v>
        <stp/>
        <stp>##V3_BDHV12</stp>
        <stp>XOM US Equity</stp>
        <stp>PENSION_LIABILITIES</stp>
        <stp>FQ1 2009</stp>
        <stp>FQ1 2009</stp>
        <stp>[FA1_m42y3cpi.xlsx]Bal Sheet - Standardized!R60C5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0" s="3"/>
      </tp>
      <tp>
        <v>18632</v>
        <stp/>
        <stp>##V3_BDHV12</stp>
        <stp>XOM US Equity</stp>
        <stp>PENSION_LIABILITIES</stp>
        <stp>FQ3 2009</stp>
        <stp>FQ3 2009</stp>
        <stp>[FA1_m42y3cpi.xlsx]Bal Sheet - Standardized!R60C7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0" s="3"/>
      </tp>
      <tp>
        <v>18287</v>
        <stp/>
        <stp>##V3_BDHV12</stp>
        <stp>XOM US Equity</stp>
        <stp>PENSION_LIABILITIES</stp>
        <stp>FQ2 2009</stp>
        <stp>FQ2 2009</stp>
        <stp>[FA1_m42y3cpi.xlsx]Bal Sheet - Standardized!R60C6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0" s="3"/>
      </tp>
      <tp>
        <v>8409</v>
        <stp/>
        <stp>##V3_BDHV12</stp>
        <stp>XOM US Equity</stp>
        <stp>IS_INC_BEF_XO_ITEM</stp>
        <stp>FQ4 2017</stp>
        <stp>FQ4 2017</stp>
        <stp>[FA1_m42y3cpi.xlsx]Income - Adjusted!R34C40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4" s="2"/>
      </tp>
      <tp>
        <v>1681</v>
        <stp/>
        <stp>##V3_BDHV12</stp>
        <stp>XOM US Equity</stp>
        <stp>IS_INC_BEF_XO_ITEM</stp>
        <stp>FQ2 2016</stp>
        <stp>FQ2 2016</stp>
        <stp>[FA1_m42y3cpi.xlsx]Income - Adjusted!R34C34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2"/>
      </tp>
      <tp t="s">
        <v>—</v>
        <stp/>
        <stp>##V3_BDHV12</stp>
        <stp>XOM US Equity</stp>
        <stp>PENSION_LIABILITIES</stp>
        <stp>FQ3 2008</stp>
        <stp>FQ3 2008</stp>
        <stp>[FA1_m42y3cpi.xlsx]Bal Sheet - Standardized!R60C3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0" s="3"/>
      </tp>
      <tp t="s">
        <v>—</v>
        <stp/>
        <stp>##V3_BDHV12</stp>
        <stp>XOM US Equity</stp>
        <stp>PENSION_LIABILITIES</stp>
        <stp>FQ4 2008</stp>
        <stp>FQ4 2008</stp>
        <stp>[FA1_m42y3cpi.xlsx]Bal Sheet - Standardized!R60C4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0" s="3"/>
      </tp>
      <tp>
        <v>9370</v>
        <stp/>
        <stp>##V3_BDHV12</stp>
        <stp>XOM US Equity</stp>
        <stp>IS_INC_BEF_XO_ITEM</stp>
        <stp>FQ1 2014</stp>
        <stp>FQ1 2014</stp>
        <stp>[FA1_m42y3cpi.xlsx]Income - Adjusted!R34C25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2"/>
      </tp>
      <tp>
        <v>1.1527000000000001</v>
        <stp/>
        <stp>##V3_BDHV12</stp>
        <stp>XOM US Equity</stp>
        <stp>CUR_RATIO</stp>
        <stp>FQ2 2009</stp>
        <stp>FQ2 2009</stp>
        <stp>[FA1_m42y3cpi.xlsx]Bal Sheet - Standardized!R89C6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9" s="3"/>
      </tp>
      <tp>
        <v>4085</v>
        <stp/>
        <stp>##V3_BDHV12</stp>
        <stp>XOM US Equity</stp>
        <stp>IS_INC_BEF_XO_ITEM</stp>
        <stp>FQ3 2017</stp>
        <stp>FQ3 2017</stp>
        <stp>[FA1_m42y3cpi.xlsx]Income - Adjusted!R34C39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4" s="2"/>
      </tp>
      <tp>
        <v>1.083</v>
        <stp/>
        <stp>##V3_BDHV12</stp>
        <stp>XOM US Equity</stp>
        <stp>CUR_RATIO</stp>
        <stp>FQ3 2009</stp>
        <stp>FQ3 2009</stp>
        <stp>[FA1_m42y3cpi.xlsx]Bal Sheet - Standardized!R89C7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9" s="3"/>
      </tp>
      <tp>
        <v>17942</v>
        <stp/>
        <stp>##V3_BDHV12</stp>
        <stp>XOM US Equity</stp>
        <stp>PENSION_LIABILITIES</stp>
        <stp>FQ4 2009</stp>
        <stp>FQ4 2009</stp>
        <stp>[FA1_m42y3cpi.xlsx]Bal Sheet - Standardized!R60C8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0" s="3"/>
      </tp>
      <tp>
        <v>1.3092999999999999</v>
        <stp/>
        <stp>##V3_BDHV12</stp>
        <stp>XOM US Equity</stp>
        <stp>CUR_RATIO</stp>
        <stp>FQ1 2009</stp>
        <stp>FQ1 2009</stp>
        <stp>[FA1_m42y3cpi.xlsx]Bal Sheet - Standardized!R89C5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9" s="3"/>
      </tp>
      <tp>
        <v>17587</v>
        <stp/>
        <stp>##V3_BDHV12</stp>
        <stp>XOM US Equity</stp>
        <stp>PENSION_LIABILITIES</stp>
        <stp>FQ1 2010</stp>
        <stp>FQ1 2010</stp>
        <stp>[FA1_m42y3cpi.xlsx]Bal Sheet - Standardized!R60C9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0" s="3"/>
      </tp>
      <tp>
        <v>4184.4480000000003</v>
        <stp/>
        <stp>##V3_BDHV12</stp>
        <stp>XOM US Equity</stp>
        <stp>EQY_FLOAT</stp>
        <stp>FQ1 2015</stp>
        <stp>FQ1 2015</stp>
        <stp>[FA1_m42y3cpi.xlsx]Stock Value!R14C29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4" s="6"/>
      </tp>
      <tp>
        <v>64013</v>
        <stp/>
        <stp>##V3_BDHV12</stp>
        <stp>XOM US Equity</stp>
        <stp>BS_CUR_ASSET_REPORT</stp>
        <stp>FQ2 2014</stp>
        <stp>FQ2 2014</stp>
        <stp>[FA1_m42y3cpi.xlsx]Bal Sheet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3"/>
      </tp>
      <tp>
        <v>42945</v>
        <stp/>
        <stp>##V3_BDHV12</stp>
        <stp>XOM US Equity</stp>
        <stp>BS_CUR_ASSET_REPORT</stp>
        <stp>FQ3 2016</stp>
        <stp>FQ3 2016</stp>
        <stp>[FA1_m42y3cpi.xlsx]Bal Sheet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3"/>
      </tp>
      <tp t="s">
        <v>—</v>
        <stp/>
        <stp>##V3_BDHV12</stp>
        <stp>XOM US Equity</stp>
        <stp>BS_GOODWILL</stp>
        <stp>FQ1 2015</stp>
        <stp>FQ1 2015</stp>
        <stp>[FA1_m42y3cpi.xlsx]Bal Sheet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3"/>
      </tp>
      <tp>
        <v>72022</v>
        <stp/>
        <stp>##V3_BDHV12</stp>
        <stp>XOM US Equity</stp>
        <stp>BS_CUR_ASSET_REPORT</stp>
        <stp>FQ1 2011</stp>
        <stp>FQ1 2011</stp>
        <stp>[FA1_m42y3cpi.xlsx]Bal Sheet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3"/>
      </tp>
      <tp>
        <v>62844</v>
        <stp/>
        <stp>##V3_BDHV12</stp>
        <stp>XOM US Equity</stp>
        <stp>BS_CUR_ASSET_REPORT</stp>
        <stp>FQ2 2013</stp>
        <stp>FQ2 2013</stp>
        <stp>[FA1_m42y3cpi.xlsx]Bal Sheet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3"/>
      </tp>
      <tp>
        <v>47134</v>
        <stp/>
        <stp>##V3_BDHV12</stp>
        <stp>XOM US Equity</stp>
        <stp>BS_CUR_ASSET_REPORT</stp>
        <stp>FQ4 2017</stp>
        <stp>FQ4 2017</stp>
        <stp>[FA1_m42y3cpi.xlsx]Bal Sheet - Standardized!R22C40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3"/>
      </tp>
      <tp>
        <v>76160</v>
        <stp/>
        <stp>##V3_BDHV12</stp>
        <stp>XOM US Equity</stp>
        <stp>BS_CUR_ASSET_REPORT</stp>
        <stp>FQ1 2012</stp>
        <stp>FQ1 2012</stp>
        <stp>[FA1_m42y3cpi.xlsx]Bal Sheet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3"/>
      </tp>
      <tp>
        <v>47234</v>
        <stp/>
        <stp>##V3_BDHV12</stp>
        <stp>XOM US Equity</stp>
        <stp>BS_CUR_ASSET_REPORT</stp>
        <stp>FQ3 2015</stp>
        <stp>FQ3 2015</stp>
        <stp>[FA1_m42y3cpi.xlsx]Bal Sheet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3"/>
      </tp>
      <tp t="s">
        <v>—</v>
        <stp/>
        <stp>##V3_BDHV12</stp>
        <stp>XOM US Equity</stp>
        <stp>BS_GOODWILL</stp>
        <stp>FQ2 2012</stp>
        <stp>FQ2 2012</stp>
        <stp>[FA1_m42y3cpi.xlsx]Bal Sheet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3"/>
      </tp>
      <tp t="s">
        <v>—</v>
        <stp/>
        <stp>##V3_BDHV12</stp>
        <stp>XOM US Equity</stp>
        <stp>BS_GOODWILL</stp>
        <stp>FQ2 2011</stp>
        <stp>FQ2 2011</stp>
        <stp>[FA1_m42y3cpi.xlsx]Bal Sheet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3"/>
      </tp>
      <tp t="s">
        <v>—</v>
        <stp/>
        <stp>##V3_BDHV12</stp>
        <stp>XOM US Equity</stp>
        <stp>BS_GOODWILL</stp>
        <stp>FQ1 2013</stp>
        <stp>FQ1 2013</stp>
        <stp>[FA1_m42y3cpi.xlsx]Bal Sheet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3"/>
      </tp>
      <tp>
        <v>4880</v>
        <stp/>
        <stp>##V3_BDHV12</stp>
        <stp>XOM US Equity</stp>
        <stp>BS_SH_OUT</stp>
        <stp>FQ1 2009</stp>
        <stp>FQ1 2009</stp>
        <stp>[FA1_m42y3cpi.xlsx]Bal Sheet - Standardized!R79C5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9" s="3"/>
      </tp>
      <tp>
        <v>45752</v>
        <stp/>
        <stp>##V3_BDHV12</stp>
        <stp>XOM US Equity</stp>
        <stp>BS_CUR_ASSET_REPORT</stp>
        <stp>FQ3 2017</stp>
        <stp>FQ3 2017</stp>
        <stp>[FA1_m42y3cpi.xlsx]Bal Sheet - Standardized!R22C39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3"/>
      </tp>
      <tp t="s">
        <v>—</v>
        <stp/>
        <stp>##V3_BDHV12</stp>
        <stp>XOM US Equity</stp>
        <stp>BS_GOODWILL</stp>
        <stp>FQ2 2010</stp>
        <stp>FQ2 2010</stp>
        <stp>[FA1_m42y3cpi.xlsx]Bal Sheet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3"/>
      </tp>
      <tp>
        <v>4747</v>
        <stp/>
        <stp>##V3_BDHV12</stp>
        <stp>XOM US Equity</stp>
        <stp>BS_SH_OUT</stp>
        <stp>FQ3 2009</stp>
        <stp>FQ3 2009</stp>
        <stp>[FA1_m42y3cpi.xlsx]Bal Sheet - Standardized!R79C7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9" s="3"/>
      </tp>
      <tp t="s">
        <v>—</v>
        <stp/>
        <stp>##V3_BDHV12</stp>
        <stp>XOM US Equity</stp>
        <stp>BS_GOODWILL</stp>
        <stp>FQ1 2014</stp>
        <stp>FQ1 2014</stp>
        <stp>[FA1_m42y3cpi.xlsx]Bal Sheet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3"/>
      </tp>
      <tp>
        <v>4806</v>
        <stp/>
        <stp>##V3_BDHV12</stp>
        <stp>XOM US Equity</stp>
        <stp>BS_SH_OUT</stp>
        <stp>FQ2 2009</stp>
        <stp>FQ2 2009</stp>
        <stp>[FA1_m42y3cpi.xlsx]Bal Sheet - Standardized!R79C6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9" s="3"/>
      </tp>
      <tp>
        <v>42</v>
        <stp/>
        <stp>##V3_BDHV12</stp>
        <stp>XOM US Equity</stp>
        <stp>CF_INCR_CAP_STOCK</stp>
        <stp>FQ1 2010</stp>
        <stp>FQ1 2010</stp>
        <stp>[FA1_m42y3cpi.xlsx]Cash Flow - Standardized!R45C9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5" s="4"/>
      </tp>
      <tp>
        <v>614</v>
        <stp/>
        <stp>##V3_BDHV12</stp>
        <stp>XOM US Equity</stp>
        <stp>CF_INCR_CAP_STOCK</stp>
        <stp>FQ4 2009</stp>
        <stp>FQ4 2009</stp>
        <stp>[FA1_m42y3cpi.xlsx]Cash Flow - Standardized!R45C8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5" s="4"/>
      </tp>
      <tp>
        <v>435</v>
        <stp/>
        <stp>##V3_BDHV12</stp>
        <stp>XOM US Equity</stp>
        <stp>CF_INCR_CAP_STOCK</stp>
        <stp>FQ4 2008</stp>
        <stp>FQ4 2008</stp>
        <stp>[FA1_m42y3cpi.xlsx]Cash Flow - Standardized!R45C4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5" s="4"/>
      </tp>
      <tp>
        <v>63</v>
        <stp/>
        <stp>##V3_BDHV12</stp>
        <stp>XOM US Equity</stp>
        <stp>CF_INCR_CAP_STOCK</stp>
        <stp>FQ3 2008</stp>
        <stp>FQ3 2008</stp>
        <stp>[FA1_m42y3cpi.xlsx]Cash Flow - Standardized!R45C3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5" s="4"/>
      </tp>
      <tp>
        <v>121</v>
        <stp/>
        <stp>##V3_BDHV12</stp>
        <stp>XOM US Equity</stp>
        <stp>CF_INCR_CAP_STOCK</stp>
        <stp>FQ1 2009</stp>
        <stp>FQ1 2009</stp>
        <stp>[FA1_m42y3cpi.xlsx]Cash Flow - Standardized!R45C5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5" s="4"/>
      </tp>
      <tp>
        <v>135</v>
        <stp/>
        <stp>##V3_BDHV12</stp>
        <stp>XOM US Equity</stp>
        <stp>CF_INCR_CAP_STOCK</stp>
        <stp>FQ3 2009</stp>
        <stp>FQ3 2009</stp>
        <stp>[FA1_m42y3cpi.xlsx]Cash Flow - Standardized!R45C7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5" s="4"/>
      </tp>
      <tp>
        <v>119</v>
        <stp/>
        <stp>##V3_BDHV12</stp>
        <stp>XOM US Equity</stp>
        <stp>CF_INCR_CAP_STOCK</stp>
        <stp>FQ2 2009</stp>
        <stp>FQ2 2009</stp>
        <stp>[FA1_m42y3cpi.xlsx]Cash Flow - Standardized!R45C6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5" s="4"/>
      </tp>
      <tp t="s">
        <v>—</v>
        <stp/>
        <stp>##V3_BDHV12</stp>
        <stp>XOM US Equity</stp>
        <stp>IS_IMPAIRMENT_ASSETS</stp>
        <stp>FQ2 2018</stp>
        <stp>FQ2 2018</stp>
        <stp>[FA1_m42y3cpi.xlsx]Income - Adjusted!R28C42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2"/>
      </tp>
      <tp>
        <v>12227</v>
        <stp/>
        <stp>##V3_BDHV12</stp>
        <stp>XOM US Equity</stp>
        <stp>LONG_TERM_BORROWINGS_DETAILED</stp>
        <stp>FQ4 2010</stp>
        <stp>FQ4 2010</stp>
        <stp>[FA1_m42y3cpi.xlsx]Bal Sheet - Standardized!R57C12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7" s="3"/>
      </tp>
      <tp>
        <v>9322</v>
        <stp/>
        <stp>##V3_BDHV12</stp>
        <stp>XOM US Equity</stp>
        <stp>LONG_TERM_BORROWINGS_DETAILED</stp>
        <stp>FQ4 2011</stp>
        <stp>FQ4 2011</stp>
        <stp>[FA1_m42y3cpi.xlsx]Bal Sheet - Standardized!R57C16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7" s="3"/>
      </tp>
      <tp>
        <v>111</v>
        <stp/>
        <stp>##V3_BDHV12</stp>
        <stp>XOM US Equity</stp>
        <stp>IS_INT_EXPENSE</stp>
        <stp>FQ3 2017</stp>
        <stp>FQ3 2017</stp>
        <stp>[FA1_m42y3cpi.xlsx]Income - Adjusted!R19C39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9" s="2"/>
      </tp>
      <tp>
        <v>20781</v>
        <stp/>
        <stp>##V3_BDHV12</stp>
        <stp>XOM US Equity</stp>
        <stp>LONG_TERM_BORROWINGS_DETAILED</stp>
        <stp>FQ1 2018</stp>
        <stp>FQ1 2018</stp>
        <stp>[FA1_m42y3cpi.xlsx]Bal Sheet - Standardized!R57C41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7" s="3"/>
      </tp>
      <tp>
        <v>162811</v>
        <stp/>
        <stp>##V3_BDHV12</stp>
        <stp>XOM US Equity</stp>
        <stp>EQTY_BEF_MINORITY_INT_DETAILED</stp>
        <stp>FQ2 2012</stp>
        <stp>FQ2 2012</stp>
        <stp>[FA1_m42y3cpi.xlsx]Bal Sheet - Standardized!R72C18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2" s="3"/>
      </tp>
      <tp>
        <v>171227</v>
        <stp/>
        <stp>##V3_BDHV12</stp>
        <stp>XOM US Equity</stp>
        <stp>EQTY_BEF_MINORITY_INT_DETAILED</stp>
        <stp>FQ1 2015</stp>
        <stp>FQ1 2015</stp>
        <stp>[FA1_m42y3cpi.xlsx]Bal Sheet - Standardized!R72C29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2" s="3"/>
      </tp>
      <tp>
        <v>167001</v>
        <stp/>
        <stp>##V3_BDHV12</stp>
        <stp>XOM US Equity</stp>
        <stp>EQTY_BEF_MINORITY_INT_DETAILED</stp>
        <stp>FQ1 2013</stp>
        <stp>FQ1 2013</stp>
        <stp>[FA1_m42y3cpi.xlsx]Bal Sheet - Standardized!R72C21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2" s="3"/>
      </tp>
      <tp>
        <v>140172</v>
        <stp/>
        <stp>##V3_BDHV12</stp>
        <stp>XOM US Equity</stp>
        <stp>EQTY_BEF_MINORITY_INT_DETAILED</stp>
        <stp>FQ2 2010</stp>
        <stp>FQ2 2010</stp>
        <stp>[FA1_m42y3cpi.xlsx]Bal Sheet - Standardized!R72C10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2" s="3"/>
      </tp>
      <tp>
        <v>176398</v>
        <stp/>
        <stp>##V3_BDHV12</stp>
        <stp>XOM US Equity</stp>
        <stp>EQTY_BEF_MINORITY_INT_DETAILED</stp>
        <stp>FQ1 2014</stp>
        <stp>FQ1 2014</stp>
        <stp>[FA1_m42y3cpi.xlsx]Bal Sheet - Standardized!R72C25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2" s="3"/>
      </tp>
      <tp>
        <v>155551</v>
        <stp/>
        <stp>##V3_BDHV12</stp>
        <stp>XOM US Equity</stp>
        <stp>EQTY_BEF_MINORITY_INT_DETAILED</stp>
        <stp>FQ2 2011</stp>
        <stp>FQ2 2011</stp>
        <stp>[FA1_m42y3cpi.xlsx]Bal Sheet - Standardized!R72C14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2" s="3"/>
      </tp>
      <tp>
        <v>62</v>
        <stp/>
        <stp>##V3_BDHV12</stp>
        <stp>XOM US Equity</stp>
        <stp>IS_INT_EXPENSE</stp>
        <stp>FQ3 2009</stp>
        <stp>FQ3 2009</stp>
        <stp>[FA1_m42y3cpi.xlsx]Income - Adjusted!R19C7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9" s="2"/>
      </tp>
      <tp>
        <v>127.61539999999999</v>
        <stp/>
        <stp>##V3_BDHV12</stp>
        <stp>XOM US Equity</stp>
        <stp>IS_INT_EXPENSE</stp>
        <stp>FQ2 2009</stp>
        <stp>FQ2 2009</stp>
        <stp>[FA1_m42y3cpi.xlsx]Income - Adjusted!R19C6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9" s="2"/>
      </tp>
      <tp>
        <v>107</v>
        <stp/>
        <stp>##V3_BDHV12</stp>
        <stp>XOM US Equity</stp>
        <stp>IS_INT_EXPENSE</stp>
        <stp>FQ1 2009</stp>
        <stp>FQ1 2009</stp>
        <stp>[FA1_m42y3cpi.xlsx]Income - Adjusted!R19C5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9" s="2"/>
      </tp>
      <tp>
        <v>111991</v>
        <stp/>
        <stp>##V3_BDHV12</stp>
        <stp>XOM US Equity</stp>
        <stp>IS_SALES_AND_SERVICES_REVENUES</stp>
        <stp>FQ3 2011</stp>
        <stp>FQ3 2011</stp>
        <stp>[FA1_m42y3cpi.xlsx]Income - Adjusted!R7C15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7" s="2"/>
      </tp>
      <tp>
        <v>112781</v>
        <stp/>
        <stp>##V3_BDHV12</stp>
        <stp>XOM US Equity</stp>
        <stp>IS_SALES_AND_SERVICES_REVENUES</stp>
        <stp>FQ2 2011</stp>
        <stp>FQ2 2011</stp>
        <stp>[FA1_m42y3cpi.xlsx]Income - Adjusted!R7C14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7" s="2"/>
      </tp>
      <tp t="s">
        <v>—</v>
        <stp/>
        <stp>##V3_BDHV12</stp>
        <stp>XOM US Equity</stp>
        <stp>BS_ACCRUED_LIABILITIES</stp>
        <stp>FQ1 2018</stp>
        <stp>FQ1 2018</stp>
        <stp>[FA1_m42y3cpi.xlsx]Bal Sheet - Standardized!R59C41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9" s="3"/>
      </tp>
      <tp>
        <v>66515</v>
        <stp/>
        <stp>##V3_BDHV12</stp>
        <stp>XOM US Equity</stp>
        <stp>SALES_REV_TURN</stp>
        <stp>FQ4 2017</stp>
        <stp>FQ4 2017</stp>
        <stp>[FA1_m42y3cpi.xlsx]Income - Adjusted!R6C40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6" s="2"/>
      </tp>
      <tp t="s">
        <v>—</v>
        <stp/>
        <stp>##V3_BDHV12</stp>
        <stp>XOM US Equity</stp>
        <stp>BS_DEFERRED_TAX_LIABS_ST</stp>
        <stp>FQ1 2010</stp>
        <stp>FQ1 2010</stp>
        <stp>[FA1_m42y3cpi.xlsx]Bal Sheet - Standardized!R53C9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3" s="3"/>
      </tp>
      <tp>
        <v>6348</v>
        <stp/>
        <stp>##V3_BDHV12</stp>
        <stp>XOM US Equity</stp>
        <stp>MINORITY_NONCONTROLLING_INTEREST</stp>
        <stp>FQ4 2011</stp>
        <stp>FQ4 2011</stp>
        <stp>[FA1_m42y3cpi.xlsx]Bal Sheet - Standardized!R73C16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3" s="3"/>
      </tp>
      <tp>
        <v>52321</v>
        <stp/>
        <stp>##V3_BDHV12</stp>
        <stp>XOM US Equity</stp>
        <stp>SALES_REV_TURN</stp>
        <stp>FQ4 2015</stp>
        <stp>FQ4 2015</stp>
        <stp>[FA1_m42y3cpi.xlsx]Income - Adjusted!R6C32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59866</v>
        <stp/>
        <stp>##V3_BDHV12</stp>
        <stp>XOM US Equity</stp>
        <stp>IS_SALES_AND_SERVICES_REVENUES</stp>
        <stp>FQ3 2015</stp>
        <stp>FQ3 2015</stp>
        <stp>[FA1_m42y3cpi.xlsx]Income - Adjusted!R7C31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7" s="2"/>
      </tp>
      <tp>
        <v>65395</v>
        <stp/>
        <stp>##V3_BDHV12</stp>
        <stp>XOM US Equity</stp>
        <stp>IS_SALES_AND_SERVICES_REVENUES</stp>
        <stp>FQ2 2015</stp>
        <stp>FQ2 2015</stp>
        <stp>[FA1_m42y3cpi.xlsx]Income - Adjusted!R7C30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7" s="2"/>
      </tp>
      <tp t="s">
        <v>—</v>
        <stp/>
        <stp>##V3_BDHV12</stp>
        <stp>XOM US Equity</stp>
        <stp>BS_DEFERRED_TAX_LIABS_ST</stp>
        <stp>FQ4 2009</stp>
        <stp>FQ4 2009</stp>
        <stp>[FA1_m42y3cpi.xlsx]Bal Sheet - Standardized!R53C8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3" s="3"/>
      </tp>
      <tp>
        <v>5840</v>
        <stp/>
        <stp>##V3_BDHV12</stp>
        <stp>XOM US Equity</stp>
        <stp>MINORITY_NONCONTROLLING_INTEREST</stp>
        <stp>FQ4 2010</stp>
        <stp>FQ4 2010</stp>
        <stp>[FA1_m42y3cpi.xlsx]Bal Sheet - Standardized!R73C12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3" s="3"/>
      </tp>
      <tp>
        <v>95301</v>
        <stp/>
        <stp>##V3_BDHV12</stp>
        <stp>XOM US Equity</stp>
        <stp>SALES_REV_TURN</stp>
        <stp>FQ2 2013</stp>
        <stp>FQ2 2013</stp>
        <stp>[FA1_m42y3cpi.xlsx]Income - Adjusted!R6C22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100508</v>
        <stp/>
        <stp>##V3_BDHV12</stp>
        <stp>XOM US Equity</stp>
        <stp>SALES_REV_TURN</stp>
        <stp>FQ3 2013</stp>
        <stp>FQ3 2013</stp>
        <stp>[FA1_m42y3cpi.xlsx]Income - Adjusted!R6C23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96336</v>
        <stp/>
        <stp>##V3_BDHV12</stp>
        <stp>XOM US Equity</stp>
        <stp>SALES_REV_TURN</stp>
        <stp>FQ1 2013</stp>
        <stp>FQ1 2013</stp>
        <stp>[FA1_m42y3cpi.xlsx]Income - Adjusted!R6C21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98355</v>
        <stp/>
        <stp>##V3_BDHV12</stp>
        <stp>XOM US Equity</stp>
        <stp>SALES_REV_TURN</stp>
        <stp>FQ4 2013</stp>
        <stp>FQ4 2013</stp>
        <stp>[FA1_m42y3cpi.xlsx]Income - Adjusted!R6C24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101335</v>
        <stp/>
        <stp>##V3_BDHV12</stp>
        <stp>XOM US Equity</stp>
        <stp>SALES_REV_TURN</stp>
        <stp>FQ1 2011</stp>
        <stp>FQ1 2011</stp>
        <stp>[FA1_m42y3cpi.xlsx]Income - Adjusted!R6C13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107419</v>
        <stp/>
        <stp>##V3_BDHV12</stp>
        <stp>XOM US Equity</stp>
        <stp>SALES_REV_TURN</stp>
        <stp>FQ4 2011</stp>
        <stp>FQ4 2011</stp>
        <stp>[FA1_m42y3cpi.xlsx]Income - Adjusted!R6C16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 t="s">
        <v>—</v>
        <stp/>
        <stp>##V3_BDHV12</stp>
        <stp>XOM US Equity</stp>
        <stp>BS_DEFERRED_TAX_LIABS_ST</stp>
        <stp>FQ4 2008</stp>
        <stp>FQ4 2008</stp>
        <stp>[FA1_m42y3cpi.xlsx]Bal Sheet - Standardized!R53C4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3" s="3"/>
      </tp>
      <tp t="s">
        <v>—</v>
        <stp/>
        <stp>##V3_BDHV12</stp>
        <stp>XOM US Equity</stp>
        <stp>BS_DEFERRED_TAX_LIABS_ST</stp>
        <stp>FQ3 2008</stp>
        <stp>FQ3 2008</stp>
        <stp>[FA1_m42y3cpi.xlsx]Bal Sheet - Standardized!R53C3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3" s="3"/>
      </tp>
      <tp>
        <v>6716</v>
        <stp/>
        <stp>##V3_BDHV12</stp>
        <stp>XOM US Equity</stp>
        <stp>MINORITY_NONCONTROLLING_INTEREST</stp>
        <stp>FQ1 2018</stp>
        <stp>FQ1 2018</stp>
        <stp>[FA1_m42y3cpi.xlsx]Bal Sheet - Standardized!R73C41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3" s="3"/>
      </tp>
      <tp>
        <v>0</v>
        <stp/>
        <stp>##V3_BDHV12</stp>
        <stp>XOM US Equity</stp>
        <stp>BS_ACCRUED_LIABILITIES</stp>
        <stp>FQ4 2011</stp>
        <stp>FQ4 2011</stp>
        <stp>[FA1_m42y3cpi.xlsx]Bal Sheet - Standardized!R59C16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9" s="3"/>
      </tp>
      <tp t="s">
        <v>—</v>
        <stp/>
        <stp>##V3_BDHV12</stp>
        <stp>XOM US Equity</stp>
        <stp>BS_DEFERRED_TAX_LIABS_ST</stp>
        <stp>FQ1 2009</stp>
        <stp>FQ1 2009</stp>
        <stp>[FA1_m42y3cpi.xlsx]Bal Sheet - Standardized!R53C5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3" s="3"/>
      </tp>
      <tp t="s">
        <v>—</v>
        <stp/>
        <stp>##V3_BDHV12</stp>
        <stp>XOM US Equity</stp>
        <stp>BS_DEFERRED_TAX_LIABS_ST</stp>
        <stp>FQ2 2009</stp>
        <stp>FQ2 2009</stp>
        <stp>[FA1_m42y3cpi.xlsx]Bal Sheet - Standardized!R53C6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3" s="3"/>
      </tp>
      <tp t="s">
        <v>—</v>
        <stp/>
        <stp>##V3_BDHV12</stp>
        <stp>XOM US Equity</stp>
        <stp>BS_DEFERRED_TAX_LIABS_ST</stp>
        <stp>FQ3 2009</stp>
        <stp>FQ3 2009</stp>
        <stp>[FA1_m42y3cpi.xlsx]Bal Sheet - Standardized!R53C7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3" s="3"/>
      </tp>
      <tp>
        <v>0</v>
        <stp/>
        <stp>##V3_BDHV12</stp>
        <stp>XOM US Equity</stp>
        <stp>BS_ACCRUED_LIABILITIES</stp>
        <stp>FQ4 2010</stp>
        <stp>FQ4 2010</stp>
        <stp>[FA1_m42y3cpi.xlsx]Bal Sheet - Standardized!R59C12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9" s="3"/>
      </tp>
      <tp>
        <v>0.36580000000000001</v>
        <stp/>
        <stp>##V3_BDHV12</stp>
        <stp>XOM US Equity</stp>
        <stp>FREE_CASH_FLOW_PER_SH</stp>
        <stp>FQ4 2009</stp>
        <stp>FQ4 2009</stp>
        <stp>[FA1_m42y3cpi.xlsx]Per Share!R23C8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3" s="5"/>
      </tp>
      <tp>
        <v>2889</v>
        <stp/>
        <stp>##V3_BDHV12</stp>
        <stp>XOM US Equity</stp>
        <stp>IS_INC_BEF_XO_ITEM</stp>
        <stp>FQ3 2016</stp>
        <stp>FQ3 2016</stp>
        <stp>[FA1_m42y3cpi.xlsx]Income - Adjusted!R34C35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2"/>
      </tp>
      <tp>
        <v>3799</v>
        <stp/>
        <stp>##V3_BDHV12</stp>
        <stp>XOM US Equity</stp>
        <stp>IS_OPERATING_EXPN</stp>
        <stp>FQ1 2009</stp>
        <stp>FQ1 2009</stp>
        <stp>[FA1_m42y3cpi.xlsx]Income - Adjusted!R13C5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4382</v>
        <stp/>
        <stp>##V3_BDHV12</stp>
        <stp>XOM US Equity</stp>
        <stp>IS_OPERATING_EXPN</stp>
        <stp>FQ3 2009</stp>
        <stp>FQ3 2009</stp>
        <stp>[FA1_m42y3cpi.xlsx]Income - Adjusted!R13C7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>
        <v>4009</v>
        <stp/>
        <stp>##V3_BDHV12</stp>
        <stp>XOM US Equity</stp>
        <stp>IS_OPERATING_EXPN</stp>
        <stp>FQ2 2009</stp>
        <stp>FQ2 2009</stp>
        <stp>[FA1_m42y3cpi.xlsx]Income - Adjusted!R13C6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>
        <v>0</v>
        <stp/>
        <stp>##V3_BDHV12</stp>
        <stp>XOM US Equity</stp>
        <stp>IS_DISCONTINUED_OPERATIONS</stp>
        <stp>FQ1 2018</stp>
        <stp>FQ1 2018</stp>
        <stp>[FA1_m42y3cpi.xlsx]Income - Adjusted!R36C41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2"/>
      </tp>
      <tp>
        <v>3264</v>
        <stp/>
        <stp>##V3_BDHV12</stp>
        <stp>XOM US Equity</stp>
        <stp>IS_INC_BEF_XO_ITEM</stp>
        <stp>FQ2 2017</stp>
        <stp>FQ2 2017</stp>
        <stp>[FA1_m42y3cpi.xlsx]Income - Adjusted!R34C38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4" s="2"/>
      </tp>
      <tp>
        <v>5075</v>
        <stp/>
        <stp>##V3_BDHV12</stp>
        <stp>XOM US Equity</stp>
        <stp>IS_INC_BEF_XO_ITEM</stp>
        <stp>FQ1 2015</stp>
        <stp>FQ1 2015</stp>
        <stp>[FA1_m42y3cpi.xlsx]Income - Adjusted!R34C29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2"/>
      </tp>
      <tp>
        <v>58595</v>
        <stp/>
        <stp>##V3_BDHV12</stp>
        <stp>XOM US Equity</stp>
        <stp>BS_CUR_ASSET_REPORT</stp>
        <stp>FQ3 2014</stp>
        <stp>FQ3 2014</stp>
        <stp>[FA1_m42y3cpi.xlsx]Bal Sheet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3"/>
      </tp>
      <tp>
        <v>45828</v>
        <stp/>
        <stp>##V3_BDHV12</stp>
        <stp>XOM US Equity</stp>
        <stp>BS_CUR_ASSET_REPORT</stp>
        <stp>FQ2 2016</stp>
        <stp>FQ2 2016</stp>
        <stp>[FA1_m42y3cpi.xlsx]Bal Sheet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3"/>
      </tp>
      <tp>
        <v>61303</v>
        <stp/>
        <stp>##V3_BDHV12</stp>
        <stp>XOM US Equity</stp>
        <stp>BS_CUR_ASSET_REPORT</stp>
        <stp>FQ3 2013</stp>
        <stp>FQ3 2013</stp>
        <stp>[FA1_m42y3cpi.xlsx]Bal Sheet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3"/>
      </tp>
      <tp>
        <v>51647</v>
        <stp/>
        <stp>##V3_BDHV12</stp>
        <stp>XOM US Equity</stp>
        <stp>BS_CUR_ASSET_REPORT</stp>
        <stp>FQ2 2015</stp>
        <stp>FQ2 2015</stp>
        <stp>[FA1_m42y3cpi.xlsx]Bal Sheet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3"/>
      </tp>
      <tp t="s">
        <v>—</v>
        <stp/>
        <stp>##V3_BDHV12</stp>
        <stp>XOM US Equity</stp>
        <stp>BS_GOODWILL</stp>
        <stp>FQ3 2012</stp>
        <stp>FQ3 2012</stp>
        <stp>[FA1_m42y3cpi.xlsx]Bal Sheet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3"/>
      </tp>
      <tp t="s">
        <v>—</v>
        <stp/>
        <stp>##V3_BDHV12</stp>
        <stp>XOM US Equity</stp>
        <stp>BS_GOODWILL</stp>
        <stp>FQ3 2011</stp>
        <stp>FQ3 2011</stp>
        <stp>[FA1_m42y3cpi.xlsx]Bal Sheet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3"/>
      </tp>
      <tp t="s">
        <v>—</v>
        <stp/>
        <stp>##V3_BDHV12</stp>
        <stp>XOM US Equity</stp>
        <stp>BS_GOODWILL</stp>
        <stp>FQ1 2016</stp>
        <stp>FQ1 2016</stp>
        <stp>[FA1_m42y3cpi.xlsx]Bal Sheet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3"/>
      </tp>
      <tp>
        <v>42180</v>
        <stp/>
        <stp>##V3_BDHV12</stp>
        <stp>XOM US Equity</stp>
        <stp>BS_CUR_ASSET_REPORT</stp>
        <stp>FQ2 2017</stp>
        <stp>FQ2 2017</stp>
        <stp>[FA1_m42y3cpi.xlsx]Bal Sheet - Standardized!R22C38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3"/>
      </tp>
      <tp t="s">
        <v>—</v>
        <stp/>
        <stp>##V3_BDHV12</stp>
        <stp>XOM US Equity</stp>
        <stp>BS_GOODWILL</stp>
        <stp>FQ3 2010</stp>
        <stp>FQ3 2010</stp>
        <stp>[FA1_m42y3cpi.xlsx]Bal Sheet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3"/>
      </tp>
      <tp t="s">
        <v>—</v>
        <stp/>
        <stp>##V3_BDHV12</stp>
        <stp>XOM US Equity</stp>
        <stp>BS_GOODWILL</stp>
        <stp>FQ1 2017</stp>
        <stp>FQ1 2017</stp>
        <stp>[FA1_m42y3cpi.xlsx]Bal Sheet - Standardized!R31C37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3"/>
      </tp>
      <tp>
        <v>6570</v>
        <stp/>
        <stp>##V3_BDHV12</stp>
        <stp>XOM US Equity</stp>
        <stp>NET_INCOME</stp>
        <stp>FQ4 2014</stp>
        <stp>FQ4 2014</stp>
        <stp>[FA1_m42y3cpi.xlsx]Income - Adjusted!R40C28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40" s="2"/>
      </tp>
      <tp>
        <v>4940</v>
        <stp/>
        <stp>##V3_BDHV12</stp>
        <stp>XOM US Equity</stp>
        <stp>NET_INCOME</stp>
        <stp>FQ1 2015</stp>
        <stp>FQ1 2015</stp>
        <stp>[FA1_m42y3cpi.xlsx]Income - Adjusted!R40C29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40" s="2"/>
      </tp>
      <tp>
        <v>35105</v>
        <stp/>
        <stp>##V3_BDHV12</stp>
        <stp>XOM US Equity</stp>
        <stp>BS_INVEST_IN_ASSOC_CO</stp>
        <stp>FQ3 2012</stp>
        <stp>FQ3 2012</stp>
        <stp>[FA1_m42y3cpi.xlsx]Bal Sheet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3"/>
      </tp>
      <tp>
        <v>16.721399999999999</v>
        <stp/>
        <stp>##V3_BDHV12</stp>
        <stp>XOM US Equity</stp>
        <stp>EBITDA_MARGIN</stp>
        <stp>FQ1 2011</stp>
        <stp>FQ1 2011</stp>
        <stp>[FA1_m42y3cpi.xlsx]Cash Flow - Standardized!R60C13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60" s="4"/>
      </tp>
      <tp>
        <v>16.627700000000001</v>
        <stp/>
        <stp>##V3_BDHV12</stp>
        <stp>XOM US Equity</stp>
        <stp>EBITDA_MARGIN</stp>
        <stp>FQ3 2011</stp>
        <stp>FQ3 2011</stp>
        <stp>[FA1_m42y3cpi.xlsx]Cash Flow - Standardized!R60C15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60" s="4"/>
      </tp>
      <tp>
        <v>16.7499</v>
        <stp/>
        <stp>##V3_BDHV12</stp>
        <stp>XOM US Equity</stp>
        <stp>EBITDA_MARGIN</stp>
        <stp>FQ2 2011</stp>
        <stp>FQ2 2011</stp>
        <stp>[FA1_m42y3cpi.xlsx]Cash Flow - Standardized!R60C14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60" s="4"/>
      </tp>
      <tp>
        <v>16.0745</v>
        <stp/>
        <stp>##V3_BDHV12</stp>
        <stp>XOM US Equity</stp>
        <stp>EBITDA_MARGIN</stp>
        <stp>FQ4 2011</stp>
        <stp>FQ4 2011</stp>
        <stp>[FA1_m42y3cpi.xlsx]Cash Flow - Standardized!R60C16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60" s="4"/>
      </tp>
      <tp>
        <v>34915</v>
        <stp/>
        <stp>##V3_BDHV12</stp>
        <stp>XOM US Equity</stp>
        <stp>BS_INVEST_IN_ASSOC_CO</stp>
        <stp>FQ1 2016</stp>
        <stp>FQ1 2016</stp>
        <stp>[FA1_m42y3cpi.xlsx]Bal Sheet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3"/>
      </tp>
      <tp>
        <v>35342</v>
        <stp/>
        <stp>##V3_BDHV12</stp>
        <stp>XOM US Equity</stp>
        <stp>BS_INVEST_IN_ASSOC_CO</stp>
        <stp>FQ3 2011</stp>
        <stp>FQ3 2011</stp>
        <stp>[FA1_m42y3cpi.xlsx]Bal Sheet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3"/>
      </tp>
      <tp>
        <v>38268</v>
        <stp/>
        <stp>##V3_BDHV12</stp>
        <stp>XOM US Equity</stp>
        <stp>BS_INVEST_IN_ASSOC_CO</stp>
        <stp>FQ1 2017</stp>
        <stp>FQ1 2017</stp>
        <stp>[FA1_m42y3cpi.xlsx]Bal Sheet - Standardized!R36C37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3"/>
      </tp>
      <tp>
        <v>33173</v>
        <stp/>
        <stp>##V3_BDHV12</stp>
        <stp>XOM US Equity</stp>
        <stp>BS_INVEST_IN_ASSOC_CO</stp>
        <stp>FQ3 2010</stp>
        <stp>FQ3 2010</stp>
        <stp>[FA1_m42y3cpi.xlsx]Bal Sheet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3"/>
      </tp>
      <tp>
        <v>89973</v>
        <stp/>
        <stp>##V3_BDHV12</stp>
        <stp>XOM US Equity</stp>
        <stp>IS_COG_AND_SERVICES_SOLD</stp>
        <stp>FQ1 2012</stp>
        <stp>FQ1 2012</stp>
        <stp>[FA1_m42y3cpi.xlsx]Income - Adjusted!R9C17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9" s="2"/>
      </tp>
      <tp>
        <v>14.5244</v>
        <stp/>
        <stp>##V3_BDHV12</stp>
        <stp>XOM US Equity</stp>
        <stp>GROSS_MARGIN</stp>
        <stp>FQ2 2009</stp>
        <stp>FQ2 2009</stp>
        <stp>[FA1_m42y3cpi.xlsx]Income - Adjusted!R65C6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65" s="2"/>
      </tp>
      <tp>
        <v>15.662100000000001</v>
        <stp/>
        <stp>##V3_BDHV12</stp>
        <stp>XOM US Equity</stp>
        <stp>GROSS_MARGIN</stp>
        <stp>FQ3 2009</stp>
        <stp>FQ3 2009</stp>
        <stp>[FA1_m42y3cpi.xlsx]Income - Adjusted!R65C7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65" s="2"/>
      </tp>
      <tp>
        <v>17.5305</v>
        <stp/>
        <stp>##V3_BDHV12</stp>
        <stp>XOM US Equity</stp>
        <stp>GROSS_MARGIN</stp>
        <stp>FQ1 2009</stp>
        <stp>FQ1 2009</stp>
        <stp>[FA1_m42y3cpi.xlsx]Income - Adjusted!R65C5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65" s="2"/>
      </tp>
      <tp>
        <v>15.0825</v>
        <stp/>
        <stp>##V3_BDHV12</stp>
        <stp>XOM US Equity</stp>
        <stp>GROSS_MARGIN</stp>
        <stp>FQ4 2009</stp>
        <stp>FQ4 2009</stp>
        <stp>[FA1_m42y3cpi.xlsx]Income - Adjusted!R65C8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65" s="2"/>
      </tp>
      <tp>
        <v>43520</v>
        <stp/>
        <stp>##V3_BDHV12</stp>
        <stp>XOM US Equity</stp>
        <stp>IS_COG_AND_SERVICES_SOLD</stp>
        <stp>FQ4 2016</stp>
        <stp>FQ4 2016</stp>
        <stp>[FA1_m42y3cpi.xlsx]Income - Adjusted!R9C36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9" s="2"/>
      </tp>
      <tp>
        <v>34372</v>
        <stp/>
        <stp>##V3_BDHV12</stp>
        <stp>XOM US Equity</stp>
        <stp>IS_COG_AND_SERVICES_SOLD</stp>
        <stp>FQ1 2016</stp>
        <stp>FQ1 2016</stp>
        <stp>[FA1_m42y3cpi.xlsx]Income - Adjusted!R9C33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9" s="2"/>
      </tp>
      <tp t="s">
        <v>—</v>
        <stp/>
        <stp>##V3_BDHV12</stp>
        <stp>XOM US Equity</stp>
        <stp>CF_CHANGE_IN_INVENTORIES</stp>
        <stp>FQ3 2011</stp>
        <stp>FQ3 2011</stp>
        <stp>[FA1_m42y3cpi.xlsx]Cash Flow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4"/>
      </tp>
      <tp t="s">
        <v>—</v>
        <stp/>
        <stp>##V3_BDHV12</stp>
        <stp>XOM US Equity</stp>
        <stp>BS_DERIVATIVE_&amp;_HEDGING_LIABS_LT</stp>
        <stp>FQ2 2017</stp>
        <stp>FQ2 2017</stp>
        <stp>[FA1_m42y3cpi.xlsx]Bal Sheet - Standardized!R63C38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3" s="3"/>
      </tp>
      <tp>
        <v>0</v>
        <stp/>
        <stp>##V3_BDHV12</stp>
        <stp>XOM US Equity</stp>
        <stp>CF_CASH_FOR_DIVESTITURES</stp>
        <stp>FQ2 2011</stp>
        <stp>FQ2 2011</stp>
        <stp>[FA1_m42y3cpi.xlsx]Cash Flow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4"/>
      </tp>
      <tp t="s">
        <v>—</v>
        <stp/>
        <stp>##V3_BDHV12</stp>
        <stp>XOM US Equity</stp>
        <stp>CF_CHANGE_IN_INVENTORIES</stp>
        <stp>FQ1 2016</stp>
        <stp>FQ1 2016</stp>
        <stp>[FA1_m42y3cpi.xlsx]Cash Flow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4"/>
      </tp>
      <tp>
        <v>1480</v>
        <stp/>
        <stp>##V3_BDHV12</stp>
        <stp>XOM US Equity</stp>
        <stp>BS_OTHER_CUR_ASSET_LESS_PREPAY</stp>
        <stp>FQ3 2017</stp>
        <stp>FQ3 2017</stp>
        <stp>[FA1_m42y3cpi.xlsx]Bal Sheet - Standardized!R21C39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3"/>
      </tp>
      <tp t="s">
        <v>—</v>
        <stp/>
        <stp>##V3_BDHV12</stp>
        <stp>XOM US Equity</stp>
        <stp>BS_DERIVATIVE_&amp;_HEDGING_LIABS_ST</stp>
        <stp>FQ2 2017</stp>
        <stp>FQ2 2017</stp>
        <stp>[FA1_m42y3cpi.xlsx]Bal Sheet - Standardized!R52C38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2" s="3"/>
      </tp>
      <tp>
        <v>0</v>
        <stp/>
        <stp>##V3_BDHV12</stp>
        <stp>XOM US Equity</stp>
        <stp>CF_CASH_FOR_DIVESTITURES</stp>
        <stp>FQ1 2014</stp>
        <stp>FQ1 2014</stp>
        <stp>[FA1_m42y3cpi.xlsx]Cash Flow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4"/>
      </tp>
      <tp t="s">
        <v>—</v>
        <stp/>
        <stp>##V3_BDHV12</stp>
        <stp>XOM US Equity</stp>
        <stp>CF_CHANGE_IN_INVENTORIES</stp>
        <stp>FQ3 2010</stp>
        <stp>FQ3 2010</stp>
        <stp>[FA1_m42y3cpi.xlsx]Cash Flow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4"/>
      </tp>
      <tp t="s">
        <v>—</v>
        <stp/>
        <stp>##V3_BDHV12</stp>
        <stp>XOM US Equity</stp>
        <stp>CF_CHANGE_IN_INVENTORIES</stp>
        <stp>FQ1 2017</stp>
        <stp>FQ1 2017</stp>
        <stp>[FA1_m42y3cpi.xlsx]Cash Flow - Standardized!R14C37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4" s="4"/>
      </tp>
      <tp>
        <v>0</v>
        <stp/>
        <stp>##V3_BDHV12</stp>
        <stp>XOM US Equity</stp>
        <stp>CF_CASH_FOR_DIVESTITURES</stp>
        <stp>FQ1 2013</stp>
        <stp>FQ1 2013</stp>
        <stp>[FA1_m42y3cpi.xlsx]Cash Flow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4"/>
      </tp>
      <tp>
        <v>0</v>
        <stp/>
        <stp>##V3_BDHV12</stp>
        <stp>XOM US Equity</stp>
        <stp>CF_CASH_FOR_DIVESTITURES</stp>
        <stp>FQ2 2010</stp>
        <stp>FQ2 2010</stp>
        <stp>[FA1_m42y3cpi.xlsx]Cash Flow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4"/>
      </tp>
      <tp>
        <v>0</v>
        <stp/>
        <stp>##V3_BDHV12</stp>
        <stp>XOM US Equity</stp>
        <stp>CF_CASH_FOR_DIVESTITURES</stp>
        <stp>FQ1 2015</stp>
        <stp>FQ1 2015</stp>
        <stp>[FA1_m42y3cpi.xlsx]Cash Flow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4"/>
      </tp>
      <tp>
        <v>4197</v>
        <stp/>
        <stp>##V3_BDHV12</stp>
        <stp>XOM US Equity</stp>
        <stp>BS_OTHER_CUR_ASSET_LESS_PREPAY</stp>
        <stp>FQ3 2015</stp>
        <stp>FQ3 2015</stp>
        <stp>[FA1_m42y3cpi.xlsx]Bal Sheet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3"/>
      </tp>
      <tp t="s">
        <v>—</v>
        <stp/>
        <stp>##V3_BDHV12</stp>
        <stp>XOM US Equity</stp>
        <stp>BS_DERIVATIVE_&amp;_HEDGING_LIABS_ST</stp>
        <stp>FQ2 2015</stp>
        <stp>FQ2 2015</stp>
        <stp>[FA1_m42y3cpi.xlsx]Bal Sheet - Standardized!R52C30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2" s="3"/>
      </tp>
      <tp>
        <v>6897</v>
        <stp/>
        <stp>##V3_BDHV12</stp>
        <stp>XOM US Equity</stp>
        <stp>BS_OTHER_CUR_ASSET_LESS_PREPAY</stp>
        <stp>FQ1 2012</stp>
        <stp>FQ1 2012</stp>
        <stp>[FA1_m42y3cpi.xlsx]Bal Sheet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3"/>
      </tp>
      <tp t="s">
        <v>—</v>
        <stp/>
        <stp>##V3_BDHV12</stp>
        <stp>XOM US Equity</stp>
        <stp>BS_DERIVATIVE_&amp;_HEDGING_LIABS_LT</stp>
        <stp>FQ2 2015</stp>
        <stp>FQ2 2015</stp>
        <stp>[FA1_m42y3cpi.xlsx]Bal Sheet - Standardized!R63C30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3" s="3"/>
      </tp>
      <tp>
        <v>0</v>
        <stp/>
        <stp>##V3_BDHV12</stp>
        <stp>XOM US Equity</stp>
        <stp>CF_CASH_FOR_DIVESTITURES</stp>
        <stp>FQ2 2012</stp>
        <stp>FQ2 2012</stp>
        <stp>[FA1_m42y3cpi.xlsx]Cash Flow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4"/>
      </tp>
      <tp>
        <v>1368</v>
        <stp/>
        <stp>##V3_BDHV12</stp>
        <stp>XOM US Equity</stp>
        <stp>BS_OTHER_CUR_ASSET_LESS_PREPAY</stp>
        <stp>FQ4 2017</stp>
        <stp>FQ4 2017</stp>
        <stp>[FA1_m42y3cpi.xlsx]Bal Sheet - Standardized!R21C40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3"/>
      </tp>
      <tp>
        <v>5698</v>
        <stp/>
        <stp>##V3_BDHV12</stp>
        <stp>XOM US Equity</stp>
        <stp>BS_OTHER_CUR_ASSET_LESS_PREPAY</stp>
        <stp>FQ2 2013</stp>
        <stp>FQ2 2013</stp>
        <stp>[FA1_m42y3cpi.xlsx]Bal Sheet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3"/>
      </tp>
      <tp>
        <v>7781</v>
        <stp/>
        <stp>##V3_BDHV12</stp>
        <stp>XOM US Equity</stp>
        <stp>BS_OTHER_CUR_ASSET_LESS_PREPAY</stp>
        <stp>FQ1 2011</stp>
        <stp>FQ1 2011</stp>
        <stp>[FA1_m42y3cpi.xlsx]Bal Sheet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3"/>
      </tp>
      <tp t="s">
        <v>—</v>
        <stp/>
        <stp>##V3_BDHV12</stp>
        <stp>XOM US Equity</stp>
        <stp>BS_DERIVATIVE_&amp;_HEDGING_LIABS_ST</stp>
        <stp>FQ3 2013</stp>
        <stp>FQ3 2013</stp>
        <stp>[FA1_m42y3cpi.xlsx]Bal Sheet - Standardized!R52C23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2" s="3"/>
      </tp>
      <tp t="s">
        <v>—</v>
        <stp/>
        <stp>##V3_BDHV12</stp>
        <stp>XOM US Equity</stp>
        <stp>BS_DERIVATIVE_&amp;_HEDGING_LIABS_LT</stp>
        <stp>FQ2 2016</stp>
        <stp>FQ2 2016</stp>
        <stp>[FA1_m42y3cpi.xlsx]Bal Sheet - Standardized!R63C34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3" s="3"/>
      </tp>
      <tp t="s">
        <v>—</v>
        <stp/>
        <stp>##V3_BDHV12</stp>
        <stp>XOM US Equity</stp>
        <stp>BS_DERIVATIVE_&amp;_HEDGING_LIABS_LT</stp>
        <stp>FQ3 2014</stp>
        <stp>FQ3 2014</stp>
        <stp>[FA1_m42y3cpi.xlsx]Bal Sheet - Standardized!R63C27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3" s="3"/>
      </tp>
      <tp>
        <v>2122</v>
        <stp/>
        <stp>##V3_BDHV12</stp>
        <stp>XOM US Equity</stp>
        <stp>BS_OTHER_CUR_ASSET_LESS_PREPAY</stp>
        <stp>FQ3 2016</stp>
        <stp>FQ3 2016</stp>
        <stp>[FA1_m42y3cpi.xlsx]Bal Sheet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3"/>
      </tp>
      <tp>
        <v>5571</v>
        <stp/>
        <stp>##V3_BDHV12</stp>
        <stp>XOM US Equity</stp>
        <stp>BS_OTHER_CUR_ASSET_LESS_PREPAY</stp>
        <stp>FQ2 2014</stp>
        <stp>FQ2 2014</stp>
        <stp>[FA1_m42y3cpi.xlsx]Bal Sheet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3"/>
      </tp>
      <tp t="s">
        <v>—</v>
        <stp/>
        <stp>##V3_BDHV12</stp>
        <stp>XOM US Equity</stp>
        <stp>BS_DERIVATIVE_&amp;_HEDGING_LIABS_LT</stp>
        <stp>FQ3 2013</stp>
        <stp>FQ3 2013</stp>
        <stp>[FA1_m42y3cpi.xlsx]Bal Sheet - Standardized!R63C23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3" s="3"/>
      </tp>
      <tp t="s">
        <v>—</v>
        <stp/>
        <stp>##V3_BDHV12</stp>
        <stp>XOM US Equity</stp>
        <stp>BS_DERIVATIVE_&amp;_HEDGING_LIABS_ST</stp>
        <stp>FQ2 2016</stp>
        <stp>FQ2 2016</stp>
        <stp>[FA1_m42y3cpi.xlsx]Bal Sheet - Standardized!R52C34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2" s="3"/>
      </tp>
      <tp t="s">
        <v>—</v>
        <stp/>
        <stp>##V3_BDHV12</stp>
        <stp>XOM US Equity</stp>
        <stp>BS_DERIVATIVE_&amp;_HEDGING_LIABS_ST</stp>
        <stp>FQ3 2014</stp>
        <stp>FQ3 2014</stp>
        <stp>[FA1_m42y3cpi.xlsx]Bal Sheet - Standardized!R52C27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2" s="3"/>
      </tp>
      <tp t="s">
        <v>—</v>
        <stp/>
        <stp>##V3_BDHV12</stp>
        <stp>XOM US Equity</stp>
        <stp>CF_CHANGE_IN_INVENTORIES</stp>
        <stp>FQ3 2012</stp>
        <stp>FQ3 2012</stp>
        <stp>[FA1_m42y3cpi.xlsx]Cash Flow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4"/>
      </tp>
      <tp>
        <v>0</v>
        <stp/>
        <stp>##V3_BDHV12</stp>
        <stp>XOM US Equity</stp>
        <stp>OTHER_CURRENT_LIABS_SUB_DETAILED</stp>
        <stp>FQ4 2012</stp>
        <stp>FQ4 2012</stp>
        <stp>[FA1_m42y3cpi.xlsx]Bal Sheet - Standardized!R50C20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0" s="3"/>
      </tp>
      <tp>
        <v>0</v>
        <stp/>
        <stp>##V3_BDHV12</stp>
        <stp>XOM US Equity</stp>
        <stp>OTHER_CURRENT_LIABS_SUB_DETAILED</stp>
        <stp>FQ4 2013</stp>
        <stp>FQ4 2013</stp>
        <stp>[FA1_m42y3cpi.xlsx]Bal Sheet - Standardized!R50C24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0" s="3"/>
      </tp>
      <tp>
        <v>0</v>
        <stp/>
        <stp>##V3_BDHV12</stp>
        <stp>XOM US Equity</stp>
        <stp>OTHER_CURRENT_LIABS_SUB_DETAILED</stp>
        <stp>FQ2 2018</stp>
        <stp>FQ2 2018</stp>
        <stp>[FA1_m42y3cpi.xlsx]Bal Sheet - Standardized!R50C42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0" s="3"/>
      </tp>
      <tp>
        <v>0</v>
        <stp/>
        <stp>##V3_BDHV12</stp>
        <stp>XOM US Equity</stp>
        <stp>OTHER_CURRENT_LIABS_SUB_DETAILED</stp>
        <stp>FQ4 2014</stp>
        <stp>FQ4 2014</stp>
        <stp>[FA1_m42y3cpi.xlsx]Bal Sheet - Standardized!R50C28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0" s="3"/>
      </tp>
      <tp>
        <v>4652</v>
        <stp/>
        <stp>##V3_BDHV12</stp>
        <stp>XOM US Equity</stp>
        <stp>IS_D&amp;A_COST_OF_REVENUE</stp>
        <stp>FQ2 2017</stp>
        <stp>FQ2 2017</stp>
        <stp>[FA1_m42y3cpi.xlsx]Income - Adjusted!R10C38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0" s="2"/>
      </tp>
      <tp>
        <v>2.61</v>
        <stp/>
        <stp>##V3_BDHV12</stp>
        <stp>XOM US Equity</stp>
        <stp>IS_BASIC_EPS_CONT_OPS</stp>
        <stp>FQ3 2008</stp>
        <stp>FQ3 2008</stp>
        <stp>[FA1_m42y3cpi.xlsx]Per Share!R16C3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6" s="5"/>
      </tp>
      <tp>
        <v>1.5699999999999998</v>
        <stp/>
        <stp>##V3_BDHV12</stp>
        <stp>XOM US Equity</stp>
        <stp>IS_BASIC_EPS_CONT_OPS</stp>
        <stp>FQ4 2008</stp>
        <stp>FQ4 2008</stp>
        <stp>[FA1_m42y3cpi.xlsx]Per Share!R16C4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6" s="5"/>
      </tp>
      <tp>
        <v>225820</v>
        <stp/>
        <stp>##V3_BDHV12</stp>
        <stp>XOM US Equity</stp>
        <stp>BS_AMT_OF_TSY_STOCK</stp>
        <stp>FQ4 2014</stp>
        <stp>FQ4 2014</stp>
        <stp>[FA1_m42y3cpi.xlsx]Bal Sheet - Standardized!R69C28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9" s="3"/>
      </tp>
      <tp>
        <v>225673</v>
        <stp/>
        <stp>##V3_BDHV12</stp>
        <stp>XOM US Equity</stp>
        <stp>BS_AMT_OF_TSY_STOCK</stp>
        <stp>FQ2 2018</stp>
        <stp>FQ2 2018</stp>
        <stp>[FA1_m42y3cpi.xlsx]Bal Sheet - Standardized!R69C42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9" s="3"/>
      </tp>
      <tp t="s">
        <v>—</v>
        <stp/>
        <stp>##V3_BDHV12</stp>
        <stp>XOM US Equity</stp>
        <stp>BS_ACCTS_REC_EXCL_NOTES_REC</stp>
        <stp>FQ3 2012</stp>
        <stp>FQ3 2012</stp>
        <stp>[FA1_m42y3cpi.xlsx]Bal Sheet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3"/>
      </tp>
      <tp>
        <v>212781</v>
        <stp/>
        <stp>##V3_BDHV12</stp>
        <stp>XOM US Equity</stp>
        <stp>BS_AMT_OF_TSY_STOCK</stp>
        <stp>FQ4 2013</stp>
        <stp>FQ4 2013</stp>
        <stp>[FA1_m42y3cpi.xlsx]Bal Sheet - Standardized!R69C24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9" s="3"/>
      </tp>
      <tp t="s">
        <v>—</v>
        <stp/>
        <stp>##V3_BDHV12</stp>
        <stp>XOM US Equity</stp>
        <stp>BS_ACCTS_REC_EXCL_NOTES_REC</stp>
        <stp>FQ3 2011</stp>
        <stp>FQ3 2011</stp>
        <stp>[FA1_m42y3cpi.xlsx]Bal Sheet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3"/>
      </tp>
      <tp>
        <v>0</v>
        <stp/>
        <stp>##V3_BDHV12</stp>
        <stp>XOM US Equity</stp>
        <stp>ST_DEFERRED_REVENUE</stp>
        <stp>FQ4 2016</stp>
        <stp>FQ4 2016</stp>
        <stp>[FA1_m42y3cpi.xlsx]Bal Sheet - Standardized!R51C36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1" s="3"/>
      </tp>
      <tp>
        <v>0</v>
        <stp/>
        <stp>##V3_BDHV12</stp>
        <stp>XOM US Equity</stp>
        <stp>LT_DEFERRED_REVENUE</stp>
        <stp>FQ4 2016</stp>
        <stp>FQ4 2016</stp>
        <stp>[FA1_m42y3cpi.xlsx]Bal Sheet - Standardized!R61C36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1" s="3"/>
      </tp>
      <tp t="s">
        <v>—</v>
        <stp/>
        <stp>##V3_BDHV12</stp>
        <stp>XOM US Equity</stp>
        <stp>BS_ACCTS_REC_EXCL_NOTES_REC</stp>
        <stp>FQ1 2016</stp>
        <stp>FQ1 2016</stp>
        <stp>[FA1_m42y3cpi.xlsx]Bal Sheet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3"/>
      </tp>
      <tp>
        <v>197333</v>
        <stp/>
        <stp>##V3_BDHV12</stp>
        <stp>XOM US Equity</stp>
        <stp>BS_AMT_OF_TSY_STOCK</stp>
        <stp>FQ4 2012</stp>
        <stp>FQ4 2012</stp>
        <stp>[FA1_m42y3cpi.xlsx]Bal Sheet - Standardized!R69C20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9" s="3"/>
      </tp>
      <tp>
        <v>0</v>
        <stp/>
        <stp>##V3_BDHV12</stp>
        <stp>XOM US Equity</stp>
        <stp>LT_DEFERRED_REVENUE</stp>
        <stp>FQ4 2015</stp>
        <stp>FQ4 2015</stp>
        <stp>[FA1_m42y3cpi.xlsx]Bal Sheet - Standardized!R61C32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1" s="3"/>
      </tp>
      <tp t="s">
        <v>—</v>
        <stp/>
        <stp>##V3_BDHV12</stp>
        <stp>XOM US Equity</stp>
        <stp>BS_ACCTS_REC_EXCL_NOTES_REC</stp>
        <stp>FQ3 2010</stp>
        <stp>FQ3 2010</stp>
        <stp>[FA1_m42y3cpi.xlsx]Bal Sheet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3"/>
      </tp>
      <tp>
        <v>0</v>
        <stp/>
        <stp>##V3_BDHV12</stp>
        <stp>XOM US Equity</stp>
        <stp>ST_DEFERRED_REVENUE</stp>
        <stp>FQ4 2015</stp>
        <stp>FQ4 2015</stp>
        <stp>[FA1_m42y3cpi.xlsx]Bal Sheet - Standardized!R51C32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1" s="3"/>
      </tp>
      <tp t="s">
        <v>—</v>
        <stp/>
        <stp>##V3_BDHV12</stp>
        <stp>XOM US Equity</stp>
        <stp>BS_ACCTS_REC_EXCL_NOTES_REC</stp>
        <stp>FQ1 2017</stp>
        <stp>FQ1 2017</stp>
        <stp>[FA1_m42y3cpi.xlsx]Bal Sheet - Standardized!R11C37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1" s="3"/>
      </tp>
      <tp>
        <v>2628</v>
        <stp/>
        <stp>##V3_BDHV12</stp>
        <stp>XOM US Equity</stp>
        <stp>PRETAX_INC</stp>
        <stp>FQ4 2015</stp>
        <stp>FQ4 2015</stp>
        <stp>[FA1_m42y3cpi.xlsx]Income - Adjusted!R32C32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32" s="2"/>
      </tp>
      <tp>
        <v>3017</v>
        <stp/>
        <stp>##V3_BDHV12</stp>
        <stp>XOM US Equity</stp>
        <stp>PRETAX_INC</stp>
        <stp>FQ4 2017</stp>
        <stp>FQ4 2017</stp>
        <stp>[FA1_m42y3cpi.xlsx]Income - Adjusted!R32C40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32" s="2"/>
      </tp>
      <tp>
        <v>17041</v>
        <stp/>
        <stp>##V3_BDHV12</stp>
        <stp>XOM US Equity</stp>
        <stp>PRETAX_INC</stp>
        <stp>FQ4 2011</stp>
        <stp>FQ4 2011</stp>
        <stp>[FA1_m42y3cpi.xlsx]Income - Adjusted!R32C16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32" s="2"/>
      </tp>
      <tp>
        <v>14716</v>
        <stp/>
        <stp>##V3_BDHV12</stp>
        <stp>XOM US Equity</stp>
        <stp>PRETAX_INC</stp>
        <stp>FQ4 2013</stp>
        <stp>FQ4 2013</stp>
        <stp>[FA1_m42y3cpi.xlsx]Income - Adjusted!R32C24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32" s="2"/>
      </tp>
      <tp>
        <v>34471</v>
        <stp/>
        <stp>##V3_BDHV12</stp>
        <stp>XOM US Equity</stp>
        <stp>BS_INVEST_IN_ASSOC_CO</stp>
        <stp>FQ1 2015</stp>
        <stp>FQ1 2015</stp>
        <stp>[FA1_m42y3cpi.xlsx]Bal Sheet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3"/>
      </tp>
      <tp>
        <v>8910</v>
        <stp/>
        <stp>##V3_BDHV12</stp>
        <stp>XOM US Equity</stp>
        <stp>CF_CASH_FROM_OPER</stp>
        <stp>FQ1 2009</stp>
        <stp>FQ1 2009</stp>
        <stp>[FA1_m42y3cpi.xlsx]Cash Flow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4"/>
      </tp>
      <tp>
        <v>2197</v>
        <stp/>
        <stp>##V3_BDHV12</stp>
        <stp>XOM US Equity</stp>
        <stp>CF_CASH_FROM_OPER</stp>
        <stp>FQ2 2009</stp>
        <stp>FQ2 2009</stp>
        <stp>[FA1_m42y3cpi.xlsx]Cash Flow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4"/>
      </tp>
      <tp>
        <v>8827</v>
        <stp/>
        <stp>##V3_BDHV12</stp>
        <stp>XOM US Equity</stp>
        <stp>CF_CASH_FROM_OPER</stp>
        <stp>FQ3 2009</stp>
        <stp>FQ3 2009</stp>
        <stp>[FA1_m42y3cpi.xlsx]Cash Flow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4"/>
      </tp>
      <tp>
        <v>33921</v>
        <stp/>
        <stp>##V3_BDHV12</stp>
        <stp>XOM US Equity</stp>
        <stp>BS_INVEST_IN_ASSOC_CO</stp>
        <stp>FQ2 2012</stp>
        <stp>FQ2 2012</stp>
        <stp>[FA1_m42y3cpi.xlsx]Bal Sheet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3"/>
      </tp>
      <tp>
        <v>14403</v>
        <stp/>
        <stp>##V3_BDHV12</stp>
        <stp>XOM US Equity</stp>
        <stp>CF_CASH_FROM_OPER</stp>
        <stp>FQ3 2008</stp>
        <stp>FQ3 2008</stp>
        <stp>[FA1_m42y3cpi.xlsx]Cash Flow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4"/>
      </tp>
      <tp>
        <v>10484</v>
        <stp/>
        <stp>##V3_BDHV12</stp>
        <stp>XOM US Equity</stp>
        <stp>CF_CASH_FROM_OPER</stp>
        <stp>FQ4 2008</stp>
        <stp>FQ4 2008</stp>
        <stp>[FA1_m42y3cpi.xlsx]Cash Flow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4"/>
      </tp>
      <tp>
        <v>15.240500000000001</v>
        <stp/>
        <stp>##V3_BDHV12</stp>
        <stp>XOM US Equity</stp>
        <stp>EBITDA_MARGIN</stp>
        <stp>FQ3 2010</stp>
        <stp>FQ3 2010</stp>
        <stp>[FA1_m42y3cpi.xlsx]Cash Flow - Standardized!R60C11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60" s="4"/>
      </tp>
      <tp>
        <v>14.616300000000001</v>
        <stp/>
        <stp>##V3_BDHV12</stp>
        <stp>XOM US Equity</stp>
        <stp>EBITDA_MARGIN</stp>
        <stp>FQ2 2010</stp>
        <stp>FQ2 2010</stp>
        <stp>[FA1_m42y3cpi.xlsx]Cash Flow - Standardized!R60C10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60" s="4"/>
      </tp>
      <tp>
        <v>16.0672</v>
        <stp/>
        <stp>##V3_BDHV12</stp>
        <stp>XOM US Equity</stp>
        <stp>EBITDA_MARGIN</stp>
        <stp>FQ4 2010</stp>
        <stp>FQ4 2010</stp>
        <stp>[FA1_m42y3cpi.xlsx]Cash Flow - Standardized!R60C12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60" s="4"/>
      </tp>
      <tp>
        <v>8504</v>
        <stp/>
        <stp>##V3_BDHV12</stp>
        <stp>XOM US Equity</stp>
        <stp>CF_CASH_FROM_OPER</stp>
        <stp>FQ4 2009</stp>
        <stp>FQ4 2009</stp>
        <stp>[FA1_m42y3cpi.xlsx]Cash Flow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4"/>
      </tp>
      <tp>
        <v>35241</v>
        <stp/>
        <stp>##V3_BDHV12</stp>
        <stp>XOM US Equity</stp>
        <stp>BS_INVEST_IN_ASSOC_CO</stp>
        <stp>FQ2 2011</stp>
        <stp>FQ2 2011</stp>
        <stp>[FA1_m42y3cpi.xlsx]Bal Sheet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3"/>
      </tp>
      <tp>
        <v>9476</v>
        <stp/>
        <stp>##V3_BDHV12</stp>
        <stp>XOM US Equity</stp>
        <stp>EBITDA</stp>
        <stp>FQ1 2018</stp>
        <stp>FQ1 2018</stp>
        <stp>[FA1_m42y3cpi.xlsx]Income - Adjusted!R61C41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61" s="2"/>
      </tp>
      <tp>
        <v>37169</v>
        <stp/>
        <stp>##V3_BDHV12</stp>
        <stp>XOM US Equity</stp>
        <stp>BS_INVEST_IN_ASSOC_CO</stp>
        <stp>FQ1 2014</stp>
        <stp>FQ1 2014</stp>
        <stp>[FA1_m42y3cpi.xlsx]Bal Sheet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3"/>
      </tp>
      <tp>
        <v>35641</v>
        <stp/>
        <stp>##V3_BDHV12</stp>
        <stp>XOM US Equity</stp>
        <stp>BS_INVEST_IN_ASSOC_CO</stp>
        <stp>FQ1 2013</stp>
        <stp>FQ1 2013</stp>
        <stp>[FA1_m42y3cpi.xlsx]Bal Sheet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3"/>
      </tp>
      <tp>
        <v>13046</v>
        <stp/>
        <stp>##V3_BDHV12</stp>
        <stp>XOM US Equity</stp>
        <stp>CF_CASH_FROM_OPER</stp>
        <stp>FQ1 2010</stp>
        <stp>FQ1 2010</stp>
        <stp>[FA1_m42y3cpi.xlsx]Cash Flow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4"/>
      </tp>
      <tp>
        <v>32642</v>
        <stp/>
        <stp>##V3_BDHV12</stp>
        <stp>XOM US Equity</stp>
        <stp>BS_INVEST_IN_ASSOC_CO</stp>
        <stp>FQ2 2010</stp>
        <stp>FQ2 2010</stp>
        <stp>[FA1_m42y3cpi.xlsx]Bal Sheet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3"/>
      </tp>
      <tp t="s">
        <v>—</v>
        <stp/>
        <stp>##V3_BDHV12</stp>
        <stp>XOM US Equity</stp>
        <stp>BS_OPTIONS_GRANTED</stp>
        <stp>FQ2 2009</stp>
        <stp>FQ2 2009</stp>
        <stp>[FA1_m42y3cpi.xlsx]Bal Sheet - Standardized!R84C6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4" s="3"/>
      </tp>
      <tp t="s">
        <v>—</v>
        <stp/>
        <stp>##V3_BDHV12</stp>
        <stp>XOM US Equity</stp>
        <stp>BS_OPTIONS_GRANTED</stp>
        <stp>FQ3 2009</stp>
        <stp>FQ3 2009</stp>
        <stp>[FA1_m42y3cpi.xlsx]Bal Sheet - Standardized!R84C7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4" s="3"/>
      </tp>
      <tp>
        <v>0</v>
        <stp/>
        <stp>##V3_BDHV12</stp>
        <stp>XOM US Equity</stp>
        <stp>BS_OPTIONS_GRANTED</stp>
        <stp>FQ1 2009</stp>
        <stp>FQ1 2009</stp>
        <stp>[FA1_m42y3cpi.xlsx]Bal Sheet - Standardized!R84C5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4" s="3"/>
      </tp>
      <tp>
        <v>20.841799999999999</v>
        <stp/>
        <stp>##V3_BDHV12</stp>
        <stp>XOM US Equity</stp>
        <stp>GROSS_MARGIN</stp>
        <stp>FQ3 2008</stp>
        <stp>FQ3 2008</stp>
        <stp>[FA1_m42y3cpi.xlsx]Income - Adjusted!R65C3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65" s="2"/>
      </tp>
      <tp>
        <v>19.026</v>
        <stp/>
        <stp>##V3_BDHV12</stp>
        <stp>XOM US Equity</stp>
        <stp>GROSS_MARGIN</stp>
        <stp>FQ4 2008</stp>
        <stp>FQ4 2008</stp>
        <stp>[FA1_m42y3cpi.xlsx]Income - Adjusted!R65C4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65" s="2"/>
      </tp>
      <tp t="s">
        <v>—</v>
        <stp/>
        <stp>##V3_BDHV12</stp>
        <stp>XOM US Equity</stp>
        <stp>CF_CHANGE_IN_INVENTORIES</stp>
        <stp>FQ2 2011</stp>
        <stp>FQ2 2011</stp>
        <stp>[FA1_m42y3cpi.xlsx]Cash Flow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4"/>
      </tp>
      <tp t="s">
        <v>—</v>
        <stp/>
        <stp>##V3_BDHV12</stp>
        <stp>XOM US Equity</stp>
        <stp>BS_DERIVATIVE_&amp;_HEDGING_LIABS_LT</stp>
        <stp>FQ3 2017</stp>
        <stp>FQ3 2017</stp>
        <stp>[FA1_m42y3cpi.xlsx]Bal Sheet - Standardized!R63C39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3" s="3"/>
      </tp>
      <tp>
        <v>0</v>
        <stp/>
        <stp>##V3_BDHV12</stp>
        <stp>XOM US Equity</stp>
        <stp>CF_CASH_FOR_DIVESTITURES</stp>
        <stp>FQ1 2016</stp>
        <stp>FQ1 2016</stp>
        <stp>[FA1_m42y3cpi.xlsx]Cash Flow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4"/>
      </tp>
      <tp>
        <v>0</v>
        <stp/>
        <stp>##V3_BDHV12</stp>
        <stp>XOM US Equity</stp>
        <stp>CF_CASH_FOR_DIVESTITURES</stp>
        <stp>FQ3 2011</stp>
        <stp>FQ3 2011</stp>
        <stp>[FA1_m42y3cpi.xlsx]Cash Flow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4"/>
      </tp>
      <tp>
        <v>1544</v>
        <stp/>
        <stp>##V3_BDHV12</stp>
        <stp>XOM US Equity</stp>
        <stp>BS_OTHER_CUR_ASSET_LESS_PREPAY</stp>
        <stp>FQ2 2017</stp>
        <stp>FQ2 2017</stp>
        <stp>[FA1_m42y3cpi.xlsx]Bal Sheet - Standardized!R21C38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3"/>
      </tp>
      <tp t="s">
        <v>—</v>
        <stp/>
        <stp>##V3_BDHV12</stp>
        <stp>XOM US Equity</stp>
        <stp>BS_DERIVATIVE_&amp;_HEDGING_LIABS_ST</stp>
        <stp>FQ3 2017</stp>
        <stp>FQ3 2017</stp>
        <stp>[FA1_m42y3cpi.xlsx]Bal Sheet - Standardized!R52C39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2" s="3"/>
      </tp>
      <tp t="s">
        <v>—</v>
        <stp/>
        <stp>##V3_BDHV12</stp>
        <stp>XOM US Equity</stp>
        <stp>CF_CHANGE_IN_INVENTORIES</stp>
        <stp>FQ1 2013</stp>
        <stp>FQ1 2013</stp>
        <stp>[FA1_m42y3cpi.xlsx]Cash Flow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4"/>
      </tp>
      <tp>
        <v>0</v>
        <stp/>
        <stp>##V3_BDHV12</stp>
        <stp>XOM US Equity</stp>
        <stp>CF_CASH_FOR_DIVESTITURES</stp>
        <stp>FQ1 2017</stp>
        <stp>FQ1 2017</stp>
        <stp>[FA1_m42y3cpi.xlsx]Cash Flow - Standardized!R31C37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4"/>
      </tp>
      <tp t="s">
        <v>—</v>
        <stp/>
        <stp>##V3_BDHV12</stp>
        <stp>XOM US Equity</stp>
        <stp>CF_CHANGE_IN_INVENTORIES</stp>
        <stp>FQ2 2010</stp>
        <stp>FQ2 2010</stp>
        <stp>[FA1_m42y3cpi.xlsx]Cash Flow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4"/>
      </tp>
      <tp>
        <v>0</v>
        <stp/>
        <stp>##V3_BDHV12</stp>
        <stp>XOM US Equity</stp>
        <stp>IS_NET_ABNORMAL_ITEMS</stp>
        <stp>FQ1 2018</stp>
        <stp>FQ1 2018</stp>
        <stp>[FA1_m42y3cpi.xlsx]Income - Adjusted!R46C41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6" s="2"/>
      </tp>
      <tp>
        <v>0</v>
        <stp/>
        <stp>##V3_BDHV12</stp>
        <stp>XOM US Equity</stp>
        <stp>CF_CASH_FOR_DIVESTITURES</stp>
        <stp>FQ3 2010</stp>
        <stp>FQ3 2010</stp>
        <stp>[FA1_m42y3cpi.xlsx]Cash Flow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4"/>
      </tp>
      <tp t="s">
        <v>—</v>
        <stp/>
        <stp>##V3_BDHV12</stp>
        <stp>XOM US Equity</stp>
        <stp>CF_CHANGE_IN_INVENTORIES</stp>
        <stp>FQ1 2014</stp>
        <stp>FQ1 2014</stp>
        <stp>[FA1_m42y3cpi.xlsx]Cash Flow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4"/>
      </tp>
      <tp>
        <v>4684</v>
        <stp/>
        <stp>##V3_BDHV12</stp>
        <stp>XOM US Equity</stp>
        <stp>BS_OTHER_CUR_ASSET_LESS_PREPAY</stp>
        <stp>FQ2 2015</stp>
        <stp>FQ2 2015</stp>
        <stp>[FA1_m42y3cpi.xlsx]Bal Sheet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3"/>
      </tp>
      <tp t="s">
        <v>—</v>
        <stp/>
        <stp>##V3_BDHV12</stp>
        <stp>XOM US Equity</stp>
        <stp>BS_DERIVATIVE_&amp;_HEDGING_LIABS_LT</stp>
        <stp>FQ1 2012</stp>
        <stp>FQ1 2012</stp>
        <stp>[FA1_m42y3cpi.xlsx]Bal Sheet - Standardized!R63C17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3" s="3"/>
      </tp>
      <tp t="s">
        <v>—</v>
        <stp/>
        <stp>##V3_BDHV12</stp>
        <stp>XOM US Equity</stp>
        <stp>BS_DERIVATIVE_&amp;_HEDGING_LIABS_ST</stp>
        <stp>FQ3 2015</stp>
        <stp>FQ3 2015</stp>
        <stp>[FA1_m42y3cpi.xlsx]Bal Sheet - Standardized!R52C31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2" s="3"/>
      </tp>
      <tp t="s">
        <v>—</v>
        <stp/>
        <stp>##V3_BDHV12</stp>
        <stp>XOM US Equity</stp>
        <stp>CF_CHANGE_IN_INVENTORIES</stp>
        <stp>FQ1 2015</stp>
        <stp>FQ1 2015</stp>
        <stp>[FA1_m42y3cpi.xlsx]Cash Flow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4"/>
      </tp>
      <tp t="s">
        <v>—</v>
        <stp/>
        <stp>##V3_BDHV12</stp>
        <stp>XOM US Equity</stp>
        <stp>BS_DERIVATIVE_&amp;_HEDGING_LIABS_ST</stp>
        <stp>FQ1 2012</stp>
        <stp>FQ1 2012</stp>
        <stp>[FA1_m42y3cpi.xlsx]Bal Sheet - Standardized!R52C17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2" s="3"/>
      </tp>
      <tp t="s">
        <v>—</v>
        <stp/>
        <stp>##V3_BDHV12</stp>
        <stp>XOM US Equity</stp>
        <stp>BS_DERIVATIVE_&amp;_HEDGING_LIABS_LT</stp>
        <stp>FQ3 2015</stp>
        <stp>FQ3 2015</stp>
        <stp>[FA1_m42y3cpi.xlsx]Bal Sheet - Standardized!R63C31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3" s="3"/>
      </tp>
      <tp>
        <v>0</v>
        <stp/>
        <stp>##V3_BDHV12</stp>
        <stp>XOM US Equity</stp>
        <stp>CF_CASH_FOR_DIVESTITURES</stp>
        <stp>FQ3 2012</stp>
        <stp>FQ3 2012</stp>
        <stp>[FA1_m42y3cpi.xlsx]Cash Flow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4"/>
      </tp>
      <tp>
        <v>5896</v>
        <stp/>
        <stp>##V3_BDHV12</stp>
        <stp>XOM US Equity</stp>
        <stp>BS_OTHER_CUR_ASSET_LESS_PREPAY</stp>
        <stp>FQ3 2013</stp>
        <stp>FQ3 2013</stp>
        <stp>[FA1_m42y3cpi.xlsx]Bal Sheet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3"/>
      </tp>
      <tp t="s">
        <v>—</v>
        <stp/>
        <stp>##V3_BDHV12</stp>
        <stp>XOM US Equity</stp>
        <stp>BS_DERIVATIVE_&amp;_HEDGING_LIABS_ST</stp>
        <stp>FQ2 2013</stp>
        <stp>FQ2 2013</stp>
        <stp>[FA1_m42y3cpi.xlsx]Bal Sheet - Standardized!R52C22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2" s="3"/>
      </tp>
      <tp t="s">
        <v>—</v>
        <stp/>
        <stp>##V3_BDHV12</stp>
        <stp>XOM US Equity</stp>
        <stp>BS_DERIVATIVE_&amp;_HEDGING_LIABS_ST</stp>
        <stp>FQ1 2011</stp>
        <stp>FQ1 2011</stp>
        <stp>[FA1_m42y3cpi.xlsx]Bal Sheet - Standardized!R52C13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2" s="3"/>
      </tp>
      <tp t="s">
        <v>—</v>
        <stp/>
        <stp>##V3_BDHV12</stp>
        <stp>XOM US Equity</stp>
        <stp>BS_DERIVATIVE_&amp;_HEDGING_LIABS_LT</stp>
        <stp>FQ3 2016</stp>
        <stp>FQ3 2016</stp>
        <stp>[FA1_m42y3cpi.xlsx]Bal Sheet - Standardized!R63C35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3" s="3"/>
      </tp>
      <tp>
        <v>0</v>
        <stp/>
        <stp>##V3_BDHV12</stp>
        <stp>XOM US Equity</stp>
        <stp>BS_DERIVATIVE_&amp;_HEDGING_LIABS_ST</stp>
        <stp>FQ4 2017</stp>
        <stp>FQ4 2017</stp>
        <stp>[FA1_m42y3cpi.xlsx]Bal Sheet - Standardized!R52C40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2" s="3"/>
      </tp>
      <tp t="s">
        <v>—</v>
        <stp/>
        <stp>##V3_BDHV12</stp>
        <stp>XOM US Equity</stp>
        <stp>BS_DERIVATIVE_&amp;_HEDGING_LIABS_LT</stp>
        <stp>FQ2 2014</stp>
        <stp>FQ2 2014</stp>
        <stp>[FA1_m42y3cpi.xlsx]Bal Sheet - Standardized!R63C26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3" s="3"/>
      </tp>
      <tp>
        <v>3768</v>
        <stp/>
        <stp>##V3_BDHV12</stp>
        <stp>XOM US Equity</stp>
        <stp>BS_OTHER_CUR_ASSET_LESS_PREPAY</stp>
        <stp>FQ2 2016</stp>
        <stp>FQ2 2016</stp>
        <stp>[FA1_m42y3cpi.xlsx]Bal Sheet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3"/>
      </tp>
      <tp>
        <v>4909</v>
        <stp/>
        <stp>##V3_BDHV12</stp>
        <stp>XOM US Equity</stp>
        <stp>BS_OTHER_CUR_ASSET_LESS_PREPAY</stp>
        <stp>FQ3 2014</stp>
        <stp>FQ3 2014</stp>
        <stp>[FA1_m42y3cpi.xlsx]Bal Sheet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3"/>
      </tp>
      <tp t="s">
        <v>—</v>
        <stp/>
        <stp>##V3_BDHV12</stp>
        <stp>XOM US Equity</stp>
        <stp>BS_DERIVATIVE_&amp;_HEDGING_LIABS_LT</stp>
        <stp>FQ2 2013</stp>
        <stp>FQ2 2013</stp>
        <stp>[FA1_m42y3cpi.xlsx]Bal Sheet - Standardized!R63C22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3" s="3"/>
      </tp>
      <tp t="s">
        <v>—</v>
        <stp/>
        <stp>##V3_BDHV12</stp>
        <stp>XOM US Equity</stp>
        <stp>BS_DERIVATIVE_&amp;_HEDGING_LIABS_LT</stp>
        <stp>FQ1 2011</stp>
        <stp>FQ1 2011</stp>
        <stp>[FA1_m42y3cpi.xlsx]Bal Sheet - Standardized!R63C13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3" s="3"/>
      </tp>
      <tp t="s">
        <v>—</v>
        <stp/>
        <stp>##V3_BDHV12</stp>
        <stp>XOM US Equity</stp>
        <stp>BS_DERIVATIVE_&amp;_HEDGING_LIABS_LT</stp>
        <stp>FQ4 2017</stp>
        <stp>FQ4 2017</stp>
        <stp>[FA1_m42y3cpi.xlsx]Bal Sheet - Standardized!R63C40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3" s="3"/>
      </tp>
      <tp t="s">
        <v>—</v>
        <stp/>
        <stp>##V3_BDHV12</stp>
        <stp>XOM US Equity</stp>
        <stp>BS_DERIVATIVE_&amp;_HEDGING_LIABS_ST</stp>
        <stp>FQ3 2016</stp>
        <stp>FQ3 2016</stp>
        <stp>[FA1_m42y3cpi.xlsx]Bal Sheet - Standardized!R52C35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2" s="3"/>
      </tp>
      <tp t="s">
        <v>—</v>
        <stp/>
        <stp>##V3_BDHV12</stp>
        <stp>XOM US Equity</stp>
        <stp>BS_DERIVATIVE_&amp;_HEDGING_LIABS_ST</stp>
        <stp>FQ2 2014</stp>
        <stp>FQ2 2014</stp>
        <stp>[FA1_m42y3cpi.xlsx]Bal Sheet - Standardized!R52C26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2" s="3"/>
      </tp>
      <tp t="s">
        <v>—</v>
        <stp/>
        <stp>##V3_BDHV12</stp>
        <stp>XOM US Equity</stp>
        <stp>CF_CHANGE_IN_INVENTORIES</stp>
        <stp>FQ2 2012</stp>
        <stp>FQ2 2012</stp>
        <stp>[FA1_m42y3cpi.xlsx]Cash Flow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4"/>
      </tp>
      <tp>
        <v>256218</v>
        <stp/>
        <stp>##V3_BDHV12</stp>
        <stp>XOM US Equity</stp>
        <stp>TOT_LIAB_AND_EQY</stp>
        <stp>FQ3 2008</stp>
        <stp>FQ3 2008</stp>
        <stp>[FA1_m42y3cpi.xlsx]Bal Sheet - Standardized!R75C3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5" s="3"/>
      </tp>
      <tp>
        <v>228052</v>
        <stp/>
        <stp>##V3_BDHV12</stp>
        <stp>XOM US Equity</stp>
        <stp>TOT_LIAB_AND_EQY</stp>
        <stp>FQ4 2008</stp>
        <stp>FQ4 2008</stp>
        <stp>[FA1_m42y3cpi.xlsx]Bal Sheet - Standardized!R75C4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5" s="3"/>
      </tp>
      <tp>
        <v>0</v>
        <stp/>
        <stp>##V3_BDHV12</stp>
        <stp>XOM US Equity</stp>
        <stp>OTHER_CURRENT_LIABS_SUB_DETAILED</stp>
        <stp>FQ4 2016</stp>
        <stp>FQ4 2016</stp>
        <stp>[FA1_m42y3cpi.xlsx]Bal Sheet - Standardized!R50C36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0" s="3"/>
      </tp>
      <tp>
        <v>222491</v>
        <stp/>
        <stp>##V3_BDHV12</stp>
        <stp>XOM US Equity</stp>
        <stp>TOT_LIAB_AND_EQY</stp>
        <stp>FQ1 2009</stp>
        <stp>FQ1 2009</stp>
        <stp>[FA1_m42y3cpi.xlsx]Bal Sheet - Standardized!R75C5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5" s="3"/>
      </tp>
      <tp>
        <v>224661</v>
        <stp/>
        <stp>##V3_BDHV12</stp>
        <stp>XOM US Equity</stp>
        <stp>TOT_LIAB_AND_EQY</stp>
        <stp>FQ2 2009</stp>
        <stp>FQ2 2009</stp>
        <stp>[FA1_m42y3cpi.xlsx]Bal Sheet - Standardized!R75C6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5" s="3"/>
      </tp>
      <tp>
        <v>229307</v>
        <stp/>
        <stp>##V3_BDHV12</stp>
        <stp>XOM US Equity</stp>
        <stp>TOT_LIAB_AND_EQY</stp>
        <stp>FQ3 2009</stp>
        <stp>FQ3 2009</stp>
        <stp>[FA1_m42y3cpi.xlsx]Bal Sheet - Standardized!R75C7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5" s="3"/>
      </tp>
      <tp>
        <v>0</v>
        <stp/>
        <stp>##V3_BDHV12</stp>
        <stp>XOM US Equity</stp>
        <stp>OTHER_CURRENT_LIABS_SUB_DETAILED</stp>
        <stp>FQ4 2015</stp>
        <stp>FQ4 2015</stp>
        <stp>[FA1_m42y3cpi.xlsx]Bal Sheet - Standardized!R50C32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0" s="3"/>
      </tp>
      <tp>
        <v>242748</v>
        <stp/>
        <stp>##V3_BDHV12</stp>
        <stp>XOM US Equity</stp>
        <stp>TOT_LIAB_AND_EQY</stp>
        <stp>FQ1 2010</stp>
        <stp>FQ1 2010</stp>
        <stp>[FA1_m42y3cpi.xlsx]Bal Sheet - Standardized!R75C9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5" s="3"/>
      </tp>
      <tp>
        <v>233323</v>
        <stp/>
        <stp>##V3_BDHV12</stp>
        <stp>XOM US Equity</stp>
        <stp>TOT_LIAB_AND_EQY</stp>
        <stp>FQ4 2009</stp>
        <stp>FQ4 2009</stp>
        <stp>[FA1_m42y3cpi.xlsx]Bal Sheet - Standardized!R75C8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5" s="3"/>
      </tp>
      <tp>
        <v>4597</v>
        <stp/>
        <stp>##V3_BDHV12</stp>
        <stp>XOM US Equity</stp>
        <stp>IS_SH_FOR_DILUTED_EPS</stp>
        <stp>FQ3 2012</stp>
        <stp>FQ3 2012</stp>
        <stp>[FA1_m42y3cpi.xlsx]Per Share!R7C19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5"/>
      </tp>
      <tp>
        <v>4656</v>
        <stp/>
        <stp>##V3_BDHV12</stp>
        <stp>XOM US Equity</stp>
        <stp>IS_SH_FOR_DILUTED_EPS</stp>
        <stp>FQ2 2012</stp>
        <stp>FQ2 2012</stp>
        <stp>[FA1_m42y3cpi.xlsx]Per Share!R7C18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5"/>
      </tp>
      <tp>
        <v>4880</v>
        <stp/>
        <stp>##V3_BDHV12</stp>
        <stp>XOM US Equity</stp>
        <stp>IS_D&amp;A_COST_OF_REVENUE</stp>
        <stp>FQ3 2017</stp>
        <stp>FQ3 2017</stp>
        <stp>[FA1_m42y3cpi.xlsx]Income - Adjusted!R10C39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0" s="2"/>
      </tp>
      <tp>
        <v>4235</v>
        <stp/>
        <stp>##V3_BDHV12</stp>
        <stp>XOM US Equity</stp>
        <stp>IS_SH_FOR_DILUTED_EPS</stp>
        <stp>FQ4 2014</stp>
        <stp>FQ4 2014</stp>
        <stp>[FA1_m42y3cpi.xlsx]Per Share!R7C28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5"/>
      </tp>
      <tp>
        <v>4270</v>
        <stp/>
        <stp>##V3_BDHV12</stp>
        <stp>XOM US Equity</stp>
        <stp>IS_SH_FOR_DILUTED_EPS</stp>
        <stp>FQ1 2018</stp>
        <stp>FQ1 2018</stp>
        <stp>[FA1_m42y3cpi.xlsx]Per Share!R7C41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" s="5"/>
      </tp>
      <tp>
        <v>4271</v>
        <stp/>
        <stp>##V3_BDHV12</stp>
        <stp>XOM US Equity</stp>
        <stp>IS_SH_FOR_DILUTED_EPS</stp>
        <stp>FQ2 2018</stp>
        <stp>FQ2 2018</stp>
        <stp>[FA1_m42y3cpi.xlsx]Per Share!R7C42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" s="5"/>
      </tp>
      <tp>
        <v>1.3765000000000001</v>
        <stp/>
        <stp>##V3_BDHV12</stp>
        <stp>XOM US Equity</stp>
        <stp>IS_BASIC_EPS_CONT_OPS</stp>
        <stp>FQ1 2010</stp>
        <stp>FQ1 2010</stp>
        <stp>[FA1_m42y3cpi.xlsx]Per Share!R16C9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6" s="5"/>
      </tp>
      <tp t="s">
        <v>—</v>
        <stp/>
        <stp>##V3_BDHV12</stp>
        <stp>XOM US Equity</stp>
        <stp>BS_ACCTS_REC_EXCL_NOTES_REC</stp>
        <stp>FQ1 2015</stp>
        <stp>FQ1 2015</stp>
        <stp>[FA1_m42y3cpi.xlsx]Bal Sheet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3"/>
      </tp>
      <tp t="s">
        <v>—</v>
        <stp/>
        <stp>##V3_BDHV12</stp>
        <stp>XOM US Equity</stp>
        <stp>ST_DEFERRED_REVENUE</stp>
        <stp>FQ2 2018</stp>
        <stp>FQ2 2018</stp>
        <stp>[FA1_m42y3cpi.xlsx]Bal Sheet - Standardized!R51C42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1" s="3"/>
      </tp>
      <tp>
        <v>0</v>
        <stp/>
        <stp>##V3_BDHV12</stp>
        <stp>XOM US Equity</stp>
        <stp>ST_DEFERRED_REVENUE</stp>
        <stp>FQ4 2014</stp>
        <stp>FQ4 2014</stp>
        <stp>[FA1_m42y3cpi.xlsx]Bal Sheet - Standardized!R51C28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1" s="3"/>
      </tp>
      <tp>
        <v>4271</v>
        <stp/>
        <stp>##V3_BDHV12</stp>
        <stp>XOM US Equity</stp>
        <stp>IS_AVG_NUM_SH_FOR_EPS</stp>
        <stp>FQ2 2018</stp>
        <stp>FQ2 2018</stp>
        <stp>[FA1_m42y3cpi.xlsx]Per Share!R8C42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" s="5"/>
      </tp>
      <tp>
        <v>4270</v>
        <stp/>
        <stp>##V3_BDHV12</stp>
        <stp>XOM US Equity</stp>
        <stp>IS_AVG_NUM_SH_FOR_EPS</stp>
        <stp>FQ1 2018</stp>
        <stp>FQ1 2018</stp>
        <stp>[FA1_m42y3cpi.xlsx]Per Share!R8C41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" s="5"/>
      </tp>
      <tp>
        <v>0</v>
        <stp/>
        <stp>##V3_BDHV12</stp>
        <stp>XOM US Equity</stp>
        <stp>LT_DEFERRED_REVENUE</stp>
        <stp>FQ4 2014</stp>
        <stp>FQ4 2014</stp>
        <stp>[FA1_m42y3cpi.xlsx]Bal Sheet - Standardized!R61C28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1" s="3"/>
      </tp>
      <tp t="s">
        <v>—</v>
        <stp/>
        <stp>##V3_BDHV12</stp>
        <stp>XOM US Equity</stp>
        <stp>LT_DEFERRED_REVENUE</stp>
        <stp>FQ2 2018</stp>
        <stp>FQ2 2018</stp>
        <stp>[FA1_m42y3cpi.xlsx]Bal Sheet - Standardized!R61C42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1" s="3"/>
      </tp>
      <tp t="s">
        <v>—</v>
        <stp/>
        <stp>##V3_BDHV12</stp>
        <stp>XOM US Equity</stp>
        <stp>BS_ACCTS_REC_EXCL_NOTES_REC</stp>
        <stp>FQ2 2012</stp>
        <stp>FQ2 2012</stp>
        <stp>[FA1_m42y3cpi.xlsx]Bal Sheet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3"/>
      </tp>
      <tp>
        <v>229734</v>
        <stp/>
        <stp>##V3_BDHV12</stp>
        <stp>XOM US Equity</stp>
        <stp>BS_AMT_OF_TSY_STOCK</stp>
        <stp>FQ4 2015</stp>
        <stp>FQ4 2015</stp>
        <stp>[FA1_m42y3cpi.xlsx]Bal Sheet - Standardized!R69C32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9" s="3"/>
      </tp>
      <tp>
        <v>0</v>
        <stp/>
        <stp>##V3_BDHV12</stp>
        <stp>XOM US Equity</stp>
        <stp>LT_DEFERRED_REVENUE</stp>
        <stp>FQ4 2012</stp>
        <stp>FQ4 2012</stp>
        <stp>[FA1_m42y3cpi.xlsx]Bal Sheet - Standardized!R61C20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1" s="3"/>
      </tp>
      <tp t="s">
        <v>—</v>
        <stp/>
        <stp>##V3_BDHV12</stp>
        <stp>XOM US Equity</stp>
        <stp>BS_ACCTS_REC_EXCL_NOTES_REC</stp>
        <stp>FQ2 2011</stp>
        <stp>FQ2 2011</stp>
        <stp>[FA1_m42y3cpi.xlsx]Bal Sheet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3"/>
      </tp>
      <tp>
        <v>47.388800000000003</v>
        <stp/>
        <stp>##V3_BDHV12</stp>
        <stp>XOM US Equity</stp>
        <stp>TCE_RATIO</stp>
        <stp>FQ4 2009</stp>
        <stp>FQ4 2009</stp>
        <stp>[FA1_m42y3cpi.xlsx]Bal Sheet - Standardized!R88C8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8" s="3"/>
      </tp>
      <tp>
        <v>4235</v>
        <stp/>
        <stp>##V3_BDHV12</stp>
        <stp>XOM US Equity</stp>
        <stp>IS_AVG_NUM_SH_FOR_EPS</stp>
        <stp>FQ4 2014</stp>
        <stp>FQ4 2014</stp>
        <stp>[FA1_m42y3cpi.xlsx]Per Share!R8C28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5"/>
      </tp>
      <tp>
        <v>0</v>
        <stp/>
        <stp>##V3_BDHV12</stp>
        <stp>XOM US Equity</stp>
        <stp>ST_DEFERRED_REVENUE</stp>
        <stp>FQ4 2012</stp>
        <stp>FQ4 2012</stp>
        <stp>[FA1_m42y3cpi.xlsx]Bal Sheet - Standardized!R51C20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1" s="3"/>
      </tp>
      <tp t="s">
        <v>—</v>
        <stp/>
        <stp>##V3_BDHV12</stp>
        <stp>XOM US Equity</stp>
        <stp>BS_ACCTS_REC_EXCL_NOTES_REC</stp>
        <stp>FQ1 2013</stp>
        <stp>FQ1 2013</stp>
        <stp>[FA1_m42y3cpi.xlsx]Bal Sheet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3"/>
      </tp>
      <tp>
        <v>0</v>
        <stp/>
        <stp>##V3_BDHV12</stp>
        <stp>XOM US Equity</stp>
        <stp>LT_DEFERRED_REVENUE</stp>
        <stp>FQ4 2013</stp>
        <stp>FQ4 2013</stp>
        <stp>[FA1_m42y3cpi.xlsx]Bal Sheet - Standardized!R61C24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1" s="3"/>
      </tp>
      <tp t="s">
        <v>—</v>
        <stp/>
        <stp>##V3_BDHV12</stp>
        <stp>XOM US Equity</stp>
        <stp>BS_ACCTS_REC_EXCL_NOTES_REC</stp>
        <stp>FQ2 2010</stp>
        <stp>FQ2 2010</stp>
        <stp>[FA1_m42y3cpi.xlsx]Bal Sheet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3"/>
      </tp>
      <tp>
        <v>0</v>
        <stp/>
        <stp>##V3_BDHV12</stp>
        <stp>XOM US Equity</stp>
        <stp>ST_DEFERRED_REVENUE</stp>
        <stp>FQ4 2013</stp>
        <stp>FQ4 2013</stp>
        <stp>[FA1_m42y3cpi.xlsx]Bal Sheet - Standardized!R51C24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1" s="3"/>
      </tp>
      <tp>
        <v>230424</v>
        <stp/>
        <stp>##V3_BDHV12</stp>
        <stp>XOM US Equity</stp>
        <stp>BS_AMT_OF_TSY_STOCK</stp>
        <stp>FQ4 2016</stp>
        <stp>FQ4 2016</stp>
        <stp>[FA1_m42y3cpi.xlsx]Bal Sheet - Standardized!R69C36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9" s="3"/>
      </tp>
      <tp t="s">
        <v>—</v>
        <stp/>
        <stp>##V3_BDHV12</stp>
        <stp>XOM US Equity</stp>
        <stp>BS_ACCTS_REC_EXCL_NOTES_REC</stp>
        <stp>FQ1 2014</stp>
        <stp>FQ1 2014</stp>
        <stp>[FA1_m42y3cpi.xlsx]Bal Sheet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3"/>
      </tp>
      <tp>
        <v>4656</v>
        <stp/>
        <stp>##V3_BDHV12</stp>
        <stp>XOM US Equity</stp>
        <stp>IS_AVG_NUM_SH_FOR_EPS</stp>
        <stp>FQ2 2012</stp>
        <stp>FQ2 2012</stp>
        <stp>[FA1_m42y3cpi.xlsx]Per Share!R8C18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5"/>
      </tp>
      <tp>
        <v>4597</v>
        <stp/>
        <stp>##V3_BDHV12</stp>
        <stp>XOM US Equity</stp>
        <stp>IS_AVG_NUM_SH_FOR_EPS</stp>
        <stp>FQ3 2012</stp>
        <stp>FQ3 2012</stp>
        <stp>[FA1_m42y3cpi.xlsx]Per Share!R8C19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5"/>
      </tp>
      <tp>
        <v>18680</v>
        <stp/>
        <stp>##V3_BDHV12</stp>
        <stp>XOM US Equity</stp>
        <stp>PRETAX_INC</stp>
        <stp>FQ3 2011</stp>
        <stp>FQ3 2011</stp>
        <stp>[FA1_m42y3cpi.xlsx]Income - Adjusted!R32C15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32" s="2"/>
      </tp>
      <tp>
        <v>5749</v>
        <stp/>
        <stp>##V3_BDHV12</stp>
        <stp>XOM US Equity</stp>
        <stp>PRETAX_INC</stp>
        <stp>FQ3 2015</stp>
        <stp>FQ3 2015</stp>
        <stp>[FA1_m42y3cpi.xlsx]Income - Adjusted!R32C31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32" s="2"/>
      </tp>
      <tp>
        <v>37649</v>
        <stp/>
        <stp>##V3_BDHV12</stp>
        <stp>XOM US Equity</stp>
        <stp>BS_INVEST_IN_ASSOC_CO</stp>
        <stp>FQ3 2017</stp>
        <stp>FQ3 2017</stp>
        <stp>[FA1_m42y3cpi.xlsx]Bal Sheet - Standardized!R36C39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3"/>
      </tp>
      <tp>
        <v>3970</v>
        <stp/>
        <stp>##V3_BDHV12</stp>
        <stp>XOM US Equity</stp>
        <stp>NET_INCOME</stp>
        <stp>FQ3 2017</stp>
        <stp>FQ3 2017</stp>
        <stp>[FA1_m42y3cpi.xlsx]Income - Adjusted!R40C39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40" s="2"/>
      </tp>
      <tp>
        <v>15.782299999999999</v>
        <stp/>
        <stp>##V3_BDHV12</stp>
        <stp>XOM US Equity</stp>
        <stp>EBITDA_MARGIN</stp>
        <stp>FQ2 2013</stp>
        <stp>FQ2 2013</stp>
        <stp>[FA1_m42y3cpi.xlsx]Cash Flow - Standardized!R60C22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60" s="4"/>
      </tp>
      <tp>
        <v>15.178100000000001</v>
        <stp/>
        <stp>##V3_BDHV12</stp>
        <stp>XOM US Equity</stp>
        <stp>EBITDA_MARGIN</stp>
        <stp>FQ3 2013</stp>
        <stp>FQ3 2013</stp>
        <stp>[FA1_m42y3cpi.xlsx]Cash Flow - Standardized!R60C23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60" s="4"/>
      </tp>
      <tp>
        <v>15.8795</v>
        <stp/>
        <stp>##V3_BDHV12</stp>
        <stp>XOM US Equity</stp>
        <stp>EBITDA_MARGIN</stp>
        <stp>FQ1 2013</stp>
        <stp>FQ1 2013</stp>
        <stp>[FA1_m42y3cpi.xlsx]Cash Flow - Standardized!R60C21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60" s="4"/>
      </tp>
      <tp>
        <v>14.712899999999999</v>
        <stp/>
        <stp>##V3_BDHV12</stp>
        <stp>XOM US Equity</stp>
        <stp>EBITDA_MARGIN</stp>
        <stp>FQ4 2013</stp>
        <stp>FQ4 2013</stp>
        <stp>[FA1_m42y3cpi.xlsx]Cash Flow - Standardized!R60C24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60" s="4"/>
      </tp>
      <tp>
        <v>34527</v>
        <stp/>
        <stp>##V3_BDHV12</stp>
        <stp>XOM US Equity</stp>
        <stp>BS_INVEST_IN_ASSOC_CO</stp>
        <stp>FQ1 2012</stp>
        <stp>FQ1 2012</stp>
        <stp>[FA1_m42y3cpi.xlsx]Bal Sheet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3"/>
      </tp>
      <tp t="s">
        <v>—</v>
        <stp/>
        <stp>##V3_BDHV12</stp>
        <stp>XOM US Equity</stp>
        <stp>BS_INVEST_IN_ASSOC_CO</stp>
        <stp>FQ3 2015</stp>
        <stp>FQ3 2015</stp>
        <stp>[FA1_m42y3cpi.xlsx]Bal Sheet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3"/>
      </tp>
      <tp>
        <v>9203</v>
        <stp/>
        <stp>##V3_BDHV12</stp>
        <stp>XOM US Equity</stp>
        <stp>EBITDA</stp>
        <stp>FQ2 2018</stp>
        <stp>FQ2 2018</stp>
        <stp>[FA1_m42y3cpi.xlsx]Income - Adjusted!R61C42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61" s="2"/>
      </tp>
      <tp>
        <v>5522</v>
        <stp/>
        <stp>##V3_BDHV12</stp>
        <stp>XOM US Equity</stp>
        <stp>EBITDA</stp>
        <stp>FQ2 2012</stp>
        <stp>FQ2 2012</stp>
        <stp>[FA1_m42y3cpi.xlsx]Income - Adjusted!R61C18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1" s="2"/>
      </tp>
      <tp>
        <v>35110</v>
        <stp/>
        <stp>##V3_BDHV12</stp>
        <stp>XOM US Equity</stp>
        <stp>BS_INVEST_IN_ASSOC_CO</stp>
        <stp>FQ2 2014</stp>
        <stp>FQ2 2014</stp>
        <stp>[FA1_m42y3cpi.xlsx]Bal Sheet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3"/>
      </tp>
      <tp t="s">
        <v>—</v>
        <stp/>
        <stp>##V3_BDHV12</stp>
        <stp>XOM US Equity</stp>
        <stp>BS_INVEST_IN_ASSOC_CO</stp>
        <stp>FQ3 2016</stp>
        <stp>FQ3 2016</stp>
        <stp>[FA1_m42y3cpi.xlsx]Bal Sheet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3"/>
      </tp>
      <tp>
        <v>35207</v>
        <stp/>
        <stp>##V3_BDHV12</stp>
        <stp>XOM US Equity</stp>
        <stp>BS_INVEST_IN_ASSOC_CO</stp>
        <stp>FQ1 2011</stp>
        <stp>FQ1 2011</stp>
        <stp>[FA1_m42y3cpi.xlsx]Bal Sheet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3"/>
      </tp>
      <tp>
        <v>35643</v>
        <stp/>
        <stp>##V3_BDHV12</stp>
        <stp>XOM US Equity</stp>
        <stp>BS_INVEST_IN_ASSOC_CO</stp>
        <stp>FQ2 2013</stp>
        <stp>FQ2 2013</stp>
        <stp>[FA1_m42y3cpi.xlsx]Bal Sheet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3"/>
      </tp>
      <tp>
        <v>33466</v>
        <stp/>
        <stp>##V3_BDHV12</stp>
        <stp>XOM US Equity</stp>
        <stp>BS_INVEST_IN_ASSOC_CO</stp>
        <stp>FQ4 2017</stp>
        <stp>FQ4 2017</stp>
        <stp>[FA1_m42y3cpi.xlsx]Bal Sheet - Standardized!R36C40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3"/>
      </tp>
      <tp>
        <v>81252</v>
        <stp/>
        <stp>##V3_BDHV12</stp>
        <stp>XOM US Equity</stp>
        <stp>IS_COG_AND_SERVICES_SOLD</stp>
        <stp>FQ4 2012</stp>
        <stp>FQ4 2012</stp>
        <stp>[FA1_m42y3cpi.xlsx]Income - Adjusted!R9C20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9" s="2"/>
      </tp>
      <tp>
        <v>9.7102000000000004</v>
        <stp/>
        <stp>##V3_BDHV12</stp>
        <stp>XOM US Equity</stp>
        <stp>PX_TO_FREE_CASH_FLOW</stp>
        <stp>FQ3 2008</stp>
        <stp>FQ3 2008</stp>
        <stp>[FA1_m42y3cpi.xlsx]Cash Flow - Standardized!R67C3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7" s="4"/>
      </tp>
      <tp>
        <v>73459</v>
        <stp/>
        <stp>##V3_BDHV12</stp>
        <stp>XOM US Equity</stp>
        <stp>IS_COG_AND_SERVICES_SOLD</stp>
        <stp>FQ4 2010</stp>
        <stp>FQ4 2010</stp>
        <stp>[FA1_m42y3cpi.xlsx]Income - Adjusted!R9C12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9" s="2"/>
      </tp>
      <tp>
        <v>10.2554</v>
        <stp/>
        <stp>##V3_BDHV12</stp>
        <stp>XOM US Equity</stp>
        <stp>PX_TO_FREE_CASH_FLOW</stp>
        <stp>FQ4 2008</stp>
        <stp>FQ4 2008</stp>
        <stp>[FA1_m42y3cpi.xlsx]Cash Flow - Standardized!R67C4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7" s="4"/>
      </tp>
      <tp t="s">
        <v>—</v>
        <stp/>
        <stp>##V3_BDHV12</stp>
        <stp>XOM US Equity</stp>
        <stp>CF_CHANGE_IN_INVENTORIES</stp>
        <stp>FQ3 2015</stp>
        <stp>FQ3 2015</stp>
        <stp>[FA1_m42y3cpi.xlsx]Cash Flow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4"/>
      </tp>
      <tp t="s">
        <v>—</v>
        <stp/>
        <stp>##V3_BDHV12</stp>
        <stp>XOM US Equity</stp>
        <stp>BS_DERIVATIVE_&amp;_HEDGING_LIABS_LT</stp>
        <stp>FQ1 2015</stp>
        <stp>FQ1 2015</stp>
        <stp>[FA1_m42y3cpi.xlsx]Bal Sheet - Standardized!R63C29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3" s="3"/>
      </tp>
      <tp>
        <v>0</v>
        <stp/>
        <stp>##V3_BDHV12</stp>
        <stp>XOM US Equity</stp>
        <stp>CF_CASH_FOR_DIVESTITURES</stp>
        <stp>FQ2 2015</stp>
        <stp>FQ2 2015</stp>
        <stp>[FA1_m42y3cpi.xlsx]Cash Flow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4"/>
      </tp>
      <tp t="s">
        <v>—</v>
        <stp/>
        <stp>##V3_BDHV12</stp>
        <stp>XOM US Equity</stp>
        <stp>CF_CHANGE_IN_INVENTORIES</stp>
        <stp>FQ1 2012</stp>
        <stp>FQ1 2012</stp>
        <stp>[FA1_m42y3cpi.xlsx]Cash Flow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4"/>
      </tp>
      <tp t="s">
        <v>—</v>
        <stp/>
        <stp>##V3_BDHV12</stp>
        <stp>XOM US Equity</stp>
        <stp>BS_DERIVATIVE_&amp;_HEDGING_LIABS_ST</stp>
        <stp>FQ1 2015</stp>
        <stp>FQ1 2015</stp>
        <stp>[FA1_m42y3cpi.xlsx]Bal Sheet - Standardized!R52C29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2" s="3"/>
      </tp>
      <tp t="s">
        <v>—</v>
        <stp/>
        <stp>##V3_BDHV12</stp>
        <stp>XOM US Equity</stp>
        <stp>CF_CHANGE_IN_INVENTORIES</stp>
        <stp>FQ4 2017</stp>
        <stp>FQ4 2017</stp>
        <stp>[FA1_m42y3cpi.xlsx]Cash Flow - Standardized!R14C40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4" s="4"/>
      </tp>
      <tp t="s">
        <v>—</v>
        <stp/>
        <stp>##V3_BDHV12</stp>
        <stp>XOM US Equity</stp>
        <stp>CF_CHANGE_IN_INVENTORIES</stp>
        <stp>FQ2 2013</stp>
        <stp>FQ2 2013</stp>
        <stp>[FA1_m42y3cpi.xlsx]Cash Flow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4"/>
      </tp>
      <tp t="s">
        <v>—</v>
        <stp/>
        <stp>##V3_BDHV12</stp>
        <stp>XOM US Equity</stp>
        <stp>CF_CHANGE_IN_INVENTORIES</stp>
        <stp>FQ1 2011</stp>
        <stp>FQ1 2011</stp>
        <stp>[FA1_m42y3cpi.xlsx]Cash Flow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4"/>
      </tp>
      <tp>
        <v>0</v>
        <stp/>
        <stp>##V3_BDHV12</stp>
        <stp>XOM US Equity</stp>
        <stp>CF_CASH_FOR_DIVESTITURES</stp>
        <stp>FQ3 2014</stp>
        <stp>FQ3 2014</stp>
        <stp>[FA1_m42y3cpi.xlsx]Cash Flow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4"/>
      </tp>
      <tp>
        <v>0</v>
        <stp/>
        <stp>##V3_BDHV12</stp>
        <stp>XOM US Equity</stp>
        <stp>CF_CASH_FOR_DIVESTITURES</stp>
        <stp>FQ2 2016</stp>
        <stp>FQ2 2016</stp>
        <stp>[FA1_m42y3cpi.xlsx]Cash Flow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4"/>
      </tp>
      <tp t="s">
        <v>—</v>
        <stp/>
        <stp>##V3_BDHV12</stp>
        <stp>XOM US Equity</stp>
        <stp>BS_DERIVATIVE_&amp;_HEDGING_LIABS_LT</stp>
        <stp>FQ2 2012</stp>
        <stp>FQ2 2012</stp>
        <stp>[FA1_m42y3cpi.xlsx]Bal Sheet - Standardized!R63C18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3" s="3"/>
      </tp>
      <tp>
        <v>0</v>
        <stp/>
        <stp>##V3_BDHV12</stp>
        <stp>XOM US Equity</stp>
        <stp>CF_CASH_FOR_DIVESTITURES</stp>
        <stp>FQ3 2013</stp>
        <stp>FQ3 2013</stp>
        <stp>[FA1_m42y3cpi.xlsx]Cash Flow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4"/>
      </tp>
      <tp>
        <v>5873</v>
        <stp/>
        <stp>##V3_BDHV12</stp>
        <stp>XOM US Equity</stp>
        <stp>BS_OTHER_CUR_ASSET_LESS_PREPAY</stp>
        <stp>FQ3 2012</stp>
        <stp>FQ3 2012</stp>
        <stp>[FA1_m42y3cpi.xlsx]Bal Sheet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3"/>
      </tp>
      <tp t="s">
        <v>—</v>
        <stp/>
        <stp>##V3_BDHV12</stp>
        <stp>XOM US Equity</stp>
        <stp>BS_DERIVATIVE_&amp;_HEDGING_LIABS_ST</stp>
        <stp>FQ2 2012</stp>
        <stp>FQ2 2012</stp>
        <stp>[FA1_m42y3cpi.xlsx]Bal Sheet - Standardized!R52C18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2" s="3"/>
      </tp>
      <tp>
        <v>0</v>
        <stp/>
        <stp>##V3_BDHV12</stp>
        <stp>XOM US Equity</stp>
        <stp>IS_NET_ABNORMAL_ITEMS</stp>
        <stp>FQ2 2018</stp>
        <stp>FQ2 2018</stp>
        <stp>[FA1_m42y3cpi.xlsx]Income - Adjusted!R46C42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6" s="2"/>
      </tp>
      <tp t="s">
        <v>—</v>
        <stp/>
        <stp>##V3_BDHV12</stp>
        <stp>XOM US Equity</stp>
        <stp>CF_CHANGE_IN_INVENTORIES</stp>
        <stp>FQ3 2016</stp>
        <stp>FQ3 2016</stp>
        <stp>[FA1_m42y3cpi.xlsx]Cash Flow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4"/>
      </tp>
      <tp t="s">
        <v>—</v>
        <stp/>
        <stp>##V3_BDHV12</stp>
        <stp>XOM US Equity</stp>
        <stp>CF_CHANGE_IN_INVENTORIES</stp>
        <stp>FQ2 2014</stp>
        <stp>FQ2 2014</stp>
        <stp>[FA1_m42y3cpi.xlsx]Cash Flow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4"/>
      </tp>
      <tp>
        <v>0</v>
        <stp/>
        <stp>##V3_BDHV12</stp>
        <stp>XOM US Equity</stp>
        <stp>CF_CASH_FOR_DIVESTITURES</stp>
        <stp>FQ2 2017</stp>
        <stp>FQ2 2017</stp>
        <stp>[FA1_m42y3cpi.xlsx]Cash Flow - Standardized!R31C38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4"/>
      </tp>
      <tp>
        <v>7256</v>
        <stp/>
        <stp>##V3_BDHV12</stp>
        <stp>XOM US Equity</stp>
        <stp>BS_OTHER_CUR_ASSET_LESS_PREPAY</stp>
        <stp>FQ3 2011</stp>
        <stp>FQ3 2011</stp>
        <stp>[FA1_m42y3cpi.xlsx]Bal Sheet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3"/>
      </tp>
      <tp t="s">
        <v>—</v>
        <stp/>
        <stp>##V3_BDHV12</stp>
        <stp>XOM US Equity</stp>
        <stp>BS_DERIVATIVE_&amp;_HEDGING_LIABS_ST</stp>
        <stp>FQ2 2011</stp>
        <stp>FQ2 2011</stp>
        <stp>[FA1_m42y3cpi.xlsx]Bal Sheet - Standardized!R52C14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2" s="3"/>
      </tp>
      <tp t="s">
        <v>—</v>
        <stp/>
        <stp>##V3_BDHV12</stp>
        <stp>XOM US Equity</stp>
        <stp>CF_CHANGE_IN_INVENTORIES</stp>
        <stp>FQ3 2017</stp>
        <stp>FQ3 2017</stp>
        <stp>[FA1_m42y3cpi.xlsx]Cash Flow - Standardized!R14C39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4" s="4"/>
      </tp>
      <tp>
        <v>3368</v>
        <stp/>
        <stp>##V3_BDHV12</stp>
        <stp>XOM US Equity</stp>
        <stp>BS_OTHER_CUR_ASSET_LESS_PREPAY</stp>
        <stp>FQ1 2016</stp>
        <stp>FQ1 2016</stp>
        <stp>[FA1_m42y3cpi.xlsx]Bal Sheet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3"/>
      </tp>
      <tp t="s">
        <v>—</v>
        <stp/>
        <stp>##V3_BDHV12</stp>
        <stp>XOM US Equity</stp>
        <stp>BS_DERIVATIVE_&amp;_HEDGING_LIABS_LT</stp>
        <stp>FQ2 2011</stp>
        <stp>FQ2 2011</stp>
        <stp>[FA1_m42y3cpi.xlsx]Bal Sheet - Standardized!R63C14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3" s="3"/>
      </tp>
      <tp>
        <v>5036</v>
        <stp/>
        <stp>##V3_BDHV12</stp>
        <stp>XOM US Equity</stp>
        <stp>BS_OTHER_CUR_ASSET_LESS_PREPAY</stp>
        <stp>FQ3 2010</stp>
        <stp>FQ3 2010</stp>
        <stp>[FA1_m42y3cpi.xlsx]Bal Sheet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3"/>
      </tp>
      <tp t="s">
        <v>—</v>
        <stp/>
        <stp>##V3_BDHV12</stp>
        <stp>XOM US Equity</stp>
        <stp>BS_DERIVATIVE_&amp;_HEDGING_LIABS_ST</stp>
        <stp>FQ2 2010</stp>
        <stp>FQ2 2010</stp>
        <stp>[FA1_m42y3cpi.xlsx]Bal Sheet - Standardized!R52C10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2" s="3"/>
      </tp>
      <tp t="s">
        <v>—</v>
        <stp/>
        <stp>##V3_BDHV12</stp>
        <stp>XOM US Equity</stp>
        <stp>BS_DERIVATIVE_&amp;_HEDGING_LIABS_ST</stp>
        <stp>FQ1 2013</stp>
        <stp>FQ1 2013</stp>
        <stp>[FA1_m42y3cpi.xlsx]Bal Sheet - Standardized!R52C21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2" s="3"/>
      </tp>
      <tp t="s">
        <v>—</v>
        <stp/>
        <stp>##V3_BDHV12</stp>
        <stp>XOM US Equity</stp>
        <stp>BS_DERIVATIVE_&amp;_HEDGING_LIABS_LT</stp>
        <stp>FQ1 2014</stp>
        <stp>FQ1 2014</stp>
        <stp>[FA1_m42y3cpi.xlsx]Bal Sheet - Standardized!R63C25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3" s="3"/>
      </tp>
      <tp t="s">
        <v>—</v>
        <stp/>
        <stp>##V3_BDHV12</stp>
        <stp>XOM US Equity</stp>
        <stp>BS_DERIVATIVE_&amp;_HEDGING_LIABS_LT</stp>
        <stp>FQ1 2013</stp>
        <stp>FQ1 2013</stp>
        <stp>[FA1_m42y3cpi.xlsx]Bal Sheet - Standardized!R63C21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3" s="3"/>
      </tp>
      <tp t="s">
        <v>—</v>
        <stp/>
        <stp>##V3_BDHV12</stp>
        <stp>XOM US Equity</stp>
        <stp>BS_DERIVATIVE_&amp;_HEDGING_LIABS_ST</stp>
        <stp>FQ1 2014</stp>
        <stp>FQ1 2014</stp>
        <stp>[FA1_m42y3cpi.xlsx]Bal Sheet - Standardized!R52C25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2" s="3"/>
      </tp>
      <tp>
        <v>1519</v>
        <stp/>
        <stp>##V3_BDHV12</stp>
        <stp>XOM US Equity</stp>
        <stp>BS_OTHER_CUR_ASSET_LESS_PREPAY</stp>
        <stp>FQ1 2017</stp>
        <stp>FQ1 2017</stp>
        <stp>[FA1_m42y3cpi.xlsx]Bal Sheet - Standardized!R21C37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3"/>
      </tp>
      <tp>
        <v>5</v>
        <stp/>
        <stp>##V3_BDHV12</stp>
        <stp>XOM US Equity</stp>
        <stp>BS_DERIVATIVE_&amp;_HEDGING_LIABS_LT</stp>
        <stp>FQ2 2010</stp>
        <stp>FQ2 2010</stp>
        <stp>[FA1_m42y3cpi.xlsx]Bal Sheet - Standardized!R63C10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3" s="3"/>
      </tp>
      <tp t="s">
        <v>—</v>
        <stp/>
        <stp>##V3_BDHV12</stp>
        <stp>XOM US Equity</stp>
        <stp>BS_ACCTS_REC_EXCL_NOTES_REC</stp>
        <stp>FQ3 2017</stp>
        <stp>FQ3 2017</stp>
        <stp>[FA1_m42y3cpi.xlsx]Bal Sheet - Standardized!R11C39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1" s="3"/>
      </tp>
      <tp t="s">
        <v>—</v>
        <stp/>
        <stp>##V3_BDHV12</stp>
        <stp>XOM US Equity</stp>
        <stp>ST_DEFERRED_REVENUE</stp>
        <stp>FQ1 2018</stp>
        <stp>FQ1 2018</stp>
        <stp>[FA1_m42y3cpi.xlsx]Bal Sheet - Standardized!R51C41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1" s="3"/>
      </tp>
      <tp t="s">
        <v>—</v>
        <stp/>
        <stp>##V3_BDHV12</stp>
        <stp>XOM US Equity</stp>
        <stp>LT_DEFERRED_REVENUE</stp>
        <stp>FQ1 2018</stp>
        <stp>FQ1 2018</stp>
        <stp>[FA1_m42y3cpi.xlsx]Bal Sheet - Standardized!R61C41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1" s="3"/>
      </tp>
      <tp>
        <v>0</v>
        <stp/>
        <stp>##V3_BDHV12</stp>
        <stp>XOM US Equity</stp>
        <stp>LT_DEFERRED_REVENUE</stp>
        <stp>FQ4 2010</stp>
        <stp>FQ4 2010</stp>
        <stp>[FA1_m42y3cpi.xlsx]Bal Sheet - Standardized!R61C12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1" s="3"/>
      </tp>
      <tp t="s">
        <v>—</v>
        <stp/>
        <stp>##V3_BDHV12</stp>
        <stp>XOM US Equity</stp>
        <stp>BS_ACCTS_REC_EXCL_NOTES_REC</stp>
        <stp>FQ3 2015</stp>
        <stp>FQ3 2015</stp>
        <stp>[FA1_m42y3cpi.xlsx]Bal Sheet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3"/>
      </tp>
      <tp>
        <v>0</v>
        <stp/>
        <stp>##V3_BDHV12</stp>
        <stp>XOM US Equity</stp>
        <stp>ST_DEFERRED_REVENUE</stp>
        <stp>FQ4 2010</stp>
        <stp>FQ4 2010</stp>
        <stp>[FA1_m42y3cpi.xlsx]Bal Sheet - Standardized!R51C12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1" s="3"/>
      </tp>
      <tp t="s">
        <v>—</v>
        <stp/>
        <stp>##V3_BDHV12</stp>
        <stp>XOM US Equity</stp>
        <stp>BS_ACCTS_REC_EXCL_NOTES_REC</stp>
        <stp>FQ1 2012</stp>
        <stp>FQ1 2012</stp>
        <stp>[FA1_m42y3cpi.xlsx]Bal Sheet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3"/>
      </tp>
      <tp>
        <v>21274</v>
        <stp/>
        <stp>##V3_BDHV12</stp>
        <stp>XOM US Equity</stp>
        <stp>BS_ACCTS_REC_EXCL_NOTES_REC</stp>
        <stp>FQ4 2017</stp>
        <stp>FQ4 2017</stp>
        <stp>[FA1_m42y3cpi.xlsx]Bal Sheet - Standardized!R11C40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1" s="3"/>
      </tp>
      <tp t="s">
        <v>—</v>
        <stp/>
        <stp>##V3_BDHV12</stp>
        <stp>XOM US Equity</stp>
        <stp>BS_ACCTS_REC_EXCL_NOTES_REC</stp>
        <stp>FQ1 2011</stp>
        <stp>FQ1 2011</stp>
        <stp>[FA1_m42y3cpi.xlsx]Bal Sheet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3"/>
      </tp>
      <tp t="s">
        <v>—</v>
        <stp/>
        <stp>##V3_BDHV12</stp>
        <stp>XOM US Equity</stp>
        <stp>BS_ACCTS_REC_EXCL_NOTES_REC</stp>
        <stp>FQ2 2013</stp>
        <stp>FQ2 2013</stp>
        <stp>[FA1_m42y3cpi.xlsx]Bal Sheet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3"/>
      </tp>
      <tp>
        <v>0</v>
        <stp/>
        <stp>##V3_BDHV12</stp>
        <stp>XOM US Equity</stp>
        <stp>LT_DEFERRED_REVENUE</stp>
        <stp>FQ4 2011</stp>
        <stp>FQ4 2011</stp>
        <stp>[FA1_m42y3cpi.xlsx]Bal Sheet - Standardized!R61C16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1" s="3"/>
      </tp>
      <tp>
        <v>0</v>
        <stp/>
        <stp>##V3_BDHV12</stp>
        <stp>XOM US Equity</stp>
        <stp>ST_DEFERRED_REVENUE</stp>
        <stp>FQ4 2011</stp>
        <stp>FQ4 2011</stp>
        <stp>[FA1_m42y3cpi.xlsx]Bal Sheet - Standardized!R51C16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1" s="3"/>
      </tp>
      <tp t="s">
        <v>—</v>
        <stp/>
        <stp>##V3_BDHV12</stp>
        <stp>XOM US Equity</stp>
        <stp>BS_ACCTS_REC_EXCL_NOTES_REC</stp>
        <stp>FQ2 2014</stp>
        <stp>FQ2 2014</stp>
        <stp>[FA1_m42y3cpi.xlsx]Bal Sheet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3"/>
      </tp>
      <tp t="s">
        <v>—</v>
        <stp/>
        <stp>##V3_BDHV12</stp>
        <stp>XOM US Equity</stp>
        <stp>BS_ACCTS_REC_EXCL_NOTES_REC</stp>
        <stp>FQ3 2016</stp>
        <stp>FQ3 2016</stp>
        <stp>[FA1_m42y3cpi.xlsx]Bal Sheet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3"/>
      </tp>
      <tp>
        <v>17515</v>
        <stp/>
        <stp>##V3_BDHV12</stp>
        <stp>XOM US Equity</stp>
        <stp>PRETAX_INC</stp>
        <stp>FQ1 2012</stp>
        <stp>FQ1 2012</stp>
        <stp>[FA1_m42y3cpi.xlsx]Income - Adjusted!R32C17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32" s="2"/>
      </tp>
      <tp>
        <v>1730</v>
        <stp/>
        <stp>##V3_BDHV12</stp>
        <stp>XOM US Equity</stp>
        <stp>PRETAX_INC</stp>
        <stp>FQ1 2016</stp>
        <stp>FQ1 2016</stp>
        <stp>[FA1_m42y3cpi.xlsx]Income - Adjusted!R32C33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32" s="2"/>
      </tp>
      <tp>
        <v>18619</v>
        <stp/>
        <stp>##V3_BDHV12</stp>
        <stp>XOM US Equity</stp>
        <stp>PRETAX_INC</stp>
        <stp>FQ2 2011</stp>
        <stp>FQ2 2011</stp>
        <stp>[FA1_m42y3cpi.xlsx]Income - Adjusted!R32C14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32" s="2"/>
      </tp>
      <tp>
        <v>6954</v>
        <stp/>
        <stp>##V3_BDHV12</stp>
        <stp>XOM US Equity</stp>
        <stp>PRETAX_INC</stp>
        <stp>FQ2 2015</stp>
        <stp>FQ2 2015</stp>
        <stp>[FA1_m42y3cpi.xlsx]Income - Adjusted!R32C30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32" s="2"/>
      </tp>
      <tp>
        <v>37719</v>
        <stp/>
        <stp>##V3_BDHV12</stp>
        <stp>XOM US Equity</stp>
        <stp>BS_INVEST_IN_ASSOC_CO</stp>
        <stp>FQ2 2017</stp>
        <stp>FQ2 2017</stp>
        <stp>[FA1_m42y3cpi.xlsx]Bal Sheet - Standardized!R36C38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3"/>
      </tp>
      <tp>
        <v>3350</v>
        <stp/>
        <stp>##V3_BDHV12</stp>
        <stp>XOM US Equity</stp>
        <stp>NET_INCOME</stp>
        <stp>FQ2 2017</stp>
        <stp>FQ2 2017</stp>
        <stp>[FA1_m42y3cpi.xlsx]Income - Adjusted!R40C38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40" s="2"/>
      </tp>
      <tp>
        <v>15.429</v>
        <stp/>
        <stp>##V3_BDHV12</stp>
        <stp>XOM US Equity</stp>
        <stp>EBITDA_MARGIN</stp>
        <stp>FQ1 2012</stp>
        <stp>FQ1 2012</stp>
        <stp>[FA1_m42y3cpi.xlsx]Cash Flow - Standardized!R60C17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60" s="4"/>
      </tp>
      <tp>
        <v>15.2204</v>
        <stp/>
        <stp>##V3_BDHV12</stp>
        <stp>XOM US Equity</stp>
        <stp>EBITDA_MARGIN</stp>
        <stp>FQ3 2012</stp>
        <stp>FQ3 2012</stp>
        <stp>[FA1_m42y3cpi.xlsx]Cash Flow - Standardized!R60C19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60" s="4"/>
      </tp>
      <tp>
        <v>15.041</v>
        <stp/>
        <stp>##V3_BDHV12</stp>
        <stp>XOM US Equity</stp>
        <stp>EBITDA_MARGIN</stp>
        <stp>FQ2 2012</stp>
        <stp>FQ2 2012</stp>
        <stp>[FA1_m42y3cpi.xlsx]Cash Flow - Standardized!R60C18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60" s="4"/>
      </tp>
      <tp>
        <v>15.6714</v>
        <stp/>
        <stp>##V3_BDHV12</stp>
        <stp>XOM US Equity</stp>
        <stp>EBITDA_MARGIN</stp>
        <stp>FQ4 2012</stp>
        <stp>FQ4 2012</stp>
        <stp>[FA1_m42y3cpi.xlsx]Cash Flow - Standardized!R60C20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60" s="4"/>
      </tp>
      <tp>
        <v>85</v>
        <stp/>
        <stp>##V3_BDHV12</stp>
        <stp>XOM US Equity</stp>
        <stp>BS_MKT_SEC_OTHER_ST_INVEST</stp>
        <stp>FQ1 2010</stp>
        <stp>FQ1 2010</stp>
        <stp>[FA1_m42y3cpi.xlsx]Bal Sheet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3"/>
      </tp>
      <tp>
        <v>34162</v>
        <stp/>
        <stp>##V3_BDHV12</stp>
        <stp>XOM US Equity</stp>
        <stp>BS_INVEST_IN_ASSOC_CO</stp>
        <stp>FQ2 2015</stp>
        <stp>FQ2 2015</stp>
        <stp>[FA1_m42y3cpi.xlsx]Bal Sheet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3"/>
      </tp>
      <tp>
        <v>17264</v>
        <stp/>
        <stp>##V3_BDHV12</stp>
        <stp>XOM US Equity</stp>
        <stp>EBITDA</stp>
        <stp>FQ3 2012</stp>
        <stp>FQ3 2012</stp>
        <stp>[FA1_m42y3cpi.xlsx]Income - Adjusted!R61C19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1" s="2"/>
      </tp>
      <tp>
        <v>35012</v>
        <stp/>
        <stp>##V3_BDHV12</stp>
        <stp>XOM US Equity</stp>
        <stp>BS_INVEST_IN_ASSOC_CO</stp>
        <stp>FQ3 2014</stp>
        <stp>FQ3 2014</stp>
        <stp>[FA1_m42y3cpi.xlsx]Bal Sheet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3"/>
      </tp>
      <tp>
        <v>34182</v>
        <stp/>
        <stp>##V3_BDHV12</stp>
        <stp>XOM US Equity</stp>
        <stp>BS_INVEST_IN_ASSOC_CO</stp>
        <stp>FQ2 2016</stp>
        <stp>FQ2 2016</stp>
        <stp>[FA1_m42y3cpi.xlsx]Bal Sheet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3"/>
      </tp>
      <tp>
        <v>37048</v>
        <stp/>
        <stp>##V3_BDHV12</stp>
        <stp>XOM US Equity</stp>
        <stp>BS_INVEST_IN_ASSOC_CO</stp>
        <stp>FQ3 2013</stp>
        <stp>FQ3 2013</stp>
        <stp>[FA1_m42y3cpi.xlsx]Bal Sheet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3"/>
      </tp>
      <tp>
        <v>90055</v>
        <stp/>
        <stp>##V3_BDHV12</stp>
        <stp>XOM US Equity</stp>
        <stp>IS_COG_AND_SERVICES_SOLD</stp>
        <stp>FQ2 2011</stp>
        <stp>FQ2 2011</stp>
        <stp>[FA1_m42y3cpi.xlsx]Income - Adjusted!R9C14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9" s="2"/>
      </tp>
      <tp>
        <v>89710</v>
        <stp/>
        <stp>##V3_BDHV12</stp>
        <stp>XOM US Equity</stp>
        <stp>IS_COG_AND_SERVICES_SOLD</stp>
        <stp>FQ3 2011</stp>
        <stp>FQ3 2011</stp>
        <stp>[FA1_m42y3cpi.xlsx]Income - Adjusted!R9C15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9" s="2"/>
      </tp>
      <tp>
        <v>53457</v>
        <stp/>
        <stp>##V3_BDHV12</stp>
        <stp>XOM US Equity</stp>
        <stp>IS_COG_AND_SERVICES_SOLD</stp>
        <stp>FQ2 2015</stp>
        <stp>FQ2 2015</stp>
        <stp>[FA1_m42y3cpi.xlsx]Income - Adjusted!R9C30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9" s="2"/>
      </tp>
      <tp>
        <v>47871</v>
        <stp/>
        <stp>##V3_BDHV12</stp>
        <stp>XOM US Equity</stp>
        <stp>IS_COG_AND_SERVICES_SOLD</stp>
        <stp>FQ3 2015</stp>
        <stp>FQ3 2015</stp>
        <stp>[FA1_m42y3cpi.xlsx]Income - Adjusted!R9C31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9" s="2"/>
      </tp>
      <tp t="s">
        <v>—</v>
        <stp/>
        <stp>##V3_BDHV12</stp>
        <stp>XOM US Equity</stp>
        <stp>CF_CHANGE_IN_INVENTORIES</stp>
        <stp>FQ2 2015</stp>
        <stp>FQ2 2015</stp>
        <stp>[FA1_m42y3cpi.xlsx]Cash Flow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4"/>
      </tp>
      <tp>
        <v>0</v>
        <stp/>
        <stp>##V3_BDHV12</stp>
        <stp>XOM US Equity</stp>
        <stp>CF_CASH_FOR_DIVESTITURES</stp>
        <stp>FQ1 2012</stp>
        <stp>FQ1 2012</stp>
        <stp>[FA1_m42y3cpi.xlsx]Cash Flow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4"/>
      </tp>
      <tp>
        <v>0</v>
        <stp/>
        <stp>##V3_BDHV12</stp>
        <stp>XOM US Equity</stp>
        <stp>CF_CASH_FOR_DIVESTITURES</stp>
        <stp>FQ3 2015</stp>
        <stp>FQ3 2015</stp>
        <stp>[FA1_m42y3cpi.xlsx]Cash Flow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4"/>
      </tp>
      <tp>
        <v>4341</v>
        <stp/>
        <stp>##V3_BDHV12</stp>
        <stp>XOM US Equity</stp>
        <stp>BS_OTHER_CUR_ASSET_LESS_PREPAY</stp>
        <stp>FQ1 2015</stp>
        <stp>FQ1 2015</stp>
        <stp>[FA1_m42y3cpi.xlsx]Bal Sheet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3"/>
      </tp>
      <tp t="s">
        <v>—</v>
        <stp/>
        <stp>##V3_BDHV12</stp>
        <stp>XOM US Equity</stp>
        <stp>CF_CHANGE_IN_INVENTORIES</stp>
        <stp>FQ3 2013</stp>
        <stp>FQ3 2013</stp>
        <stp>[FA1_m42y3cpi.xlsx]Cash Flow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4"/>
      </tp>
      <tp>
        <v>0</v>
        <stp/>
        <stp>##V3_BDHV12</stp>
        <stp>XOM US Equity</stp>
        <stp>CF_CASH_FOR_DIVESTITURES</stp>
        <stp>FQ2 2014</stp>
        <stp>FQ2 2014</stp>
        <stp>[FA1_m42y3cpi.xlsx]Cash Flow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4"/>
      </tp>
      <tp>
        <v>0</v>
        <stp/>
        <stp>##V3_BDHV12</stp>
        <stp>XOM US Equity</stp>
        <stp>CF_CASH_FOR_DIVESTITURES</stp>
        <stp>FQ3 2016</stp>
        <stp>FQ3 2016</stp>
        <stp>[FA1_m42y3cpi.xlsx]Cash Flow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4"/>
      </tp>
      <tp t="s">
        <v>—</v>
        <stp/>
        <stp>##V3_BDHV12</stp>
        <stp>XOM US Equity</stp>
        <stp>BS_DERIVATIVE_&amp;_HEDGING_LIABS_LT</stp>
        <stp>FQ3 2012</stp>
        <stp>FQ3 2012</stp>
        <stp>[FA1_m42y3cpi.xlsx]Bal Sheet - Standardized!R63C19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3" s="3"/>
      </tp>
      <tp>
        <v>0</v>
        <stp/>
        <stp>##V3_BDHV12</stp>
        <stp>XOM US Equity</stp>
        <stp>CF_CASH_FOR_DIVESTITURES</stp>
        <stp>FQ1 2011</stp>
        <stp>FQ1 2011</stp>
        <stp>[FA1_m42y3cpi.xlsx]Cash Flow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4"/>
      </tp>
      <tp>
        <v>0</v>
        <stp/>
        <stp>##V3_BDHV12</stp>
        <stp>XOM US Equity</stp>
        <stp>CF_CASH_FOR_DIVESTITURES</stp>
        <stp>FQ2 2013</stp>
        <stp>FQ2 2013</stp>
        <stp>[FA1_m42y3cpi.xlsx]Cash Flow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4"/>
      </tp>
      <tp>
        <v>0</v>
        <stp/>
        <stp>##V3_BDHV12</stp>
        <stp>XOM US Equity</stp>
        <stp>CF_CASH_FOR_DIVESTITURES</stp>
        <stp>FQ4 2017</stp>
        <stp>FQ4 2017</stp>
        <stp>[FA1_m42y3cpi.xlsx]Cash Flow - Standardized!R31C40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4"/>
      </tp>
      <tp>
        <v>6096</v>
        <stp/>
        <stp>##V3_BDHV12</stp>
        <stp>XOM US Equity</stp>
        <stp>BS_OTHER_CUR_ASSET_LESS_PREPAY</stp>
        <stp>FQ2 2012</stp>
        <stp>FQ2 2012</stp>
        <stp>[FA1_m42y3cpi.xlsx]Bal Sheet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3"/>
      </tp>
      <tp t="s">
        <v>—</v>
        <stp/>
        <stp>##V3_BDHV12</stp>
        <stp>XOM US Equity</stp>
        <stp>BS_DERIVATIVE_&amp;_HEDGING_LIABS_ST</stp>
        <stp>FQ3 2012</stp>
        <stp>FQ3 2012</stp>
        <stp>[FA1_m42y3cpi.xlsx]Bal Sheet - Standardized!R52C19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2" s="3"/>
      </tp>
      <tp t="s">
        <v>—</v>
        <stp/>
        <stp>##V3_BDHV12</stp>
        <stp>XOM US Equity</stp>
        <stp>CF_CHANGE_IN_INVENTORIES</stp>
        <stp>FQ2 2016</stp>
        <stp>FQ2 2016</stp>
        <stp>[FA1_m42y3cpi.xlsx]Cash Flow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4"/>
      </tp>
      <tp t="s">
        <v>—</v>
        <stp/>
        <stp>##V3_BDHV12</stp>
        <stp>XOM US Equity</stp>
        <stp>CF_CHANGE_IN_INVENTORIES</stp>
        <stp>FQ3 2014</stp>
        <stp>FQ3 2014</stp>
        <stp>[FA1_m42y3cpi.xlsx]Cash Flow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4"/>
      </tp>
      <tp>
        <v>0</v>
        <stp/>
        <stp>##V3_BDHV12</stp>
        <stp>XOM US Equity</stp>
        <stp>CF_CASH_FOR_DIVESTITURES</stp>
        <stp>FQ3 2017</stp>
        <stp>FQ3 2017</stp>
        <stp>[FA1_m42y3cpi.xlsx]Cash Flow - Standardized!R31C39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4"/>
      </tp>
      <tp>
        <v>7885</v>
        <stp/>
        <stp>##V3_BDHV12</stp>
        <stp>XOM US Equity</stp>
        <stp>BS_OTHER_CUR_ASSET_LESS_PREPAY</stp>
        <stp>FQ2 2011</stp>
        <stp>FQ2 2011</stp>
        <stp>[FA1_m42y3cpi.xlsx]Bal Sheet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3"/>
      </tp>
      <tp t="s">
        <v>—</v>
        <stp/>
        <stp>##V3_BDHV12</stp>
        <stp>XOM US Equity</stp>
        <stp>BS_DERIVATIVE_&amp;_HEDGING_LIABS_ST</stp>
        <stp>FQ3 2011</stp>
        <stp>FQ3 2011</stp>
        <stp>[FA1_m42y3cpi.xlsx]Bal Sheet - Standardized!R52C15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2" s="3"/>
      </tp>
      <tp t="s">
        <v>—</v>
        <stp/>
        <stp>##V3_BDHV12</stp>
        <stp>XOM US Equity</stp>
        <stp>BS_DERIVATIVE_&amp;_HEDGING_LIABS_LT</stp>
        <stp>FQ1 2016</stp>
        <stp>FQ1 2016</stp>
        <stp>[FA1_m42y3cpi.xlsx]Bal Sheet - Standardized!R63C33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3" s="3"/>
      </tp>
      <tp t="s">
        <v>—</v>
        <stp/>
        <stp>##V3_BDHV12</stp>
        <stp>XOM US Equity</stp>
        <stp>CF_CHANGE_IN_INVENTORIES</stp>
        <stp>FQ2 2017</stp>
        <stp>FQ2 2017</stp>
        <stp>[FA1_m42y3cpi.xlsx]Cash Flow - Standardized!R14C38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4" s="4"/>
      </tp>
      <tp t="s">
        <v>—</v>
        <stp/>
        <stp>##V3_BDHV12</stp>
        <stp>XOM US Equity</stp>
        <stp>BS_DERIVATIVE_&amp;_HEDGING_LIABS_LT</stp>
        <stp>FQ3 2011</stp>
        <stp>FQ3 2011</stp>
        <stp>[FA1_m42y3cpi.xlsx]Bal Sheet - Standardized!R63C15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3" s="3"/>
      </tp>
      <tp t="s">
        <v>—</v>
        <stp/>
        <stp>##V3_BDHV12</stp>
        <stp>XOM US Equity</stp>
        <stp>BS_DERIVATIVE_&amp;_HEDGING_LIABS_ST</stp>
        <stp>FQ1 2016</stp>
        <stp>FQ1 2016</stp>
        <stp>[FA1_m42y3cpi.xlsx]Bal Sheet - Standardized!R52C33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2" s="3"/>
      </tp>
      <tp>
        <v>5305</v>
        <stp/>
        <stp>##V3_BDHV12</stp>
        <stp>XOM US Equity</stp>
        <stp>BS_OTHER_CUR_ASSET_LESS_PREPAY</stp>
        <stp>FQ2 2010</stp>
        <stp>FQ2 2010</stp>
        <stp>[FA1_m42y3cpi.xlsx]Bal Sheet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3"/>
      </tp>
      <tp t="s">
        <v>—</v>
        <stp/>
        <stp>##V3_BDHV12</stp>
        <stp>XOM US Equity</stp>
        <stp>BS_DERIVATIVE_&amp;_HEDGING_LIABS_ST</stp>
        <stp>FQ3 2010</stp>
        <stp>FQ3 2010</stp>
        <stp>[FA1_m42y3cpi.xlsx]Bal Sheet - Standardized!R52C11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2" s="3"/>
      </tp>
      <tp t="s">
        <v>—</v>
        <stp/>
        <stp>##V3_BDHV12</stp>
        <stp>XOM US Equity</stp>
        <stp>BS_DERIVATIVE_&amp;_HEDGING_LIABS_LT</stp>
        <stp>FQ1 2017</stp>
        <stp>FQ1 2017</stp>
        <stp>[FA1_m42y3cpi.xlsx]Bal Sheet - Standardized!R63C37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3" s="3"/>
      </tp>
      <tp>
        <v>5858</v>
        <stp/>
        <stp>##V3_BDHV12</stp>
        <stp>XOM US Equity</stp>
        <stp>BS_OTHER_CUR_ASSET_LESS_PREPAY</stp>
        <stp>FQ1 2013</stp>
        <stp>FQ1 2013</stp>
        <stp>[FA1_m42y3cpi.xlsx]Bal Sheet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3"/>
      </tp>
      <tp>
        <v>5215</v>
        <stp/>
        <stp>##V3_BDHV12</stp>
        <stp>XOM US Equity</stp>
        <stp>BS_OTHER_CUR_ASSET_LESS_PREPAY</stp>
        <stp>FQ1 2014</stp>
        <stp>FQ1 2014</stp>
        <stp>[FA1_m42y3cpi.xlsx]Bal Sheet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3"/>
      </tp>
      <tp>
        <v>3</v>
        <stp/>
        <stp>##V3_BDHV12</stp>
        <stp>XOM US Equity</stp>
        <stp>BS_DERIVATIVE_&amp;_HEDGING_LIABS_LT</stp>
        <stp>FQ3 2010</stp>
        <stp>FQ3 2010</stp>
        <stp>[FA1_m42y3cpi.xlsx]Bal Sheet - Standardized!R63C11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3" s="3"/>
      </tp>
      <tp t="s">
        <v>—</v>
        <stp/>
        <stp>##V3_BDHV12</stp>
        <stp>XOM US Equity</stp>
        <stp>BS_DERIVATIVE_&amp;_HEDGING_LIABS_ST</stp>
        <stp>FQ1 2017</stp>
        <stp>FQ1 2017</stp>
        <stp>[FA1_m42y3cpi.xlsx]Bal Sheet - Standardized!R52C37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2" s="3"/>
      </tp>
      <tp>
        <v>0</v>
        <stp/>
        <stp>##V3_BDHV12</stp>
        <stp>XOM US Equity</stp>
        <stp>OTHER_CURRENT_LIABS_SUB_DETAILED</stp>
        <stp>FQ4 2010</stp>
        <stp>FQ4 2010</stp>
        <stp>[FA1_m42y3cpi.xlsx]Bal Sheet - Standardized!R50C12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0" s="3"/>
      </tp>
      <tp>
        <v>0</v>
        <stp/>
        <stp>##V3_BDHV12</stp>
        <stp>XOM US Equity</stp>
        <stp>OTHER_CURRENT_LIABS_SUB_DETAILED</stp>
        <stp>FQ4 2011</stp>
        <stp>FQ4 2011</stp>
        <stp>[FA1_m42y3cpi.xlsx]Bal Sheet - Standardized!R50C16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0" s="3"/>
      </tp>
      <tp>
        <v>3950</v>
        <stp/>
        <stp>##V3_BDHV12</stp>
        <stp>XOM US Equity</stp>
        <stp>NET_INCOME</stp>
        <stp>FQ2 2009</stp>
        <stp>FQ2 2009</stp>
        <stp>[FA1_m42y3cpi.xlsx]Income - Adjusted!R40C6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40" s="2"/>
      </tp>
      <tp>
        <v>4730</v>
        <stp/>
        <stp>##V3_BDHV12</stp>
        <stp>XOM US Equity</stp>
        <stp>NET_INCOME</stp>
        <stp>FQ3 2009</stp>
        <stp>FQ3 2009</stp>
        <stp>[FA1_m42y3cpi.xlsx]Income - Adjusted!R40C7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40" s="2"/>
      </tp>
      <tp>
        <v>4550</v>
        <stp/>
        <stp>##V3_BDHV12</stp>
        <stp>XOM US Equity</stp>
        <stp>NET_INCOME</stp>
        <stp>FQ1 2009</stp>
        <stp>FQ1 2009</stp>
        <stp>[FA1_m42y3cpi.xlsx]Income - Adjusted!R40C5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40" s="2"/>
      </tp>
      <tp>
        <v>0</v>
        <stp/>
        <stp>##V3_BDHV12</stp>
        <stp>XOM US Equity</stp>
        <stp>OTHER_CURRENT_LIABS_SUB_DETAILED</stp>
        <stp>FQ1 2018</stp>
        <stp>FQ1 2018</stp>
        <stp>[FA1_m42y3cpi.xlsx]Bal Sheet - Standardized!R50C41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0" s="3"/>
      </tp>
      <tp>
        <v>4300</v>
        <stp/>
        <stp>##V3_BDHV12</stp>
        <stp>XOM US Equity</stp>
        <stp>IS_D&amp;A_COST_OF_REVENUE</stp>
        <stp>FQ1 2015</stp>
        <stp>FQ1 2015</stp>
        <stp>[FA1_m42y3cpi.xlsx]Income - Adjusted!R10C29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>
        <v>4458</v>
        <stp/>
        <stp>##V3_BDHV12</stp>
        <stp>XOM US Equity</stp>
        <stp>IS_D&amp;A_COST_OF_REVENUE</stp>
        <stp>FQ4 2014</stp>
        <stp>FQ4 2014</stp>
        <stp>[FA1_m42y3cpi.xlsx]Income - Adjusted!R10C28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 t="s">
        <v>—</v>
        <stp/>
        <stp>##V3_BDHV12</stp>
        <stp>XOM US Equity</stp>
        <stp>BS_ACCTS_REC_EXCL_NOTES_REC</stp>
        <stp>FQ2 2017</stp>
        <stp>FQ2 2017</stp>
        <stp>[FA1_m42y3cpi.xlsx]Bal Sheet - Standardized!R11C38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1" s="3"/>
      </tp>
      <tp>
        <v>225671</v>
        <stp/>
        <stp>##V3_BDHV12</stp>
        <stp>XOM US Equity</stp>
        <stp>BS_AMT_OF_TSY_STOCK</stp>
        <stp>FQ1 2018</stp>
        <stp>FQ1 2018</stp>
        <stp>[FA1_m42y3cpi.xlsx]Bal Sheet - Standardized!R69C41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9" s="3"/>
      </tp>
      <tp>
        <v>176932</v>
        <stp/>
        <stp>##V3_BDHV12</stp>
        <stp>XOM US Equity</stp>
        <stp>BS_AMT_OF_TSY_STOCK</stp>
        <stp>FQ4 2011</stp>
        <stp>FQ4 2011</stp>
        <stp>[FA1_m42y3cpi.xlsx]Bal Sheet - Standardized!R69C16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9" s="3"/>
      </tp>
      <tp t="s">
        <v>—</v>
        <stp/>
        <stp>##V3_BDHV12</stp>
        <stp>XOM US Equity</stp>
        <stp>BS_ACCTS_REC_EXCL_NOTES_REC</stp>
        <stp>FQ2 2015</stp>
        <stp>FQ2 2015</stp>
        <stp>[FA1_m42y3cpi.xlsx]Bal Sheet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3"/>
      </tp>
      <tp t="s">
        <v>—</v>
        <stp/>
        <stp>##V3_BDHV12</stp>
        <stp>XOM US Equity</stp>
        <stp>BS_ACCTS_REC_EXCL_NOTES_REC</stp>
        <stp>FQ3 2013</stp>
        <stp>FQ3 2013</stp>
        <stp>[FA1_m42y3cpi.xlsx]Bal Sheet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3"/>
      </tp>
      <tp>
        <v>156608</v>
        <stp/>
        <stp>##V3_BDHV12</stp>
        <stp>XOM US Equity</stp>
        <stp>BS_AMT_OF_TSY_STOCK</stp>
        <stp>FQ4 2010</stp>
        <stp>FQ4 2010</stp>
        <stp>[FA1_m42y3cpi.xlsx]Bal Sheet - Standardized!R69C12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9" s="3"/>
      </tp>
      <tp>
        <v>2.5813000000000001</v>
        <stp/>
        <stp>##V3_BDHV12</stp>
        <stp>XOM US Equity</stp>
        <stp>EBITDA_PER_SH</stp>
        <stp>FQ1 2010</stp>
        <stp>FQ1 2010</stp>
        <stp>[FA1_m42y3cpi.xlsx]Per Share!R12C9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2" s="5"/>
      </tp>
      <tp t="s">
        <v>—</v>
        <stp/>
        <stp>##V3_BDHV12</stp>
        <stp>XOM US Equity</stp>
        <stp>BS_ACCTS_REC_EXCL_NOTES_REC</stp>
        <stp>FQ3 2014</stp>
        <stp>FQ3 2014</stp>
        <stp>[FA1_m42y3cpi.xlsx]Bal Sheet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3"/>
      </tp>
      <tp t="s">
        <v>—</v>
        <stp/>
        <stp>##V3_BDHV12</stp>
        <stp>XOM US Equity</stp>
        <stp>BS_ACCTS_REC_EXCL_NOTES_REC</stp>
        <stp>FQ2 2016</stp>
        <stp>FQ2 2016</stp>
        <stp>[FA1_m42y3cpi.xlsx]Bal Sheet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3"/>
      </tp>
      <tp>
        <v>16038</v>
        <stp/>
        <stp>##V3_BDHV12</stp>
        <stp>XOM US Equity</stp>
        <stp>PRETAX_INC</stp>
        <stp>FQ1 2013</stp>
        <stp>FQ1 2013</stp>
        <stp>[FA1_m42y3cpi.xlsx]Income - Adjusted!R32C21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32" s="2"/>
      </tp>
      <tp>
        <v>18917</v>
        <stp/>
        <stp>##V3_BDHV12</stp>
        <stp>XOM US Equity</stp>
        <stp>PRETAX_INC</stp>
        <stp>FQ1 2011</stp>
        <stp>FQ1 2011</stp>
        <stp>[FA1_m42y3cpi.xlsx]Income - Adjusted!R32C13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32" s="2"/>
      </tp>
      <tp>
        <v>2396</v>
        <stp/>
        <stp>##V3_BDHV12</stp>
        <stp>XOM US Equity</stp>
        <stp>PRETAX_INC</stp>
        <stp>FQ2 2016</stp>
        <stp>FQ2 2016</stp>
        <stp>[FA1_m42y3cpi.xlsx]Income - Adjusted!R32C34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32" s="2"/>
      </tp>
      <tp>
        <v>14151</v>
        <stp/>
        <stp>##V3_BDHV12</stp>
        <stp>XOM US Equity</stp>
        <stp>PRETAX_INC</stp>
        <stp>FQ2 2014</stp>
        <stp>FQ2 2014</stp>
        <stp>[FA1_m42y3cpi.xlsx]Income - Adjusted!R32C26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32" s="2"/>
      </tp>
      <tp>
        <v>17700</v>
        <stp/>
        <stp>##V3_BDHV12</stp>
        <stp>XOM US Equity</stp>
        <stp>PRETAX_INC</stp>
        <stp>FQ4 2012</stp>
        <stp>FQ4 2012</stp>
        <stp>[FA1_m42y3cpi.xlsx]Income - Adjusted!R32C20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32" s="2"/>
      </tp>
      <tp>
        <v>15327</v>
        <stp/>
        <stp>##V3_BDHV12</stp>
        <stp>XOM US Equity</stp>
        <stp>PRETAX_INC</stp>
        <stp>FQ4 2010</stp>
        <stp>FQ4 2010</stp>
        <stp>[FA1_m42y3cpi.xlsx]Income - Adjusted!R32C12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32" s="2"/>
      </tp>
      <tp>
        <v>29835</v>
        <stp/>
        <stp>##V3_BDHV12</stp>
        <stp>XOM US Equity</stp>
        <stp>BS_INVEST_IN_ASSOC_CO</stp>
        <stp>FQ4 2014</stp>
        <stp>FQ4 2014</stp>
        <stp>[FA1_m42y3cpi.xlsx]Bal Sheet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3"/>
      </tp>
      <tp t="s">
        <v>—</v>
        <stp/>
        <stp>##V3_BDHV12</stp>
        <stp>XOM US Equity</stp>
        <stp>BS_INVEST_IN_ASSOC_CO</stp>
        <stp>FQ2 2018</stp>
        <stp>FQ2 2018</stp>
        <stp>[FA1_m42y3cpi.xlsx]Bal Sheet - Standardized!R36C42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3"/>
      </tp>
      <tp>
        <v>13.648300000000001</v>
        <stp/>
        <stp>##V3_BDHV12</stp>
        <stp>XOM US Equity</stp>
        <stp>EBITDA_MARGIN</stp>
        <stp>FQ3 2015</stp>
        <stp>FQ3 2015</stp>
        <stp>[FA1_m42y3cpi.xlsx]Cash Flow - Standardized!R60C31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60" s="4"/>
      </tp>
      <tp>
        <v>13.764099999999999</v>
        <stp/>
        <stp>##V3_BDHV12</stp>
        <stp>XOM US Equity</stp>
        <stp>EBITDA_MARGIN</stp>
        <stp>FQ2 2015</stp>
        <stp>FQ2 2015</stp>
        <stp>[FA1_m42y3cpi.xlsx]Cash Flow - Standardized!R60C30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60" s="4"/>
      </tp>
      <tp>
        <v>13.705400000000001</v>
        <stp/>
        <stp>##V3_BDHV12</stp>
        <stp>XOM US Equity</stp>
        <stp>EBITDA_MARGIN</stp>
        <stp>FQ1 2015</stp>
        <stp>FQ1 2015</stp>
        <stp>[FA1_m42y3cpi.xlsx]Cash Flow - Standardized!R60C29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60" s="4"/>
      </tp>
      <tp>
        <v>13.061500000000001</v>
        <stp/>
        <stp>##V3_BDHV12</stp>
        <stp>XOM US Equity</stp>
        <stp>EBITDA_MARGIN</stp>
        <stp>FQ4 2015</stp>
        <stp>FQ4 2015</stp>
        <stp>[FA1_m42y3cpi.xlsx]Cash Flow - Standardized!R60C32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60" s="4"/>
      </tp>
      <tp>
        <v>28489</v>
        <stp/>
        <stp>##V3_BDHV12</stp>
        <stp>XOM US Equity</stp>
        <stp>BS_INVEST_IN_ASSOC_CO</stp>
        <stp>FQ4 2012</stp>
        <stp>FQ4 2012</stp>
        <stp>[FA1_m42y3cpi.xlsx]Bal Sheet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3"/>
      </tp>
      <tp>
        <v>9546.1538</v>
        <stp/>
        <stp>##V3_BDHV12</stp>
        <stp>XOM US Equity</stp>
        <stp>EBITDA</stp>
        <stp>FQ4 2014</stp>
        <stp>FQ4 2014</stp>
        <stp>[FA1_m42y3cpi.xlsx]Income - Adjusted!R61C28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1" s="2"/>
      </tp>
      <tp>
        <v>8163</v>
        <stp/>
        <stp>##V3_BDHV12</stp>
        <stp>XOM US Equity</stp>
        <stp>EBITDA</stp>
        <stp>FQ1 2015</stp>
        <stp>FQ1 2015</stp>
        <stp>[FA1_m42y3cpi.xlsx]Income - Adjusted!R61C29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1" s="2"/>
      </tp>
      <tp>
        <v>30095</v>
        <stp/>
        <stp>##V3_BDHV12</stp>
        <stp>XOM US Equity</stp>
        <stp>BS_INVEST_IN_ASSOC_CO</stp>
        <stp>FQ4 2013</stp>
        <stp>FQ4 2013</stp>
        <stp>[FA1_m42y3cpi.xlsx]Bal Sheet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3"/>
      </tp>
      <tp>
        <v>41876</v>
        <stp/>
        <stp>##V3_BDHV12</stp>
        <stp>XOM US Equity</stp>
        <stp>IS_COG_AND_SERVICES_SOLD</stp>
        <stp>FQ2 2016</stp>
        <stp>FQ2 2016</stp>
        <stp>[FA1_m42y3cpi.xlsx]Income - Adjusted!R9C34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9" s="2"/>
      </tp>
      <tp>
        <v>42240</v>
        <stp/>
        <stp>##V3_BDHV12</stp>
        <stp>XOM US Equity</stp>
        <stp>IS_COG_AND_SERVICES_SOLD</stp>
        <stp>FQ3 2016</stp>
        <stp>FQ3 2016</stp>
        <stp>[FA1_m42y3cpi.xlsx]Income - Adjusted!R9C35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9" s="2"/>
      </tp>
      <tp>
        <v>78623</v>
        <stp/>
        <stp>##V3_BDHV12</stp>
        <stp>XOM US Equity</stp>
        <stp>IS_COG_AND_SERVICES_SOLD</stp>
        <stp>FQ3 2014</stp>
        <stp>FQ3 2014</stp>
        <stp>[FA1_m42y3cpi.xlsx]Income - Adjusted!R9C27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9" s="2"/>
      </tp>
      <tp>
        <v>81611</v>
        <stp/>
        <stp>##V3_BDHV12</stp>
        <stp>XOM US Equity</stp>
        <stp>IS_COG_AND_SERVICES_SOLD</stp>
        <stp>FQ2 2014</stp>
        <stp>FQ2 2014</stp>
        <stp>[FA1_m42y3cpi.xlsx]Income - Adjusted!R9C26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9" s="2"/>
      </tp>
      <tp>
        <v>76423</v>
        <stp/>
        <stp>##V3_BDHV12</stp>
        <stp>XOM US Equity</stp>
        <stp>IS_COG_AND_SERVICES_SOLD</stp>
        <stp>FQ1 2014</stp>
        <stp>FQ1 2014</stp>
        <stp>[FA1_m42y3cpi.xlsx]Income - Adjusted!R9C25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9" s="2"/>
      </tp>
      <tp>
        <v>17039</v>
        <stp/>
        <stp>##V3_BDHV12</stp>
        <stp>XOM US Equity</stp>
        <stp>BS_ACCRUAL</stp>
        <stp>FQ4 2009</stp>
        <stp>FQ4 2009</stp>
        <stp>[FA1_m42y3cpi.xlsx]Bal Sheet - Standardized!R46C8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3"/>
      </tp>
      <tp>
        <v>46136</v>
        <stp/>
        <stp>##V3_BDHV12</stp>
        <stp>XOM US Equity</stp>
        <stp>BS_ACCRUAL</stp>
        <stp>FQ1 2010</stp>
        <stp>FQ1 2010</stp>
        <stp>[FA1_m42y3cpi.xlsx]Bal Sheet - Standardized!R46C9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3"/>
      </tp>
      <tp>
        <v>38468</v>
        <stp/>
        <stp>##V3_BDHV12</stp>
        <stp>XOM US Equity</stp>
        <stp>BS_ACCRUAL</stp>
        <stp>FQ1 2009</stp>
        <stp>FQ1 2009</stp>
        <stp>[FA1_m42y3cpi.xlsx]Bal Sheet - Standardized!R46C5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3"/>
      </tp>
      <tp>
        <v>42645</v>
        <stp/>
        <stp>##V3_BDHV12</stp>
        <stp>XOM US Equity</stp>
        <stp>BS_ACCRUAL</stp>
        <stp>FQ3 2009</stp>
        <stp>FQ3 2009</stp>
        <stp>[FA1_m42y3cpi.xlsx]Bal Sheet - Standardized!R46C7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3"/>
      </tp>
      <tp>
        <v>41895</v>
        <stp/>
        <stp>##V3_BDHV12</stp>
        <stp>XOM US Equity</stp>
        <stp>BS_ACCRUAL</stp>
        <stp>FQ2 2009</stp>
        <stp>FQ2 2009</stp>
        <stp>[FA1_m42y3cpi.xlsx]Bal Sheet - Standardized!R46C6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3"/>
      </tp>
      <tp t="s">
        <v>—</v>
        <stp/>
        <stp>##V3_BDHV12</stp>
        <stp>XOM US Equity</stp>
        <stp>BS_ACCRUAL</stp>
        <stp>FQ3 2008</stp>
        <stp>FQ3 2008</stp>
        <stp>[FA1_m42y3cpi.xlsx]Bal Sheet - Standardized!R46C3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3"/>
      </tp>
      <tp t="s">
        <v>—</v>
        <stp/>
        <stp>##V3_BDHV12</stp>
        <stp>XOM US Equity</stp>
        <stp>BS_ACCRUAL</stp>
        <stp>FQ4 2008</stp>
        <stp>FQ4 2008</stp>
        <stp>[FA1_m42y3cpi.xlsx]Bal Sheet - Standardized!R46C4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3"/>
      </tp>
      <tp t="s">
        <v>—</v>
        <stp/>
        <stp>##V3_BDHV12</stp>
        <stp>XOM US Equity</stp>
        <stp>CF_CHANGE_IN_INVENTORIES</stp>
        <stp>FQ4 2012</stp>
        <stp>FQ4 2012</stp>
        <stp>[FA1_m42y3cpi.xlsx]Cash Flow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4"/>
      </tp>
      <tp>
        <v>0</v>
        <stp/>
        <stp>##V3_BDHV12</stp>
        <stp>XOM US Equity</stp>
        <stp>CF_CASH_FOR_DIVESTITURES</stp>
        <stp>FQ4 2016</stp>
        <stp>FQ4 2016</stp>
        <stp>[FA1_m42y3cpi.xlsx]Cash Flow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4"/>
      </tp>
      <tp t="s">
        <v>—</v>
        <stp/>
        <stp>##V3_BDHV12</stp>
        <stp>XOM US Equity</stp>
        <stp>CF_CHANGE_IN_INVENTORIES</stp>
        <stp>FQ4 2013</stp>
        <stp>FQ4 2013</stp>
        <stp>[FA1_m42y3cpi.xlsx]Cash Flow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4"/>
      </tp>
      <tp t="s">
        <v>—</v>
        <stp/>
        <stp>##V3_BDHV12</stp>
        <stp>XOM US Equity</stp>
        <stp>BS_DERIVATIVE_&amp;_HEDGING_LIABS_LT</stp>
        <stp>FQ1 2018</stp>
        <stp>FQ1 2018</stp>
        <stp>[FA1_m42y3cpi.xlsx]Bal Sheet - Standardized!R63C41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3" s="3"/>
      </tp>
      <tp>
        <v>0</v>
        <stp/>
        <stp>##V3_BDHV12</stp>
        <stp>XOM US Equity</stp>
        <stp>CF_CASH_FOR_DIVESTITURES</stp>
        <stp>FQ4 2015</stp>
        <stp>FQ4 2015</stp>
        <stp>[FA1_m42y3cpi.xlsx]Cash Flow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4"/>
      </tp>
      <tp t="s">
        <v>—</v>
        <stp/>
        <stp>##V3_BDHV12</stp>
        <stp>XOM US Equity</stp>
        <stp>BS_DERIVATIVE_&amp;_HEDGING_LIABS_ST</stp>
        <stp>FQ1 2018</stp>
        <stp>FQ1 2018</stp>
        <stp>[FA1_m42y3cpi.xlsx]Bal Sheet - Standardized!R52C41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2" s="3"/>
      </tp>
      <tp t="s">
        <v>—</v>
        <stp/>
        <stp>##V3_BDHV12</stp>
        <stp>XOM US Equity</stp>
        <stp>BS_DERIVATIVE_&amp;_HEDGING_LIABS_ST</stp>
        <stp>FQ4 2010</stp>
        <stp>FQ4 2010</stp>
        <stp>[FA1_m42y3cpi.xlsx]Bal Sheet - Standardized!R52C12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2" s="3"/>
      </tp>
      <tp t="s">
        <v>—</v>
        <stp/>
        <stp>##V3_BDHV12</stp>
        <stp>XOM US Equity</stp>
        <stp>BS_DERIVATIVE_&amp;_HEDGING_LIABS_LT</stp>
        <stp>FQ4 2010</stp>
        <stp>FQ4 2010</stp>
        <stp>[FA1_m42y3cpi.xlsx]Bal Sheet - Standardized!R63C12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3" s="3"/>
      </tp>
      <tp t="s">
        <v>—</v>
        <stp/>
        <stp>##V3_BDHV12</stp>
        <stp>XOM US Equity</stp>
        <stp>BS_DERIVATIVE_&amp;_HEDGING_LIABS_ST</stp>
        <stp>FQ4 2011</stp>
        <stp>FQ4 2011</stp>
        <stp>[FA1_m42y3cpi.xlsx]Bal Sheet - Standardized!R52C16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2" s="3"/>
      </tp>
      <tp t="s">
        <v>—</v>
        <stp/>
        <stp>##V3_BDHV12</stp>
        <stp>XOM US Equity</stp>
        <stp>BS_DERIVATIVE_&amp;_HEDGING_LIABS_LT</stp>
        <stp>FQ4 2011</stp>
        <stp>FQ4 2011</stp>
        <stp>[FA1_m42y3cpi.xlsx]Bal Sheet - Standardized!R63C16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3" s="3"/>
      </tp>
      <tp t="s">
        <v>—</v>
        <stp/>
        <stp>##V3_BDHV12</stp>
        <stp>XOM US Equity</stp>
        <stp>CF_CHANGE_IN_INVENTORIES</stp>
        <stp>FQ4 2014</stp>
        <stp>FQ4 2014</stp>
        <stp>[FA1_m42y3cpi.xlsx]Cash Flow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4"/>
      </tp>
      <tp t="s">
        <v>—</v>
        <stp/>
        <stp>##V3_BDHV12</stp>
        <stp>XOM US Equity</stp>
        <stp>CF_CHANGE_IN_INVENTORIES</stp>
        <stp>FQ2 2018</stp>
        <stp>FQ2 2018</stp>
        <stp>[FA1_m42y3cpi.xlsx]Cash Flow - Standardized!R14C42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4" s="4"/>
      </tp>
      <tp>
        <v>0</v>
        <stp/>
        <stp>##V3_BDHV12</stp>
        <stp>XOM US Equity</stp>
        <stp>OTHER_CURRENT_LIABS_SUB_DETAILED</stp>
        <stp>FQ3 2011</stp>
        <stp>FQ3 2011</stp>
        <stp>[FA1_m42y3cpi.xlsx]Bal Sheet - Standardized!R50C15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0" s="3"/>
      </tp>
      <tp>
        <v>0</v>
        <stp/>
        <stp>##V3_BDHV12</stp>
        <stp>XOM US Equity</stp>
        <stp>OTHER_CURRENT_LIABS_SUB_DETAILED</stp>
        <stp>FQ1 2016</stp>
        <stp>FQ1 2016</stp>
        <stp>[FA1_m42y3cpi.xlsx]Bal Sheet - Standardized!R50C33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0" s="3"/>
      </tp>
      <tp>
        <v>0</v>
        <stp/>
        <stp>##V3_BDHV12</stp>
        <stp>XOM US Equity</stp>
        <stp>OTHER_CURRENT_LIABS_SUB_DETAILED</stp>
        <stp>FQ3 2010</stp>
        <stp>FQ3 2010</stp>
        <stp>[FA1_m42y3cpi.xlsx]Bal Sheet - Standardized!R50C11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0" s="3"/>
      </tp>
      <tp>
        <v>0</v>
        <stp/>
        <stp>##V3_BDHV12</stp>
        <stp>XOM US Equity</stp>
        <stp>OTHER_CURRENT_LIABS_SUB_DETAILED</stp>
        <stp>FQ1 2017</stp>
        <stp>FQ1 2017</stp>
        <stp>[FA1_m42y3cpi.xlsx]Bal Sheet - Standardized!R50C37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0" s="3"/>
      </tp>
      <tp>
        <v>0</v>
        <stp/>
        <stp>##V3_BDHV12</stp>
        <stp>XOM US Equity</stp>
        <stp>OTHER_CURRENT_LIABS_SUB_DETAILED</stp>
        <stp>FQ3 2012</stp>
        <stp>FQ3 2012</stp>
        <stp>[FA1_m42y3cpi.xlsx]Bal Sheet - Standardized!R50C19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0" s="3"/>
      </tp>
      <tp t="s">
        <v>—</v>
        <stp/>
        <stp>##V3_BDHV12</stp>
        <stp>XOM US Equity</stp>
        <stp>BS_GOODWILL</stp>
        <stp>FQ1 2010</stp>
        <stp>FQ1 2010</stp>
        <stp>[FA1_m42y3cpi.xlsx]Bal Sheet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3"/>
      </tp>
      <tp>
        <v>4037</v>
        <stp/>
        <stp>##V3_BDHV12</stp>
        <stp>XOM US Equity</stp>
        <stp>IS_D&amp;A_COST_OF_REVENUE</stp>
        <stp>FQ3 2012</stp>
        <stp>FQ3 2012</stp>
        <stp>[FA1_m42y3cpi.xlsx]Income - Adjusted!R10C19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>
        <v>0</v>
        <stp/>
        <stp>##V3_BDHV12</stp>
        <stp>XOM US Equity</stp>
        <stp>BS_GOODWILL</stp>
        <stp>FQ4 2009</stp>
        <stp>FQ4 2009</stp>
        <stp>[FA1_m42y3cpi.xlsx]Bal Sheet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3"/>
      </tp>
      <tp>
        <v>4271</v>
        <stp/>
        <stp>##V3_BDHV12</stp>
        <stp>XOM US Equity</stp>
        <stp>IS_SH_FOR_DILUTED_EPS</stp>
        <stp>FQ3 2017</stp>
        <stp>FQ3 2017</stp>
        <stp>[FA1_m42y3cpi.xlsx]Per Share!R7C39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" s="5"/>
      </tp>
      <tp>
        <v>4271</v>
        <stp/>
        <stp>##V3_BDHV12</stp>
        <stp>XOM US Equity</stp>
        <stp>IS_SH_FOR_DILUTED_EPS</stp>
        <stp>FQ2 2017</stp>
        <stp>FQ2 2017</stp>
        <stp>[FA1_m42y3cpi.xlsx]Per Share!R7C38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" s="5"/>
      </tp>
      <tp>
        <v>4211</v>
        <stp/>
        <stp>##V3_BDHV12</stp>
        <stp>XOM US Equity</stp>
        <stp>IS_SH_FOR_DILUTED_EPS</stp>
        <stp>FQ1 2015</stp>
        <stp>FQ1 2015</stp>
        <stp>[FA1_m42y3cpi.xlsx]Per Share!R7C29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5"/>
      </tp>
      <tp>
        <v>11.105399999999999</v>
        <stp/>
        <stp>##V3_BDHV12</stp>
        <stp>XOM US Equity</stp>
        <stp>OPER_MARGIN</stp>
        <stp>FQ1 2010</stp>
        <stp>FQ1 2010</stp>
        <stp>[FA1_m42y3cpi.xlsx]Income - Adjusted!R66C9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66" s="2"/>
      </tp>
      <tp t="s">
        <v>—</v>
        <stp/>
        <stp>##V3_BDHV12</stp>
        <stp>XOM US Equity</stp>
        <stp>BS_GOODWILL</stp>
        <stp>FQ4 2008</stp>
        <stp>FQ4 2008</stp>
        <stp>[FA1_m42y3cpi.xlsx]Bal Sheet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3"/>
      </tp>
      <tp t="s">
        <v>—</v>
        <stp/>
        <stp>##V3_BDHV12</stp>
        <stp>XOM US Equity</stp>
        <stp>BS_GOODWILL</stp>
        <stp>FQ3 2008</stp>
        <stp>FQ3 2008</stp>
        <stp>[FA1_m42y3cpi.xlsx]Bal Sheet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3"/>
      </tp>
      <tp t="s">
        <v>—</v>
        <stp/>
        <stp>##V3_BDHV12</stp>
        <stp>XOM US Equity</stp>
        <stp>BS_GOODWILL</stp>
        <stp>FQ2 2009</stp>
        <stp>FQ2 2009</stp>
        <stp>[FA1_m42y3cpi.xlsx]Bal Sheet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3"/>
      </tp>
      <tp t="s">
        <v>—</v>
        <stp/>
        <stp>##V3_BDHV12</stp>
        <stp>XOM US Equity</stp>
        <stp>BS_GOODWILL</stp>
        <stp>FQ3 2009</stp>
        <stp>FQ3 2009</stp>
        <stp>[FA1_m42y3cpi.xlsx]Bal Sheet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3"/>
      </tp>
      <tp t="s">
        <v>—</v>
        <stp/>
        <stp>##V3_BDHV12</stp>
        <stp>XOM US Equity</stp>
        <stp>BS_GOODWILL</stp>
        <stp>FQ1 2009</stp>
        <stp>FQ1 2009</stp>
        <stp>[FA1_m42y3cpi.xlsx]Bal Sheet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3"/>
      </tp>
      <tp t="s">
        <v>—</v>
        <stp/>
        <stp>##V3_BDHV12</stp>
        <stp>XOM US Equity</stp>
        <stp>ST_DEFERRED_REVENUE</stp>
        <stp>FQ1 2015</stp>
        <stp>FQ1 2015</stp>
        <stp>[FA1_m42y3cpi.xlsx]Bal Sheet - Standardized!R51C29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1" s="3"/>
      </tp>
      <tp>
        <v>192188</v>
        <stp/>
        <stp>##V3_BDHV12</stp>
        <stp>XOM US Equity</stp>
        <stp>BS_AMT_OF_TSY_STOCK</stp>
        <stp>FQ3 2012</stp>
        <stp>FQ3 2012</stp>
        <stp>[FA1_m42y3cpi.xlsx]Bal Sheet - Standardized!R69C19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9" s="3"/>
      </tp>
      <tp t="s">
        <v>—</v>
        <stp/>
        <stp>##V3_BDHV12</stp>
        <stp>XOM US Equity</stp>
        <stp>LT_DEFERRED_REVENUE</stp>
        <stp>FQ1 2015</stp>
        <stp>FQ1 2015</stp>
        <stp>[FA1_m42y3cpi.xlsx]Bal Sheet - Standardized!R61C29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1" s="3"/>
      </tp>
      <tp t="s">
        <v>—</v>
        <stp/>
        <stp>##V3_BDHV12</stp>
        <stp>XOM US Equity</stp>
        <stp>ST_DEFERRED_REVENUE</stp>
        <stp>FQ2 2012</stp>
        <stp>FQ2 2012</stp>
        <stp>[FA1_m42y3cpi.xlsx]Bal Sheet - Standardized!R51C18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1" s="3"/>
      </tp>
      <tp t="s">
        <v>—</v>
        <stp/>
        <stp>##V3_BDHV12</stp>
        <stp>XOM US Equity</stp>
        <stp>TCE_RATIO</stp>
        <stp>FQ1 2010</stp>
        <stp>FQ1 2010</stp>
        <stp>[FA1_m42y3cpi.xlsx]Bal Sheet - Standardized!R88C9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8" s="3"/>
      </tp>
      <tp t="s">
        <v>—</v>
        <stp/>
        <stp>##V3_BDHV12</stp>
        <stp>XOM US Equity</stp>
        <stp>LT_DEFERRED_REVENUE</stp>
        <stp>FQ2 2012</stp>
        <stp>FQ2 2012</stp>
        <stp>[FA1_m42y3cpi.xlsx]Bal Sheet - Standardized!R61C18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1" s="3"/>
      </tp>
      <tp t="s">
        <v>—</v>
        <stp/>
        <stp>##V3_BDHV12</stp>
        <stp>XOM US Equity</stp>
        <stp>BS_ACCTS_REC_EXCL_NOTES_REC</stp>
        <stp>FQ2 2018</stp>
        <stp>FQ2 2018</stp>
        <stp>[FA1_m42y3cpi.xlsx]Bal Sheet - Standardized!R11C42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1" s="3"/>
      </tp>
      <tp>
        <v>18541</v>
        <stp/>
        <stp>##V3_BDHV12</stp>
        <stp>XOM US Equity</stp>
        <stp>BS_ACCTS_REC_EXCL_NOTES_REC</stp>
        <stp>FQ4 2014</stp>
        <stp>FQ4 2014</stp>
        <stp>[FA1_m42y3cpi.xlsx]Bal Sheet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3"/>
      </tp>
      <tp>
        <v>4211</v>
        <stp/>
        <stp>##V3_BDHV12</stp>
        <stp>XOM US Equity</stp>
        <stp>IS_AVG_NUM_SH_FOR_EPS</stp>
        <stp>FQ1 2015</stp>
        <stp>FQ1 2015</stp>
        <stp>[FA1_m42y3cpi.xlsx]Per Share!R8C29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5"/>
      </tp>
      <tp>
        <v>151832</v>
        <stp/>
        <stp>##V3_BDHV12</stp>
        <stp>XOM US Equity</stp>
        <stp>BS_AMT_OF_TSY_STOCK</stp>
        <stp>FQ3 2010</stp>
        <stp>FQ3 2010</stp>
        <stp>[FA1_m42y3cpi.xlsx]Bal Sheet - Standardized!R69C11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9" s="3"/>
      </tp>
      <tp t="s">
        <v>—</v>
        <stp/>
        <stp>##V3_BDHV12</stp>
        <stp>XOM US Equity</stp>
        <stp>LT_DEFERRED_REVENUE</stp>
        <stp>FQ2 2011</stp>
        <stp>FQ2 2011</stp>
        <stp>[FA1_m42y3cpi.xlsx]Bal Sheet - Standardized!R61C14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1" s="3"/>
      </tp>
      <tp>
        <v>28373</v>
        <stp/>
        <stp>##V3_BDHV12</stp>
        <stp>XOM US Equity</stp>
        <stp>BS_ACCTS_REC_EXCL_NOTES_REC</stp>
        <stp>FQ4 2012</stp>
        <stp>FQ4 2012</stp>
        <stp>[FA1_m42y3cpi.xlsx]Bal Sheet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3"/>
      </tp>
      <tp>
        <v>225292</v>
        <stp/>
        <stp>##V3_BDHV12</stp>
        <stp>XOM US Equity</stp>
        <stp>BS_AMT_OF_TSY_STOCK</stp>
        <stp>FQ1 2017</stp>
        <stp>FQ1 2017</stp>
        <stp>[FA1_m42y3cpi.xlsx]Bal Sheet - Standardized!R69C37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9" s="3"/>
      </tp>
      <tp t="s">
        <v>—</v>
        <stp/>
        <stp>##V3_BDHV12</stp>
        <stp>XOM US Equity</stp>
        <stp>ST_DEFERRED_REVENUE</stp>
        <stp>FQ2 2011</stp>
        <stp>FQ2 2011</stp>
        <stp>[FA1_m42y3cpi.xlsx]Bal Sheet - Standardized!R51C14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1" s="3"/>
      </tp>
      <tp>
        <v>4271</v>
        <stp/>
        <stp>##V3_BDHV12</stp>
        <stp>XOM US Equity</stp>
        <stp>IS_AVG_NUM_SH_FOR_EPS</stp>
        <stp>FQ2 2017</stp>
        <stp>FQ2 2017</stp>
        <stp>[FA1_m42y3cpi.xlsx]Per Share!R8C38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" s="5"/>
      </tp>
      <tp>
        <v>4271</v>
        <stp/>
        <stp>##V3_BDHV12</stp>
        <stp>XOM US Equity</stp>
        <stp>IS_AVG_NUM_SH_FOR_EPS</stp>
        <stp>FQ3 2017</stp>
        <stp>FQ3 2017</stp>
        <stp>[FA1_m42y3cpi.xlsx]Per Share!R8C39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" s="5"/>
      </tp>
      <tp>
        <v>172025</v>
        <stp/>
        <stp>##V3_BDHV12</stp>
        <stp>XOM US Equity</stp>
        <stp>BS_AMT_OF_TSY_STOCK</stp>
        <stp>FQ3 2011</stp>
        <stp>FQ3 2011</stp>
        <stp>[FA1_m42y3cpi.xlsx]Bal Sheet - Standardized!R69C15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9" s="3"/>
      </tp>
      <tp t="s">
        <v>—</v>
        <stp/>
        <stp>##V3_BDHV12</stp>
        <stp>XOM US Equity</stp>
        <stp>LT_DEFERRED_REVENUE</stp>
        <stp>FQ2 2010</stp>
        <stp>FQ2 2010</stp>
        <stp>[FA1_m42y3cpi.xlsx]Bal Sheet - Standardized!R61C10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1" s="3"/>
      </tp>
      <tp>
        <v>25993</v>
        <stp/>
        <stp>##V3_BDHV12</stp>
        <stp>XOM US Equity</stp>
        <stp>BS_ACCTS_REC_EXCL_NOTES_REC</stp>
        <stp>FQ4 2013</stp>
        <stp>FQ4 2013</stp>
        <stp>[FA1_m42y3cpi.xlsx]Bal Sheet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3"/>
      </tp>
      <tp t="s">
        <v>—</v>
        <stp/>
        <stp>##V3_BDHV12</stp>
        <stp>XOM US Equity</stp>
        <stp>ST_DEFERRED_REVENUE</stp>
        <stp>FQ1 2014</stp>
        <stp>FQ1 2014</stp>
        <stp>[FA1_m42y3cpi.xlsx]Bal Sheet - Standardized!R51C25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1" s="3"/>
      </tp>
      <tp t="s">
        <v>—</v>
        <stp/>
        <stp>##V3_BDHV12</stp>
        <stp>XOM US Equity</stp>
        <stp>LT_DEFERRED_REVENUE</stp>
        <stp>FQ1 2013</stp>
        <stp>FQ1 2013</stp>
        <stp>[FA1_m42y3cpi.xlsx]Bal Sheet - Standardized!R61C21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1" s="3"/>
      </tp>
      <tp t="s">
        <v>—</v>
        <stp/>
        <stp>##V3_BDHV12</stp>
        <stp>XOM US Equity</stp>
        <stp>ST_DEFERRED_REVENUE</stp>
        <stp>FQ1 2013</stp>
        <stp>FQ1 2013</stp>
        <stp>[FA1_m42y3cpi.xlsx]Bal Sheet - Standardized!R51C21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1" s="3"/>
      </tp>
      <tp t="s">
        <v>—</v>
        <stp/>
        <stp>##V3_BDHV12</stp>
        <stp>XOM US Equity</stp>
        <stp>LT_DEFERRED_REVENUE</stp>
        <stp>FQ1 2014</stp>
        <stp>FQ1 2014</stp>
        <stp>[FA1_m42y3cpi.xlsx]Bal Sheet - Standardized!R61C25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1" s="3"/>
      </tp>
      <tp>
        <v>230454</v>
        <stp/>
        <stp>##V3_BDHV12</stp>
        <stp>XOM US Equity</stp>
        <stp>BS_AMT_OF_TSY_STOCK</stp>
        <stp>FQ1 2016</stp>
        <stp>FQ1 2016</stp>
        <stp>[FA1_m42y3cpi.xlsx]Bal Sheet - Standardized!R69C33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9" s="3"/>
      </tp>
      <tp t="s">
        <v>—</v>
        <stp/>
        <stp>##V3_BDHV12</stp>
        <stp>XOM US Equity</stp>
        <stp>ST_DEFERRED_REVENUE</stp>
        <stp>FQ2 2010</stp>
        <stp>FQ2 2010</stp>
        <stp>[FA1_m42y3cpi.xlsx]Bal Sheet - Standardized!R51C10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1" s="3"/>
      </tp>
      <tp>
        <v>3226</v>
        <stp/>
        <stp>##V3_BDHV12</stp>
        <stp>XOM US Equity</stp>
        <stp>PRETAX_INC</stp>
        <stp>FQ3 2016</stp>
        <stp>FQ3 2016</stp>
        <stp>[FA1_m42y3cpi.xlsx]Income - Adjusted!R32C35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32" s="2"/>
      </tp>
      <tp>
        <v>13410</v>
        <stp/>
        <stp>##V3_BDHV12</stp>
        <stp>XOM US Equity</stp>
        <stp>PRETAX_INC</stp>
        <stp>FQ3 2014</stp>
        <stp>FQ3 2014</stp>
        <stp>[FA1_m42y3cpi.xlsx]Income - Adjusted!R32C27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32" s="2"/>
      </tp>
      <tp>
        <v>-307</v>
        <stp/>
        <stp>##V3_BDHV12</stp>
        <stp>XOM US Equity</stp>
        <stp>CF_CHNG_NON_CASH_WORK_CAP</stp>
        <stp>FQ4 2009</stp>
        <stp>FQ4 2009</stp>
        <stp>[FA1_m42y3cpi.xlsx]Cash Flow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4"/>
      </tp>
      <tp>
        <v>4650</v>
        <stp/>
        <stp>##V3_BDHV12</stp>
        <stp>XOM US Equity</stp>
        <stp>NET_INCOME</stp>
        <stp>FQ1 2018</stp>
        <stp>FQ1 2018</stp>
        <stp>[FA1_m42y3cpi.xlsx]Income - Adjusted!R40C41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40" s="2"/>
      </tp>
      <tp>
        <v>3201</v>
        <stp/>
        <stp>##V3_BDHV12</stp>
        <stp>XOM US Equity</stp>
        <stp>CF_CHNG_NON_CASH_WORK_CAP</stp>
        <stp>FQ1 2010</stp>
        <stp>FQ1 2010</stp>
        <stp>[FA1_m42y3cpi.xlsx]Cash Flow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4"/>
      </tp>
      <tp>
        <v>14.354100000000001</v>
        <stp/>
        <stp>##V3_BDHV12</stp>
        <stp>XOM US Equity</stp>
        <stp>EBITDA_MARGIN</stp>
        <stp>FQ2 2014</stp>
        <stp>FQ2 2014</stp>
        <stp>[FA1_m42y3cpi.xlsx]Cash Flow - Standardized!R60C26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60" s="4"/>
      </tp>
      <tp>
        <v>14.3782</v>
        <stp/>
        <stp>##V3_BDHV12</stp>
        <stp>XOM US Equity</stp>
        <stp>EBITDA_MARGIN</stp>
        <stp>FQ3 2014</stp>
        <stp>FQ3 2014</stp>
        <stp>[FA1_m42y3cpi.xlsx]Cash Flow - Standardized!R60C27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60" s="4"/>
      </tp>
      <tp>
        <v>14.6028</v>
        <stp/>
        <stp>##V3_BDHV12</stp>
        <stp>XOM US Equity</stp>
        <stp>EBITDA_MARGIN</stp>
        <stp>FQ1 2014</stp>
        <stp>FQ1 2014</stp>
        <stp>[FA1_m42y3cpi.xlsx]Cash Flow - Standardized!R60C25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60" s="4"/>
      </tp>
      <tp>
        <v>14.133900000000001</v>
        <stp/>
        <stp>##V3_BDHV12</stp>
        <stp>XOM US Equity</stp>
        <stp>EBITDA_MARGIN</stp>
        <stp>FQ4 2014</stp>
        <stp>FQ4 2014</stp>
        <stp>[FA1_m42y3cpi.xlsx]Cash Flow - Standardized!R60C28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60" s="4"/>
      </tp>
      <tp>
        <v>-2124</v>
        <stp/>
        <stp>##V3_BDHV12</stp>
        <stp>XOM US Equity</stp>
        <stp>CF_CHNG_NON_CASH_WORK_CAP</stp>
        <stp>FQ2 2009</stp>
        <stp>FQ2 2009</stp>
        <stp>[FA1_m42y3cpi.xlsx]Cash Flow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4"/>
      </tp>
      <tp>
        <v>140</v>
        <stp/>
        <stp>##V3_BDHV12</stp>
        <stp>XOM US Equity</stp>
        <stp>CF_CHNG_NON_CASH_WORK_CAP</stp>
        <stp>FQ3 2009</stp>
        <stp>FQ3 2009</stp>
        <stp>[FA1_m42y3cpi.xlsx]Cash Flow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4"/>
      </tp>
      <tp>
        <v>1132</v>
        <stp/>
        <stp>##V3_BDHV12</stp>
        <stp>XOM US Equity</stp>
        <stp>CF_CHNG_NON_CASH_WORK_CAP</stp>
        <stp>FQ1 2009</stp>
        <stp>FQ1 2009</stp>
        <stp>[FA1_m42y3cpi.xlsx]Cash Flow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4"/>
      </tp>
      <tp>
        <v>30253</v>
        <stp/>
        <stp>##V3_BDHV12</stp>
        <stp>XOM US Equity</stp>
        <stp>BS_INVEST_IN_ASSOC_CO</stp>
        <stp>FQ4 2016</stp>
        <stp>FQ4 2016</stp>
        <stp>[FA1_m42y3cpi.xlsx]Bal Sheet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3"/>
      </tp>
      <tp>
        <v>-2998</v>
        <stp/>
        <stp>##V3_BDHV12</stp>
        <stp>XOM US Equity</stp>
        <stp>CF_CHNG_NON_CASH_WORK_CAP</stp>
        <stp>FQ4 2008</stp>
        <stp>FQ4 2008</stp>
        <stp>[FA1_m42y3cpi.xlsx]Cash Flow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4"/>
      </tp>
      <tp>
        <v>-2856</v>
        <stp/>
        <stp>##V3_BDHV12</stp>
        <stp>XOM US Equity</stp>
        <stp>CF_CHNG_NON_CASH_WORK_CAP</stp>
        <stp>FQ3 2008</stp>
        <stp>FQ3 2008</stp>
        <stp>[FA1_m42y3cpi.xlsx]Cash Flow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4"/>
      </tp>
      <tp>
        <v>29447</v>
        <stp/>
        <stp>##V3_BDHV12</stp>
        <stp>XOM US Equity</stp>
        <stp>BS_INVEST_IN_ASSOC_CO</stp>
        <stp>FQ4 2015</stp>
        <stp>FQ4 2015</stp>
        <stp>[FA1_m42y3cpi.xlsx]Bal Sheet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3"/>
      </tp>
      <tp>
        <v>0</v>
        <stp/>
        <stp>##V3_BDHV12</stp>
        <stp>XOM US Equity</stp>
        <stp>BS_OPTIONS_GRANTED</stp>
        <stp>FQ4 2008</stp>
        <stp>FQ4 2008</stp>
        <stp>[FA1_m42y3cpi.xlsx]Bal Sheet - Standardized!R84C4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4" s="3"/>
      </tp>
      <tp>
        <v>0</v>
        <stp/>
        <stp>##V3_BDHV12</stp>
        <stp>XOM US Equity</stp>
        <stp>BS_OPTIONS_GRANTED</stp>
        <stp>FQ3 2008</stp>
        <stp>FQ3 2008</stp>
        <stp>[FA1_m42y3cpi.xlsx]Bal Sheet - Standardized!R84C3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4" s="3"/>
      </tp>
      <tp>
        <v>44474</v>
        <stp/>
        <stp>##V3_BDHV12</stp>
        <stp>XOM US Equity</stp>
        <stp>IS_COG_AND_SERVICES_SOLD</stp>
        <stp>FQ1 2017</stp>
        <stp>FQ1 2017</stp>
        <stp>[FA1_m42y3cpi.xlsx]Income - Adjusted!R9C37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9" s="2"/>
      </tp>
      <tp t="s">
        <v>—</v>
        <stp/>
        <stp>##V3_BDHV12</stp>
        <stp>XOM US Equity</stp>
        <stp>CF_CHANGE_IN_INVENTORIES</stp>
        <stp>FQ4 2016</stp>
        <stp>FQ4 2016</stp>
        <stp>[FA1_m42y3cpi.xlsx]Cash Flow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4"/>
      </tp>
      <tp>
        <v>0</v>
        <stp/>
        <stp>##V3_BDHV12</stp>
        <stp>XOM US Equity</stp>
        <stp>CF_CASH_FOR_DIVESTITURES</stp>
        <stp>FQ4 2012</stp>
        <stp>FQ4 2012</stp>
        <stp>[FA1_m42y3cpi.xlsx]Cash Flow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4"/>
      </tp>
      <tp t="s">
        <v>—</v>
        <stp/>
        <stp>##V3_BDHV12</stp>
        <stp>XOM US Equity</stp>
        <stp>CF_CHANGE_IN_INVENTORIES</stp>
        <stp>FQ4 2015</stp>
        <stp>FQ4 2015</stp>
        <stp>[FA1_m42y3cpi.xlsx]Cash Flow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4"/>
      </tp>
      <tp>
        <v>0</v>
        <stp/>
        <stp>##V3_BDHV12</stp>
        <stp>XOM US Equity</stp>
        <stp>CF_CASH_FOR_DIVESTITURES</stp>
        <stp>FQ4 2013</stp>
        <stp>FQ4 2013</stp>
        <stp>[FA1_m42y3cpi.xlsx]Cash Flow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4"/>
      </tp>
      <tp>
        <v>1456</v>
        <stp/>
        <stp>##V3_BDHV12</stp>
        <stp>XOM US Equity</stp>
        <stp>BS_OTHER_CUR_ASSET_LESS_PREPAY</stp>
        <stp>FQ1 2018</stp>
        <stp>FQ1 2018</stp>
        <stp>[FA1_m42y3cpi.xlsx]Bal Sheet - Standardized!R21C41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3"/>
      </tp>
      <tp>
        <v>5897</v>
        <stp/>
        <stp>##V3_BDHV12</stp>
        <stp>XOM US Equity</stp>
        <stp>BS_OTHER_CUR_ASSET_LESS_PREPAY</stp>
        <stp>FQ4 2010</stp>
        <stp>FQ4 2010</stp>
        <stp>[FA1_m42y3cpi.xlsx]Bal Sheet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3"/>
      </tp>
      <tp>
        <v>0</v>
        <stp/>
        <stp>##V3_BDHV12</stp>
        <stp>XOM US Equity</stp>
        <stp>CF_CASH_FOR_DIVESTITURES</stp>
        <stp>FQ4 2014</stp>
        <stp>FQ4 2014</stp>
        <stp>[FA1_m42y3cpi.xlsx]Cash Flow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4"/>
      </tp>
      <tp>
        <v>0</v>
        <stp/>
        <stp>##V3_BDHV12</stp>
        <stp>XOM US Equity</stp>
        <stp>CF_CASH_FOR_DIVESTITURES</stp>
        <stp>FQ2 2018</stp>
        <stp>FQ2 2018</stp>
        <stp>[FA1_m42y3cpi.xlsx]Cash Flow - Standardized!R31C42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4"/>
      </tp>
      <tp>
        <v>6633</v>
        <stp/>
        <stp>##V3_BDHV12</stp>
        <stp>XOM US Equity</stp>
        <stp>BS_OTHER_CUR_ASSET_LESS_PREPAY</stp>
        <stp>FQ4 2011</stp>
        <stp>FQ4 2011</stp>
        <stp>[FA1_m42y3cpi.xlsx]Bal Sheet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3"/>
      </tp>
      <tp>
        <v>0</v>
        <stp/>
        <stp>##V3_BDHV12</stp>
        <stp>XOM US Equity</stp>
        <stp>OTHER_CURRENT_LIABS_SUB_DETAILED</stp>
        <stp>FQ2 2011</stp>
        <stp>FQ2 2011</stp>
        <stp>[FA1_m42y3cpi.xlsx]Bal Sheet - Standardized!R50C14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0" s="3"/>
      </tp>
      <tp>
        <v>0</v>
        <stp/>
        <stp>##V3_BDHV12</stp>
        <stp>XOM US Equity</stp>
        <stp>OTHER_CURRENT_LIABS_SUB_DETAILED</stp>
        <stp>FQ1 2013</stp>
        <stp>FQ1 2013</stp>
        <stp>[FA1_m42y3cpi.xlsx]Bal Sheet - Standardized!R50C21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0" s="3"/>
      </tp>
      <tp>
        <v>0</v>
        <stp/>
        <stp>##V3_BDHV12</stp>
        <stp>XOM US Equity</stp>
        <stp>OTHER_CURRENT_LIABS_SUB_DETAILED</stp>
        <stp>FQ2 2010</stp>
        <stp>FQ2 2010</stp>
        <stp>[FA1_m42y3cpi.xlsx]Bal Sheet - Standardized!R50C10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0" s="3"/>
      </tp>
      <tp>
        <v>0</v>
        <stp/>
        <stp>##V3_BDHV12</stp>
        <stp>XOM US Equity</stp>
        <stp>OTHER_CURRENT_LIABS_SUB_DETAILED</stp>
        <stp>FQ1 2014</stp>
        <stp>FQ1 2014</stp>
        <stp>[FA1_m42y3cpi.xlsx]Bal Sheet - Standardized!R50C25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0" s="3"/>
      </tp>
      <tp>
        <v>0</v>
        <stp/>
        <stp>##V3_BDHV12</stp>
        <stp>XOM US Equity</stp>
        <stp>OTHER_CURRENT_LIABS_SUB_DETAILED</stp>
        <stp>FQ1 2015</stp>
        <stp>FQ1 2015</stp>
        <stp>[FA1_m42y3cpi.xlsx]Bal Sheet - Standardized!R50C29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0" s="3"/>
      </tp>
      <tp>
        <v>0</v>
        <stp/>
        <stp>##V3_BDHV12</stp>
        <stp>XOM US Equity</stp>
        <stp>OTHER_CURRENT_LIABS_SUB_DETAILED</stp>
        <stp>FQ2 2012</stp>
        <stp>FQ2 2012</stp>
        <stp>[FA1_m42y3cpi.xlsx]Bal Sheet - Standardized!R50C18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0" s="3"/>
      </tp>
      <tp>
        <v>4589</v>
        <stp/>
        <stp>##V3_BDHV12</stp>
        <stp>XOM US Equity</stp>
        <stp>IS_D&amp;A_COST_OF_REVENUE</stp>
        <stp>FQ2 2018</stp>
        <stp>FQ2 2018</stp>
        <stp>[FA1_m42y3cpi.xlsx]Income - Adjusted!R10C42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0" s="2"/>
      </tp>
      <tp>
        <v>3899</v>
        <stp/>
        <stp>##V3_BDHV12</stp>
        <stp>XOM US Equity</stp>
        <stp>IS_D&amp;A_COST_OF_REVENUE</stp>
        <stp>FQ2 2012</stp>
        <stp>FQ2 2012</stp>
        <stp>[FA1_m42y3cpi.xlsx]Income - Adjusted!R10C18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>
        <v>0.92</v>
        <stp/>
        <stp>##V3_BDHV12</stp>
        <stp>XOM US Equity</stp>
        <stp>IS_BASIC_EPS_CONT_OPS</stp>
        <stp>FQ1 2009</stp>
        <stp>FQ1 2009</stp>
        <stp>[FA1_m42y3cpi.xlsx]Per Share!R16C5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6" s="5"/>
      </tp>
      <tp>
        <v>0.98</v>
        <stp/>
        <stp>##V3_BDHV12</stp>
        <stp>XOM US Equity</stp>
        <stp>IS_BASIC_EPS_CONT_OPS</stp>
        <stp>FQ3 2009</stp>
        <stp>FQ3 2009</stp>
        <stp>[FA1_m42y3cpi.xlsx]Per Share!R16C7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6" s="5"/>
      </tp>
      <tp>
        <v>0.84309999999999996</v>
        <stp/>
        <stp>##V3_BDHV12</stp>
        <stp>XOM US Equity</stp>
        <stp>IS_BASIC_EPS_CONT_OPS</stp>
        <stp>FQ2 2009</stp>
        <stp>FQ2 2009</stp>
        <stp>[FA1_m42y3cpi.xlsx]Per Share!R16C6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6" s="5"/>
      </tp>
      <tp>
        <v>187172</v>
        <stp/>
        <stp>##V3_BDHV12</stp>
        <stp>XOM US Equity</stp>
        <stp>BS_AMT_OF_TSY_STOCK</stp>
        <stp>FQ2 2012</stp>
        <stp>FQ2 2012</stp>
        <stp>[FA1_m42y3cpi.xlsx]Bal Sheet - Standardized!R69C18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9" s="3"/>
      </tp>
      <tp t="s">
        <v>—</v>
        <stp/>
        <stp>##V3_BDHV12</stp>
        <stp>XOM US Equity</stp>
        <stp>ST_DEFERRED_REVENUE</stp>
        <stp>FQ3 2012</stp>
        <stp>FQ3 2012</stp>
        <stp>[FA1_m42y3cpi.xlsx]Bal Sheet - Standardized!R51C19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1" s="3"/>
      </tp>
      <tp>
        <v>227598</v>
        <stp/>
        <stp>##V3_BDHV12</stp>
        <stp>XOM US Equity</stp>
        <stp>BS_AMT_OF_TSY_STOCK</stp>
        <stp>FQ1 2015</stp>
        <stp>FQ1 2015</stp>
        <stp>[FA1_m42y3cpi.xlsx]Bal Sheet - Standardized!R69C29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9" s="3"/>
      </tp>
      <tp t="s">
        <v>—</v>
        <stp/>
        <stp>##V3_BDHV12</stp>
        <stp>XOM US Equity</stp>
        <stp>LT_DEFERRED_REVENUE</stp>
        <stp>FQ3 2012</stp>
        <stp>FQ3 2012</stp>
        <stp>[FA1_m42y3cpi.xlsx]Bal Sheet - Standardized!R61C19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1" s="3"/>
      </tp>
      <tp>
        <v>202563</v>
        <stp/>
        <stp>##V3_BDHV12</stp>
        <stp>XOM US Equity</stp>
        <stp>BS_AMT_OF_TSY_STOCK</stp>
        <stp>FQ1 2013</stp>
        <stp>FQ1 2013</stp>
        <stp>[FA1_m42y3cpi.xlsx]Bal Sheet - Standardized!R69C21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9" s="3"/>
      </tp>
      <tp>
        <v>148820</v>
        <stp/>
        <stp>##V3_BDHV12</stp>
        <stp>XOM US Equity</stp>
        <stp>BS_AMT_OF_TSY_STOCK</stp>
        <stp>FQ2 2010</stp>
        <stp>FQ2 2010</stp>
        <stp>[FA1_m42y3cpi.xlsx]Bal Sheet - Standardized!R69C10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9" s="3"/>
      </tp>
      <tp t="s">
        <v>—</v>
        <stp/>
        <stp>##V3_BDHV12</stp>
        <stp>XOM US Equity</stp>
        <stp>ST_DEFERRED_REVENUE</stp>
        <stp>FQ1 2016</stp>
        <stp>FQ1 2016</stp>
        <stp>[FA1_m42y3cpi.xlsx]Bal Sheet - Standardized!R51C33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1" s="3"/>
      </tp>
      <tp t="s">
        <v>—</v>
        <stp/>
        <stp>##V3_BDHV12</stp>
        <stp>XOM US Equity</stp>
        <stp>LT_DEFERRED_REVENUE</stp>
        <stp>FQ3 2011</stp>
        <stp>FQ3 2011</stp>
        <stp>[FA1_m42y3cpi.xlsx]Bal Sheet - Standardized!R61C15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1" s="3"/>
      </tp>
      <tp t="s">
        <v>—</v>
        <stp/>
        <stp>##V3_BDHV12</stp>
        <stp>XOM US Equity</stp>
        <stp>ST_DEFERRED_REVENUE</stp>
        <stp>FQ3 2011</stp>
        <stp>FQ3 2011</stp>
        <stp>[FA1_m42y3cpi.xlsx]Bal Sheet - Standardized!R51C15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1" s="3"/>
      </tp>
      <tp t="s">
        <v>—</v>
        <stp/>
        <stp>##V3_BDHV12</stp>
        <stp>XOM US Equity</stp>
        <stp>LT_DEFERRED_REVENUE</stp>
        <stp>FQ1 2016</stp>
        <stp>FQ1 2016</stp>
        <stp>[FA1_m42y3cpi.xlsx]Bal Sheet - Standardized!R61C33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1" s="3"/>
      </tp>
      <tp>
        <v>216638</v>
        <stp/>
        <stp>##V3_BDHV12</stp>
        <stp>XOM US Equity</stp>
        <stp>BS_AMT_OF_TSY_STOCK</stp>
        <stp>FQ1 2014</stp>
        <stp>FQ1 2014</stp>
        <stp>[FA1_m42y3cpi.xlsx]Bal Sheet - Standardized!R69C25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9" s="3"/>
      </tp>
      <tp>
        <v>16033</v>
        <stp/>
        <stp>##V3_BDHV12</stp>
        <stp>XOM US Equity</stp>
        <stp>BS_ACCTS_REC_EXCL_NOTES_REC</stp>
        <stp>FQ4 2016</stp>
        <stp>FQ4 2016</stp>
        <stp>[FA1_m42y3cpi.xlsx]Bal Sheet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3"/>
      </tp>
      <tp>
        <v>166735</v>
        <stp/>
        <stp>##V3_BDHV12</stp>
        <stp>XOM US Equity</stp>
        <stp>BS_AMT_OF_TSY_STOCK</stp>
        <stp>FQ2 2011</stp>
        <stp>FQ2 2011</stp>
        <stp>[FA1_m42y3cpi.xlsx]Bal Sheet - Standardized!R69C14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9" s="3"/>
      </tp>
      <tp t="s">
        <v>—</v>
        <stp/>
        <stp>##V3_BDHV12</stp>
        <stp>XOM US Equity</stp>
        <stp>ST_DEFERRED_REVENUE</stp>
        <stp>FQ1 2017</stp>
        <stp>FQ1 2017</stp>
        <stp>[FA1_m42y3cpi.xlsx]Bal Sheet - Standardized!R51C37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1" s="3"/>
      </tp>
      <tp t="s">
        <v>—</v>
        <stp/>
        <stp>##V3_BDHV12</stp>
        <stp>XOM US Equity</stp>
        <stp>LT_DEFERRED_REVENUE</stp>
        <stp>FQ3 2010</stp>
        <stp>FQ3 2010</stp>
        <stp>[FA1_m42y3cpi.xlsx]Bal Sheet - Standardized!R61C11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1" s="3"/>
      </tp>
      <tp>
        <v>13243</v>
        <stp/>
        <stp>##V3_BDHV12</stp>
        <stp>XOM US Equity</stp>
        <stp>BS_ACCTS_REC_EXCL_NOTES_REC</stp>
        <stp>FQ4 2015</stp>
        <stp>FQ4 2015</stp>
        <stp>[FA1_m42y3cpi.xlsx]Bal Sheet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3"/>
      </tp>
      <tp t="s">
        <v>—</v>
        <stp/>
        <stp>##V3_BDHV12</stp>
        <stp>XOM US Equity</stp>
        <stp>ST_DEFERRED_REVENUE</stp>
        <stp>FQ3 2010</stp>
        <stp>FQ3 2010</stp>
        <stp>[FA1_m42y3cpi.xlsx]Bal Sheet - Standardized!R51C11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1" s="3"/>
      </tp>
      <tp t="s">
        <v>—</v>
        <stp/>
        <stp>##V3_BDHV12</stp>
        <stp>XOM US Equity</stp>
        <stp>LT_DEFERRED_REVENUE</stp>
        <stp>FQ1 2017</stp>
        <stp>FQ1 2017</stp>
        <stp>[FA1_m42y3cpi.xlsx]Bal Sheet - Standardized!R61C37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1" s="3"/>
      </tp>
      <tp>
        <v>5918</v>
        <stp/>
        <stp>##V3_BDHV12</stp>
        <stp>XOM US Equity</stp>
        <stp>PRETAX_INC</stp>
        <stp>FQ1 2017</stp>
        <stp>FQ1 2017</stp>
        <stp>[FA1_m42y3cpi.xlsx]Income - Adjusted!R32C37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32" s="2"/>
      </tp>
      <tp>
        <v>12706</v>
        <stp/>
        <stp>##V3_BDHV12</stp>
        <stp>XOM US Equity</stp>
        <stp>PRETAX_INC</stp>
        <stp>FQ2 2010</stp>
        <stp>FQ2 2010</stp>
        <stp>[FA1_m42y3cpi.xlsx]Income - Adjusted!R32C10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32" s="2"/>
      </tp>
      <tp>
        <v>14189</v>
        <stp/>
        <stp>##V3_BDHV12</stp>
        <stp>XOM US Equity</stp>
        <stp>PRETAX_INC</stp>
        <stp>FQ3 2013</stp>
        <stp>FQ3 2013</stp>
        <stp>[FA1_m42y3cpi.xlsx]Income - Adjusted!R32C23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32" s="2"/>
      </tp>
      <tp>
        <v>617</v>
        <stp/>
        <stp>##V3_BDHV12</stp>
        <stp>XOM US Equity</stp>
        <stp>PRETAX_INC</stp>
        <stp>FQ4 2016</stp>
        <stp>FQ4 2016</stp>
        <stp>[FA1_m42y3cpi.xlsx]Income - Adjusted!R32C36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32" s="2"/>
      </tp>
      <tp>
        <v>15910</v>
        <stp/>
        <stp>##V3_BDHV12</stp>
        <stp>XOM US Equity</stp>
        <stp>NET_INCOME</stp>
        <stp>FQ2 2012</stp>
        <stp>FQ2 2012</stp>
        <stp>[FA1_m42y3cpi.xlsx]Income - Adjusted!R40C18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40" s="2"/>
      </tp>
      <tp>
        <v>3950</v>
        <stp/>
        <stp>##V3_BDHV12</stp>
        <stp>XOM US Equity</stp>
        <stp>NET_INCOME</stp>
        <stp>FQ2 2018</stp>
        <stp>FQ2 2018</stp>
        <stp>[FA1_m42y3cpi.xlsx]Income - Adjusted!R40C42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40" s="2"/>
      </tp>
      <tp>
        <v>13.5357</v>
        <stp/>
        <stp>##V3_BDHV12</stp>
        <stp>XOM US Equity</stp>
        <stp>EBITDA_MARGIN</stp>
        <stp>FQ3 2017</stp>
        <stp>FQ3 2017</stp>
        <stp>[FA1_m42y3cpi.xlsx]Cash Flow - Standardized!R60C39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60" s="4"/>
      </tp>
      <tp>
        <v>13.613099999999999</v>
        <stp/>
        <stp>##V3_BDHV12</stp>
        <stp>XOM US Equity</stp>
        <stp>EBITDA_MARGIN</stp>
        <stp>FQ4 2017</stp>
        <stp>FQ4 2017</stp>
        <stp>[FA1_m42y3cpi.xlsx]Cash Flow - Standardized!R60C40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60" s="4"/>
      </tp>
      <tp>
        <v>12.7553</v>
        <stp/>
        <stp>##V3_BDHV12</stp>
        <stp>XOM US Equity</stp>
        <stp>EBITDA_MARGIN</stp>
        <stp>FQ2 2017</stp>
        <stp>FQ2 2017</stp>
        <stp>[FA1_m42y3cpi.xlsx]Cash Flow - Standardized!R60C38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60" s="4"/>
      </tp>
      <tp>
        <v>12.4346</v>
        <stp/>
        <stp>##V3_BDHV12</stp>
        <stp>XOM US Equity</stp>
        <stp>EBITDA_MARGIN</stp>
        <stp>FQ1 2017</stp>
        <stp>FQ1 2017</stp>
        <stp>[FA1_m42y3cpi.xlsx]Cash Flow - Standardized!R60C37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60" s="4"/>
      </tp>
      <tp>
        <v>8824</v>
        <stp/>
        <stp>##V3_BDHV12</stp>
        <stp>XOM US Equity</stp>
        <stp>EBITDA</stp>
        <stp>FQ3 2017</stp>
        <stp>FQ3 2017</stp>
        <stp>[FA1_m42y3cpi.xlsx]Income - Adjusted!R61C39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61" s="2"/>
      </tp>
      <tp>
        <v>36.159999999999997</v>
        <stp/>
        <stp>##V3_BDHV12</stp>
        <stp>XOM US Equity</stp>
        <stp>PX_TO_FREE_CASH_FLOW</stp>
        <stp>FQ3 2009</stp>
        <stp>FQ3 2009</stp>
        <stp>[FA1_m42y3cpi.xlsx]Cash Flow - Standardized!R67C7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7" s="4"/>
      </tp>
      <tp>
        <v>23.187100000000001</v>
        <stp/>
        <stp>##V3_BDHV12</stp>
        <stp>XOM US Equity</stp>
        <stp>PX_TO_FREE_CASH_FLOW</stp>
        <stp>FQ2 2009</stp>
        <stp>FQ2 2009</stp>
        <stp>[FA1_m42y3cpi.xlsx]Cash Flow - Standardized!R67C6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7" s="4"/>
      </tp>
      <tp>
        <v>12.723100000000001</v>
        <stp/>
        <stp>##V3_BDHV12</stp>
        <stp>XOM US Equity</stp>
        <stp>PX_TO_FREE_CASH_FLOW</stp>
        <stp>FQ1 2009</stp>
        <stp>FQ1 2009</stp>
        <stp>[FA1_m42y3cpi.xlsx]Cash Flow - Standardized!R67C5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7" s="4"/>
      </tp>
      <tp>
        <v>65414</v>
        <stp/>
        <stp>##V3_BDHV12</stp>
        <stp>XOM US Equity</stp>
        <stp>IS_COG_AND_SERVICES_SOLD</stp>
        <stp>FQ2 2010</stp>
        <stp>FQ2 2010</stp>
        <stp>[FA1_m42y3cpi.xlsx]Income - Adjusted!R9C10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9" s="2"/>
      </tp>
      <tp>
        <v>67163</v>
        <stp/>
        <stp>##V3_BDHV12</stp>
        <stp>XOM US Equity</stp>
        <stp>IS_COG_AND_SERVICES_SOLD</stp>
        <stp>FQ3 2010</stp>
        <stp>FQ3 2010</stp>
        <stp>[FA1_m42y3cpi.xlsx]Income - Adjusted!R9C11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9" s="2"/>
      </tp>
      <tp>
        <v>0</v>
        <stp/>
        <stp>##V3_BDHV12</stp>
        <stp>XOM US Equity</stp>
        <stp>CF_CASH_FOR_DIVESTITURES</stp>
        <stp>FQ4 2010</stp>
        <stp>FQ4 2010</stp>
        <stp>[FA1_m42y3cpi.xlsx]Cash Flow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4"/>
      </tp>
      <tp>
        <v>0</v>
        <stp/>
        <stp>##V3_BDHV12</stp>
        <stp>XOM US Equity</stp>
        <stp>CF_CASH_FOR_DIVESTITURES</stp>
        <stp>FQ4 2011</stp>
        <stp>FQ4 2011</stp>
        <stp>[FA1_m42y3cpi.xlsx]Cash Flow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4"/>
      </tp>
      <tp>
        <v>3607</v>
        <stp/>
        <stp>##V3_BDHV12</stp>
        <stp>XOM US Equity</stp>
        <stp>BS_OTHER_CUR_ASSET_LESS_PREPAY</stp>
        <stp>FQ4 2014</stp>
        <stp>FQ4 2014</stp>
        <stp>[FA1_m42y3cpi.xlsx]Bal Sheet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3"/>
      </tp>
      <tp>
        <v>1649</v>
        <stp/>
        <stp>##V3_BDHV12</stp>
        <stp>XOM US Equity</stp>
        <stp>BS_OTHER_CUR_ASSET_LESS_PREPAY</stp>
        <stp>FQ2 2018</stp>
        <stp>FQ2 2018</stp>
        <stp>[FA1_m42y3cpi.xlsx]Bal Sheet - Standardized!R21C42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3"/>
      </tp>
      <tp>
        <v>5349</v>
        <stp/>
        <stp>##V3_BDHV12</stp>
        <stp>XOM US Equity</stp>
        <stp>BS_OTHER_CUR_ASSET_LESS_PREPAY</stp>
        <stp>FQ4 2012</stp>
        <stp>FQ4 2012</stp>
        <stp>[FA1_m42y3cpi.xlsx]Bal Sheet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3"/>
      </tp>
      <tp t="s">
        <v>—</v>
        <stp/>
        <stp>##V3_BDHV12</stp>
        <stp>XOM US Equity</stp>
        <stp>BS_DERIVATIVE_&amp;_HEDGING_LIABS_LT</stp>
        <stp>FQ4 2016</stp>
        <stp>FQ4 2016</stp>
        <stp>[FA1_m42y3cpi.xlsx]Bal Sheet - Standardized!R63C36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3" s="3"/>
      </tp>
      <tp t="s">
        <v>—</v>
        <stp/>
        <stp>##V3_BDHV12</stp>
        <stp>XOM US Equity</stp>
        <stp>BS_DERIVATIVE_&amp;_HEDGING_LIABS_ST</stp>
        <stp>FQ4 2016</stp>
        <stp>FQ4 2016</stp>
        <stp>[FA1_m42y3cpi.xlsx]Bal Sheet - Standardized!R52C36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2" s="3"/>
      </tp>
      <tp>
        <v>0</v>
        <stp/>
        <stp>##V3_BDHV12</stp>
        <stp>XOM US Equity</stp>
        <stp>CF_CASH_FOR_DIVESTITURES</stp>
        <stp>FQ1 2018</stp>
        <stp>FQ1 2018</stp>
        <stp>[FA1_m42y3cpi.xlsx]Cash Flow - Standardized!R31C41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4"/>
      </tp>
      <tp>
        <v>5377</v>
        <stp/>
        <stp>##V3_BDHV12</stp>
        <stp>XOM US Equity</stp>
        <stp>BS_OTHER_CUR_ASSET_LESS_PREPAY</stp>
        <stp>FQ4 2013</stp>
        <stp>FQ4 2013</stp>
        <stp>[FA1_m42y3cpi.xlsx]Bal Sheet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3"/>
      </tp>
      <tp>
        <v>0</v>
        <stp/>
        <stp>##V3_BDHV12</stp>
        <stp>XOM US Equity</stp>
        <stp>BS_DERIVATIVE_&amp;_HEDGING_LIABS_ST</stp>
        <stp>FQ4 2015</stp>
        <stp>FQ4 2015</stp>
        <stp>[FA1_m42y3cpi.xlsx]Bal Sheet - Standardized!R52C32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2" s="3"/>
      </tp>
      <tp t="s">
        <v>—</v>
        <stp/>
        <stp>##V3_BDHV12</stp>
        <stp>XOM US Equity</stp>
        <stp>BS_DERIVATIVE_&amp;_HEDGING_LIABS_LT</stp>
        <stp>FQ4 2015</stp>
        <stp>FQ4 2015</stp>
        <stp>[FA1_m42y3cpi.xlsx]Bal Sheet - Standardized!R63C32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3" s="3"/>
      </tp>
      <tp>
        <v>0</v>
        <stp/>
        <stp>##V3_BDHV12</stp>
        <stp>XOM US Equity</stp>
        <stp>OTHER_CURRENT_LIABS_SUB_DETAILED</stp>
        <stp>FQ3 2015</stp>
        <stp>FQ3 2015</stp>
        <stp>[FA1_m42y3cpi.xlsx]Bal Sheet - Standardized!R50C31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0" s="3"/>
      </tp>
      <tp>
        <v>10206</v>
        <stp/>
        <stp>##V3_BDHV12</stp>
        <stp>XOM US Equity</stp>
        <stp>PRETAX_INC</stp>
        <stp>FQ4 2009</stp>
        <stp>FQ4 2009</stp>
        <stp>[FA1_m42y3cpi.xlsx]Income - Adjusted!R32C8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32" s="2"/>
      </tp>
      <tp>
        <v>0</v>
        <stp/>
        <stp>##V3_BDHV12</stp>
        <stp>XOM US Equity</stp>
        <stp>OTHER_CURRENT_LIABS_SUB_DETAILED</stp>
        <stp>FQ1 2012</stp>
        <stp>FQ1 2012</stp>
        <stp>[FA1_m42y3cpi.xlsx]Bal Sheet - Standardized!R50C17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0" s="3"/>
      </tp>
      <tp>
        <v>0</v>
        <stp/>
        <stp>##V3_BDHV12</stp>
        <stp>XOM US Equity</stp>
        <stp>OTHER_CURRENT_LIABS_SUB_DETAILED</stp>
        <stp>FQ4 2017</stp>
        <stp>FQ4 2017</stp>
        <stp>[FA1_m42y3cpi.xlsx]Bal Sheet - Standardized!R50C40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0" s="3"/>
      </tp>
      <tp>
        <v>0</v>
        <stp/>
        <stp>##V3_BDHV12</stp>
        <stp>XOM US Equity</stp>
        <stp>OTHER_CURRENT_LIABS_SUB_DETAILED</stp>
        <stp>FQ2 2013</stp>
        <stp>FQ2 2013</stp>
        <stp>[FA1_m42y3cpi.xlsx]Bal Sheet - Standardized!R50C22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0" s="3"/>
      </tp>
      <tp>
        <v>0</v>
        <stp/>
        <stp>##V3_BDHV12</stp>
        <stp>XOM US Equity</stp>
        <stp>OTHER_CURRENT_LIABS_SUB_DETAILED</stp>
        <stp>FQ1 2011</stp>
        <stp>FQ1 2011</stp>
        <stp>[FA1_m42y3cpi.xlsx]Bal Sheet - Standardized!R50C13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0" s="3"/>
      </tp>
      <tp>
        <v>0</v>
        <stp/>
        <stp>##V3_BDHV12</stp>
        <stp>XOM US Equity</stp>
        <stp>OTHER_CURRENT_LIABS_SUB_DETAILED</stp>
        <stp>FQ3 2016</stp>
        <stp>FQ3 2016</stp>
        <stp>[FA1_m42y3cpi.xlsx]Bal Sheet - Standardized!R50C35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0" s="3"/>
      </tp>
      <tp>
        <v>0</v>
        <stp/>
        <stp>##V3_BDHV12</stp>
        <stp>XOM US Equity</stp>
        <stp>OTHER_CURRENT_LIABS_SUB_DETAILED</stp>
        <stp>FQ2 2014</stp>
        <stp>FQ2 2014</stp>
        <stp>[FA1_m42y3cpi.xlsx]Bal Sheet - Standardized!R50C26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0" s="3"/>
      </tp>
      <tp>
        <v>14830</v>
        <stp/>
        <stp>##V3_BDHV12</stp>
        <stp>XOM US Equity</stp>
        <stp>NET_INCOME</stp>
        <stp>FQ3 2008</stp>
        <stp>FQ3 2008</stp>
        <stp>[FA1_m42y3cpi.xlsx]Income - Adjusted!R40C3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40" s="2"/>
      </tp>
      <tp>
        <v>7820</v>
        <stp/>
        <stp>##V3_BDHV12</stp>
        <stp>XOM US Equity</stp>
        <stp>NET_INCOME</stp>
        <stp>FQ4 2008</stp>
        <stp>FQ4 2008</stp>
        <stp>[FA1_m42y3cpi.xlsx]Income - Adjusted!R40C4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40" s="2"/>
      </tp>
      <tp>
        <v>0</v>
        <stp/>
        <stp>##V3_BDHV12</stp>
        <stp>XOM US Equity</stp>
        <stp>OTHER_CURRENT_LIABS_SUB_DETAILED</stp>
        <stp>FQ3 2017</stp>
        <stp>FQ3 2017</stp>
        <stp>[FA1_m42y3cpi.xlsx]Bal Sheet - Standardized!R50C39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0" s="3"/>
      </tp>
      <tp>
        <v>61696</v>
        <stp/>
        <stp>##V3_BDHV12</stp>
        <stp>XOM US Equity</stp>
        <stp>BS_CUR_ASSET_REPORT</stp>
        <stp>FQ1 2010</stp>
        <stp>FQ1 2010</stp>
        <stp>[FA1_m42y3cpi.xlsx]Bal Sheet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4470</v>
        <stp/>
        <stp>##V3_BDHV12</stp>
        <stp>XOM US Equity</stp>
        <stp>IS_D&amp;A_COST_OF_REVENUE</stp>
        <stp>FQ1 2018</stp>
        <stp>FQ1 2018</stp>
        <stp>[FA1_m42y3cpi.xlsx]Income - Adjusted!R10C41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0" s="2"/>
      </tp>
      <tp>
        <v>55235</v>
        <stp/>
        <stp>##V3_BDHV12</stp>
        <stp>XOM US Equity</stp>
        <stp>BS_CUR_ASSET_REPORT</stp>
        <stp>FQ4 2009</stp>
        <stp>FQ4 2009</stp>
        <stp>[FA1_m42y3cpi.xlsx]Bal Sheet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96021</v>
        <stp/>
        <stp>##V3_BDHV12</stp>
        <stp>XOM US Equity</stp>
        <stp>BS_CUR_ASSET_REPORT</stp>
        <stp>FQ3 2008</stp>
        <stp>FQ3 2008</stp>
        <stp>[FA1_m42y3cpi.xlsx]Bal Sheet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72266</v>
        <stp/>
        <stp>##V3_BDHV12</stp>
        <stp>XOM US Equity</stp>
        <stp>BS_CUR_ASSET_REPORT</stp>
        <stp>FQ4 2008</stp>
        <stp>FQ4 2008</stp>
        <stp>[FA1_m42y3cpi.xlsx]Bal Sheet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64818</v>
        <stp/>
        <stp>##V3_BDHV12</stp>
        <stp>XOM US Equity</stp>
        <stp>BS_CUR_ASSET_REPORT</stp>
        <stp>FQ1 2009</stp>
        <stp>FQ1 2009</stp>
        <stp>[FA1_m42y3cpi.xlsx]Bal Sheet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57324</v>
        <stp/>
        <stp>##V3_BDHV12</stp>
        <stp>XOM US Equity</stp>
        <stp>BS_CUR_ASSET_REPORT</stp>
        <stp>FQ3 2009</stp>
        <stp>FQ3 2009</stp>
        <stp>[FA1_m42y3cpi.xlsx]Bal Sheet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59496</v>
        <stp/>
        <stp>##V3_BDHV12</stp>
        <stp>XOM US Equity</stp>
        <stp>BS_CUR_ASSET_REPORT</stp>
        <stp>FQ2 2009</stp>
        <stp>FQ2 2009</stp>
        <stp>[FA1_m42y3cpi.xlsx]Bal Sheet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3"/>
      </tp>
      <tp t="s">
        <v>—</v>
        <stp/>
        <stp>##V3_BDHV12</stp>
        <stp>XOM US Equity</stp>
        <stp>ST_DEFERRED_REVENUE</stp>
        <stp>FQ2 2017</stp>
        <stp>FQ2 2017</stp>
        <stp>[FA1_m42y3cpi.xlsx]Bal Sheet - Standardized!R51C38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1" s="3"/>
      </tp>
      <tp t="s">
        <v>—</v>
        <stp/>
        <stp>##V3_BDHV12</stp>
        <stp>XOM US Equity</stp>
        <stp>LT_DEFERRED_REVENUE</stp>
        <stp>FQ2 2017</stp>
        <stp>FQ2 2017</stp>
        <stp>[FA1_m42y3cpi.xlsx]Bal Sheet - Standardized!R61C38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1" s="3"/>
      </tp>
      <tp>
        <v>225305</v>
        <stp/>
        <stp>##V3_BDHV12</stp>
        <stp>XOM US Equity</stp>
        <stp>BS_AMT_OF_TSY_STOCK</stp>
        <stp>FQ3 2017</stp>
        <stp>FQ3 2017</stp>
        <stp>[FA1_m42y3cpi.xlsx]Bal Sheet - Standardized!R69C39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9" s="3"/>
      </tp>
      <tp>
        <v>161381</v>
        <stp/>
        <stp>##V3_BDHV12</stp>
        <stp>XOM US Equity</stp>
        <stp>BS_AMT_OF_TSY_STOCK</stp>
        <stp>FQ1 2011</stp>
        <stp>FQ1 2011</stp>
        <stp>[FA1_m42y3cpi.xlsx]Bal Sheet - Standardized!R69C13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9" s="3"/>
      </tp>
      <tp>
        <v>206586</v>
        <stp/>
        <stp>##V3_BDHV12</stp>
        <stp>XOM US Equity</stp>
        <stp>BS_AMT_OF_TSY_STOCK</stp>
        <stp>FQ2 2013</stp>
        <stp>FQ2 2013</stp>
        <stp>[FA1_m42y3cpi.xlsx]Bal Sheet - Standardized!R69C22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9" s="3"/>
      </tp>
      <tp>
        <v>225246</v>
        <stp/>
        <stp>##V3_BDHV12</stp>
        <stp>XOM US Equity</stp>
        <stp>BS_AMT_OF_TSY_STOCK</stp>
        <stp>FQ4 2017</stp>
        <stp>FQ4 2017</stp>
        <stp>[FA1_m42y3cpi.xlsx]Bal Sheet - Standardized!R69C40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9" s="3"/>
      </tp>
      <tp t="s">
        <v>—</v>
        <stp/>
        <stp>##V3_BDHV12</stp>
        <stp>XOM US Equity</stp>
        <stp>LT_DEFERRED_REVENUE</stp>
        <stp>FQ2 2015</stp>
        <stp>FQ2 2015</stp>
        <stp>[FA1_m42y3cpi.xlsx]Bal Sheet - Standardized!R61C30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1" s="3"/>
      </tp>
      <tp t="s">
        <v>—</v>
        <stp/>
        <stp>##V3_BDHV12</stp>
        <stp>XOM US Equity</stp>
        <stp>ST_DEFERRED_REVENUE</stp>
        <stp>FQ2 2015</stp>
        <stp>FQ2 2015</stp>
        <stp>[FA1_m42y3cpi.xlsx]Bal Sheet - Standardized!R51C30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1" s="3"/>
      </tp>
      <tp>
        <v>219635</v>
        <stp/>
        <stp>##V3_BDHV12</stp>
        <stp>XOM US Equity</stp>
        <stp>BS_AMT_OF_TSY_STOCK</stp>
        <stp>FQ2 2014</stp>
        <stp>FQ2 2014</stp>
        <stp>[FA1_m42y3cpi.xlsx]Bal Sheet - Standardized!R69C26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9" s="3"/>
      </tp>
      <tp>
        <v>230449</v>
        <stp/>
        <stp>##V3_BDHV12</stp>
        <stp>XOM US Equity</stp>
        <stp>BS_AMT_OF_TSY_STOCK</stp>
        <stp>FQ3 2016</stp>
        <stp>FQ3 2016</stp>
        <stp>[FA1_m42y3cpi.xlsx]Bal Sheet - Standardized!R69C35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9" s="3"/>
      </tp>
      <tp>
        <v>229102</v>
        <stp/>
        <stp>##V3_BDHV12</stp>
        <stp>XOM US Equity</stp>
        <stp>BS_AMT_OF_TSY_STOCK</stp>
        <stp>FQ3 2015</stp>
        <stp>FQ3 2015</stp>
        <stp>[FA1_m42y3cpi.xlsx]Bal Sheet - Standardized!R69C31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9" s="3"/>
      </tp>
      <tp t="s">
        <v>—</v>
        <stp/>
        <stp>##V3_BDHV12</stp>
        <stp>XOM US Equity</stp>
        <stp>ST_DEFERRED_REVENUE</stp>
        <stp>FQ2 2016</stp>
        <stp>FQ2 2016</stp>
        <stp>[FA1_m42y3cpi.xlsx]Bal Sheet - Standardized!R51C34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1" s="3"/>
      </tp>
      <tp t="s">
        <v>—</v>
        <stp/>
        <stp>##V3_BDHV12</stp>
        <stp>XOM US Equity</stp>
        <stp>ST_DEFERRED_REVENUE</stp>
        <stp>FQ3 2014</stp>
        <stp>FQ3 2014</stp>
        <stp>[FA1_m42y3cpi.xlsx]Bal Sheet - Standardized!R51C27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1" s="3"/>
      </tp>
      <tp t="s">
        <v>—</v>
        <stp/>
        <stp>##V3_BDHV12</stp>
        <stp>XOM US Equity</stp>
        <stp>LT_DEFERRED_REVENUE</stp>
        <stp>FQ3 2013</stp>
        <stp>FQ3 2013</stp>
        <stp>[FA1_m42y3cpi.xlsx]Bal Sheet - Standardized!R61C23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1" s="3"/>
      </tp>
      <tp t="s">
        <v>—</v>
        <stp/>
        <stp>##V3_BDHV12</stp>
        <stp>XOM US Equity</stp>
        <stp>ST_DEFERRED_REVENUE</stp>
        <stp>FQ3 2013</stp>
        <stp>FQ3 2013</stp>
        <stp>[FA1_m42y3cpi.xlsx]Bal Sheet - Standardized!R51C23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1" s="3"/>
      </tp>
      <tp t="s">
        <v>—</v>
        <stp/>
        <stp>##V3_BDHV12</stp>
        <stp>XOM US Equity</stp>
        <stp>LT_DEFERRED_REVENUE</stp>
        <stp>FQ3 2014</stp>
        <stp>FQ3 2014</stp>
        <stp>[FA1_m42y3cpi.xlsx]Bal Sheet - Standardized!R61C27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1" s="3"/>
      </tp>
      <tp t="s">
        <v>—</v>
        <stp/>
        <stp>##V3_BDHV12</stp>
        <stp>XOM US Equity</stp>
        <stp>LT_DEFERRED_REVENUE</stp>
        <stp>FQ2 2016</stp>
        <stp>FQ2 2016</stp>
        <stp>[FA1_m42y3cpi.xlsx]Bal Sheet - Standardized!R61C34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1" s="3"/>
      </tp>
      <tp>
        <v>0</v>
        <stp/>
        <stp>##V3_BDHV12</stp>
        <stp>XOM US Equity</stp>
        <stp>IS_OTHER_OPER_INC</stp>
        <stp>FQ4 2009</stp>
        <stp>FQ4 2009</stp>
        <stp>[FA1_m42y3cpi.xlsx]Income - Adjusted!R12C8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>
        <v>182165</v>
        <stp/>
        <stp>##V3_BDHV12</stp>
        <stp>XOM US Equity</stp>
        <stp>BS_AMT_OF_TSY_STOCK</stp>
        <stp>FQ1 2012</stp>
        <stp>FQ1 2012</stp>
        <stp>[FA1_m42y3cpi.xlsx]Bal Sheet - Standardized!R69C17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9" s="3"/>
      </tp>
      <tp>
        <v>15227</v>
        <stp/>
        <stp>##V3_BDHV12</stp>
        <stp>XOM US Equity</stp>
        <stp>PRETAX_INC</stp>
        <stp>FQ1 2014</stp>
        <stp>FQ1 2014</stp>
        <stp>[FA1_m42y3cpi.xlsx]Income - Adjusted!R32C25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32" s="2"/>
      </tp>
      <tp>
        <v>12768</v>
        <stp/>
        <stp>##V3_BDHV12</stp>
        <stp>XOM US Equity</stp>
        <stp>PRETAX_INC</stp>
        <stp>FQ2 2013</stp>
        <stp>FQ2 2013</stp>
        <stp>[FA1_m42y3cpi.xlsx]Income - Adjusted!R32C22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32" s="2"/>
      </tp>
      <tp>
        <v>12858</v>
        <stp/>
        <stp>##V3_BDHV12</stp>
        <stp>XOM US Equity</stp>
        <stp>PRETAX_INC</stp>
        <stp>FQ3 2010</stp>
        <stp>FQ3 2010</stp>
        <stp>[FA1_m42y3cpi.xlsx]Income - Adjusted!R32C11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32" s="2"/>
      </tp>
      <tp>
        <v>9570</v>
        <stp/>
        <stp>##V3_BDHV12</stp>
        <stp>XOM US Equity</stp>
        <stp>NET_INCOME</stp>
        <stp>FQ3 2012</stp>
        <stp>FQ3 2012</stp>
        <stp>[FA1_m42y3cpi.xlsx]Income - Adjusted!R40C19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40" s="2"/>
      </tp>
      <tp t="s">
        <v>—</v>
        <stp/>
        <stp>##V3_BDHV12</stp>
        <stp>XOM US Equity</stp>
        <stp>BS_INVEST_IN_ASSOC_CO</stp>
        <stp>FQ1 2018</stp>
        <stp>FQ1 2018</stp>
        <stp>[FA1_m42y3cpi.xlsx]Bal Sheet - Standardized!R36C41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3"/>
      </tp>
      <tp>
        <v>11.3184</v>
        <stp/>
        <stp>##V3_BDHV12</stp>
        <stp>XOM US Equity</stp>
        <stp>EBITDA_MARGIN</stp>
        <stp>FQ3 2016</stp>
        <stp>FQ3 2016</stp>
        <stp>[FA1_m42y3cpi.xlsx]Cash Flow - Standardized!R60C35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60" s="4"/>
      </tp>
      <tp>
        <v>12.151299999999999</v>
        <stp/>
        <stp>##V3_BDHV12</stp>
        <stp>XOM US Equity</stp>
        <stp>EBITDA_MARGIN</stp>
        <stp>FQ2 2016</stp>
        <stp>FQ2 2016</stp>
        <stp>[FA1_m42y3cpi.xlsx]Cash Flow - Standardized!R60C34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60" s="4"/>
      </tp>
      <tp>
        <v>12.615500000000001</v>
        <stp/>
        <stp>##V3_BDHV12</stp>
        <stp>XOM US Equity</stp>
        <stp>EBITDA_MARGIN</stp>
        <stp>FQ1 2016</stp>
        <stp>FQ1 2016</stp>
        <stp>[FA1_m42y3cpi.xlsx]Cash Flow - Standardized!R60C33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60" s="4"/>
      </tp>
      <tp>
        <v>11.768000000000001</v>
        <stp/>
        <stp>##V3_BDHV12</stp>
        <stp>XOM US Equity</stp>
        <stp>EBITDA_MARGIN</stp>
        <stp>FQ4 2016</stp>
        <stp>FQ4 2016</stp>
        <stp>[FA1_m42y3cpi.xlsx]Cash Flow - Standardized!R60C36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60" s="4"/>
      </tp>
      <tp>
        <v>26715</v>
        <stp/>
        <stp>##V3_BDHV12</stp>
        <stp>XOM US Equity</stp>
        <stp>BS_INVEST_IN_ASSOC_CO</stp>
        <stp>FQ4 2010</stp>
        <stp>FQ4 2010</stp>
        <stp>[FA1_m42y3cpi.xlsx]Bal Sheet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3"/>
      </tp>
      <tp>
        <v>6915</v>
        <stp/>
        <stp>##V3_BDHV12</stp>
        <stp>XOM US Equity</stp>
        <stp>EBITDA</stp>
        <stp>FQ2 2017</stp>
        <stp>FQ2 2017</stp>
        <stp>[FA1_m42y3cpi.xlsx]Income - Adjusted!R61C38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61" s="2"/>
      </tp>
      <tp>
        <v>26708</v>
        <stp/>
        <stp>##V3_BDHV12</stp>
        <stp>XOM US Equity</stp>
        <stp>BS_INVEST_IN_ASSOC_CO</stp>
        <stp>FQ4 2011</stp>
        <stp>FQ4 2011</stp>
        <stp>[FA1_m42y3cpi.xlsx]Bal Sheet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3"/>
      </tp>
      <tp>
        <v>80321</v>
        <stp/>
        <stp>##V3_BDHV12</stp>
        <stp>XOM US Equity</stp>
        <stp>IS_COG_AND_SERVICES_SOLD</stp>
        <stp>FQ4 2013</stp>
        <stp>FQ4 2013</stp>
        <stp>[FA1_m42y3cpi.xlsx]Income - Adjusted!R9C24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9" s="2"/>
      </tp>
      <tp>
        <v>82326</v>
        <stp/>
        <stp>##V3_BDHV12</stp>
        <stp>XOM US Equity</stp>
        <stp>IS_COG_AND_SERVICES_SOLD</stp>
        <stp>FQ3 2013</stp>
        <stp>FQ3 2013</stp>
        <stp>[FA1_m42y3cpi.xlsx]Income - Adjusted!R9C23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9" s="2"/>
      </tp>
      <tp>
        <v>77937</v>
        <stp/>
        <stp>##V3_BDHV12</stp>
        <stp>XOM US Equity</stp>
        <stp>IS_COG_AND_SERVICES_SOLD</stp>
        <stp>FQ2 2013</stp>
        <stp>FQ2 2013</stp>
        <stp>[FA1_m42y3cpi.xlsx]Income - Adjusted!R9C22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9" s="2"/>
      </tp>
      <tp>
        <v>77580</v>
        <stp/>
        <stp>##V3_BDHV12</stp>
        <stp>XOM US Equity</stp>
        <stp>IS_COG_AND_SERVICES_SOLD</stp>
        <stp>FQ1 2013</stp>
        <stp>FQ1 2013</stp>
        <stp>[FA1_m42y3cpi.xlsx]Income - Adjusted!R9C21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9" s="2"/>
      </tp>
      <tp>
        <v>87590</v>
        <stp/>
        <stp>##V3_BDHV12</stp>
        <stp>XOM US Equity</stp>
        <stp>IS_COG_AND_SERVICES_SOLD</stp>
        <stp>FQ4 2011</stp>
        <stp>FQ4 2011</stp>
        <stp>[FA1_m42y3cpi.xlsx]Income - Adjusted!R9C16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9" s="2"/>
      </tp>
      <tp>
        <v>79420</v>
        <stp/>
        <stp>##V3_BDHV12</stp>
        <stp>XOM US Equity</stp>
        <stp>IS_COG_AND_SERVICES_SOLD</stp>
        <stp>FQ1 2011</stp>
        <stp>FQ1 2011</stp>
        <stp>[FA1_m42y3cpi.xlsx]Income - Adjusted!R9C13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9" s="2"/>
      </tp>
      <tp>
        <v>56078</v>
        <stp/>
        <stp>##V3_BDHV12</stp>
        <stp>XOM US Equity</stp>
        <stp>IS_COG_AND_SERVICES_SOLD</stp>
        <stp>FQ4 2017</stp>
        <stp>FQ4 2017</stp>
        <stp>[FA1_m42y3cpi.xlsx]Income - Adjusted!R9C40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9" s="2"/>
      </tp>
      <tp>
        <v>43486</v>
        <stp/>
        <stp>##V3_BDHV12</stp>
        <stp>XOM US Equity</stp>
        <stp>IS_COG_AND_SERVICES_SOLD</stp>
        <stp>FQ4 2015</stp>
        <stp>FQ4 2015</stp>
        <stp>[FA1_m42y3cpi.xlsx]Income - Adjusted!R9C32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9" s="2"/>
      </tp>
      <tp t="s">
        <v>—</v>
        <stp/>
        <stp>##V3_BDHV12</stp>
        <stp>XOM US Equity</stp>
        <stp>CF_CHANGE_IN_INVENTORIES</stp>
        <stp>FQ4 2010</stp>
        <stp>FQ4 2010</stp>
        <stp>[FA1_m42y3cpi.xlsx]Cash Flow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4"/>
      </tp>
      <tp t="s">
        <v>—</v>
        <stp/>
        <stp>##V3_BDHV12</stp>
        <stp>XOM US Equity</stp>
        <stp>CF_CHANGE_IN_INVENTORIES</stp>
        <stp>FQ4 2011</stp>
        <stp>FQ4 2011</stp>
        <stp>[FA1_m42y3cpi.xlsx]Cash Flow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4"/>
      </tp>
      <tp t="s">
        <v>—</v>
        <stp/>
        <stp>##V3_BDHV12</stp>
        <stp>XOM US Equity</stp>
        <stp>BS_DERIVATIVE_&amp;_HEDGING_LIABS_LT</stp>
        <stp>FQ4 2014</stp>
        <stp>FQ4 2014</stp>
        <stp>[FA1_m42y3cpi.xlsx]Bal Sheet - Standardized!R63C28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3" s="3"/>
      </tp>
      <tp t="s">
        <v>—</v>
        <stp/>
        <stp>##V3_BDHV12</stp>
        <stp>XOM US Equity</stp>
        <stp>BS_DERIVATIVE_&amp;_HEDGING_LIABS_LT</stp>
        <stp>FQ2 2018</stp>
        <stp>FQ2 2018</stp>
        <stp>[FA1_m42y3cpi.xlsx]Bal Sheet - Standardized!R63C42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3" s="3"/>
      </tp>
      <tp t="s">
        <v>—</v>
        <stp/>
        <stp>##V3_BDHV12</stp>
        <stp>XOM US Equity</stp>
        <stp>BS_DERIVATIVE_&amp;_HEDGING_LIABS_ST</stp>
        <stp>FQ4 2014</stp>
        <stp>FQ4 2014</stp>
        <stp>[FA1_m42y3cpi.xlsx]Bal Sheet - Standardized!R52C28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2" s="3"/>
      </tp>
      <tp t="s">
        <v>—</v>
        <stp/>
        <stp>##V3_BDHV12</stp>
        <stp>XOM US Equity</stp>
        <stp>BS_DERIVATIVE_&amp;_HEDGING_LIABS_ST</stp>
        <stp>FQ2 2018</stp>
        <stp>FQ2 2018</stp>
        <stp>[FA1_m42y3cpi.xlsx]Bal Sheet - Standardized!R52C42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2" s="3"/>
      </tp>
      <tp t="s">
        <v>—</v>
        <stp/>
        <stp>##V3_BDHV12</stp>
        <stp>XOM US Equity</stp>
        <stp>BS_DERIVATIVE_&amp;_HEDGING_LIABS_ST</stp>
        <stp>FQ4 2012</stp>
        <stp>FQ4 2012</stp>
        <stp>[FA1_m42y3cpi.xlsx]Bal Sheet - Standardized!R52C20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2" s="3"/>
      </tp>
      <tp>
        <v>1285</v>
        <stp/>
        <stp>##V3_BDHV12</stp>
        <stp>XOM US Equity</stp>
        <stp>BS_OTHER_CUR_ASSET_LESS_PREPAY</stp>
        <stp>FQ4 2016</stp>
        <stp>FQ4 2016</stp>
        <stp>[FA1_m42y3cpi.xlsx]Bal Sheet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3"/>
      </tp>
      <tp t="s">
        <v>—</v>
        <stp/>
        <stp>##V3_BDHV12</stp>
        <stp>XOM US Equity</stp>
        <stp>BS_DERIVATIVE_&amp;_HEDGING_LIABS_LT</stp>
        <stp>FQ4 2012</stp>
        <stp>FQ4 2012</stp>
        <stp>[FA1_m42y3cpi.xlsx]Bal Sheet - Standardized!R63C20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3" s="3"/>
      </tp>
      <tp>
        <v>2798</v>
        <stp/>
        <stp>##V3_BDHV12</stp>
        <stp>XOM US Equity</stp>
        <stp>BS_OTHER_CUR_ASSET_LESS_PREPAY</stp>
        <stp>FQ4 2015</stp>
        <stp>FQ4 2015</stp>
        <stp>[FA1_m42y3cpi.xlsx]Bal Sheet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3"/>
      </tp>
      <tp t="s">
        <v>—</v>
        <stp/>
        <stp>##V3_BDHV12</stp>
        <stp>XOM US Equity</stp>
        <stp>BS_DERIVATIVE_&amp;_HEDGING_LIABS_ST</stp>
        <stp>FQ4 2013</stp>
        <stp>FQ4 2013</stp>
        <stp>[FA1_m42y3cpi.xlsx]Bal Sheet - Standardized!R52C24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2" s="3"/>
      </tp>
      <tp t="s">
        <v>—</v>
        <stp/>
        <stp>##V3_BDHV12</stp>
        <stp>XOM US Equity</stp>
        <stp>BS_DERIVATIVE_&amp;_HEDGING_LIABS_LT</stp>
        <stp>FQ4 2013</stp>
        <stp>FQ4 2013</stp>
        <stp>[FA1_m42y3cpi.xlsx]Bal Sheet - Standardized!R63C24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3" s="3"/>
      </tp>
      <tp t="s">
        <v>—</v>
        <stp/>
        <stp>##V3_BDHV12</stp>
        <stp>XOM US Equity</stp>
        <stp>CF_CHANGE_IN_INVENTORIES</stp>
        <stp>FQ1 2018</stp>
        <stp>FQ1 2018</stp>
        <stp>[FA1_m42y3cpi.xlsx]Cash Flow - Standardized!R14C41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4" s="4"/>
      </tp>
      <tp>
        <v>6300</v>
        <stp/>
        <stp>##V3_BDHV12</stp>
        <stp>XOM US Equity</stp>
        <stp>NET_INCOME</stp>
        <stp>FQ1 2010</stp>
        <stp>FQ1 2010</stp>
        <stp>[FA1_m42y3cpi.xlsx]Income - Adjusted!R40C9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40" s="2"/>
      </tp>
      <tp>
        <v>0</v>
        <stp/>
        <stp>##V3_BDHV12</stp>
        <stp>XOM US Equity</stp>
        <stp>OTHER_CURRENT_LIABS_SUB_DETAILED</stp>
        <stp>FQ2 2015</stp>
        <stp>FQ2 2015</stp>
        <stp>[FA1_m42y3cpi.xlsx]Bal Sheet - Standardized!R50C30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0" s="3"/>
      </tp>
      <tp>
        <v>0</v>
        <stp/>
        <stp>##V3_BDHV12</stp>
        <stp>XOM US Equity</stp>
        <stp>OTHER_CURRENT_LIABS_SUB_DETAILED</stp>
        <stp>FQ3 2013</stp>
        <stp>FQ3 2013</stp>
        <stp>[FA1_m42y3cpi.xlsx]Bal Sheet - Standardized!R50C23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0" s="3"/>
      </tp>
      <tp>
        <v>0</v>
        <stp/>
        <stp>##V3_BDHV12</stp>
        <stp>XOM US Equity</stp>
        <stp>OTHER_CURRENT_LIABS_SUB_DETAILED</stp>
        <stp>FQ2 2016</stp>
        <stp>FQ2 2016</stp>
        <stp>[FA1_m42y3cpi.xlsx]Bal Sheet - Standardized!R50C34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0" s="3"/>
      </tp>
      <tp>
        <v>0</v>
        <stp/>
        <stp>##V3_BDHV12</stp>
        <stp>XOM US Equity</stp>
        <stp>OTHER_CURRENT_LIABS_SUB_DETAILED</stp>
        <stp>FQ3 2014</stp>
        <stp>FQ3 2014</stp>
        <stp>[FA1_m42y3cpi.xlsx]Bal Sheet - Standardized!R50C27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0" s="3"/>
      </tp>
      <tp>
        <v>0</v>
        <stp/>
        <stp>##V3_BDHV12</stp>
        <stp>XOM US Equity</stp>
        <stp>OTHER_CURRENT_LIABS_SUB_DETAILED</stp>
        <stp>FQ2 2017</stp>
        <stp>FQ2 2017</stp>
        <stp>[FA1_m42y3cpi.xlsx]Bal Sheet - Standardized!R50C38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0" s="3"/>
      </tp>
      <tp>
        <v>6946</v>
        <stp/>
        <stp>##V3_BDHV12</stp>
        <stp>XOM US Equity</stp>
        <stp>OTHER_NONCURRENT_ASSETS_DETAILED</stp>
        <stp>FQ2 2009</stp>
        <stp>FQ2 2009</stp>
        <stp>[FA1_m42y3cpi.xlsx]Bal Sheet - Standardized!R37C6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7" s="3"/>
      </tp>
      <tp>
        <v>7045</v>
        <stp/>
        <stp>##V3_BDHV12</stp>
        <stp>XOM US Equity</stp>
        <stp>OTHER_NONCURRENT_ASSETS_DETAILED</stp>
        <stp>FQ3 2009</stp>
        <stp>FQ3 2009</stp>
        <stp>[FA1_m42y3cpi.xlsx]Bal Sheet - Standardized!R37C7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7" s="3"/>
      </tp>
      <tp>
        <v>6344</v>
        <stp/>
        <stp>##V3_BDHV12</stp>
        <stp>XOM US Equity</stp>
        <stp>OTHER_NONCURRENT_ASSETS_DETAILED</stp>
        <stp>FQ1 2009</stp>
        <stp>FQ1 2009</stp>
        <stp>[FA1_m42y3cpi.xlsx]Bal Sheet - Standardized!R37C5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7" s="3"/>
      </tp>
      <tp>
        <v>0</v>
        <stp/>
        <stp>##V3_BDHV12</stp>
        <stp>XOM US Equity</stp>
        <stp>OTHER_NONCURRENT_ASSETS_DETAILED</stp>
        <stp>FQ3 2008</stp>
        <stp>FQ3 2008</stp>
        <stp>[FA1_m42y3cpi.xlsx]Bal Sheet - Standardized!R37C3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7" s="3"/>
      </tp>
      <tp>
        <v>5884</v>
        <stp/>
        <stp>##V3_BDHV12</stp>
        <stp>XOM US Equity</stp>
        <stp>OTHER_NONCURRENT_ASSETS_DETAILED</stp>
        <stp>FQ4 2008</stp>
        <stp>FQ4 2008</stp>
        <stp>[FA1_m42y3cpi.xlsx]Bal Sheet - Standardized!R37C4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7" s="3"/>
      </tp>
      <tp>
        <v>7307</v>
        <stp/>
        <stp>##V3_BDHV12</stp>
        <stp>XOM US Equity</stp>
        <stp>OTHER_NONCURRENT_ASSETS_DETAILED</stp>
        <stp>FQ4 2009</stp>
        <stp>FQ4 2009</stp>
        <stp>[FA1_m42y3cpi.xlsx]Bal Sheet - Standardized!R37C8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7" s="3"/>
      </tp>
      <tp>
        <v>7692</v>
        <stp/>
        <stp>##V3_BDHV12</stp>
        <stp>XOM US Equity</stp>
        <stp>OTHER_NONCURRENT_ASSETS_DETAILED</stp>
        <stp>FQ1 2010</stp>
        <stp>FQ1 2010</stp>
        <stp>[FA1_m42y3cpi.xlsx]Bal Sheet - Standardized!R37C9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7" s="3"/>
      </tp>
      <tp t="s">
        <v>—</v>
        <stp/>
        <stp>##V3_BDHV12</stp>
        <stp>XOM US Equity</stp>
        <stp>ST_DEFERRED_REVENUE</stp>
        <stp>FQ3 2017</stp>
        <stp>FQ3 2017</stp>
        <stp>[FA1_m42y3cpi.xlsx]Bal Sheet - Standardized!R51C39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1" s="3"/>
      </tp>
      <tp t="s">
        <v>—</v>
        <stp/>
        <stp>##V3_BDHV12</stp>
        <stp>XOM US Equity</stp>
        <stp>LT_DEFERRED_REVENUE</stp>
        <stp>FQ3 2017</stp>
        <stp>FQ3 2017</stp>
        <stp>[FA1_m42y3cpi.xlsx]Bal Sheet - Standardized!R61C39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1" s="3"/>
      </tp>
      <tp>
        <v>225305</v>
        <stp/>
        <stp>##V3_BDHV12</stp>
        <stp>XOM US Equity</stp>
        <stp>BS_AMT_OF_TSY_STOCK</stp>
        <stp>FQ2 2017</stp>
        <stp>FQ2 2017</stp>
        <stp>[FA1_m42y3cpi.xlsx]Bal Sheet - Standardized!R69C38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9" s="3"/>
      </tp>
      <tp t="s">
        <v>—</v>
        <stp/>
        <stp>##V3_BDHV12</stp>
        <stp>XOM US Equity</stp>
        <stp>BS_ACCTS_REC_EXCL_NOTES_REC</stp>
        <stp>FQ1 2018</stp>
        <stp>FQ1 2018</stp>
        <stp>[FA1_m42y3cpi.xlsx]Bal Sheet - Standardized!R11C41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1" s="3"/>
      </tp>
      <tp>
        <v>209598</v>
        <stp/>
        <stp>##V3_BDHV12</stp>
        <stp>XOM US Equity</stp>
        <stp>BS_AMT_OF_TSY_STOCK</stp>
        <stp>FQ3 2013</stp>
        <stp>FQ3 2013</stp>
        <stp>[FA1_m42y3cpi.xlsx]Bal Sheet - Standardized!R69C23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9" s="3"/>
      </tp>
      <tp t="s">
        <v>—</v>
        <stp/>
        <stp>##V3_BDHV12</stp>
        <stp>XOM US Equity</stp>
        <stp>ST_DEFERRED_REVENUE</stp>
        <stp>FQ1 2012</stp>
        <stp>FQ1 2012</stp>
        <stp>[FA1_m42y3cpi.xlsx]Bal Sheet - Standardized!R51C17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1" s="3"/>
      </tp>
      <tp t="s">
        <v>—</v>
        <stp/>
        <stp>##V3_BDHV12</stp>
        <stp>XOM US Equity</stp>
        <stp>LT_DEFERRED_REVENUE</stp>
        <stp>FQ3 2015</stp>
        <stp>FQ3 2015</stp>
        <stp>[FA1_m42y3cpi.xlsx]Bal Sheet - Standardized!R61C31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1" s="3"/>
      </tp>
      <tp>
        <v>25439</v>
        <stp/>
        <stp>##V3_BDHV12</stp>
        <stp>XOM US Equity</stp>
        <stp>BS_ACCTS_REC_EXCL_NOTES_REC</stp>
        <stp>FQ4 2010</stp>
        <stp>FQ4 2010</stp>
        <stp>[FA1_m42y3cpi.xlsx]Bal Sheet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3"/>
      </tp>
      <tp t="s">
        <v>—</v>
        <stp/>
        <stp>##V3_BDHV12</stp>
        <stp>XOM US Equity</stp>
        <stp>ST_DEFERRED_REVENUE</stp>
        <stp>FQ3 2015</stp>
        <stp>FQ3 2015</stp>
        <stp>[FA1_m42y3cpi.xlsx]Bal Sheet - Standardized!R51C31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1" s="3"/>
      </tp>
      <tp t="s">
        <v>—</v>
        <stp/>
        <stp>##V3_BDHV12</stp>
        <stp>XOM US Equity</stp>
        <stp>LT_DEFERRED_REVENUE</stp>
        <stp>FQ1 2012</stp>
        <stp>FQ1 2012</stp>
        <stp>[FA1_m42y3cpi.xlsx]Bal Sheet - Standardized!R61C17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1" s="3"/>
      </tp>
      <tp>
        <v>222636</v>
        <stp/>
        <stp>##V3_BDHV12</stp>
        <stp>XOM US Equity</stp>
        <stp>BS_AMT_OF_TSY_STOCK</stp>
        <stp>FQ3 2014</stp>
        <stp>FQ3 2014</stp>
        <stp>[FA1_m42y3cpi.xlsx]Bal Sheet - Standardized!R69C27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9" s="3"/>
      </tp>
      <tp>
        <v>230451</v>
        <stp/>
        <stp>##V3_BDHV12</stp>
        <stp>XOM US Equity</stp>
        <stp>BS_AMT_OF_TSY_STOCK</stp>
        <stp>FQ2 2016</stp>
        <stp>FQ2 2016</stp>
        <stp>[FA1_m42y3cpi.xlsx]Bal Sheet - Standardized!R69C34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9" s="3"/>
      </tp>
      <tp>
        <v>228601</v>
        <stp/>
        <stp>##V3_BDHV12</stp>
        <stp>XOM US Equity</stp>
        <stp>BS_AMT_OF_TSY_STOCK</stp>
        <stp>FQ2 2015</stp>
        <stp>FQ2 2015</stp>
        <stp>[FA1_m42y3cpi.xlsx]Bal Sheet - Standardized!R69C30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9" s="3"/>
      </tp>
      <tp>
        <v>30044</v>
        <stp/>
        <stp>##V3_BDHV12</stp>
        <stp>XOM US Equity</stp>
        <stp>BS_ACCTS_REC_EXCL_NOTES_REC</stp>
        <stp>FQ4 2011</stp>
        <stp>FQ4 2011</stp>
        <stp>[FA1_m42y3cpi.xlsx]Bal Sheet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3"/>
      </tp>
      <tp t="s">
        <v>—</v>
        <stp/>
        <stp>##V3_BDHV12</stp>
        <stp>XOM US Equity</stp>
        <stp>ST_DEFERRED_REVENUE</stp>
        <stp>FQ3 2016</stp>
        <stp>FQ3 2016</stp>
        <stp>[FA1_m42y3cpi.xlsx]Bal Sheet - Standardized!R51C35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1" s="3"/>
      </tp>
      <tp t="s">
        <v>—</v>
        <stp/>
        <stp>##V3_BDHV12</stp>
        <stp>XOM US Equity</stp>
        <stp>ST_DEFERRED_REVENUE</stp>
        <stp>FQ2 2014</stp>
        <stp>FQ2 2014</stp>
        <stp>[FA1_m42y3cpi.xlsx]Bal Sheet - Standardized!R51C26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1" s="3"/>
      </tp>
      <tp t="s">
        <v>—</v>
        <stp/>
        <stp>##V3_BDHV12</stp>
        <stp>XOM US Equity</stp>
        <stp>LT_DEFERRED_REVENUE</stp>
        <stp>FQ1 2011</stp>
        <stp>FQ1 2011</stp>
        <stp>[FA1_m42y3cpi.xlsx]Bal Sheet - Standardized!R61C13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1" s="3"/>
      </tp>
      <tp t="s">
        <v>—</v>
        <stp/>
        <stp>##V3_BDHV12</stp>
        <stp>XOM US Equity</stp>
        <stp>LT_DEFERRED_REVENUE</stp>
        <stp>FQ2 2013</stp>
        <stp>FQ2 2013</stp>
        <stp>[FA1_m42y3cpi.xlsx]Bal Sheet - Standardized!R61C22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1" s="3"/>
      </tp>
      <tp>
        <v>0</v>
        <stp/>
        <stp>##V3_BDHV12</stp>
        <stp>XOM US Equity</stp>
        <stp>LT_DEFERRED_REVENUE</stp>
        <stp>FQ4 2017</stp>
        <stp>FQ4 2017</stp>
        <stp>[FA1_m42y3cpi.xlsx]Bal Sheet - Standardized!R61C40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1" s="3"/>
      </tp>
      <tp>
        <v>0</v>
        <stp/>
        <stp>##V3_BDHV12</stp>
        <stp>XOM US Equity</stp>
        <stp>ST_DEFERRED_REVENUE</stp>
        <stp>FQ4 2017</stp>
        <stp>FQ4 2017</stp>
        <stp>[FA1_m42y3cpi.xlsx]Bal Sheet - Standardized!R51C40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1" s="3"/>
      </tp>
      <tp t="s">
        <v>—</v>
        <stp/>
        <stp>##V3_BDHV12</stp>
        <stp>XOM US Equity</stp>
        <stp>ST_DEFERRED_REVENUE</stp>
        <stp>FQ2 2013</stp>
        <stp>FQ2 2013</stp>
        <stp>[FA1_m42y3cpi.xlsx]Bal Sheet - Standardized!R51C22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1" s="3"/>
      </tp>
      <tp t="s">
        <v>—</v>
        <stp/>
        <stp>##V3_BDHV12</stp>
        <stp>XOM US Equity</stp>
        <stp>ST_DEFERRED_REVENUE</stp>
        <stp>FQ1 2011</stp>
        <stp>FQ1 2011</stp>
        <stp>[FA1_m42y3cpi.xlsx]Bal Sheet - Standardized!R51C13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1" s="3"/>
      </tp>
      <tp t="s">
        <v>—</v>
        <stp/>
        <stp>##V3_BDHV12</stp>
        <stp>XOM US Equity</stp>
        <stp>LT_DEFERRED_REVENUE</stp>
        <stp>FQ2 2014</stp>
        <stp>FQ2 2014</stp>
        <stp>[FA1_m42y3cpi.xlsx]Bal Sheet - Standardized!R61C26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1" s="3"/>
      </tp>
      <tp t="s">
        <v>—</v>
        <stp/>
        <stp>##V3_BDHV12</stp>
        <stp>XOM US Equity</stp>
        <stp>LT_DEFERRED_REVENUE</stp>
        <stp>FQ3 2016</stp>
        <stp>FQ3 2016</stp>
        <stp>[FA1_m42y3cpi.xlsx]Bal Sheet - Standardized!R61C35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1" s="3"/>
      </tp>
      <tp>
        <v>5583</v>
        <stp/>
        <stp>##V3_BDHV12</stp>
        <stp>XOM US Equity</stp>
        <stp>PRETAX_INC</stp>
        <stp>FQ3 2017</stp>
        <stp>FQ3 2017</stp>
        <stp>[FA1_m42y3cpi.xlsx]Income - Adjusted!R32C39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32" s="2"/>
      </tp>
      <tp t="s">
        <v>—</v>
        <stp/>
        <stp>##V3_BDHV12</stp>
        <stp>XOM US Equity</stp>
        <stp>BS_ACCUM_DEPR</stp>
        <stp>FQ2 2016</stp>
        <stp>FQ2 2016</stp>
        <stp>[FA1_m42y3cpi.xlsx]Bal Sheet - Standardized!R25C34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3"/>
      </tp>
      <tp t="s">
        <v>—</v>
        <stp/>
        <stp>##V3_BDHV12</stp>
        <stp>XOM US Equity</stp>
        <stp>BS_ACCUM_DEPR</stp>
        <stp>FQ3 2014</stp>
        <stp>FQ3 2014</stp>
        <stp>[FA1_m42y3cpi.xlsx]Bal Sheet - Standardized!R25C27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3"/>
      </tp>
      <tp>
        <v>4240</v>
        <stp/>
        <stp>##V3_BDHV12</stp>
        <stp>XOM US Equity</stp>
        <stp>NET_INCOME</stp>
        <stp>FQ3 2015</stp>
        <stp>FQ3 2015</stp>
        <stp>[FA1_m42y3cpi.xlsx]Income - Adjusted!R40C31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40" s="2"/>
      </tp>
      <tp>
        <v>10330</v>
        <stp/>
        <stp>##V3_BDHV12</stp>
        <stp>XOM US Equity</stp>
        <stp>NET_INCOME</stp>
        <stp>FQ3 2011</stp>
        <stp>FQ3 2011</stp>
        <stp>[FA1_m42y3cpi.xlsx]Income - Adjusted!R40C15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40" s="2"/>
      </tp>
      <tp t="s">
        <v>—</v>
        <stp/>
        <stp>##V3_BDHV12</stp>
        <stp>XOM US Equity</stp>
        <stp>BS_ACCUM_DEPR</stp>
        <stp>FQ3 2013</stp>
        <stp>FQ3 2013</stp>
        <stp>[FA1_m42y3cpi.xlsx]Bal Sheet - Standardized!R25C23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3"/>
      </tp>
      <tp>
        <v>15762</v>
        <stp/>
        <stp>##V3_BDHV12</stp>
        <stp>XOM US Equity</stp>
        <stp>INVTRY_FINISHED_GOODS</stp>
        <stp>FQ2 2011</stp>
        <stp>FQ2 2011</stp>
        <stp>[FA1_m42y3cpi.xlsx]Bal Sheet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3"/>
      </tp>
      <tp>
        <v>14439</v>
        <stp/>
        <stp>##V3_BDHV12</stp>
        <stp>XOM US Equity</stp>
        <stp>INVTRY_FINISHED_GOODS</stp>
        <stp>FQ1 2014</stp>
        <stp>FQ1 2014</stp>
        <stp>[FA1_m42y3cpi.xlsx]Bal Sheet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3"/>
      </tp>
      <tp>
        <v>10439</v>
        <stp/>
        <stp>##V3_BDHV12</stp>
        <stp>XOM US Equity</stp>
        <stp>INVTRY_FINISHED_GOODS</stp>
        <stp>FQ2 2010</stp>
        <stp>FQ2 2010</stp>
        <stp>[FA1_m42y3cpi.xlsx]Bal Sheet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3"/>
      </tp>
      <tp t="s">
        <v>—</v>
        <stp/>
        <stp>##V3_BDHV12</stp>
        <stp>XOM US Equity</stp>
        <stp>BS_ACCUM_DEPR</stp>
        <stp>FQ2 2015</stp>
        <stp>FQ2 2015</stp>
        <stp>[FA1_m42y3cpi.xlsx]Bal Sheet - Standardized!R25C30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3"/>
      </tp>
      <tp>
        <v>12446</v>
        <stp/>
        <stp>##V3_BDHV12</stp>
        <stp>XOM US Equity</stp>
        <stp>INVTRY_FINISHED_GOODS</stp>
        <stp>FQ1 2013</stp>
        <stp>FQ1 2013</stp>
        <stp>[FA1_m42y3cpi.xlsx]Bal Sheet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3"/>
      </tp>
      <tp>
        <v>11792</v>
        <stp/>
        <stp>##V3_BDHV12</stp>
        <stp>XOM US Equity</stp>
        <stp>INVTRY_FINISHED_GOODS</stp>
        <stp>FQ1 2015</stp>
        <stp>FQ1 2015</stp>
        <stp>[FA1_m42y3cpi.xlsx]Bal Sheet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3"/>
      </tp>
      <tp>
        <v>8316</v>
        <stp/>
        <stp>##V3_BDHV12</stp>
        <stp>XOM US Equity</stp>
        <stp>EBITDA</stp>
        <stp>FQ4 2016</stp>
        <stp>FQ4 2016</stp>
        <stp>[FA1_m42y3cpi.xlsx]Income - Adjusted!R61C36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1" s="2"/>
      </tp>
      <tp>
        <v>14546</v>
        <stp/>
        <stp>##V3_BDHV12</stp>
        <stp>XOM US Equity</stp>
        <stp>EBITDA</stp>
        <stp>FQ3 2013</stp>
        <stp>FQ3 2013</stp>
        <stp>[FA1_m42y3cpi.xlsx]Income - Adjusted!R61C23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1" s="2"/>
      </tp>
      <tp>
        <v>13334</v>
        <stp/>
        <stp>##V3_BDHV12</stp>
        <stp>XOM US Equity</stp>
        <stp>EBITDA</stp>
        <stp>FQ2 2010</stp>
        <stp>FQ2 2010</stp>
        <stp>[FA1_m42y3cpi.xlsx]Income - Adjusted!R61C10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1" s="2"/>
      </tp>
      <tp>
        <v>8386</v>
        <stp/>
        <stp>##V3_BDHV12</stp>
        <stp>XOM US Equity</stp>
        <stp>EBITDA</stp>
        <stp>FQ1 2017</stp>
        <stp>FQ1 2017</stp>
        <stp>[FA1_m42y3cpi.xlsx]Income - Adjusted!R61C37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61" s="2"/>
      </tp>
      <tp>
        <v>11729</v>
        <stp/>
        <stp>##V3_BDHV12</stp>
        <stp>XOM US Equity</stp>
        <stp>INVTRY_FINISHED_GOODS</stp>
        <stp>FQ2 2012</stp>
        <stp>FQ2 2012</stp>
        <stp>[FA1_m42y3cpi.xlsx]Bal Sheet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3"/>
      </tp>
      <tp t="s">
        <v>—</v>
        <stp/>
        <stp>##V3_BDHV12</stp>
        <stp>XOM US Equity</stp>
        <stp>BS_ACCUM_DEPR</stp>
        <stp>FQ2 2017</stp>
        <stp>FQ2 2017</stp>
        <stp>[FA1_m42y3cpi.xlsx]Bal Sheet - Standardized!R25C38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3"/>
      </tp>
      <tp>
        <v>45272</v>
        <stp/>
        <stp>##V3_BDHV12</stp>
        <stp>XOM US Equity</stp>
        <stp>BS_OTHER_ASSETS_DEF_CHRG_OTHER</stp>
        <stp>FQ1 2014</stp>
        <stp>FQ1 2014</stp>
        <stp>[FA1_m42y3cpi.xlsx]Bal Sheet - Standardized!R29C25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3"/>
      </tp>
      <tp>
        <v>43317</v>
        <stp/>
        <stp>##V3_BDHV12</stp>
        <stp>XOM US Equity</stp>
        <stp>BS_OTHER_ASSETS_DEF_CHRG_OTHER</stp>
        <stp>FQ1 2013</stp>
        <stp>FQ1 2013</stp>
        <stp>[FA1_m42y3cpi.xlsx]Bal Sheet - Standardized!R29C21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3"/>
      </tp>
      <tp t="s">
        <v>—</v>
        <stp/>
        <stp>##V3_BDHV12</stp>
        <stp>XOM US Equity</stp>
        <stp>NOTES_RECEIVABLE</stp>
        <stp>FQ3 2008</stp>
        <stp>FQ3 2008</stp>
        <stp>[FA1_m42y3cpi.xlsx]Bal Sheet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3"/>
      </tp>
      <tp t="s">
        <v>—</v>
        <stp/>
        <stp>##V3_BDHV12</stp>
        <stp>XOM US Equity</stp>
        <stp>NOTES_RECEIVABLE</stp>
        <stp>FQ4 2008</stp>
        <stp>FQ4 2008</stp>
        <stp>[FA1_m42y3cpi.xlsx]Bal Sheet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3"/>
      </tp>
      <tp>
        <v>40783</v>
        <stp/>
        <stp>##V3_BDHV12</stp>
        <stp>XOM US Equity</stp>
        <stp>BS_OTHER_ASSETS_DEF_CHRG_OTHER</stp>
        <stp>FQ2 2010</stp>
        <stp>FQ2 2010</stp>
        <stp>[FA1_m42y3cpi.xlsx]Bal Sheet - Standardized!R29C10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3"/>
      </tp>
      <tp>
        <v>44092</v>
        <stp/>
        <stp>##V3_BDHV12</stp>
        <stp>XOM US Equity</stp>
        <stp>BS_OTHER_ASSETS_DEF_CHRG_OTHER</stp>
        <stp>FQ2 2011</stp>
        <stp>FQ2 2011</stp>
        <stp>[FA1_m42y3cpi.xlsx]Bal Sheet - Standardized!R29C14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3"/>
      </tp>
      <tp t="s">
        <v>—</v>
        <stp/>
        <stp>##V3_BDHV12</stp>
        <stp>XOM US Equity</stp>
        <stp>NOTES_RECEIVABLE</stp>
        <stp>FQ1 2009</stp>
        <stp>FQ1 2009</stp>
        <stp>[FA1_m42y3cpi.xlsx]Bal Sheet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3"/>
      </tp>
      <tp t="s">
        <v>—</v>
        <stp/>
        <stp>##V3_BDHV12</stp>
        <stp>XOM US Equity</stp>
        <stp>NOTES_RECEIVABLE</stp>
        <stp>FQ3 2009</stp>
        <stp>FQ3 2009</stp>
        <stp>[FA1_m42y3cpi.xlsx]Bal Sheet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3"/>
      </tp>
      <tp t="s">
        <v>—</v>
        <stp/>
        <stp>##V3_BDHV12</stp>
        <stp>XOM US Equity</stp>
        <stp>NOTES_RECEIVABLE</stp>
        <stp>FQ2 2009</stp>
        <stp>FQ2 2009</stp>
        <stp>[FA1_m42y3cpi.xlsx]Bal Sheet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3"/>
      </tp>
      <tp>
        <v>41908</v>
        <stp/>
        <stp>##V3_BDHV12</stp>
        <stp>XOM US Equity</stp>
        <stp>BS_OTHER_ASSETS_DEF_CHRG_OTHER</stp>
        <stp>FQ2 2012</stp>
        <stp>FQ2 2012</stp>
        <stp>[FA1_m42y3cpi.xlsx]Bal Sheet - Standardized!R29C18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3"/>
      </tp>
      <tp>
        <v>0</v>
        <stp/>
        <stp>##V3_BDHV12</stp>
        <stp>XOM US Equity</stp>
        <stp>IS_NET_ABNORMAL_ITEMS</stp>
        <stp>FQ1 2016</stp>
        <stp>FQ1 2016</stp>
        <stp>[FA1_m42y3cpi.xlsx]Income - Adjusted!R46C33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6" s="2"/>
      </tp>
      <tp>
        <v>0</v>
        <stp/>
        <stp>##V3_BDHV12</stp>
        <stp>XOM US Equity</stp>
        <stp>IS_NET_ABNORMAL_ITEMS</stp>
        <stp>FQ2 2015</stp>
        <stp>FQ2 2015</stp>
        <stp>[FA1_m42y3cpi.xlsx]Income - Adjusted!R46C30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6" s="2"/>
      </tp>
      <tp t="s">
        <v>—</v>
        <stp/>
        <stp>##V3_BDHV12</stp>
        <stp>XOM US Equity</stp>
        <stp>NOTES_RECEIVABLE</stp>
        <stp>FQ1 2010</stp>
        <stp>FQ1 2010</stp>
        <stp>[FA1_m42y3cpi.xlsx]Bal Sheet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3"/>
      </tp>
      <tp>
        <v>0</v>
        <stp/>
        <stp>##V3_BDHV12</stp>
        <stp>XOM US Equity</stp>
        <stp>IS_NET_ABNORMAL_ITEMS</stp>
        <stp>FQ4 2011</stp>
        <stp>FQ4 2011</stp>
        <stp>[FA1_m42y3cpi.xlsx]Income - Adjusted!R46C16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6" s="2"/>
      </tp>
      <tp>
        <v>42806</v>
        <stp/>
        <stp>##V3_BDHV12</stp>
        <stp>XOM US Equity</stp>
        <stp>BS_OTHER_ASSETS_DEF_CHRG_OTHER</stp>
        <stp>FQ1 2015</stp>
        <stp>FQ1 2015</stp>
        <stp>[FA1_m42y3cpi.xlsx]Bal Sheet - Standardized!R29C29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3"/>
      </tp>
      <tp>
        <v>-600</v>
        <stp/>
        <stp>##V3_BDHV12</stp>
        <stp>XOM US Equity</stp>
        <stp>IS_NET_ABNORMAL_ITEMS</stp>
        <stp>FQ4 2012</stp>
        <stp>FQ4 2012</stp>
        <stp>[FA1_m42y3cpi.xlsx]Income - Adjusted!R46C20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6" s="2"/>
      </tp>
      <tp>
        <v>0</v>
        <stp/>
        <stp>##V3_BDHV12</stp>
        <stp>XOM US Equity</stp>
        <stp>IS_NET_ABNORMAL_ITEMS</stp>
        <stp>FQ2 2014</stp>
        <stp>FQ2 2014</stp>
        <stp>[FA1_m42y3cpi.xlsx]Income - Adjusted!R46C26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6" s="2"/>
      </tp>
      <tp>
        <v>5459</v>
        <stp/>
        <stp>##V3_BDHV12</stp>
        <stp>XOM US Equity</stp>
        <stp>NOTES_RECEIVABLE</stp>
        <stp>FQ4 2009</stp>
        <stp>FQ4 2009</stp>
        <stp>[FA1_m42y3cpi.xlsx]Bal Sheet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3"/>
      </tp>
      <tp t="s">
        <v>—</v>
        <stp/>
        <stp>##V3_BDHV12</stp>
        <stp>XOM US Equity</stp>
        <stp>BS_FUTURE_MIN_OPER_LEASE_OBLIG</stp>
        <stp>FQ2 2015</stp>
        <stp>FQ2 2015</stp>
        <stp>[FA1_m42y3cpi.xlsx]Bal Sheet - Standardized!R82C30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2" s="3"/>
      </tp>
      <tp t="s">
        <v>—</v>
        <stp/>
        <stp>##V3_BDHV12</stp>
        <stp>XOM US Equity</stp>
        <stp>BS_FUTURE_MIN_OPER_LEASE_OBLIG</stp>
        <stp>FQ3 2013</stp>
        <stp>FQ3 2013</stp>
        <stp>[FA1_m42y3cpi.xlsx]Bal Sheet - Standardized!R82C23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2" s="3"/>
      </tp>
      <tp t="s">
        <v>—</v>
        <stp/>
        <stp>##V3_BDHV12</stp>
        <stp>XOM US Equity</stp>
        <stp>BS_FUTURE_MIN_OPER_LEASE_OBLIG</stp>
        <stp>FQ2 2016</stp>
        <stp>FQ2 2016</stp>
        <stp>[FA1_m42y3cpi.xlsx]Bal Sheet - Standardized!R82C34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2" s="3"/>
      </tp>
      <tp t="s">
        <v>—</v>
        <stp/>
        <stp>##V3_BDHV12</stp>
        <stp>XOM US Equity</stp>
        <stp>BS_FUTURE_MIN_OPER_LEASE_OBLIG</stp>
        <stp>FQ3 2014</stp>
        <stp>FQ3 2014</stp>
        <stp>[FA1_m42y3cpi.xlsx]Bal Sheet - Standardized!R82C27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2" s="3"/>
      </tp>
      <tp t="s">
        <v>—</v>
        <stp/>
        <stp>##V3_BDHV12</stp>
        <stp>XOM US Equity</stp>
        <stp>BS_FUTURE_MIN_OPER_LEASE_OBLIG</stp>
        <stp>FQ2 2017</stp>
        <stp>FQ2 2017</stp>
        <stp>[FA1_m42y3cpi.xlsx]Bal Sheet - Standardized!R82C38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2" s="3"/>
      </tp>
      <tp>
        <v>54828</v>
        <stp/>
        <stp>##V3_BDHV12</stp>
        <stp>XOM US Equity</stp>
        <stp>BS_CUR_LIAB</stp>
        <stp>FQ3 2015</stp>
        <stp>FQ3 2015</stp>
        <stp>[FA1_m42y3cpi.xlsx]Bal Sheet - Standardized!R55C31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5" s="3"/>
      </tp>
      <tp>
        <v>79994</v>
        <stp/>
        <stp>##V3_BDHV12</stp>
        <stp>XOM US Equity</stp>
        <stp>BS_CUR_LIAB</stp>
        <stp>FQ1 2012</stp>
        <stp>FQ1 2012</stp>
        <stp>[FA1_m42y3cpi.xlsx]Bal Sheet - Standardized!R55C17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5" s="3"/>
      </tp>
      <tp>
        <v>5842</v>
        <stp/>
        <stp>##V3_BDHV12</stp>
        <stp>XOM US Equity</stp>
        <stp>IS_D&amp;A_COST_OF_REVENUE</stp>
        <stp>FQ4 2017</stp>
        <stp>FQ4 2017</stp>
        <stp>[FA1_m42y3cpi.xlsx]Income - Adjusted!R10C40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0" s="2"/>
      </tp>
      <tp>
        <v>4380</v>
        <stp/>
        <stp>##V3_BDHV12</stp>
        <stp>XOM US Equity</stp>
        <stp>IS_D&amp;A_COST_OF_REVENUE</stp>
        <stp>FQ4 2013</stp>
        <stp>FQ4 2013</stp>
        <stp>[FA1_m42y3cpi.xlsx]Income - Adjusted!R10C24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>
        <v>4075</v>
        <stp/>
        <stp>##V3_BDHV12</stp>
        <stp>XOM US Equity</stp>
        <stp>IS_D&amp;A_COST_OF_REVENUE</stp>
        <stp>FQ4 2011</stp>
        <stp>FQ4 2011</stp>
        <stp>[FA1_m42y3cpi.xlsx]Income - Adjusted!R10C16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>
        <v>4755</v>
        <stp/>
        <stp>##V3_BDHV12</stp>
        <stp>XOM US Equity</stp>
        <stp>IS_D&amp;A_COST_OF_REVENUE</stp>
        <stp>FQ4 2015</stp>
        <stp>FQ4 2015</stp>
        <stp>[FA1_m42y3cpi.xlsx]Income - Adjusted!R10C32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0" s="2"/>
      </tp>
      <tp>
        <v>57771</v>
        <stp/>
        <stp>##V3_BDHV12</stp>
        <stp>XOM US Equity</stp>
        <stp>BS_CUR_LIAB</stp>
        <stp>FQ4 2017</stp>
        <stp>FQ4 2017</stp>
        <stp>[FA1_m42y3cpi.xlsx]Bal Sheet - Standardized!R55C40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5" s="3"/>
      </tp>
      <tp>
        <v>73576</v>
        <stp/>
        <stp>##V3_BDHV12</stp>
        <stp>XOM US Equity</stp>
        <stp>BS_CUR_LIAB</stp>
        <stp>FQ1 2011</stp>
        <stp>FQ1 2011</stp>
        <stp>[FA1_m42y3cpi.xlsx]Bal Sheet - Standardized!R55C13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5" s="3"/>
      </tp>
      <tp>
        <v>72688</v>
        <stp/>
        <stp>##V3_BDHV12</stp>
        <stp>XOM US Equity</stp>
        <stp>BS_CUR_LIAB</stp>
        <stp>FQ2 2013</stp>
        <stp>FQ2 2013</stp>
        <stp>[FA1_m42y3cpi.xlsx]Bal Sheet - Standardized!R55C22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5" s="3"/>
      </tp>
      <tp>
        <v>4223</v>
        <stp/>
        <stp>##V3_BDHV12</stp>
        <stp>XOM US Equity</stp>
        <stp>IS_SH_FOR_DILUTED_EPS</stp>
        <stp>FQ1 2017</stp>
        <stp>FQ1 2017</stp>
        <stp>[FA1_m42y3cpi.xlsx]Per Share!R7C37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" s="5"/>
      </tp>
      <tp>
        <v>69529</v>
        <stp/>
        <stp>##V3_BDHV12</stp>
        <stp>XOM US Equity</stp>
        <stp>BS_CUR_LIAB</stp>
        <stp>FQ2 2014</stp>
        <stp>FQ2 2014</stp>
        <stp>[FA1_m42y3cpi.xlsx]Bal Sheet - Standardized!R55C26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5" s="3"/>
      </tp>
      <tp>
        <v>50021</v>
        <stp/>
        <stp>##V3_BDHV12</stp>
        <stp>XOM US Equity</stp>
        <stp>BS_CUR_LIAB</stp>
        <stp>FQ3 2016</stp>
        <stp>FQ3 2016</stp>
        <stp>[FA1_m42y3cpi.xlsx]Bal Sheet - Standardized!R55C35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5" s="3"/>
      </tp>
      <tp>
        <v>53777</v>
        <stp/>
        <stp>##V3_BDHV12</stp>
        <stp>XOM US Equity</stp>
        <stp>BS_CUR_LIAB</stp>
        <stp>FQ3 2017</stp>
        <stp>FQ3 2017</stp>
        <stp>[FA1_m42y3cpi.xlsx]Bal Sheet - Standardized!R55C39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5" s="3"/>
      </tp>
      <tp>
        <v>955675.28740000003</v>
        <stp/>
        <stp>##V3_BDHV12</stp>
        <stp>XOM US Equity</stp>
        <stp>ACTUAL_SALES_PER_EMPL</stp>
        <stp>FQ4 2017</stp>
        <stp>FQ4 2017</stp>
        <stp>[FA1_m42y3cpi.xlsx]Income - Adjusted!R68C40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68" s="2"/>
      </tp>
      <tp>
        <v>1308392.2046000001</v>
        <stp/>
        <stp>##V3_BDHV12</stp>
        <stp>XOM US Equity</stp>
        <stp>ACTUAL_SALES_PER_EMPL</stp>
        <stp>FQ4 2011</stp>
        <stp>FQ4 2011</stp>
        <stp>[FA1_m42y3cpi.xlsx]Income - Adjusted!R68C16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68" s="2"/>
      </tp>
      <tp>
        <v>1318712.6137999999</v>
        <stp/>
        <stp>##V3_BDHV12</stp>
        <stp>XOM US Equity</stp>
        <stp>ACTUAL_SALES_PER_EMPL</stp>
        <stp>FQ4 2012</stp>
        <stp>FQ4 2012</stp>
        <stp>[FA1_m42y3cpi.xlsx]Income - Adjusted!R68C20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68" s="2"/>
      </tp>
      <tp>
        <v>1311400</v>
        <stp/>
        <stp>##V3_BDHV12</stp>
        <stp>XOM US Equity</stp>
        <stp>ACTUAL_SALES_PER_EMPL</stp>
        <stp>FQ4 2013</stp>
        <stp>FQ4 2013</stp>
        <stp>[FA1_m42y3cpi.xlsx]Income - Adjusted!R68C24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68" s="2"/>
      </tp>
      <tp>
        <v>1117559.8086000001</v>
        <stp/>
        <stp>##V3_BDHV12</stp>
        <stp>XOM US Equity</stp>
        <stp>ACTUAL_SALES_PER_EMPL</stp>
        <stp>FQ4 2010</stp>
        <stp>FQ4 2010</stp>
        <stp>[FA1_m42y3cpi.xlsx]Income - Adjusted!R68C12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68" s="2"/>
      </tp>
      <tp>
        <v>711850.34010000003</v>
        <stp/>
        <stp>##V3_BDHV12</stp>
        <stp>XOM US Equity</stp>
        <stp>ACTUAL_SALES_PER_EMPL</stp>
        <stp>FQ4 2015</stp>
        <stp>FQ4 2015</stp>
        <stp>[FA1_m42y3cpi.xlsx]Income - Adjusted!R68C32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68" s="2"/>
      </tp>
      <tp>
        <v>1010424.9668000001</v>
        <stp/>
        <stp>##V3_BDHV12</stp>
        <stp>XOM US Equity</stp>
        <stp>ACTUAL_SALES_PER_EMPL</stp>
        <stp>FQ4 2014</stp>
        <stp>FQ4 2014</stp>
        <stp>[FA1_m42y3cpi.xlsx]Income - Adjusted!R68C28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68" s="2"/>
      </tp>
      <tp>
        <v>745049.22640000004</v>
        <stp/>
        <stp>##V3_BDHV12</stp>
        <stp>XOM US Equity</stp>
        <stp>ACTUAL_SALES_PER_EMPL</stp>
        <stp>FQ4 2016</stp>
        <stp>FQ4 2016</stp>
        <stp>[FA1_m42y3cpi.xlsx]Income - Adjusted!R68C36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68" s="2"/>
      </tp>
      <tp>
        <v>4223</v>
        <stp/>
        <stp>##V3_BDHV12</stp>
        <stp>XOM US Equity</stp>
        <stp>IS_AVG_NUM_SH_FOR_EPS</stp>
        <stp>FQ1 2017</stp>
        <stp>FQ1 2017</stp>
        <stp>[FA1_m42y3cpi.xlsx]Per Share!R8C37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" s="5"/>
      </tp>
      <tp t="s">
        <v>—</v>
        <stp/>
        <stp>##V3_BDHV12</stp>
        <stp>XOM US Equity</stp>
        <stp>ACTUAL_SALES_PER_EMPL</stp>
        <stp>FQ2 2018</stp>
        <stp>FQ2 2018</stp>
        <stp>[FA1_m42y3cpi.xlsx]Income - Adjusted!R68C42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68" s="2"/>
      </tp>
      <tp t="s">
        <v>—</v>
        <stp/>
        <stp>##V3_BDHV12</stp>
        <stp>XOM US Equity</stp>
        <stp>ACTUAL_SALES_PER_EMPL</stp>
        <stp>FQ2 2017</stp>
        <stp>FQ2 2017</stp>
        <stp>[FA1_m42y3cpi.xlsx]Income - Adjusted!R68C38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68" s="2"/>
      </tp>
      <tp t="s">
        <v>—</v>
        <stp/>
        <stp>##V3_BDHV12</stp>
        <stp>XOM US Equity</stp>
        <stp>ACTUAL_SALES_PER_EMPL</stp>
        <stp>FQ2 2016</stp>
        <stp>FQ2 2016</stp>
        <stp>[FA1_m42y3cpi.xlsx]Income - Adjusted!R68C34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68" s="2"/>
      </tp>
      <tp t="s">
        <v>—</v>
        <stp/>
        <stp>##V3_BDHV12</stp>
        <stp>XOM US Equity</stp>
        <stp>ACTUAL_SALES_PER_EMPL</stp>
        <stp>FQ2 2015</stp>
        <stp>FQ2 2015</stp>
        <stp>[FA1_m42y3cpi.xlsx]Income - Adjusted!R68C30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68" s="2"/>
      </tp>
      <tp t="s">
        <v>—</v>
        <stp/>
        <stp>##V3_BDHV12</stp>
        <stp>XOM US Equity</stp>
        <stp>ACTUAL_SALES_PER_EMPL</stp>
        <stp>FQ2 2014</stp>
        <stp>FQ2 2014</stp>
        <stp>[FA1_m42y3cpi.xlsx]Income - Adjusted!R68C26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68" s="2"/>
      </tp>
      <tp t="s">
        <v>—</v>
        <stp/>
        <stp>##V3_BDHV12</stp>
        <stp>XOM US Equity</stp>
        <stp>ACTUAL_SALES_PER_EMPL</stp>
        <stp>FQ2 2011</stp>
        <stp>FQ2 2011</stp>
        <stp>[FA1_m42y3cpi.xlsx]Income - Adjusted!R68C14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68" s="2"/>
      </tp>
      <tp t="s">
        <v>—</v>
        <stp/>
        <stp>##V3_BDHV12</stp>
        <stp>XOM US Equity</stp>
        <stp>ACTUAL_SALES_PER_EMPL</stp>
        <stp>FQ2 2013</stp>
        <stp>FQ2 2013</stp>
        <stp>[FA1_m42y3cpi.xlsx]Income - Adjusted!R68C22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68" s="2"/>
      </tp>
      <tp t="s">
        <v>—</v>
        <stp/>
        <stp>##V3_BDHV12</stp>
        <stp>XOM US Equity</stp>
        <stp>ACTUAL_SALES_PER_EMPL</stp>
        <stp>FQ2 2010</stp>
        <stp>FQ2 2010</stp>
        <stp>[FA1_m42y3cpi.xlsx]Income - Adjusted!R68C10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68" s="2"/>
      </tp>
      <tp t="s">
        <v>—</v>
        <stp/>
        <stp>##V3_BDHV12</stp>
        <stp>XOM US Equity</stp>
        <stp>ACTUAL_SALES_PER_EMPL</stp>
        <stp>FQ2 2012</stp>
        <stp>FQ2 2012</stp>
        <stp>[FA1_m42y3cpi.xlsx]Income - Adjusted!R68C18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68" s="2"/>
      </tp>
      <tp t="s">
        <v>—</v>
        <stp/>
        <stp>##V3_BDHV12</stp>
        <stp>XOM US Equity</stp>
        <stp>ACTUAL_SALES_PER_EMPL</stp>
        <stp>FQ3 2016</stp>
        <stp>FQ3 2016</stp>
        <stp>[FA1_m42y3cpi.xlsx]Income - Adjusted!R68C35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68" s="2"/>
      </tp>
      <tp t="s">
        <v>—</v>
        <stp/>
        <stp>##V3_BDHV12</stp>
        <stp>XOM US Equity</stp>
        <stp>ACTUAL_SALES_PER_EMPL</stp>
        <stp>FQ3 2017</stp>
        <stp>FQ3 2017</stp>
        <stp>[FA1_m42y3cpi.xlsx]Income - Adjusted!R68C39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68" s="2"/>
      </tp>
      <tp t="s">
        <v>—</v>
        <stp/>
        <stp>##V3_BDHV12</stp>
        <stp>XOM US Equity</stp>
        <stp>ACTUAL_SALES_PER_EMPL</stp>
        <stp>FQ3 2015</stp>
        <stp>FQ3 2015</stp>
        <stp>[FA1_m42y3cpi.xlsx]Income - Adjusted!R68C31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68" s="2"/>
      </tp>
      <tp t="s">
        <v>—</v>
        <stp/>
        <stp>##V3_BDHV12</stp>
        <stp>XOM US Equity</stp>
        <stp>ACTUAL_SALES_PER_EMPL</stp>
        <stp>FQ3 2014</stp>
        <stp>FQ3 2014</stp>
        <stp>[FA1_m42y3cpi.xlsx]Income - Adjusted!R68C27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68" s="2"/>
      </tp>
      <tp t="s">
        <v>—</v>
        <stp/>
        <stp>##V3_BDHV12</stp>
        <stp>XOM US Equity</stp>
        <stp>ACTUAL_SALES_PER_EMPL</stp>
        <stp>FQ3 2010</stp>
        <stp>FQ3 2010</stp>
        <stp>[FA1_m42y3cpi.xlsx]Income - Adjusted!R68C11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68" s="2"/>
      </tp>
      <tp t="s">
        <v>—</v>
        <stp/>
        <stp>##V3_BDHV12</stp>
        <stp>XOM US Equity</stp>
        <stp>ACTUAL_SALES_PER_EMPL</stp>
        <stp>FQ3 2013</stp>
        <stp>FQ3 2013</stp>
        <stp>[FA1_m42y3cpi.xlsx]Income - Adjusted!R68C23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68" s="2"/>
      </tp>
      <tp t="s">
        <v>—</v>
        <stp/>
        <stp>##V3_BDHV12</stp>
        <stp>XOM US Equity</stp>
        <stp>ACTUAL_SALES_PER_EMPL</stp>
        <stp>FQ3 2011</stp>
        <stp>FQ3 2011</stp>
        <stp>[FA1_m42y3cpi.xlsx]Income - Adjusted!R68C15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68" s="2"/>
      </tp>
      <tp t="s">
        <v>—</v>
        <stp/>
        <stp>##V3_BDHV12</stp>
        <stp>XOM US Equity</stp>
        <stp>ACTUAL_SALES_PER_EMPL</stp>
        <stp>FQ3 2012</stp>
        <stp>FQ3 2012</stp>
        <stp>[FA1_m42y3cpi.xlsx]Income - Adjusted!R68C19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68" s="2"/>
      </tp>
      <tp t="s">
        <v>—</v>
        <stp/>
        <stp>##V3_BDHV12</stp>
        <stp>XOM US Equity</stp>
        <stp>ACTUAL_SALES_PER_EMPL</stp>
        <stp>FQ1 2018</stp>
        <stp>FQ1 2018</stp>
        <stp>[FA1_m42y3cpi.xlsx]Income - Adjusted!R68C41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68" s="2"/>
      </tp>
      <tp t="s">
        <v>—</v>
        <stp/>
        <stp>##V3_BDHV12</stp>
        <stp>XOM US Equity</stp>
        <stp>ACTUAL_SALES_PER_EMPL</stp>
        <stp>FQ1 2015</stp>
        <stp>FQ1 2015</stp>
        <stp>[FA1_m42y3cpi.xlsx]Income - Adjusted!R68C29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68" s="2"/>
      </tp>
      <tp t="s">
        <v>—</v>
        <stp/>
        <stp>##V3_BDHV12</stp>
        <stp>XOM US Equity</stp>
        <stp>ACTUAL_SALES_PER_EMPL</stp>
        <stp>FQ1 2014</stp>
        <stp>FQ1 2014</stp>
        <stp>[FA1_m42y3cpi.xlsx]Income - Adjusted!R68C25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68" s="2"/>
      </tp>
      <tp t="s">
        <v>—</v>
        <stp/>
        <stp>##V3_BDHV12</stp>
        <stp>XOM US Equity</stp>
        <stp>ACTUAL_SALES_PER_EMPL</stp>
        <stp>FQ1 2016</stp>
        <stp>FQ1 2016</stp>
        <stp>[FA1_m42y3cpi.xlsx]Income - Adjusted!R68C33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68" s="2"/>
      </tp>
      <tp t="s">
        <v>—</v>
        <stp/>
        <stp>##V3_BDHV12</stp>
        <stp>XOM US Equity</stp>
        <stp>ACTUAL_SALES_PER_EMPL</stp>
        <stp>FQ1 2017</stp>
        <stp>FQ1 2017</stp>
        <stp>[FA1_m42y3cpi.xlsx]Income - Adjusted!R68C37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68" s="2"/>
      </tp>
      <tp t="s">
        <v>—</v>
        <stp/>
        <stp>##V3_BDHV12</stp>
        <stp>XOM US Equity</stp>
        <stp>ACTUAL_SALES_PER_EMPL</stp>
        <stp>FQ1 2012</stp>
        <stp>FQ1 2012</stp>
        <stp>[FA1_m42y3cpi.xlsx]Income - Adjusted!R68C17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68" s="2"/>
      </tp>
      <tp t="s">
        <v>—</v>
        <stp/>
        <stp>##V3_BDHV12</stp>
        <stp>XOM US Equity</stp>
        <stp>ACTUAL_SALES_PER_EMPL</stp>
        <stp>FQ1 2013</stp>
        <stp>FQ1 2013</stp>
        <stp>[FA1_m42y3cpi.xlsx]Income - Adjusted!R68C21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68" s="2"/>
      </tp>
      <tp t="s">
        <v>—</v>
        <stp/>
        <stp>##V3_BDHV12</stp>
        <stp>XOM US Equity</stp>
        <stp>ACTUAL_SALES_PER_EMPL</stp>
        <stp>FQ1 2011</stp>
        <stp>FQ1 2011</stp>
        <stp>[FA1_m42y3cpi.xlsx]Income - Adjusted!R68C13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68" s="2"/>
      </tp>
      <tp>
        <v>4156</v>
        <stp/>
        <stp>##V3_BDHV12</stp>
        <stp>XOM US Equity</stp>
        <stp>PRETAX_INC</stp>
        <stp>FQ2 2017</stp>
        <stp>FQ2 2017</stp>
        <stp>[FA1_m42y3cpi.xlsx]Income - Adjusted!R32C38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32" s="2"/>
      </tp>
      <tp>
        <v>11837</v>
        <stp/>
        <stp>##V3_BDHV12</stp>
        <stp>XOM US Equity</stp>
        <stp>INVTRY_FINISHED_GOODS</stp>
        <stp>FQ1 2016</stp>
        <stp>FQ1 2016</stp>
        <stp>[FA1_m42y3cpi.xlsx]Bal Sheet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3"/>
      </tp>
      <tp t="s">
        <v>—</v>
        <stp/>
        <stp>##V3_BDHV12</stp>
        <stp>XOM US Equity</stp>
        <stp>BS_ACCUM_DEPR</stp>
        <stp>FQ3 2016</stp>
        <stp>FQ3 2016</stp>
        <stp>[FA1_m42y3cpi.xlsx]Bal Sheet - Standardized!R25C35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3"/>
      </tp>
      <tp t="s">
        <v>—</v>
        <stp/>
        <stp>##V3_BDHV12</stp>
        <stp>XOM US Equity</stp>
        <stp>BS_ACCUM_DEPR</stp>
        <stp>FQ2 2014</stp>
        <stp>FQ2 2014</stp>
        <stp>[FA1_m42y3cpi.xlsx]Bal Sheet - Standardized!R25C26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3"/>
      </tp>
      <tp>
        <v>4190</v>
        <stp/>
        <stp>##V3_BDHV12</stp>
        <stp>XOM US Equity</stp>
        <stp>NET_INCOME</stp>
        <stp>FQ2 2015</stp>
        <stp>FQ2 2015</stp>
        <stp>[FA1_m42y3cpi.xlsx]Income - Adjusted!R40C30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40" s="2"/>
      </tp>
      <tp>
        <v>10680</v>
        <stp/>
        <stp>##V3_BDHV12</stp>
        <stp>XOM US Equity</stp>
        <stp>NET_INCOME</stp>
        <stp>FQ2 2011</stp>
        <stp>FQ2 2011</stp>
        <stp>[FA1_m42y3cpi.xlsx]Income - Adjusted!R40C14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40" s="2"/>
      </tp>
      <tp>
        <v>1810</v>
        <stp/>
        <stp>##V3_BDHV12</stp>
        <stp>XOM US Equity</stp>
        <stp>NET_INCOME</stp>
        <stp>FQ1 2016</stp>
        <stp>FQ1 2016</stp>
        <stp>[FA1_m42y3cpi.xlsx]Income - Adjusted!R40C33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40" s="2"/>
      </tp>
      <tp>
        <v>9450</v>
        <stp/>
        <stp>##V3_BDHV12</stp>
        <stp>XOM US Equity</stp>
        <stp>NET_INCOME</stp>
        <stp>FQ1 2012</stp>
        <stp>FQ1 2012</stp>
        <stp>[FA1_m42y3cpi.xlsx]Income - Adjusted!R40C17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40" s="2"/>
      </tp>
      <tp t="s">
        <v>—</v>
        <stp/>
        <stp>##V3_BDHV12</stp>
        <stp>XOM US Equity</stp>
        <stp>BS_ACCUM_DEPR</stp>
        <stp>FQ2 2013</stp>
        <stp>FQ2 2013</stp>
        <stp>[FA1_m42y3cpi.xlsx]Bal Sheet - Standardized!R25C22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3"/>
      </tp>
      <tp t="s">
        <v>—</v>
        <stp/>
        <stp>##V3_BDHV12</stp>
        <stp>XOM US Equity</stp>
        <stp>BS_ACCUM_DEPR</stp>
        <stp>FQ1 2011</stp>
        <stp>FQ1 2011</stp>
        <stp>[FA1_m42y3cpi.xlsx]Bal Sheet - Standardized!R25C13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3"/>
      </tp>
      <tp>
        <v>224555</v>
        <stp/>
        <stp>##V3_BDHV12</stp>
        <stp>XOM US Equity</stp>
        <stp>BS_ACCUM_DEPR</stp>
        <stp>FQ4 2017</stp>
        <stp>FQ4 2017</stp>
        <stp>[FA1_m42y3cpi.xlsx]Bal Sheet - Standardized!R25C40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3"/>
      </tp>
      <tp>
        <v>13398</v>
        <stp/>
        <stp>##V3_BDHV12</stp>
        <stp>XOM US Equity</stp>
        <stp>INVTRY_FINISHED_GOODS</stp>
        <stp>FQ3 2011</stp>
        <stp>FQ3 2011</stp>
        <stp>[FA1_m42y3cpi.xlsx]Bal Sheet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3"/>
      </tp>
      <tp t="s">
        <v>—</v>
        <stp/>
        <stp>##V3_BDHV12</stp>
        <stp>XOM US Equity</stp>
        <stp>BS_ACCUM_DEPR</stp>
        <stp>FQ1 2012</stp>
        <stp>FQ1 2012</stp>
        <stp>[FA1_m42y3cpi.xlsx]Bal Sheet - Standardized!R25C17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3"/>
      </tp>
      <tp>
        <v>10686</v>
        <stp/>
        <stp>##V3_BDHV12</stp>
        <stp>XOM US Equity</stp>
        <stp>INVTRY_FINISHED_GOODS</stp>
        <stp>FQ1 2017</stp>
        <stp>FQ1 2017</stp>
        <stp>[FA1_m42y3cpi.xlsx]Bal Sheet - Standardized!R16C37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6" s="3"/>
      </tp>
      <tp>
        <v>13.409000000000001</v>
        <stp/>
        <stp>##V3_BDHV12</stp>
        <stp>XOM US Equity</stp>
        <stp>EBITDA_MARGIN</stp>
        <stp>FQ1 2018</stp>
        <stp>FQ1 2018</stp>
        <stp>[FA1_m42y3cpi.xlsx]Cash Flow - Standardized!R60C41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60" s="4"/>
      </tp>
      <tp>
        <v>13.492599999999999</v>
        <stp/>
        <stp>##V3_BDHV12</stp>
        <stp>XOM US Equity</stp>
        <stp>EBITDA_MARGIN</stp>
        <stp>FQ2 2018</stp>
        <stp>FQ2 2018</stp>
        <stp>[FA1_m42y3cpi.xlsx]Cash Flow - Standardized!R60C42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60" s="4"/>
      </tp>
      <tp>
        <v>11154</v>
        <stp/>
        <stp>##V3_BDHV12</stp>
        <stp>XOM US Equity</stp>
        <stp>INVTRY_FINISHED_GOODS</stp>
        <stp>FQ3 2010</stp>
        <stp>FQ3 2010</stp>
        <stp>[FA1_m42y3cpi.xlsx]Bal Sheet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3"/>
      </tp>
      <tp t="s">
        <v>—</v>
        <stp/>
        <stp>##V3_BDHV12</stp>
        <stp>XOM US Equity</stp>
        <stp>BS_ACCUM_DEPR</stp>
        <stp>FQ3 2015</stp>
        <stp>FQ3 2015</stp>
        <stp>[FA1_m42y3cpi.xlsx]Bal Sheet - Standardized!R25C31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3"/>
      </tp>
      <tp>
        <v>13813</v>
        <stp/>
        <stp>##V3_BDHV12</stp>
        <stp>XOM US Equity</stp>
        <stp>EBITDA</stp>
        <stp>FQ3 2010</stp>
        <stp>FQ3 2010</stp>
        <stp>[FA1_m42y3cpi.xlsx]Income - Adjusted!R61C11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1" s="2"/>
      </tp>
      <tp>
        <v>13642</v>
        <stp/>
        <stp>##V3_BDHV12</stp>
        <stp>XOM US Equity</stp>
        <stp>EBITDA</stp>
        <stp>FQ2 2013</stp>
        <stp>FQ2 2013</stp>
        <stp>[FA1_m42y3cpi.xlsx]Income - Adjusted!R61C22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1" s="2"/>
      </tp>
      <tp>
        <v>14472</v>
        <stp/>
        <stp>##V3_BDHV12</stp>
        <stp>XOM US Equity</stp>
        <stp>EBITDA</stp>
        <stp>FQ1 2014</stp>
        <stp>FQ1 2014</stp>
        <stp>[FA1_m42y3cpi.xlsx]Income - Adjusted!R61C25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1" s="2"/>
      </tp>
      <tp>
        <v>13010</v>
        <stp/>
        <stp>##V3_BDHV12</stp>
        <stp>XOM US Equity</stp>
        <stp>INVTRY_FINISHED_GOODS</stp>
        <stp>FQ3 2012</stp>
        <stp>FQ3 2012</stp>
        <stp>[FA1_m42y3cpi.xlsx]Bal Sheet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3"/>
      </tp>
      <tp t="s">
        <v>—</v>
        <stp/>
        <stp>##V3_BDHV12</stp>
        <stp>XOM US Equity</stp>
        <stp>BS_ACCUM_DEPR</stp>
        <stp>FQ3 2017</stp>
        <stp>FQ3 2017</stp>
        <stp>[FA1_m42y3cpi.xlsx]Bal Sheet - Standardized!R25C39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3"/>
      </tp>
      <tp t="s">
        <v>—</v>
        <stp/>
        <stp>##V3_BDHV12</stp>
        <stp>XOM US Equity</stp>
        <stp>BS_OPTIONS_GRANTED</stp>
        <stp>FQ4 2009</stp>
        <stp>FQ4 2009</stp>
        <stp>[FA1_m42y3cpi.xlsx]Bal Sheet - Standardized!R84C8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4" s="3"/>
      </tp>
      <tp>
        <v>16.340900000000001</v>
        <stp/>
        <stp>##V3_BDHV12</stp>
        <stp>XOM US Equity</stp>
        <stp>GROSS_MARGIN</stp>
        <stp>FQ1 2010</stp>
        <stp>FQ1 2010</stp>
        <stp>[FA1_m42y3cpi.xlsx]Income - Adjusted!R65C9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65" s="2"/>
      </tp>
      <tp>
        <v>45179</v>
        <stp/>
        <stp>##V3_BDHV12</stp>
        <stp>XOM US Equity</stp>
        <stp>IS_COG_AND_SERVICES_SOLD</stp>
        <stp>FQ2 2017</stp>
        <stp>FQ2 2017</stp>
        <stp>[FA1_m42y3cpi.xlsx]Income - Adjusted!R9C38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9" s="2"/>
      </tp>
      <tp>
        <v>46718</v>
        <stp/>
        <stp>##V3_BDHV12</stp>
        <stp>XOM US Equity</stp>
        <stp>IS_COG_AND_SERVICES_SOLD</stp>
        <stp>FQ3 2017</stp>
        <stp>FQ3 2017</stp>
        <stp>[FA1_m42y3cpi.xlsx]Income - Adjusted!R9C39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9" s="2"/>
      </tp>
      <tp>
        <v>48041</v>
        <stp/>
        <stp>##V3_BDHV12</stp>
        <stp>XOM US Equity</stp>
        <stp>IS_COG_AND_SERVICES_SOLD</stp>
        <stp>FQ1 2015</stp>
        <stp>FQ1 2015</stp>
        <stp>[FA1_m42y3cpi.xlsx]Income - Adjusted!R9C29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9" s="2"/>
      </tp>
      <tp>
        <v>47931</v>
        <stp/>
        <stp>##V3_BDHV12</stp>
        <stp>XOM US Equity</stp>
        <stp>BS_OTHER_ASSETS_DEF_CHRG_OTHER</stp>
        <stp>FQ1 2017</stp>
        <stp>FQ1 2017</stp>
        <stp>[FA1_m42y3cpi.xlsx]Bal Sheet - Standardized!R29C37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9" s="3"/>
      </tp>
      <tp>
        <v>41921</v>
        <stp/>
        <stp>##V3_BDHV12</stp>
        <stp>XOM US Equity</stp>
        <stp>BS_OTHER_ASSETS_DEF_CHRG_OTHER</stp>
        <stp>FQ3 2010</stp>
        <stp>FQ3 2010</stp>
        <stp>[FA1_m42y3cpi.xlsx]Bal Sheet - Standardized!R29C11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3"/>
      </tp>
      <tp>
        <v>43281</v>
        <stp/>
        <stp>##V3_BDHV12</stp>
        <stp>XOM US Equity</stp>
        <stp>BS_OTHER_ASSETS_DEF_CHRG_OTHER</stp>
        <stp>FQ1 2016</stp>
        <stp>FQ1 2016</stp>
        <stp>[FA1_m42y3cpi.xlsx]Bal Sheet - Standardized!R29C33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3"/>
      </tp>
      <tp>
        <v>44657</v>
        <stp/>
        <stp>##V3_BDHV12</stp>
        <stp>XOM US Equity</stp>
        <stp>BS_OTHER_ASSETS_DEF_CHRG_OTHER</stp>
        <stp>FQ3 2011</stp>
        <stp>FQ3 2011</stp>
        <stp>[FA1_m42y3cpi.xlsx]Bal Sheet - Standardized!R29C15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3"/>
      </tp>
      <tp>
        <v>0</v>
        <stp/>
        <stp>##V3_BDHV12</stp>
        <stp>XOM US Equity</stp>
        <stp>IS_NET_ABNORMAL_ITEMS</stp>
        <stp>FQ3 2015</stp>
        <stp>FQ3 2015</stp>
        <stp>[FA1_m42y3cpi.xlsx]Income - Adjusted!R46C31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6" s="2"/>
      </tp>
      <tp>
        <v>42723</v>
        <stp/>
        <stp>##V3_BDHV12</stp>
        <stp>XOM US Equity</stp>
        <stp>BS_OTHER_ASSETS_DEF_CHRG_OTHER</stp>
        <stp>FQ3 2012</stp>
        <stp>FQ3 2012</stp>
        <stp>[FA1_m42y3cpi.xlsx]Bal Sheet - Standardized!R29C19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3"/>
      </tp>
      <tp>
        <v>0</v>
        <stp/>
        <stp>##V3_BDHV12</stp>
        <stp>XOM US Equity</stp>
        <stp>IS_NET_ABNORMAL_ITEMS</stp>
        <stp>FQ4 2013</stp>
        <stp>FQ4 2013</stp>
        <stp>[FA1_m42y3cpi.xlsx]Income - Adjusted!R46C24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6" s="2"/>
      </tp>
      <tp>
        <v>0</v>
        <stp/>
        <stp>##V3_BDHV12</stp>
        <stp>XOM US Equity</stp>
        <stp>IS_NET_ABNORMAL_ITEMS</stp>
        <stp>FQ1 2017</stp>
        <stp>FQ1 2017</stp>
        <stp>[FA1_m42y3cpi.xlsx]Income - Adjusted!R46C37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6" s="2"/>
      </tp>
      <tp>
        <v>0.65</v>
        <stp/>
        <stp>##V3_BDHV12</stp>
        <stp>XOM US Equity</stp>
        <stp>IS_NET_ABNORMAL_ITEMS</stp>
        <stp>FQ4 2010</stp>
        <stp>FQ4 2010</stp>
        <stp>[FA1_m42y3cpi.xlsx]Income - Adjusted!R46C12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6" s="2"/>
      </tp>
      <tp>
        <v>0</v>
        <stp/>
        <stp>##V3_BDHV12</stp>
        <stp>XOM US Equity</stp>
        <stp>IS_NET_ABNORMAL_ITEMS</stp>
        <stp>FQ3 2014</stp>
        <stp>FQ3 2014</stp>
        <stp>[FA1_m42y3cpi.xlsx]Income - Adjusted!R46C27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6" s="2"/>
      </tp>
      <tp t="s">
        <v>—</v>
        <stp/>
        <stp>##V3_BDHV12</stp>
        <stp>XOM US Equity</stp>
        <stp>BS_FUTURE_MIN_OPER_LEASE_OBLIG</stp>
        <stp>FQ3 2015</stp>
        <stp>FQ3 2015</stp>
        <stp>[FA1_m42y3cpi.xlsx]Bal Sheet - Standardized!R82C31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2" s="3"/>
      </tp>
      <tp>
        <v>15024</v>
        <stp/>
        <stp>##V3_BDHV12</stp>
        <stp>XOM US Equity</stp>
        <stp>BS_INVENTORIES</stp>
        <stp>FQ4 2011</stp>
        <stp>FQ4 2011</stp>
        <stp>[FA1_m42y3cpi.xlsx]Bal Sheet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3"/>
      </tp>
      <tp t="s">
        <v>—</v>
        <stp/>
        <stp>##V3_BDHV12</stp>
        <stp>XOM US Equity</stp>
        <stp>BS_FUTURE_MIN_OPER_LEASE_OBLIG</stp>
        <stp>FQ1 2012</stp>
        <stp>FQ1 2012</stp>
        <stp>[FA1_m42y3cpi.xlsx]Bal Sheet - Standardized!R82C17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2" s="3"/>
      </tp>
      <tp t="s">
        <v>—</v>
        <stp/>
        <stp>##V3_BDHV12</stp>
        <stp>XOM US Equity</stp>
        <stp>BS_FUTURE_MIN_OPER_LEASE_OBLIG</stp>
        <stp>FQ2 2013</stp>
        <stp>FQ2 2013</stp>
        <stp>[FA1_m42y3cpi.xlsx]Bal Sheet - Standardized!R82C22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2" s="3"/>
      </tp>
      <tp t="s">
        <v>—</v>
        <stp/>
        <stp>##V3_BDHV12</stp>
        <stp>XOM US Equity</stp>
        <stp>BS_FUTURE_MIN_OPER_LEASE_OBLIG</stp>
        <stp>FQ1 2011</stp>
        <stp>FQ1 2011</stp>
        <stp>[FA1_m42y3cpi.xlsx]Bal Sheet - Standardized!R82C13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2" s="3"/>
      </tp>
      <tp>
        <v>4290</v>
        <stp/>
        <stp>##V3_BDHV12</stp>
        <stp>XOM US Equity</stp>
        <stp>BS_FUTURE_MIN_OPER_LEASE_OBLIG</stp>
        <stp>FQ4 2017</stp>
        <stp>FQ4 2017</stp>
        <stp>[FA1_m42y3cpi.xlsx]Bal Sheet - Standardized!R82C40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2" s="3"/>
      </tp>
      <tp>
        <v>12976</v>
        <stp/>
        <stp>##V3_BDHV12</stp>
        <stp>XOM US Equity</stp>
        <stp>BS_INVENTORIES</stp>
        <stp>FQ4 2010</stp>
        <stp>FQ4 2010</stp>
        <stp>[FA1_m42y3cpi.xlsx]Bal Sheet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3"/>
      </tp>
      <tp t="s">
        <v>—</v>
        <stp/>
        <stp>##V3_BDHV12</stp>
        <stp>XOM US Equity</stp>
        <stp>BS_FUTURE_MIN_OPER_LEASE_OBLIG</stp>
        <stp>FQ3 2016</stp>
        <stp>FQ3 2016</stp>
        <stp>[FA1_m42y3cpi.xlsx]Bal Sheet - Standardized!R82C35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2" s="3"/>
      </tp>
      <tp t="s">
        <v>—</v>
        <stp/>
        <stp>##V3_BDHV12</stp>
        <stp>XOM US Equity</stp>
        <stp>BS_FUTURE_MIN_OPER_LEASE_OBLIG</stp>
        <stp>FQ2 2014</stp>
        <stp>FQ2 2014</stp>
        <stp>[FA1_m42y3cpi.xlsx]Bal Sheet - Standardized!R82C26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2" s="3"/>
      </tp>
      <tp>
        <v>18048</v>
        <stp/>
        <stp>##V3_BDHV12</stp>
        <stp>XOM US Equity</stp>
        <stp>BS_INVENTORIES</stp>
        <stp>FQ1 2018</stp>
        <stp>FQ1 2018</stp>
        <stp>[FA1_m42y3cpi.xlsx]Bal Sheet - Standardized!R13C41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3" s="3"/>
      </tp>
      <tp t="s">
        <v>—</v>
        <stp/>
        <stp>##V3_BDHV12</stp>
        <stp>XOM US Equity</stp>
        <stp>BS_FUTURE_MIN_OPER_LEASE_OBLIG</stp>
        <stp>FQ3 2017</stp>
        <stp>FQ3 2017</stp>
        <stp>[FA1_m42y3cpi.xlsx]Bal Sheet - Standardized!R82C39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2" s="3"/>
      </tp>
      <tp>
        <v>58372</v>
        <stp/>
        <stp>##V3_BDHV12</stp>
        <stp>XOM US Equity</stp>
        <stp>BS_CUR_LIAB</stp>
        <stp>FQ2 2015</stp>
        <stp>FQ2 2015</stp>
        <stp>[FA1_m42y3cpi.xlsx]Bal Sheet - Standardized!R55C30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5" s="3"/>
      </tp>
      <tp>
        <v>4178</v>
        <stp/>
        <stp>##V3_BDHV12</stp>
        <stp>XOM US Equity</stp>
        <stp>IS_SH_FOR_DILUTED_EPS</stp>
        <stp>FQ3 2016</stp>
        <stp>FQ3 2016</stp>
        <stp>[FA1_m42y3cpi.xlsx]Per Share!R7C35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5"/>
      </tp>
      <tp>
        <v>4178</v>
        <stp/>
        <stp>##V3_BDHV12</stp>
        <stp>XOM US Equity</stp>
        <stp>IS_SH_FOR_DILUTED_EPS</stp>
        <stp>FQ2 2016</stp>
        <stp>FQ2 2016</stp>
        <stp>[FA1_m42y3cpi.xlsx]Per Share!R7C34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5"/>
      </tp>
      <tp>
        <v>72749</v>
        <stp/>
        <stp>##V3_BDHV12</stp>
        <stp>XOM US Equity</stp>
        <stp>BS_CUR_LIAB</stp>
        <stp>FQ3 2013</stp>
        <stp>FQ3 2013</stp>
        <stp>[FA1_m42y3cpi.xlsx]Bal Sheet - Standardized!R55C23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5" s="3"/>
      </tp>
      <tp>
        <v>65984</v>
        <stp/>
        <stp>##V3_BDHV12</stp>
        <stp>XOM US Equity</stp>
        <stp>BS_CUR_LIAB</stp>
        <stp>FQ3 2014</stp>
        <stp>FQ3 2014</stp>
        <stp>[FA1_m42y3cpi.xlsx]Bal Sheet - Standardized!R55C27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5" s="3"/>
      </tp>
      <tp>
        <v>51504</v>
        <stp/>
        <stp>##V3_BDHV12</stp>
        <stp>XOM US Equity</stp>
        <stp>BS_CUR_LIAB</stp>
        <stp>FQ2 2016</stp>
        <stp>FQ2 2016</stp>
        <stp>[FA1_m42y3cpi.xlsx]Bal Sheet - Standardized!R55C34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5" s="3"/>
      </tp>
      <tp>
        <v>4297</v>
        <stp/>
        <stp>##V3_BDHV12</stp>
        <stp>XOM US Equity</stp>
        <stp>IS_SH_FOR_DILUTED_EPS</stp>
        <stp>FQ2 2014</stp>
        <stp>FQ2 2014</stp>
        <stp>[FA1_m42y3cpi.xlsx]Per Share!R7C26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5"/>
      </tp>
      <tp>
        <v>4267</v>
        <stp/>
        <stp>##V3_BDHV12</stp>
        <stp>XOM US Equity</stp>
        <stp>IS_SH_FOR_DILUTED_EPS</stp>
        <stp>FQ3 2014</stp>
        <stp>FQ3 2014</stp>
        <stp>[FA1_m42y3cpi.xlsx]Per Share!R7C27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5"/>
      </tp>
      <tp>
        <v>4328</v>
        <stp/>
        <stp>##V3_BDHV12</stp>
        <stp>XOM US Equity</stp>
        <stp>IS_SH_FOR_DILUTED_EPS</stp>
        <stp>FQ1 2014</stp>
        <stp>FQ1 2014</stp>
        <stp>[FA1_m42y3cpi.xlsx]Per Share!R7C25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5"/>
      </tp>
      <tp>
        <v>50949</v>
        <stp/>
        <stp>##V3_BDHV12</stp>
        <stp>XOM US Equity</stp>
        <stp>BS_CUR_LIAB</stp>
        <stp>FQ2 2017</stp>
        <stp>FQ2 2017</stp>
        <stp>[FA1_m42y3cpi.xlsx]Bal Sheet - Standardized!R55C38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5" s="3"/>
      </tp>
      <tp>
        <v>25510</v>
        <stp/>
        <stp>##V3_BDHV12</stp>
        <stp>XOM US Equity</stp>
        <stp>OTHER_CURRENT_LIABS_SUB_DETAILED</stp>
        <stp>FQ4 2008</stp>
        <stp>FQ4 2008</stp>
        <stp>[FA1_m42y3cpi.xlsx]Bal Sheet - Standardized!R50C4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0" s="3"/>
      </tp>
      <tp>
        <v>15663</v>
        <stp/>
        <stp>##V3_BDHV12</stp>
        <stp>XOM US Equity</stp>
        <stp>OTHER_CURRENT_LIABS_SUB_DETAILED</stp>
        <stp>FQ3 2008</stp>
        <stp>FQ3 2008</stp>
        <stp>[FA1_m42y3cpi.xlsx]Bal Sheet - Standardized!R50C3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0" s="3"/>
      </tp>
      <tp>
        <v>0</v>
        <stp/>
        <stp>##V3_BDHV12</stp>
        <stp>XOM US Equity</stp>
        <stp>OTHER_CURRENT_LIABS_SUB_DETAILED</stp>
        <stp>FQ2 2009</stp>
        <stp>FQ2 2009</stp>
        <stp>[FA1_m42y3cpi.xlsx]Bal Sheet - Standardized!R50C6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0" s="3"/>
      </tp>
      <tp>
        <v>0</v>
        <stp/>
        <stp>##V3_BDHV12</stp>
        <stp>XOM US Equity</stp>
        <stp>OTHER_CURRENT_LIABS_SUB_DETAILED</stp>
        <stp>FQ3 2009</stp>
        <stp>FQ3 2009</stp>
        <stp>[FA1_m42y3cpi.xlsx]Bal Sheet - Standardized!R50C7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0" s="3"/>
      </tp>
      <tp>
        <v>0</v>
        <stp/>
        <stp>##V3_BDHV12</stp>
        <stp>XOM US Equity</stp>
        <stp>OTHER_CURRENT_LIABS_SUB_DETAILED</stp>
        <stp>FQ1 2009</stp>
        <stp>FQ1 2009</stp>
        <stp>[FA1_m42y3cpi.xlsx]Bal Sheet - Standardized!R50C5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0" s="3"/>
      </tp>
      <tp>
        <v>4328</v>
        <stp/>
        <stp>##V3_BDHV12</stp>
        <stp>XOM US Equity</stp>
        <stp>IS_AVG_NUM_SH_FOR_EPS</stp>
        <stp>FQ1 2014</stp>
        <stp>FQ1 2014</stp>
        <stp>[FA1_m42y3cpi.xlsx]Per Share!R8C25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5"/>
      </tp>
      <tp>
        <v>4267</v>
        <stp/>
        <stp>##V3_BDHV12</stp>
        <stp>XOM US Equity</stp>
        <stp>IS_AVG_NUM_SH_FOR_EPS</stp>
        <stp>FQ3 2014</stp>
        <stp>FQ3 2014</stp>
        <stp>[FA1_m42y3cpi.xlsx]Per Share!R8C27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5"/>
      </tp>
      <tp>
        <v>4297</v>
        <stp/>
        <stp>##V3_BDHV12</stp>
        <stp>XOM US Equity</stp>
        <stp>IS_AVG_NUM_SH_FOR_EPS</stp>
        <stp>FQ2 2014</stp>
        <stp>FQ2 2014</stp>
        <stp>[FA1_m42y3cpi.xlsx]Per Share!R8C26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5"/>
      </tp>
      <tp>
        <v>0</v>
        <stp/>
        <stp>##V3_BDHV12</stp>
        <stp>XOM US Equity</stp>
        <stp>OTHER_CURRENT_LIABS_SUB_DETAILED</stp>
        <stp>FQ1 2010</stp>
        <stp>FQ1 2010</stp>
        <stp>[FA1_m42y3cpi.xlsx]Bal Sheet - Standardized!R50C9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0" s="3"/>
      </tp>
      <tp>
        <v>4147</v>
        <stp/>
        <stp>##V3_BDHV12</stp>
        <stp>XOM US Equity</stp>
        <stp>IS_AVG_NUM_SH_FOR_EPS</stp>
        <stp>FQ2 2016</stp>
        <stp>FQ2 2016</stp>
        <stp>[FA1_m42y3cpi.xlsx]Per Share!R8C34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5"/>
      </tp>
      <tp>
        <v>4178</v>
        <stp/>
        <stp>##V3_BDHV12</stp>
        <stp>XOM US Equity</stp>
        <stp>IS_AVG_NUM_SH_FOR_EPS</stp>
        <stp>FQ3 2016</stp>
        <stp>FQ3 2016</stp>
        <stp>[FA1_m42y3cpi.xlsx]Per Share!R8C35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5"/>
      </tp>
      <tp t="s">
        <v>—</v>
        <stp/>
        <stp>##V3_BDHV12</stp>
        <stp>XOM US Equity</stp>
        <stp>TCE_RATIO</stp>
        <stp>FQ1 2009</stp>
        <stp>FQ1 2009</stp>
        <stp>[FA1_m42y3cpi.xlsx]Bal Sheet - Standardized!R88C5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8" s="3"/>
      </tp>
      <tp>
        <v>0</v>
        <stp/>
        <stp>##V3_BDHV12</stp>
        <stp>XOM US Equity</stp>
        <stp>OTHER_CURRENT_LIABS_SUB_DETAILED</stp>
        <stp>FQ4 2009</stp>
        <stp>FQ4 2009</stp>
        <stp>[FA1_m42y3cpi.xlsx]Bal Sheet - Standardized!R50C8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0" s="3"/>
      </tp>
      <tp t="s">
        <v>—</v>
        <stp/>
        <stp>##V3_BDHV12</stp>
        <stp>XOM US Equity</stp>
        <stp>TCE_RATIO</stp>
        <stp>FQ2 2009</stp>
        <stp>FQ2 2009</stp>
        <stp>[FA1_m42y3cpi.xlsx]Bal Sheet - Standardized!R88C6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8" s="3"/>
      </tp>
      <tp t="s">
        <v>—</v>
        <stp/>
        <stp>##V3_BDHV12</stp>
        <stp>XOM US Equity</stp>
        <stp>TCE_RATIO</stp>
        <stp>FQ3 2009</stp>
        <stp>FQ3 2009</stp>
        <stp>[FA1_m42y3cpi.xlsx]Bal Sheet - Standardized!R88C7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8" s="3"/>
      </tp>
      <tp>
        <v>6635</v>
        <stp/>
        <stp>##V3_BDHV12</stp>
        <stp>XOM US Equity</stp>
        <stp>PRETAX_INC</stp>
        <stp>FQ1 2015</stp>
        <stp>FQ1 2015</stp>
        <stp>[FA1_m42y3cpi.xlsx]Income - Adjusted!R32C29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32" s="2"/>
      </tp>
      <tp>
        <v>8842</v>
        <stp/>
        <stp>##V3_BDHV12</stp>
        <stp>XOM US Equity</stp>
        <stp>PRETAX_INC</stp>
        <stp>FQ4 2014</stp>
        <stp>FQ4 2014</stp>
        <stp>[FA1_m42y3cpi.xlsx]Income - Adjusted!R32C28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32" s="2"/>
      </tp>
      <tp t="s">
        <v>—</v>
        <stp/>
        <stp>##V3_BDHV12</stp>
        <stp>XOM US Equity</stp>
        <stp>BS_ACCUM_DEPR</stp>
        <stp>FQ1 2014</stp>
        <stp>FQ1 2014</stp>
        <stp>[FA1_m42y3cpi.xlsx]Bal Sheet - Standardized!R25C25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3"/>
      </tp>
      <tp t="s">
        <v>—</v>
        <stp/>
        <stp>##V3_BDHV12</stp>
        <stp>XOM US Equity</stp>
        <stp>BS_ACCUM_DEPR</stp>
        <stp>FQ2 2010</stp>
        <stp>FQ2 2010</stp>
        <stp>[FA1_m42y3cpi.xlsx]Bal Sheet - Standardized!R25C10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3"/>
      </tp>
      <tp t="s">
        <v>—</v>
        <stp/>
        <stp>##V3_BDHV12</stp>
        <stp>XOM US Equity</stp>
        <stp>BS_ACCUM_DEPR</stp>
        <stp>FQ1 2013</stp>
        <stp>FQ1 2013</stp>
        <stp>[FA1_m42y3cpi.xlsx]Bal Sheet - Standardized!R25C21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3"/>
      </tp>
      <tp>
        <v>12299</v>
        <stp/>
        <stp>##V3_BDHV12</stp>
        <stp>XOM US Equity</stp>
        <stp>INVTRY_FINISHED_GOODS</stp>
        <stp>FQ2 2015</stp>
        <stp>FQ2 2015</stp>
        <stp>[FA1_m42y3cpi.xlsx]Bal Sheet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3"/>
      </tp>
      <tp>
        <v>13441</v>
        <stp/>
        <stp>##V3_BDHV12</stp>
        <stp>XOM US Equity</stp>
        <stp>INVTRY_FINISHED_GOODS</stp>
        <stp>FQ3 2014</stp>
        <stp>FQ3 2014</stp>
        <stp>[FA1_m42y3cpi.xlsx]Bal Sheet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3"/>
      </tp>
      <tp>
        <v>11543</v>
        <stp/>
        <stp>##V3_BDHV12</stp>
        <stp>XOM US Equity</stp>
        <stp>INVTRY_FINISHED_GOODS</stp>
        <stp>FQ2 2016</stp>
        <stp>FQ2 2016</stp>
        <stp>[FA1_m42y3cpi.xlsx]Bal Sheet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3"/>
      </tp>
      <tp>
        <v>169</v>
        <stp/>
        <stp>##V3_BDHV12</stp>
        <stp>XOM US Equity</stp>
        <stp>BS_MKT_SEC_OTHER_ST_INVEST</stp>
        <stp>FQ4 2009</stp>
        <stp>FQ4 2009</stp>
        <stp>[FA1_m42y3cpi.xlsx]Bal Sheet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3"/>
      </tp>
      <tp t="s">
        <v>—</v>
        <stp/>
        <stp>##V3_BDHV12</stp>
        <stp>XOM US Equity</stp>
        <stp>BS_ACCUM_DEPR</stp>
        <stp>FQ2 2011</stp>
        <stp>FQ2 2011</stp>
        <stp>[FA1_m42y3cpi.xlsx]Bal Sheet - Standardized!R25C14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3"/>
      </tp>
      <tp>
        <v>12829</v>
        <stp/>
        <stp>##V3_BDHV12</stp>
        <stp>XOM US Equity</stp>
        <stp>INVTRY_FINISHED_GOODS</stp>
        <stp>FQ3 2013</stp>
        <stp>FQ3 2013</stp>
        <stp>[FA1_m42y3cpi.xlsx]Bal Sheet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3"/>
      </tp>
      <tp t="s">
        <v>—</v>
        <stp/>
        <stp>##V3_BDHV12</stp>
        <stp>XOM US Equity</stp>
        <stp>BS_ACCUM_DEPR</stp>
        <stp>FQ2 2012</stp>
        <stp>FQ2 2012</stp>
        <stp>[FA1_m42y3cpi.xlsx]Bal Sheet - Standardized!R25C18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3"/>
      </tp>
      <tp>
        <v>153</v>
        <stp/>
        <stp>##V3_BDHV12</stp>
        <stp>XOM US Equity</stp>
        <stp>BS_MKT_SEC_OTHER_ST_INVEST</stp>
        <stp>FQ2 2009</stp>
        <stp>FQ2 2009</stp>
        <stp>[FA1_m42y3cpi.xlsx]Bal Sheet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3"/>
      </tp>
      <tp>
        <v>11135</v>
        <stp/>
        <stp>##V3_BDHV12</stp>
        <stp>XOM US Equity</stp>
        <stp>INVTRY_FINISHED_GOODS</stp>
        <stp>FQ2 2017</stp>
        <stp>FQ2 2017</stp>
        <stp>[FA1_m42y3cpi.xlsx]Bal Sheet - Standardized!R16C38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6" s="3"/>
      </tp>
      <tp>
        <v>151</v>
        <stp/>
        <stp>##V3_BDHV12</stp>
        <stp>XOM US Equity</stp>
        <stp>BS_MKT_SEC_OTHER_ST_INVEST</stp>
        <stp>FQ3 2009</stp>
        <stp>FQ3 2009</stp>
        <stp>[FA1_m42y3cpi.xlsx]Bal Sheet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3"/>
      </tp>
      <tp>
        <v>8380</v>
        <stp/>
        <stp>##V3_BDHV12</stp>
        <stp>XOM US Equity</stp>
        <stp>CF_NET_INC</stp>
        <stp>FQ4 2017</stp>
        <stp>FQ4 2017</stp>
        <stp>[FA1_m42y3cpi.xlsx]Cash Flow - Standardized!R7C40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" s="4"/>
      </tp>
      <tp>
        <v>168</v>
        <stp/>
        <stp>##V3_BDHV12</stp>
        <stp>XOM US Equity</stp>
        <stp>BS_MKT_SEC_OTHER_ST_INVEST</stp>
        <stp>FQ1 2009</stp>
        <stp>FQ1 2009</stp>
        <stp>[FA1_m42y3cpi.xlsx]Bal Sheet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3"/>
      </tp>
      <tp>
        <v>15459.9231</v>
        <stp/>
        <stp>##V3_BDHV12</stp>
        <stp>XOM US Equity</stp>
        <stp>EBITDA</stp>
        <stp>FQ4 2012</stp>
        <stp>FQ4 2012</stp>
        <stp>[FA1_m42y3cpi.xlsx]Income - Adjusted!R61C20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1" s="2"/>
      </tp>
      <tp>
        <v>15564</v>
        <stp/>
        <stp>##V3_BDHV12</stp>
        <stp>XOM US Equity</stp>
        <stp>EBITDA</stp>
        <stp>FQ4 2010</stp>
        <stp>FQ4 2010</stp>
        <stp>[FA1_m42y3cpi.xlsx]Income - Adjusted!R61C12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1" s="2"/>
      </tp>
      <tp>
        <v>13011</v>
        <stp/>
        <stp>##V3_BDHV12</stp>
        <stp>XOM US Equity</stp>
        <stp>EBITDA</stp>
        <stp>FQ2 2014</stp>
        <stp>FQ2 2014</stp>
        <stp>[FA1_m42y3cpi.xlsx]Income - Adjusted!R61C26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1" s="2"/>
      </tp>
      <tp>
        <v>5958</v>
        <stp/>
        <stp>##V3_BDHV12</stp>
        <stp>XOM US Equity</stp>
        <stp>EBITDA</stp>
        <stp>FQ2 2016</stp>
        <stp>FQ2 2016</stp>
        <stp>[FA1_m42y3cpi.xlsx]Income - Adjusted!R61C34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1" s="2"/>
      </tp>
      <tp>
        <v>15193</v>
        <stp/>
        <stp>##V3_BDHV12</stp>
        <stp>XOM US Equity</stp>
        <stp>EBITDA</stp>
        <stp>FQ1 2013</stp>
        <stp>FQ1 2013</stp>
        <stp>[FA1_m42y3cpi.xlsx]Income - Adjusted!R61C21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1" s="2"/>
      </tp>
      <tp>
        <v>17954</v>
        <stp/>
        <stp>##V3_BDHV12</stp>
        <stp>XOM US Equity</stp>
        <stp>EBITDA</stp>
        <stp>FQ1 2011</stp>
        <stp>FQ1 2011</stp>
        <stp>[FA1_m42y3cpi.xlsx]Income - Adjusted!R61C13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1" s="2"/>
      </tp>
      <tp t="s">
        <v>—</v>
        <stp/>
        <stp>##V3_BDHV12</stp>
        <stp>XOM US Equity</stp>
        <stp>BS_ACCUM_DEPR</stp>
        <stp>FQ1 2015</stp>
        <stp>FQ1 2015</stp>
        <stp>[FA1_m42y3cpi.xlsx]Bal Sheet - Standardized!R25C29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3"/>
      </tp>
      <tp>
        <v>4650</v>
        <stp/>
        <stp>##V3_BDHV12</stp>
        <stp>XOM US Equity</stp>
        <stp>CF_NET_INC</stp>
        <stp>FQ1 2018</stp>
        <stp>FQ1 2018</stp>
        <stp>[FA1_m42y3cpi.xlsx]Cash Flow - Standardized!R7C41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" s="4"/>
      </tp>
      <tp>
        <v>3950</v>
        <stp/>
        <stp>##V3_BDHV12</stp>
        <stp>XOM US Equity</stp>
        <stp>CF_NET_INC</stp>
        <stp>FQ2 2018</stp>
        <stp>FQ2 2018</stp>
        <stp>[FA1_m42y3cpi.xlsx]Cash Flow - Standardized!R7C42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" s="4"/>
      </tp>
      <tp>
        <v>0</v>
        <stp/>
        <stp>##V3_BDHV12</stp>
        <stp>XOM US Equity</stp>
        <stp>IS_NET_ABNORMAL_ITEMS</stp>
        <stp>FQ1 2015</stp>
        <stp>FQ1 2015</stp>
        <stp>[FA1_m42y3cpi.xlsx]Income - Adjusted!R46C29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6" s="2"/>
      </tp>
      <tp>
        <v>42763</v>
        <stp/>
        <stp>##V3_BDHV12</stp>
        <stp>XOM US Equity</stp>
        <stp>BS_OTHER_ASSETS_DEF_CHRG_OTHER</stp>
        <stp>FQ3 2014</stp>
        <stp>FQ3 2014</stp>
        <stp>[FA1_m42y3cpi.xlsx]Bal Sheet - Standardized!R29C27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3"/>
      </tp>
      <tp>
        <v>42583</v>
        <stp/>
        <stp>##V3_BDHV12</stp>
        <stp>XOM US Equity</stp>
        <stp>BS_OTHER_ASSETS_DEF_CHRG_OTHER</stp>
        <stp>FQ2 2016</stp>
        <stp>FQ2 2016</stp>
        <stp>[FA1_m42y3cpi.xlsx]Bal Sheet - Standardized!R29C34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3"/>
      </tp>
      <tp>
        <v>45280</v>
        <stp/>
        <stp>##V3_BDHV12</stp>
        <stp>XOM US Equity</stp>
        <stp>BS_OTHER_ASSETS_DEF_CHRG_OTHER</stp>
        <stp>FQ3 2013</stp>
        <stp>FQ3 2013</stp>
        <stp>[FA1_m42y3cpi.xlsx]Bal Sheet - Standardized!R29C23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3"/>
      </tp>
      <tp>
        <v>0</v>
        <stp/>
        <stp>##V3_BDHV12</stp>
        <stp>XOM US Equity</stp>
        <stp>IS_NET_ABNORMAL_ITEMS</stp>
        <stp>FQ2 2017</stp>
        <stp>FQ2 2017</stp>
        <stp>[FA1_m42y3cpi.xlsx]Income - Adjusted!R46C38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6" s="2"/>
      </tp>
      <tp>
        <v>42960</v>
        <stp/>
        <stp>##V3_BDHV12</stp>
        <stp>XOM US Equity</stp>
        <stp>BS_OTHER_ASSETS_DEF_CHRG_OTHER</stp>
        <stp>FQ2 2015</stp>
        <stp>FQ2 2015</stp>
        <stp>[FA1_m42y3cpi.xlsx]Bal Sheet - Standardized!R29C30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3"/>
      </tp>
      <tp>
        <v>47845</v>
        <stp/>
        <stp>##V3_BDHV12</stp>
        <stp>XOM US Equity</stp>
        <stp>BS_OTHER_ASSETS_DEF_CHRG_OTHER</stp>
        <stp>FQ2 2017</stp>
        <stp>FQ2 2017</stp>
        <stp>[FA1_m42y3cpi.xlsx]Bal Sheet - Standardized!R29C38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9" s="3"/>
      </tp>
      <tp>
        <v>0</v>
        <stp/>
        <stp>##V3_BDHV12</stp>
        <stp>XOM US Equity</stp>
        <stp>IS_NET_ABNORMAL_ITEMS</stp>
        <stp>FQ3 2016</stp>
        <stp>FQ3 2016</stp>
        <stp>[FA1_m42y3cpi.xlsx]Income - Adjusted!R46C35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6" s="2"/>
      </tp>
      <tp t="s">
        <v>—</v>
        <stp/>
        <stp>##V3_BDHV12</stp>
        <stp>XOM US Equity</stp>
        <stp>BS_FUTURE_MIN_OPER_LEASE_OBLIG</stp>
        <stp>FQ2 2011</stp>
        <stp>FQ2 2011</stp>
        <stp>[FA1_m42y3cpi.xlsx]Bal Sheet - Standardized!R82C14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2" s="3"/>
      </tp>
      <tp t="s">
        <v>—</v>
        <stp/>
        <stp>##V3_BDHV12</stp>
        <stp>XOM US Equity</stp>
        <stp>SHORT_TERM_DEBT_DETAILED</stp>
        <stp>FQ4 2008</stp>
        <stp>FQ4 2008</stp>
        <stp>[FA1_m42y3cpi.xlsx]Bal Sheet - Standardized!R48C4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3"/>
      </tp>
      <tp t="s">
        <v>—</v>
        <stp/>
        <stp>##V3_BDHV12</stp>
        <stp>XOM US Equity</stp>
        <stp>SHORT_TERM_DEBT_DETAILED</stp>
        <stp>FQ3 2008</stp>
        <stp>FQ3 2008</stp>
        <stp>[FA1_m42y3cpi.xlsx]Bal Sheet - Standardized!R48C3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3"/>
      </tp>
      <tp>
        <v>16135</v>
        <stp/>
        <stp>##V3_BDHV12</stp>
        <stp>XOM US Equity</stp>
        <stp>BS_INVENTORIES</stp>
        <stp>FQ4 2013</stp>
        <stp>FQ4 2013</stp>
        <stp>[FA1_m42y3cpi.xlsx]Bal Sheet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3"/>
      </tp>
      <tp t="s">
        <v>—</v>
        <stp/>
        <stp>##V3_BDHV12</stp>
        <stp>XOM US Equity</stp>
        <stp>BS_FUTURE_MIN_OPER_LEASE_OBLIG</stp>
        <stp>FQ1 2013</stp>
        <stp>FQ1 2013</stp>
        <stp>[FA1_m42y3cpi.xlsx]Bal Sheet - Standardized!R82C21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2" s="3"/>
      </tp>
      <tp>
        <v>2157</v>
        <stp/>
        <stp>##V3_BDHV12</stp>
        <stp>XOM US Equity</stp>
        <stp>SHORT_TERM_DEBT_DETAILED</stp>
        <stp>FQ2 2009</stp>
        <stp>FQ2 2009</stp>
        <stp>[FA1_m42y3cpi.xlsx]Bal Sheet - Standardized!R48C6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3"/>
      </tp>
      <tp>
        <v>2418</v>
        <stp/>
        <stp>##V3_BDHV12</stp>
        <stp>XOM US Equity</stp>
        <stp>SHORT_TERM_DEBT_DETAILED</stp>
        <stp>FQ3 2009</stp>
        <stp>FQ3 2009</stp>
        <stp>[FA1_m42y3cpi.xlsx]Bal Sheet - Standardized!R48C7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3"/>
      </tp>
      <tp>
        <v>2163</v>
        <stp/>
        <stp>##V3_BDHV12</stp>
        <stp>XOM US Equity</stp>
        <stp>SHORT_TERM_DEBT_DETAILED</stp>
        <stp>FQ1 2009</stp>
        <stp>FQ1 2009</stp>
        <stp>[FA1_m42y3cpi.xlsx]Bal Sheet - Standardized!R48C5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3"/>
      </tp>
      <tp t="s">
        <v>—</v>
        <stp/>
        <stp>##V3_BDHV12</stp>
        <stp>XOM US Equity</stp>
        <stp>BS_FUTURE_MIN_OPER_LEASE_OBLIG</stp>
        <stp>FQ2 2010</stp>
        <stp>FQ2 2010</stp>
        <stp>[FA1_m42y3cpi.xlsx]Bal Sheet - Standardized!R82C10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2" s="3"/>
      </tp>
      <tp>
        <v>14542</v>
        <stp/>
        <stp>##V3_BDHV12</stp>
        <stp>XOM US Equity</stp>
        <stp>BS_INVENTORIES</stp>
        <stp>FQ4 2012</stp>
        <stp>FQ4 2012</stp>
        <stp>[FA1_m42y3cpi.xlsx]Bal Sheet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3"/>
      </tp>
      <tp t="s">
        <v>—</v>
        <stp/>
        <stp>##V3_BDHV12</stp>
        <stp>XOM US Equity</stp>
        <stp>BS_FUTURE_MIN_OPER_LEASE_OBLIG</stp>
        <stp>FQ1 2014</stp>
        <stp>FQ1 2014</stp>
        <stp>[FA1_m42y3cpi.xlsx]Bal Sheet - Standardized!R82C25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2" s="3"/>
      </tp>
      <tp>
        <v>2396</v>
        <stp/>
        <stp>##V3_BDHV12</stp>
        <stp>XOM US Equity</stp>
        <stp>SHORT_TERM_DEBT_DETAILED</stp>
        <stp>FQ1 2010</stp>
        <stp>FQ1 2010</stp>
        <stp>[FA1_m42y3cpi.xlsx]Bal Sheet - Standardized!R48C9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3"/>
      </tp>
      <tp>
        <v>16678</v>
        <stp/>
        <stp>##V3_BDHV12</stp>
        <stp>XOM US Equity</stp>
        <stp>BS_INVENTORIES</stp>
        <stp>FQ4 2014</stp>
        <stp>FQ4 2014</stp>
        <stp>[FA1_m42y3cpi.xlsx]Bal Sheet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3"/>
      </tp>
      <tp>
        <v>18483</v>
        <stp/>
        <stp>##V3_BDHV12</stp>
        <stp>XOM US Equity</stp>
        <stp>BS_INVENTORIES</stp>
        <stp>FQ2 2018</stp>
        <stp>FQ2 2018</stp>
        <stp>[FA1_m42y3cpi.xlsx]Bal Sheet - Standardized!R13C42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3" s="3"/>
      </tp>
      <tp t="s">
        <v>—</v>
        <stp/>
        <stp>##V3_BDHV12</stp>
        <stp>XOM US Equity</stp>
        <stp>BS_FUTURE_MIN_OPER_LEASE_OBLIG</stp>
        <stp>FQ1 2015</stp>
        <stp>FQ1 2015</stp>
        <stp>[FA1_m42y3cpi.xlsx]Bal Sheet - Standardized!R82C29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2" s="3"/>
      </tp>
      <tp>
        <v>12068</v>
        <stp/>
        <stp>##V3_BDHV12</stp>
        <stp>XOM US Equity</stp>
        <stp>PRETAX_INC</stp>
        <stp>FQ1 2010</stp>
        <stp>FQ1 2010</stp>
        <stp>[FA1_m42y3cpi.xlsx]Income - Adjusted!R32C9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32" s="2"/>
      </tp>
      <tp>
        <v>2128</v>
        <stp/>
        <stp>##V3_BDHV12</stp>
        <stp>XOM US Equity</stp>
        <stp>SHORT_TERM_DEBT_DETAILED</stp>
        <stp>FQ4 2009</stp>
        <stp>FQ4 2009</stp>
        <stp>[FA1_m42y3cpi.xlsx]Bal Sheet - Standardized!R48C8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3"/>
      </tp>
      <tp t="s">
        <v>—</v>
        <stp/>
        <stp>##V3_BDHV12</stp>
        <stp>XOM US Equity</stp>
        <stp>BS_FUTURE_MIN_OPER_LEASE_OBLIG</stp>
        <stp>FQ2 2012</stp>
        <stp>FQ2 2012</stp>
        <stp>[FA1_m42y3cpi.xlsx]Bal Sheet - Standardized!R82C18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2" s="3"/>
      </tp>
      <tp>
        <v>74971</v>
        <stp/>
        <stp>##V3_BDHV12</stp>
        <stp>XOM US Equity</stp>
        <stp>BS_CUR_LIAB</stp>
        <stp>FQ3 2011</stp>
        <stp>FQ3 2011</stp>
        <stp>[FA1_m42y3cpi.xlsx]Bal Sheet - Standardized!R55C15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5" s="3"/>
      </tp>
      <tp>
        <v>4361</v>
        <stp/>
        <stp>##V3_BDHV12</stp>
        <stp>XOM US Equity</stp>
        <stp>IS_SH_FOR_DILUTED_EPS</stp>
        <stp>FQ4 2013</stp>
        <stp>FQ4 2013</stp>
        <stp>[FA1_m42y3cpi.xlsx]Per Share!R7C24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5"/>
      </tp>
      <tp>
        <v>4433</v>
        <stp/>
        <stp>##V3_BDHV12</stp>
        <stp>XOM US Equity</stp>
        <stp>IS_SH_FOR_DILUTED_EPS</stp>
        <stp>FQ2 2013</stp>
        <stp>FQ2 2013</stp>
        <stp>[FA1_m42y3cpi.xlsx]Per Share!R7C22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5"/>
      </tp>
      <tp>
        <v>4395</v>
        <stp/>
        <stp>##V3_BDHV12</stp>
        <stp>XOM US Equity</stp>
        <stp>IS_SH_FOR_DILUTED_EPS</stp>
        <stp>FQ3 2013</stp>
        <stp>FQ3 2013</stp>
        <stp>[FA1_m42y3cpi.xlsx]Per Share!R7C23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5"/>
      </tp>
      <tp>
        <v>4485</v>
        <stp/>
        <stp>##V3_BDHV12</stp>
        <stp>XOM US Equity</stp>
        <stp>IS_SH_FOR_DILUTED_EPS</stp>
        <stp>FQ1 2013</stp>
        <stp>FQ1 2013</stp>
        <stp>[FA1_m42y3cpi.xlsx]Per Share!R7C21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5"/>
      </tp>
      <tp>
        <v>47342</v>
        <stp/>
        <stp>##V3_BDHV12</stp>
        <stp>XOM US Equity</stp>
        <stp>ACCT_PAYABLE_&amp;_ACCRUALS_DETAILED</stp>
        <stp>FQ1 2009</stp>
        <stp>FQ1 2009</stp>
        <stp>[FA1_m42y3cpi.xlsx]Bal Sheet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3"/>
      </tp>
      <tp>
        <v>49457</v>
        <stp/>
        <stp>##V3_BDHV12</stp>
        <stp>XOM US Equity</stp>
        <stp>ACCT_PAYABLE_&amp;_ACCRUALS_DETAILED</stp>
        <stp>FQ2 2009</stp>
        <stp>FQ2 2009</stp>
        <stp>[FA1_m42y3cpi.xlsx]Bal Sheet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3"/>
      </tp>
      <tp>
        <v>50515</v>
        <stp/>
        <stp>##V3_BDHV12</stp>
        <stp>XOM US Equity</stp>
        <stp>ACCT_PAYABLE_&amp;_ACCRUALS_DETAILED</stp>
        <stp>FQ3 2009</stp>
        <stp>FQ3 2009</stp>
        <stp>[FA1_m42y3cpi.xlsx]Bal Sheet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3"/>
      </tp>
      <tp>
        <v>48726</v>
        <stp/>
        <stp>##V3_BDHV12</stp>
        <stp>XOM US Equity</stp>
        <stp>BS_CUR_LIAB</stp>
        <stp>FQ1 2016</stp>
        <stp>FQ1 2016</stp>
        <stp>[FA1_m42y3cpi.xlsx]Bal Sheet - Standardized!R55C33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5" s="3"/>
      </tp>
      <tp>
        <v>4765</v>
        <stp/>
        <stp>##V3_BDHV12</stp>
        <stp>XOM US Equity</stp>
        <stp>IS_D&amp;A_COST_OF_REVENUE</stp>
        <stp>FQ1 2016</stp>
        <stp>FQ1 2016</stp>
        <stp>[FA1_m42y3cpi.xlsx]Income - Adjusted!R10C33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0" s="2"/>
      </tp>
      <tp>
        <v>3842</v>
        <stp/>
        <stp>##V3_BDHV12</stp>
        <stp>XOM US Equity</stp>
        <stp>IS_D&amp;A_COST_OF_REVENUE</stp>
        <stp>FQ1 2012</stp>
        <stp>FQ1 2012</stp>
        <stp>[FA1_m42y3cpi.xlsx]Income - Adjusted!R10C17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>
        <v>4451</v>
        <stp/>
        <stp>##V3_BDHV12</stp>
        <stp>XOM US Equity</stp>
        <stp>IS_D&amp;A_COST_OF_REVENUE</stp>
        <stp>FQ2 2015</stp>
        <stp>FQ2 2015</stp>
        <stp>[FA1_m42y3cpi.xlsx]Income - Adjusted!R10C30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0" s="2"/>
      </tp>
      <tp>
        <v>3881</v>
        <stp/>
        <stp>##V3_BDHV12</stp>
        <stp>XOM US Equity</stp>
        <stp>IS_D&amp;A_COST_OF_REVENUE</stp>
        <stp>FQ2 2011</stp>
        <stp>FQ2 2011</stp>
        <stp>[FA1_m42y3cpi.xlsx]Income - Adjusted!R10C14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>
        <v>4775</v>
        <stp/>
        <stp>##V3_BDHV12</stp>
        <stp>XOM US Equity</stp>
        <stp>IS_SH_FOR_DILUTED_EPS</stp>
        <stp>FQ4 2011</stp>
        <stp>FQ4 2011</stp>
        <stp>[FA1_m42y3cpi.xlsx]Per Share!R7C16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5"/>
      </tp>
      <tp>
        <v>4971</v>
        <stp/>
        <stp>##V3_BDHV12</stp>
        <stp>XOM US Equity</stp>
        <stp>IS_SH_FOR_DILUTED_EPS</stp>
        <stp>FQ1 2011</stp>
        <stp>FQ1 2011</stp>
        <stp>[FA1_m42y3cpi.xlsx]Per Share!R7C13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5"/>
      </tp>
      <tp>
        <v>61740</v>
        <stp/>
        <stp>##V3_BDHV12</stp>
        <stp>XOM US Equity</stp>
        <stp>BS_CUR_LIAB</stp>
        <stp>FQ3 2010</stp>
        <stp>FQ3 2010</stp>
        <stp>[FA1_m42y3cpi.xlsx]Bal Sheet - Standardized!R55C11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5" s="3"/>
      </tp>
      <tp>
        <v>4270</v>
        <stp/>
        <stp>##V3_BDHV12</stp>
        <stp>XOM US Equity</stp>
        <stp>IS_SH_FOR_DILUTED_EPS</stp>
        <stp>FQ4 2017</stp>
        <stp>FQ4 2017</stp>
        <stp>[FA1_m42y3cpi.xlsx]Per Share!R7C40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" s="5"/>
      </tp>
      <tp>
        <v>21190</v>
        <stp/>
        <stp>##V3_BDHV12</stp>
        <stp>XOM US Equity</stp>
        <stp>ACCT_PAYABLE_&amp;_ACCRUALS_DETAILED</stp>
        <stp>FQ4 2008</stp>
        <stp>FQ4 2008</stp>
        <stp>[FA1_m42y3cpi.xlsx]Bal Sheet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3"/>
      </tp>
      <tp>
        <v>49087</v>
        <stp/>
        <stp>##V3_BDHV12</stp>
        <stp>XOM US Equity</stp>
        <stp>ACCT_PAYABLE_&amp;_ACCRUALS_DETAILED</stp>
        <stp>FQ3 2008</stp>
        <stp>FQ3 2008</stp>
        <stp>[FA1_m42y3cpi.xlsx]Bal Sheet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3"/>
      </tp>
      <tp>
        <v>53374</v>
        <stp/>
        <stp>##V3_BDHV12</stp>
        <stp>XOM US Equity</stp>
        <stp>BS_CUR_LIAB</stp>
        <stp>FQ1 2017</stp>
        <stp>FQ1 2017</stp>
        <stp>[FA1_m42y3cpi.xlsx]Bal Sheet - Standardized!R55C37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5" s="3"/>
      </tp>
      <tp>
        <v>4183</v>
        <stp/>
        <stp>##V3_BDHV12</stp>
        <stp>XOM US Equity</stp>
        <stp>IS_SH_FOR_DILUTED_EPS</stp>
        <stp>FQ4 2015</stp>
        <stp>FQ4 2015</stp>
        <stp>[FA1_m42y3cpi.xlsx]Per Share!R7C32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5"/>
      </tp>
      <tp>
        <v>49585</v>
        <stp/>
        <stp>##V3_BDHV12</stp>
        <stp>XOM US Equity</stp>
        <stp>ACCT_PAYABLE_&amp;_ACCRUALS_DETAILED</stp>
        <stp>FQ4 2009</stp>
        <stp>FQ4 2009</stp>
        <stp>[FA1_m42y3cpi.xlsx]Bal Sheet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3"/>
      </tp>
      <tp>
        <v>70061</v>
        <stp/>
        <stp>##V3_BDHV12</stp>
        <stp>XOM US Equity</stp>
        <stp>BS_CUR_LIAB</stp>
        <stp>FQ3 2012</stp>
        <stp>FQ3 2012</stp>
        <stp>[FA1_m42y3cpi.xlsx]Bal Sheet - Standardized!R55C19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5" s="3"/>
      </tp>
      <tp>
        <v>55348</v>
        <stp/>
        <stp>##V3_BDHV12</stp>
        <stp>XOM US Equity</stp>
        <stp>ACCT_PAYABLE_&amp;_ACCRUALS_DETAILED</stp>
        <stp>FQ1 2010</stp>
        <stp>FQ1 2010</stp>
        <stp>[FA1_m42y3cpi.xlsx]Bal Sheet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3"/>
      </tp>
      <tp>
        <v>0</v>
        <stp/>
        <stp>##V3_BDHV12</stp>
        <stp>XOM US Equity</stp>
        <stp>IS_OTHER_OPER_INC</stp>
        <stp>FQ1 2010</stp>
        <stp>FQ1 2010</stp>
        <stp>[FA1_m42y3cpi.xlsx]Income - Adjusted!R12C9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4183</v>
        <stp/>
        <stp>##V3_BDHV12</stp>
        <stp>XOM US Equity</stp>
        <stp>IS_AVG_NUM_SH_FOR_EPS</stp>
        <stp>FQ4 2015</stp>
        <stp>FQ4 2015</stp>
        <stp>[FA1_m42y3cpi.xlsx]Per Share!R8C32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5"/>
      </tp>
      <tp>
        <v>4270</v>
        <stp/>
        <stp>##V3_BDHV12</stp>
        <stp>XOM US Equity</stp>
        <stp>IS_AVG_NUM_SH_FOR_EPS</stp>
        <stp>FQ4 2017</stp>
        <stp>FQ4 2017</stp>
        <stp>[FA1_m42y3cpi.xlsx]Per Share!R8C40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" s="5"/>
      </tp>
      <tp>
        <v>4771.5735999999997</v>
        <stp/>
        <stp>##V3_BDHV12</stp>
        <stp>XOM US Equity</stp>
        <stp>IS_AVG_NUM_SH_FOR_EPS</stp>
        <stp>FQ4 2011</stp>
        <stp>FQ4 2011</stp>
        <stp>[FA1_m42y3cpi.xlsx]Per Share!R8C16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5"/>
      </tp>
      <tp>
        <v>4963</v>
        <stp/>
        <stp>##V3_BDHV12</stp>
        <stp>XOM US Equity</stp>
        <stp>IS_AVG_NUM_SH_FOR_EPS</stp>
        <stp>FQ1 2011</stp>
        <stp>FQ1 2011</stp>
        <stp>[FA1_m42y3cpi.xlsx]Per Share!R8C13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5"/>
      </tp>
      <tp>
        <v>2.2498</v>
        <stp/>
        <stp>##V3_BDHV12</stp>
        <stp>XOM US Equity</stp>
        <stp>EBITDA_PER_SH</stp>
        <stp>FQ4 2009</stp>
        <stp>FQ4 2009</stp>
        <stp>[FA1_m42y3cpi.xlsx]Per Share!R12C8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2" s="5"/>
      </tp>
      <tp>
        <v>1.7675000000000001</v>
        <stp/>
        <stp>##V3_BDHV12</stp>
        <stp>XOM US Equity</stp>
        <stp>EBITDA_PER_SH</stp>
        <stp>FQ2 2009</stp>
        <stp>FQ2 2009</stp>
        <stp>[FA1_m42y3cpi.xlsx]Per Share!R12C6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2" s="5"/>
      </tp>
      <tp>
        <v>2.0951</v>
        <stp/>
        <stp>##V3_BDHV12</stp>
        <stp>XOM US Equity</stp>
        <stp>EBITDA_PER_SH</stp>
        <stp>FQ3 2009</stp>
        <stp>FQ3 2009</stp>
        <stp>[FA1_m42y3cpi.xlsx]Per Share!R12C7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2" s="5"/>
      </tp>
      <tp>
        <v>1.7926</v>
        <stp/>
        <stp>##V3_BDHV12</stp>
        <stp>XOM US Equity</stp>
        <stp>EBITDA_PER_SH</stp>
        <stp>FQ1 2009</stp>
        <stp>FQ1 2009</stp>
        <stp>[FA1_m42y3cpi.xlsx]Per Share!R12C5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2" s="5"/>
      </tp>
      <tp>
        <v>4361</v>
        <stp/>
        <stp>##V3_BDHV12</stp>
        <stp>XOM US Equity</stp>
        <stp>IS_AVG_NUM_SH_FOR_EPS</stp>
        <stp>FQ4 2013</stp>
        <stp>FQ4 2013</stp>
        <stp>[FA1_m42y3cpi.xlsx]Per Share!R8C24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5"/>
      </tp>
      <tp>
        <v>4485</v>
        <stp/>
        <stp>##V3_BDHV12</stp>
        <stp>XOM US Equity</stp>
        <stp>IS_AVG_NUM_SH_FOR_EPS</stp>
        <stp>FQ1 2013</stp>
        <stp>FQ1 2013</stp>
        <stp>[FA1_m42y3cpi.xlsx]Per Share!R8C21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5"/>
      </tp>
      <tp>
        <v>4395</v>
        <stp/>
        <stp>##V3_BDHV12</stp>
        <stp>XOM US Equity</stp>
        <stp>IS_AVG_NUM_SH_FOR_EPS</stp>
        <stp>FQ3 2013</stp>
        <stp>FQ3 2013</stp>
        <stp>[FA1_m42y3cpi.xlsx]Per Share!R8C23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5"/>
      </tp>
      <tp>
        <v>4433</v>
        <stp/>
        <stp>##V3_BDHV12</stp>
        <stp>XOM US Equity</stp>
        <stp>IS_AVG_NUM_SH_FOR_EPS</stp>
        <stp>FQ2 2013</stp>
        <stp>FQ2 2013</stp>
        <stp>[FA1_m42y3cpi.xlsx]Per Share!R8C22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5"/>
      </tp>
      <tp>
        <v>3337</v>
        <stp/>
        <stp>##V3_BDHV12</stp>
        <stp>XOM US Equity</stp>
        <stp>CF_FREE_CASH_FLOW</stp>
        <stp>FQ3 2009</stp>
        <stp>FQ3 2009</stp>
        <stp>[FA1_m42y3cpi.xlsx]Cash Flow - Standardized!R63C7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3" s="4"/>
      </tp>
      <tp>
        <v>-3368</v>
        <stp/>
        <stp>##V3_BDHV12</stp>
        <stp>XOM US Equity</stp>
        <stp>CF_FREE_CASH_FLOW</stp>
        <stp>FQ2 2009</stp>
        <stp>FQ2 2009</stp>
        <stp>[FA1_m42y3cpi.xlsx]Cash Flow - Standardized!R63C6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3" s="4"/>
      </tp>
      <tp>
        <v>4237</v>
        <stp/>
        <stp>##V3_BDHV12</stp>
        <stp>XOM US Equity</stp>
        <stp>CF_FREE_CASH_FLOW</stp>
        <stp>FQ1 2009</stp>
        <stp>FQ1 2009</stp>
        <stp>[FA1_m42y3cpi.xlsx]Cash Flow - Standardized!R63C5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3" s="4"/>
      </tp>
      <tp>
        <v>9261</v>
        <stp/>
        <stp>##V3_BDHV12</stp>
        <stp>XOM US Equity</stp>
        <stp>CF_FREE_CASH_FLOW</stp>
        <stp>FQ3 2008</stp>
        <stp>FQ3 2008</stp>
        <stp>[FA1_m42y3cpi.xlsx]Cash Flow - Standardized!R63C3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3" s="4"/>
      </tp>
      <tp>
        <v>5159</v>
        <stp/>
        <stp>##V3_BDHV12</stp>
        <stp>XOM US Equity</stp>
        <stp>CF_FREE_CASH_FLOW</stp>
        <stp>FQ4 2008</stp>
        <stp>FQ4 2008</stp>
        <stp>[FA1_m42y3cpi.xlsx]Cash Flow - Standardized!R63C4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3" s="4"/>
      </tp>
      <tp>
        <v>1741</v>
        <stp/>
        <stp>##V3_BDHV12</stp>
        <stp>XOM US Equity</stp>
        <stp>CF_FREE_CASH_FLOW</stp>
        <stp>FQ4 2009</stp>
        <stp>FQ4 2009</stp>
        <stp>[FA1_m42y3cpi.xlsx]Cash Flow - Standardized!R63C8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3" s="4"/>
      </tp>
      <tp>
        <v>7290</v>
        <stp/>
        <stp>##V3_BDHV12</stp>
        <stp>XOM US Equity</stp>
        <stp>CF_FREE_CASH_FLOW</stp>
        <stp>FQ1 2010</stp>
        <stp>FQ1 2010</stp>
        <stp>[FA1_m42y3cpi.xlsx]Cash Flow - Standardized!R63C9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3" s="4"/>
      </tp>
      <tp>
        <v>11343</v>
        <stp/>
        <stp>##V3_BDHV12</stp>
        <stp>XOM US Equity</stp>
        <stp>INVTRY_FINISHED_GOODS</stp>
        <stp>FQ1 2012</stp>
        <stp>FQ1 2012</stp>
        <stp>[FA1_m42y3cpi.xlsx]Bal Sheet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3"/>
      </tp>
      <tp t="s">
        <v>—</v>
        <stp/>
        <stp>##V3_BDHV12</stp>
        <stp>XOM US Equity</stp>
        <stp>BS_ACCUM_DEPR</stp>
        <stp>FQ1 2017</stp>
        <stp>FQ1 2017</stp>
        <stp>[FA1_m42y3cpi.xlsx]Bal Sheet - Standardized!R25C37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3"/>
      </tp>
      <tp t="s">
        <v>—</v>
        <stp/>
        <stp>##V3_BDHV12</stp>
        <stp>XOM US Equity</stp>
        <stp>BS_ACCUM_DEPR</stp>
        <stp>FQ3 2010</stp>
        <stp>FQ3 2010</stp>
        <stp>[FA1_m42y3cpi.xlsx]Bal Sheet - Standardized!R25C11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3"/>
      </tp>
      <tp>
        <v>8380</v>
        <stp/>
        <stp>##V3_BDHV12</stp>
        <stp>XOM US Equity</stp>
        <stp>NET_INCOME</stp>
        <stp>FQ4 2017</stp>
        <stp>FQ4 2017</stp>
        <stp>[FA1_m42y3cpi.xlsx]Income - Adjusted!R40C40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40" s="2"/>
      </tp>
      <tp>
        <v>8350</v>
        <stp/>
        <stp>##V3_BDHV12</stp>
        <stp>XOM US Equity</stp>
        <stp>NET_INCOME</stp>
        <stp>FQ4 2013</stp>
        <stp>FQ4 2013</stp>
        <stp>[FA1_m42y3cpi.xlsx]Income - Adjusted!R40C24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40" s="2"/>
      </tp>
      <tp>
        <v>9400</v>
        <stp/>
        <stp>##V3_BDHV12</stp>
        <stp>XOM US Equity</stp>
        <stp>NET_INCOME</stp>
        <stp>FQ4 2011</stp>
        <stp>FQ4 2011</stp>
        <stp>[FA1_m42y3cpi.xlsx]Income - Adjusted!R40C16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40" s="2"/>
      </tp>
      <tp>
        <v>2780</v>
        <stp/>
        <stp>##V3_BDHV12</stp>
        <stp>XOM US Equity</stp>
        <stp>NET_INCOME</stp>
        <stp>FQ4 2015</stp>
        <stp>FQ4 2015</stp>
        <stp>[FA1_m42y3cpi.xlsx]Income - Adjusted!R40C32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40" s="2"/>
      </tp>
      <tp>
        <v>12249</v>
        <stp/>
        <stp>##V3_BDHV12</stp>
        <stp>XOM US Equity</stp>
        <stp>INVTRY_FINISHED_GOODS</stp>
        <stp>FQ3 2015</stp>
        <stp>FQ3 2015</stp>
        <stp>[FA1_m42y3cpi.xlsx]Bal Sheet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3"/>
      </tp>
      <tp>
        <v>13944</v>
        <stp/>
        <stp>##V3_BDHV12</stp>
        <stp>XOM US Equity</stp>
        <stp>INVTRY_FINISHED_GOODS</stp>
        <stp>FQ2 2014</stp>
        <stp>FQ2 2014</stp>
        <stp>[FA1_m42y3cpi.xlsx]Bal Sheet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3"/>
      </tp>
      <tp>
        <v>10981</v>
        <stp/>
        <stp>##V3_BDHV12</stp>
        <stp>XOM US Equity</stp>
        <stp>INVTRY_FINISHED_GOODS</stp>
        <stp>FQ3 2016</stp>
        <stp>FQ3 2016</stp>
        <stp>[FA1_m42y3cpi.xlsx]Bal Sheet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3"/>
      </tp>
      <tp t="s">
        <v>—</v>
        <stp/>
        <stp>##V3_BDHV12</stp>
        <stp>XOM US Equity</stp>
        <stp>BS_ACCUM_DEPR</stp>
        <stp>FQ1 2016</stp>
        <stp>FQ1 2016</stp>
        <stp>[FA1_m42y3cpi.xlsx]Bal Sheet - Standardized!R25C33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3"/>
      </tp>
      <tp t="s">
        <v>—</v>
        <stp/>
        <stp>##V3_BDHV12</stp>
        <stp>XOM US Equity</stp>
        <stp>BS_ACCUM_DEPR</stp>
        <stp>FQ3 2011</stp>
        <stp>FQ3 2011</stp>
        <stp>[FA1_m42y3cpi.xlsx]Bal Sheet - Standardized!R25C15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3"/>
      </tp>
      <tp>
        <v>12871</v>
        <stp/>
        <stp>##V3_BDHV12</stp>
        <stp>XOM US Equity</stp>
        <stp>INVTRY_FINISHED_GOODS</stp>
        <stp>FQ4 2017</stp>
        <stp>FQ4 2017</stp>
        <stp>[FA1_m42y3cpi.xlsx]Bal Sheet - Standardized!R16C40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6" s="3"/>
      </tp>
      <tp>
        <v>13026</v>
        <stp/>
        <stp>##V3_BDHV12</stp>
        <stp>XOM US Equity</stp>
        <stp>INVTRY_FINISHED_GOODS</stp>
        <stp>FQ1 2011</stp>
        <stp>FQ1 2011</stp>
        <stp>[FA1_m42y3cpi.xlsx]Bal Sheet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3"/>
      </tp>
      <tp>
        <v>13373</v>
        <stp/>
        <stp>##V3_BDHV12</stp>
        <stp>XOM US Equity</stp>
        <stp>INVTRY_FINISHED_GOODS</stp>
        <stp>FQ2 2013</stp>
        <stp>FQ2 2013</stp>
        <stp>[FA1_m42y3cpi.xlsx]Bal Sheet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3"/>
      </tp>
      <tp t="s">
        <v>—</v>
        <stp/>
        <stp>##V3_BDHV12</stp>
        <stp>XOM US Equity</stp>
        <stp>BS_ACCUM_DEPR</stp>
        <stp>FQ3 2012</stp>
        <stp>FQ3 2012</stp>
        <stp>[FA1_m42y3cpi.xlsx]Bal Sheet - Standardized!R25C19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3"/>
      </tp>
      <tp>
        <v>12488</v>
        <stp/>
        <stp>##V3_BDHV12</stp>
        <stp>XOM US Equity</stp>
        <stp>INVTRY_FINISHED_GOODS</stp>
        <stp>FQ3 2017</stp>
        <stp>FQ3 2017</stp>
        <stp>[FA1_m42y3cpi.xlsx]Bal Sheet - Standardized!R16C39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6" s="3"/>
      </tp>
      <tp>
        <v>570</v>
        <stp/>
        <stp>##V3_BDHV12</stp>
        <stp>XOM US Equity</stp>
        <stp>BS_MKT_SEC_OTHER_ST_INVEST</stp>
        <stp>FQ4 2008</stp>
        <stp>FQ4 2008</stp>
        <stp>[FA1_m42y3cpi.xlsx]Bal Sheet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3"/>
      </tp>
      <tp>
        <v>13936</v>
        <stp/>
        <stp>##V3_BDHV12</stp>
        <stp>XOM US Equity</stp>
        <stp>EBITDA</stp>
        <stp>FQ3 2014</stp>
        <stp>FQ3 2014</stp>
        <stp>[FA1_m42y3cpi.xlsx]Income - Adjusted!R61C27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1" s="2"/>
      </tp>
      <tp>
        <v>6027</v>
        <stp/>
        <stp>##V3_BDHV12</stp>
        <stp>XOM US Equity</stp>
        <stp>EBITDA</stp>
        <stp>FQ3 2016</stp>
        <stp>FQ3 2016</stp>
        <stp>[FA1_m42y3cpi.xlsx]Income - Adjusted!R61C35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1" s="2"/>
      </tp>
      <tp>
        <v>1760</v>
        <stp/>
        <stp>##V3_BDHV12</stp>
        <stp>XOM US Equity</stp>
        <stp>BS_MKT_SEC_OTHER_ST_INVEST</stp>
        <stp>FQ3 2008</stp>
        <stp>FQ3 2008</stp>
        <stp>[FA1_m42y3cpi.xlsx]Bal Sheet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35.015999999999998</v>
        <stp/>
        <stp>##V3_BDHV12</stp>
        <stp>XOM US Equity</stp>
        <stp>PX_TO_FREE_CASH_FLOW</stp>
        <stp>FQ1 2010</stp>
        <stp>FQ1 2010</stp>
        <stp>[FA1_m42y3cpi.xlsx]Cash Flow - Standardized!R67C9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7" s="4"/>
      </tp>
      <tp>
        <v>43220</v>
        <stp/>
        <stp>##V3_BDHV12</stp>
        <stp>XOM US Equity</stp>
        <stp>BS_OTHER_ASSETS_DEF_CHRG_OTHER</stp>
        <stp>FQ2 2014</stp>
        <stp>FQ2 2014</stp>
        <stp>[FA1_m42y3cpi.xlsx]Bal Sheet - Standardized!R29C26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3"/>
      </tp>
      <tp>
        <v>44518</v>
        <stp/>
        <stp>##V3_BDHV12</stp>
        <stp>XOM US Equity</stp>
        <stp>BS_OTHER_ASSETS_DEF_CHRG_OTHER</stp>
        <stp>FQ3 2016</stp>
        <stp>FQ3 2016</stp>
        <stp>[FA1_m42y3cpi.xlsx]Bal Sheet - Standardized!R29C35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3"/>
      </tp>
      <tp>
        <v>43785</v>
        <stp/>
        <stp>##V3_BDHV12</stp>
        <stp>XOM US Equity</stp>
        <stp>BS_OTHER_ASSETS_DEF_CHRG_OTHER</stp>
        <stp>FQ1 2011</stp>
        <stp>FQ1 2011</stp>
        <stp>[FA1_m42y3cpi.xlsx]Bal Sheet - Standardized!R29C13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3"/>
      </tp>
      <tp>
        <v>43531</v>
        <stp/>
        <stp>##V3_BDHV12</stp>
        <stp>XOM US Equity</stp>
        <stp>BS_OTHER_ASSETS_DEF_CHRG_OTHER</stp>
        <stp>FQ2 2013</stp>
        <stp>FQ2 2013</stp>
        <stp>[FA1_m42y3cpi.xlsx]Bal Sheet - Standardized!R29C22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3"/>
      </tp>
      <tp>
        <v>43233</v>
        <stp/>
        <stp>##V3_BDHV12</stp>
        <stp>XOM US Equity</stp>
        <stp>BS_OTHER_ASSETS_DEF_CHRG_OTHER</stp>
        <stp>FQ4 2017</stp>
        <stp>FQ4 2017</stp>
        <stp>[FA1_m42y3cpi.xlsx]Bal Sheet - Standardized!R29C40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9" s="3"/>
      </tp>
      <tp>
        <v>0</v>
        <stp/>
        <stp>##V3_BDHV12</stp>
        <stp>XOM US Equity</stp>
        <stp>IS_NET_ABNORMAL_ITEMS</stp>
        <stp>FQ3 2017</stp>
        <stp>FQ3 2017</stp>
        <stp>[FA1_m42y3cpi.xlsx]Income - Adjusted!R46C39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6" s="2"/>
      </tp>
      <tp>
        <v>54390</v>
        <stp/>
        <stp>##V3_BDHV12</stp>
        <stp>XOM US Equity</stp>
        <stp>BS_OTHER_ASSETS_DEF_CHRG_OTHER</stp>
        <stp>FQ1 2012</stp>
        <stp>FQ1 2012</stp>
        <stp>[FA1_m42y3cpi.xlsx]Bal Sheet - Standardized!R29C17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3"/>
      </tp>
      <tp>
        <v>42845</v>
        <stp/>
        <stp>##V3_BDHV12</stp>
        <stp>XOM US Equity</stp>
        <stp>BS_OTHER_ASSETS_DEF_CHRG_OTHER</stp>
        <stp>FQ3 2015</stp>
        <stp>FQ3 2015</stp>
        <stp>[FA1_m42y3cpi.xlsx]Bal Sheet - Standardized!R29C31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3"/>
      </tp>
      <tp>
        <v>-4648</v>
        <stp/>
        <stp>##V3_BDHV12</stp>
        <stp>XOM US Equity</stp>
        <stp>IS_NET_ABNORMAL_ITEMS</stp>
        <stp>FQ4 2017</stp>
        <stp>FQ4 2017</stp>
        <stp>[FA1_m42y3cpi.xlsx]Income - Adjusted!R46C40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6" s="2"/>
      </tp>
      <tp>
        <v>48119</v>
        <stp/>
        <stp>##V3_BDHV12</stp>
        <stp>XOM US Equity</stp>
        <stp>BS_OTHER_ASSETS_DEF_CHRG_OTHER</stp>
        <stp>FQ3 2017</stp>
        <stp>FQ3 2017</stp>
        <stp>[FA1_m42y3cpi.xlsx]Bal Sheet - Standardized!R29C39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9" s="3"/>
      </tp>
      <tp>
        <v>0</v>
        <stp/>
        <stp>##V3_BDHV12</stp>
        <stp>XOM US Equity</stp>
        <stp>IS_NET_ABNORMAL_ITEMS</stp>
        <stp>FQ1 2014</stp>
        <stp>FQ1 2014</stp>
        <stp>[FA1_m42y3cpi.xlsx]Income - Adjusted!R46C25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6" s="2"/>
      </tp>
      <tp>
        <v>0</v>
        <stp/>
        <stp>##V3_BDHV12</stp>
        <stp>XOM US Equity</stp>
        <stp>IS_NET_ABNORMAL_ITEMS</stp>
        <stp>FQ2 2016</stp>
        <stp>FQ2 2016</stp>
        <stp>[FA1_m42y3cpi.xlsx]Income - Adjusted!R46C34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6" s="2"/>
      </tp>
      <tp t="s">
        <v>—</v>
        <stp/>
        <stp>##V3_BDHV12</stp>
        <stp>XOM US Equity</stp>
        <stp>BS_FUTURE_MIN_OPER_LEASE_OBLIG</stp>
        <stp>FQ3 2011</stp>
        <stp>FQ3 2011</stp>
        <stp>[FA1_m42y3cpi.xlsx]Bal Sheet - Standardized!R82C15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2" s="3"/>
      </tp>
      <tp>
        <v>13799</v>
        <stp/>
        <stp>##V3_BDHV12</stp>
        <stp>XOM US Equity</stp>
        <stp>PRETAX_INC</stp>
        <stp>FQ4 2008</stp>
        <stp>FQ4 2008</stp>
        <stp>[FA1_m42y3cpi.xlsx]Income - Adjusted!R32C4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32" s="2"/>
      </tp>
      <tp>
        <v>26693</v>
        <stp/>
        <stp>##V3_BDHV12</stp>
        <stp>XOM US Equity</stp>
        <stp>PRETAX_INC</stp>
        <stp>FQ3 2008</stp>
        <stp>FQ3 2008</stp>
        <stp>[FA1_m42y3cpi.xlsx]Income - Adjusted!R32C3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32" s="2"/>
      </tp>
      <tp>
        <v>16245</v>
        <stp/>
        <stp>##V3_BDHV12</stp>
        <stp>XOM US Equity</stp>
        <stp>BS_INVENTORIES</stp>
        <stp>FQ4 2015</stp>
        <stp>FQ4 2015</stp>
        <stp>[FA1_m42y3cpi.xlsx]Bal Sheet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3"/>
      </tp>
      <tp t="s">
        <v>—</v>
        <stp/>
        <stp>##V3_BDHV12</stp>
        <stp>XOM US Equity</stp>
        <stp>BS_FUTURE_MIN_OPER_LEASE_OBLIG</stp>
        <stp>FQ1 2016</stp>
        <stp>FQ1 2016</stp>
        <stp>[FA1_m42y3cpi.xlsx]Bal Sheet - Standardized!R82C33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2" s="3"/>
      </tp>
      <tp>
        <v>15080</v>
        <stp/>
        <stp>##V3_BDHV12</stp>
        <stp>XOM US Equity</stp>
        <stp>BS_INVENTORIES</stp>
        <stp>FQ4 2016</stp>
        <stp>FQ4 2016</stp>
        <stp>[FA1_m42y3cpi.xlsx]Bal Sheet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3"/>
      </tp>
      <tp t="s">
        <v>—</v>
        <stp/>
        <stp>##V3_BDHV12</stp>
        <stp>XOM US Equity</stp>
        <stp>BS_FUTURE_MIN_OPER_LEASE_OBLIG</stp>
        <stp>FQ3 2010</stp>
        <stp>FQ3 2010</stp>
        <stp>[FA1_m42y3cpi.xlsx]Bal Sheet - Standardized!R82C11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2" s="3"/>
      </tp>
      <tp t="s">
        <v>—</v>
        <stp/>
        <stp>##V3_BDHV12</stp>
        <stp>XOM US Equity</stp>
        <stp>BS_FUTURE_MIN_OPER_LEASE_OBLIG</stp>
        <stp>FQ1 2017</stp>
        <stp>FQ1 2017</stp>
        <stp>[FA1_m42y3cpi.xlsx]Bal Sheet - Standardized!R82C37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2" s="3"/>
      </tp>
      <tp>
        <v>6050</v>
        <stp/>
        <stp>##V3_BDHV12</stp>
        <stp>XOM US Equity</stp>
        <stp>NET_INCOME</stp>
        <stp>FQ4 2009</stp>
        <stp>FQ4 2009</stp>
        <stp>[FA1_m42y3cpi.xlsx]Income - Adjusted!R40C8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40" s="2"/>
      </tp>
      <tp t="s">
        <v>—</v>
        <stp/>
        <stp>##V3_BDHV12</stp>
        <stp>XOM US Equity</stp>
        <stp>BS_FUTURE_MIN_OPER_LEASE_OBLIG</stp>
        <stp>FQ3 2012</stp>
        <stp>FQ3 2012</stp>
        <stp>[FA1_m42y3cpi.xlsx]Bal Sheet - Standardized!R82C19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2" s="3"/>
      </tp>
      <tp>
        <v>74533</v>
        <stp/>
        <stp>##V3_BDHV12</stp>
        <stp>XOM US Equity</stp>
        <stp>BS_CUR_LIAB</stp>
        <stp>FQ2 2011</stp>
        <stp>FQ2 2011</stp>
        <stp>[FA1_m42y3cpi.xlsx]Bal Sheet - Standardized!R55C14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5" s="3"/>
      </tp>
      <tp>
        <v>5089</v>
        <stp/>
        <stp>##V3_BDHV12</stp>
        <stp>XOM US Equity</stp>
        <stp>IS_SH_FOR_DILUTED_EPS</stp>
        <stp>FQ3 2010</stp>
        <stp>FQ3 2010</stp>
        <stp>[FA1_m42y3cpi.xlsx]Per Share!R7C11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5"/>
      </tp>
      <tp>
        <v>4729</v>
        <stp/>
        <stp>##V3_BDHV12</stp>
        <stp>XOM US Equity</stp>
        <stp>IS_SH_FOR_DILUTED_EPS</stp>
        <stp>FQ2 2010</stp>
        <stp>FQ2 2010</stp>
        <stp>[FA1_m42y3cpi.xlsx]Per Share!R7C10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5"/>
      </tp>
      <tp>
        <v>4542</v>
        <stp/>
        <stp>##V3_BDHV12</stp>
        <stp>XOM US Equity</stp>
        <stp>IS_D&amp;A_COST_OF_REVENUE</stp>
        <stp>FQ3 2015</stp>
        <stp>FQ3 2015</stp>
        <stp>[FA1_m42y3cpi.xlsx]Income - Adjusted!R10C31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0" s="2"/>
      </tp>
      <tp>
        <v>3866</v>
        <stp/>
        <stp>##V3_BDHV12</stp>
        <stp>XOM US Equity</stp>
        <stp>IS_D&amp;A_COST_OF_REVENUE</stp>
        <stp>FQ3 2011</stp>
        <stp>FQ3 2011</stp>
        <stp>[FA1_m42y3cpi.xlsx]Income - Adjusted!R10C15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>
        <v>57821</v>
        <stp/>
        <stp>##V3_BDHV12</stp>
        <stp>XOM US Equity</stp>
        <stp>BS_CUR_LIAB</stp>
        <stp>FQ2 2010</stp>
        <stp>FQ2 2010</stp>
        <stp>[FA1_m42y3cpi.xlsx]Bal Sheet - Standardized!R55C10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5" s="3"/>
      </tp>
      <tp>
        <v>70084</v>
        <stp/>
        <stp>##V3_BDHV12</stp>
        <stp>XOM US Equity</stp>
        <stp>BS_CUR_LIAB</stp>
        <stp>FQ1 2013</stp>
        <stp>FQ1 2013</stp>
        <stp>[FA1_m42y3cpi.xlsx]Bal Sheet - Standardized!R55C21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5" s="3"/>
      </tp>
      <tp t="s">
        <v>—</v>
        <stp/>
        <stp>##V3_BDHV12</stp>
        <stp>XOM US Equity</stp>
        <stp>IS_GAIN_LOSS_DISPOSAL_ASSETS</stp>
        <stp>FQ4 2009</stp>
        <stp>FQ4 2009</stp>
        <stp>[FA1_m42y3cpi.xlsx]Income - Adjusted!R27C8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2"/>
      </tp>
      <tp>
        <v>70108</v>
        <stp/>
        <stp>##V3_BDHV12</stp>
        <stp>XOM US Equity</stp>
        <stp>BS_CUR_LIAB</stp>
        <stp>FQ1 2014</stp>
        <stp>FQ1 2014</stp>
        <stp>[FA1_m42y3cpi.xlsx]Bal Sheet - Standardized!R55C25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5" s="3"/>
      </tp>
      <tp t="s">
        <v>—</v>
        <stp/>
        <stp>##V3_BDHV12</stp>
        <stp>XOM US Equity</stp>
        <stp>IS_GAIN_LOSS_DISPOSAL_ASSETS</stp>
        <stp>FQ4 2008</stp>
        <stp>FQ4 2008</stp>
        <stp>[FA1_m42y3cpi.xlsx]Income - Adjusted!R27C4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2"/>
      </tp>
      <tp>
        <v>55933</v>
        <stp/>
        <stp>##V3_BDHV12</stp>
        <stp>XOM US Equity</stp>
        <stp>BS_CUR_LIAB</stp>
        <stp>FQ1 2015</stp>
        <stp>FQ1 2015</stp>
        <stp>[FA1_m42y3cpi.xlsx]Bal Sheet - Standardized!R55C29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5" s="3"/>
      </tp>
      <tp>
        <v>70136</v>
        <stp/>
        <stp>##V3_BDHV12</stp>
        <stp>XOM US Equity</stp>
        <stp>BS_CUR_LIAB</stp>
        <stp>FQ2 2012</stp>
        <stp>FQ2 2012</stp>
        <stp>[FA1_m42y3cpi.xlsx]Bal Sheet - Standardized!R55C18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5" s="3"/>
      </tp>
      <tp>
        <v>2.4234999999999998</v>
        <stp/>
        <stp>##V3_BDHV12</stp>
        <stp>XOM US Equity</stp>
        <stp>EBITDA_PER_SH</stp>
        <stp>FQ4 2008</stp>
        <stp>FQ4 2008</stp>
        <stp>[FA1_m42y3cpi.xlsx]Per Share!R12C4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2" s="5"/>
      </tp>
      <tp>
        <v>4.7759999999999998</v>
        <stp/>
        <stp>##V3_BDHV12</stp>
        <stp>XOM US Equity</stp>
        <stp>EBITDA_PER_SH</stp>
        <stp>FQ3 2008</stp>
        <stp>FQ3 2008</stp>
        <stp>[FA1_m42y3cpi.xlsx]Per Share!R12C3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2" s="5"/>
      </tp>
      <tp>
        <v>4716</v>
        <stp/>
        <stp>##V3_BDHV12</stp>
        <stp>XOM US Equity</stp>
        <stp>IS_AVG_NUM_SH_FOR_EPS</stp>
        <stp>FQ2 2010</stp>
        <stp>FQ2 2010</stp>
        <stp>[FA1_m42y3cpi.xlsx]Per Share!R8C10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5"/>
      </tp>
      <tp>
        <v>5076</v>
        <stp/>
        <stp>##V3_BDHV12</stp>
        <stp>XOM US Equity</stp>
        <stp>IS_AVG_NUM_SH_FOR_EPS</stp>
        <stp>FQ3 2010</stp>
        <stp>FQ3 2010</stp>
        <stp>[FA1_m42y3cpi.xlsx]Per Share!R8C11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5"/>
      </tp>
      <tp t="s">
        <v>—</v>
        <stp/>
        <stp>##V3_BDHV12</stp>
        <stp>XOM US Equity</stp>
        <stp>IS_OTHER_OPER_INC</stp>
        <stp>FQ4 2008</stp>
        <stp>FQ4 2008</stp>
        <stp>[FA1_m42y3cpi.xlsx]Income - Adjusted!R12C4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 t="s">
        <v>—</v>
        <stp/>
        <stp>##V3_BDHV12</stp>
        <stp>XOM US Equity</stp>
        <stp>IS_OTHER_OPER_INC</stp>
        <stp>FQ3 2008</stp>
        <stp>FQ3 2008</stp>
        <stp>[FA1_m42y3cpi.xlsx]Income - Adjusted!R12C3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>
        <v>6512</v>
        <stp/>
        <stp>##V3_BDHV12</stp>
        <stp>XOM US Equity</stp>
        <stp>PRETAX_INC</stp>
        <stp>FQ2 2018</stp>
        <stp>FQ2 2018</stp>
        <stp>[FA1_m42y3cpi.xlsx]Income - Adjusted!R32C42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32" s="2"/>
      </tp>
      <tp>
        <v>26191</v>
        <stp/>
        <stp>##V3_BDHV12</stp>
        <stp>XOM US Equity</stp>
        <stp>PRETAX_INC</stp>
        <stp>FQ2 2012</stp>
        <stp>FQ2 2012</stp>
        <stp>[FA1_m42y3cpi.xlsx]Income - Adjusted!R32C18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32" s="2"/>
      </tp>
      <tp>
        <v>10877</v>
        <stp/>
        <stp>##V3_BDHV12</stp>
        <stp>XOM US Equity</stp>
        <stp>INVTRY_FINISHED_GOODS</stp>
        <stp>FQ4 2016</stp>
        <stp>FQ4 2016</stp>
        <stp>[FA1_m42y3cpi.xlsx]Bal Sheet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3"/>
      </tp>
      <tp>
        <v>1680</v>
        <stp/>
        <stp>##V3_BDHV12</stp>
        <stp>XOM US Equity</stp>
        <stp>NET_INCOME</stp>
        <stp>FQ4 2016</stp>
        <stp>FQ4 2016</stp>
        <stp>[FA1_m42y3cpi.xlsx]Income - Adjusted!R40C36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40" s="2"/>
      </tp>
      <tp>
        <v>7870</v>
        <stp/>
        <stp>##V3_BDHV12</stp>
        <stp>XOM US Equity</stp>
        <stp>NET_INCOME</stp>
        <stp>FQ3 2013</stp>
        <stp>FQ3 2013</stp>
        <stp>[FA1_m42y3cpi.xlsx]Income - Adjusted!R40C23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40" s="2"/>
      </tp>
      <tp>
        <v>7560</v>
        <stp/>
        <stp>##V3_BDHV12</stp>
        <stp>XOM US Equity</stp>
        <stp>NET_INCOME</stp>
        <stp>FQ2 2010</stp>
        <stp>FQ2 2010</stp>
        <stp>[FA1_m42y3cpi.xlsx]Income - Adjusted!R40C10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40" s="2"/>
      </tp>
      <tp>
        <v>4010</v>
        <stp/>
        <stp>##V3_BDHV12</stp>
        <stp>XOM US Equity</stp>
        <stp>NET_INCOME</stp>
        <stp>FQ1 2017</stp>
        <stp>FQ1 2017</stp>
        <stp>[FA1_m42y3cpi.xlsx]Income - Adjusted!R40C37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40" s="2"/>
      </tp>
      <tp>
        <v>179331</v>
        <stp/>
        <stp>##V3_BDHV12</stp>
        <stp>XOM US Equity</stp>
        <stp>BS_ACCUM_DEPR</stp>
        <stp>FQ4 2011</stp>
        <stp>FQ4 2011</stp>
        <stp>[FA1_m42y3cpi.xlsx]Bal Sheet - Standardized!R25C16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3"/>
      </tp>
      <tp>
        <v>6570</v>
        <stp/>
        <stp>##V3_BDHV12</stp>
        <stp>XOM US Equity</stp>
        <stp>CF_NET_INC</stp>
        <stp>FQ4 2014</stp>
        <stp>FQ4 2014</stp>
        <stp>[FA1_m42y3cpi.xlsx]Cash Flow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4"/>
      </tp>
      <tp>
        <v>174390</v>
        <stp/>
        <stp>##V3_BDHV12</stp>
        <stp>XOM US Equity</stp>
        <stp>BS_ACCUM_DEPR</stp>
        <stp>FQ4 2010</stp>
        <stp>FQ4 2010</stp>
        <stp>[FA1_m42y3cpi.xlsx]Bal Sheet - Standardized!R25C12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3"/>
      </tp>
      <tp>
        <v>12037</v>
        <stp/>
        <stp>##V3_BDHV12</stp>
        <stp>XOM US Equity</stp>
        <stp>INVTRY_FINISHED_GOODS</stp>
        <stp>FQ4 2015</stp>
        <stp>FQ4 2015</stp>
        <stp>[FA1_m42y3cpi.xlsx]Bal Sheet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3"/>
      </tp>
      <tp>
        <v>4940</v>
        <stp/>
        <stp>##V3_BDHV12</stp>
        <stp>XOM US Equity</stp>
        <stp>CF_NET_INC</stp>
        <stp>FQ1 2015</stp>
        <stp>FQ1 2015</stp>
        <stp>[FA1_m42y3cpi.xlsx]Cash Flow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4"/>
      </tp>
      <tp t="s">
        <v>—</v>
        <stp/>
        <stp>##V3_BDHV12</stp>
        <stp>XOM US Equity</stp>
        <stp>BS_ACCUM_DEPR</stp>
        <stp>FQ1 2018</stp>
        <stp>FQ1 2018</stp>
        <stp>[FA1_m42y3cpi.xlsx]Bal Sheet - Standardized!R25C41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3"/>
      </tp>
      <tp>
        <v>9100</v>
        <stp/>
        <stp>##V3_BDHV12</stp>
        <stp>XOM US Equity</stp>
        <stp>CF_NET_INC</stp>
        <stp>FQ1 2014</stp>
        <stp>FQ1 2014</stp>
        <stp>[FA1_m42y3cpi.xlsx]Cash Flow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4"/>
      </tp>
      <tp>
        <v>8070</v>
        <stp/>
        <stp>##V3_BDHV12</stp>
        <stp>XOM US Equity</stp>
        <stp>CF_NET_INC</stp>
        <stp>FQ3 2014</stp>
        <stp>FQ3 2014</stp>
        <stp>[FA1_m42y3cpi.xlsx]Cash Flow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4"/>
      </tp>
      <tp>
        <v>9950</v>
        <stp/>
        <stp>##V3_BDHV12</stp>
        <stp>XOM US Equity</stp>
        <stp>CF_NET_INC</stp>
        <stp>FQ4 2012</stp>
        <stp>FQ4 2012</stp>
        <stp>[FA1_m42y3cpi.xlsx]Cash Flow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4"/>
      </tp>
      <tp>
        <v>8780</v>
        <stp/>
        <stp>##V3_BDHV12</stp>
        <stp>XOM US Equity</stp>
        <stp>CF_NET_INC</stp>
        <stp>FQ2 2014</stp>
        <stp>FQ2 2014</stp>
        <stp>[FA1_m42y3cpi.xlsx]Cash Flow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4"/>
      </tp>
      <tp>
        <v>17789</v>
        <stp/>
        <stp>##V3_BDHV12</stp>
        <stp>XOM US Equity</stp>
        <stp>EBITDA</stp>
        <stp>FQ3 2011</stp>
        <stp>FQ3 2011</stp>
        <stp>[FA1_m42y3cpi.xlsx]Income - Adjusted!R61C15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1" s="2"/>
      </tp>
      <tp>
        <v>8704</v>
        <stp/>
        <stp>##V3_BDHV12</stp>
        <stp>XOM US Equity</stp>
        <stp>EBITDA</stp>
        <stp>FQ3 2015</stp>
        <stp>FQ3 2015</stp>
        <stp>[FA1_m42y3cpi.xlsx]Income - Adjusted!R61C31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1" s="2"/>
      </tp>
      <tp>
        <v>6860</v>
        <stp/>
        <stp>##V3_BDHV12</stp>
        <stp>XOM US Equity</stp>
        <stp>CF_NET_INC</stp>
        <stp>FQ2 2013</stp>
        <stp>FQ2 2013</stp>
        <stp>[FA1_m42y3cpi.xlsx]Cash Flow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4"/>
      </tp>
      <tp>
        <v>7870</v>
        <stp/>
        <stp>##V3_BDHV12</stp>
        <stp>XOM US Equity</stp>
        <stp>CF_NET_INC</stp>
        <stp>FQ3 2013</stp>
        <stp>FQ3 2013</stp>
        <stp>[FA1_m42y3cpi.xlsx]Cash Flow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4"/>
      </tp>
      <tp>
        <v>9500</v>
        <stp/>
        <stp>##V3_BDHV12</stp>
        <stp>XOM US Equity</stp>
        <stp>CF_NET_INC</stp>
        <stp>FQ1 2013</stp>
        <stp>FQ1 2013</stp>
        <stp>[FA1_m42y3cpi.xlsx]Cash Flow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4"/>
      </tp>
      <tp>
        <v>8350</v>
        <stp/>
        <stp>##V3_BDHV12</stp>
        <stp>XOM US Equity</stp>
        <stp>CF_NET_INC</stp>
        <stp>FQ4 2013</stp>
        <stp>FQ4 2013</stp>
        <stp>[FA1_m42y3cpi.xlsx]Cash Flow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4"/>
      </tp>
      <tp>
        <v>52926</v>
        <stp/>
        <stp>##V3_BDHV12</stp>
        <stp>XOM US Equity</stp>
        <stp>IS_COG_AND_SERVICES_SOLD</stp>
        <stp>FQ1 2018</stp>
        <stp>FQ1 2018</stp>
        <stp>[FA1_m42y3cpi.xlsx]Income - Adjusted!R9C41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9" s="2"/>
      </tp>
      <tp>
        <v>58620</v>
        <stp/>
        <stp>##V3_BDHV12</stp>
        <stp>XOM US Equity</stp>
        <stp>IS_COG_AND_SERVICES_SOLD</stp>
        <stp>FQ2 2018</stp>
        <stp>FQ2 2018</stp>
        <stp>[FA1_m42y3cpi.xlsx]Income - Adjusted!R9C42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9" s="2"/>
      </tp>
      <tp>
        <v>85338</v>
        <stp/>
        <stp>##V3_BDHV12</stp>
        <stp>XOM US Equity</stp>
        <stp>IS_COG_AND_SERVICES_SOLD</stp>
        <stp>FQ2 2012</stp>
        <stp>FQ2 2012</stp>
        <stp>[FA1_m42y3cpi.xlsx]Income - Adjusted!R9C18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9" s="2"/>
      </tp>
      <tp>
        <v>82191</v>
        <stp/>
        <stp>##V3_BDHV12</stp>
        <stp>XOM US Equity</stp>
        <stp>IS_COG_AND_SERVICES_SOLD</stp>
        <stp>FQ3 2012</stp>
        <stp>FQ3 2012</stp>
        <stp>[FA1_m42y3cpi.xlsx]Income - Adjusted!R9C19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9" s="2"/>
      </tp>
      <tp>
        <v>62460</v>
        <stp/>
        <stp>##V3_BDHV12</stp>
        <stp>XOM US Equity</stp>
        <stp>IS_COG_AND_SERVICES_SOLD</stp>
        <stp>FQ4 2014</stp>
        <stp>FQ4 2014</stp>
        <stp>[FA1_m42y3cpi.xlsx]Income - Adjusted!R9C28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9" s="2"/>
      </tp>
      <tp t="s">
        <v>—</v>
        <stp/>
        <stp>##V3_BDHV12</stp>
        <stp>XOM US Equity</stp>
        <stp>BS_OPTIONS_GRANTED</stp>
        <stp>FQ1 2010</stp>
        <stp>FQ1 2010</stp>
        <stp>[FA1_m42y3cpi.xlsx]Bal Sheet - Standardized!R84C9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4" s="3"/>
      </tp>
      <tp>
        <v>37732</v>
        <stp/>
        <stp>##V3_BDHV12</stp>
        <stp>XOM US Equity</stp>
        <stp>BS_OTHER_ASSETS_DEF_CHRG_OTHER</stp>
        <stp>FQ4 2015</stp>
        <stp>FQ4 2015</stp>
        <stp>[FA1_m42y3cpi.xlsx]Bal Sheet - Standardized!R29C32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3"/>
      </tp>
      <tp>
        <v>39825</v>
        <stp/>
        <stp>##V3_BDHV12</stp>
        <stp>XOM US Equity</stp>
        <stp>BS_OTHER_ASSETS_DEF_CHRG_OTHER</stp>
        <stp>FQ4 2016</stp>
        <stp>FQ4 2016</stp>
        <stp>[FA1_m42y3cpi.xlsx]Bal Sheet - Standardized!R29C36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3"/>
      </tp>
      <tp>
        <v>0</v>
        <stp/>
        <stp>##V3_BDHV12</stp>
        <stp>XOM US Equity</stp>
        <stp>IS_NET_ABNORMAL_ITEMS</stp>
        <stp>FQ3 2012</stp>
        <stp>FQ3 2012</stp>
        <stp>[FA1_m42y3cpi.xlsx]Income - Adjusted!R46C19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6" s="2"/>
      </tp>
      <tp>
        <v>0</v>
        <stp/>
        <stp>##V3_BDHV12</stp>
        <stp>XOM US Equity</stp>
        <stp>IS_NET_ABNORMAL_ITEMS</stp>
        <stp>FQ1 2013</stp>
        <stp>FQ1 2013</stp>
        <stp>[FA1_m42y3cpi.xlsx]Income - Adjusted!R46C21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6" s="2"/>
      </tp>
      <tp>
        <v>18177</v>
        <stp/>
        <stp>##V3_BDHV12</stp>
        <stp>XOM US Equity</stp>
        <stp>BS_INVENTORIES</stp>
        <stp>FQ2 2014</stp>
        <stp>FQ2 2014</stp>
        <stp>[FA1_m42y3cpi.xlsx]Bal Sheet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3"/>
      </tp>
      <tp>
        <v>15342</v>
        <stp/>
        <stp>##V3_BDHV12</stp>
        <stp>XOM US Equity</stp>
        <stp>BS_INVENTORIES</stp>
        <stp>FQ3 2016</stp>
        <stp>FQ3 2016</stp>
        <stp>[FA1_m42y3cpi.xlsx]Bal Sheet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3"/>
      </tp>
      <tp>
        <v>7714</v>
        <stp/>
        <stp>##V3_BDHV12</stp>
        <stp>XOM US Equity</stp>
        <stp>BS_FUTURE_MIN_OPER_LEASE_OBLIG</stp>
        <stp>FQ4 2010</stp>
        <stp>FQ4 2010</stp>
        <stp>[FA1_m42y3cpi.xlsx]Bal Sheet - Standardized!R82C12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2" s="3"/>
      </tp>
      <tp>
        <v>16992</v>
        <stp/>
        <stp>##V3_BDHV12</stp>
        <stp>XOM US Equity</stp>
        <stp>BS_INVENTORIES</stp>
        <stp>FQ4 2017</stp>
        <stp>FQ4 2017</stp>
        <stp>[FA1_m42y3cpi.xlsx]Bal Sheet - Standardized!R13C40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3" s="3"/>
      </tp>
      <tp>
        <v>16262</v>
        <stp/>
        <stp>##V3_BDHV12</stp>
        <stp>XOM US Equity</stp>
        <stp>BS_INVENTORIES</stp>
        <stp>FQ1 2011</stp>
        <stp>FQ1 2011</stp>
        <stp>[FA1_m42y3cpi.xlsx]Bal Sheet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3"/>
      </tp>
      <tp>
        <v>17197</v>
        <stp/>
        <stp>##V3_BDHV12</stp>
        <stp>XOM US Equity</stp>
        <stp>BS_INVENTORIES</stp>
        <stp>FQ2 2013</stp>
        <stp>FQ2 2013</stp>
        <stp>[FA1_m42y3cpi.xlsx]Bal Sheet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3"/>
      </tp>
      <tp>
        <v>14749</v>
        <stp/>
        <stp>##V3_BDHV12</stp>
        <stp>XOM US Equity</stp>
        <stp>BS_INVENTORIES</stp>
        <stp>FQ1 2012</stp>
        <stp>FQ1 2012</stp>
        <stp>[FA1_m42y3cpi.xlsx]Bal Sheet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3"/>
      </tp>
      <tp>
        <v>7807</v>
        <stp/>
        <stp>##V3_BDHV12</stp>
        <stp>XOM US Equity</stp>
        <stp>BS_FUTURE_MIN_OPER_LEASE_OBLIG</stp>
        <stp>FQ4 2011</stp>
        <stp>FQ4 2011</stp>
        <stp>[FA1_m42y3cpi.xlsx]Bal Sheet - Standardized!R82C16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2" s="3"/>
      </tp>
      <tp>
        <v>16584</v>
        <stp/>
        <stp>##V3_BDHV12</stp>
        <stp>XOM US Equity</stp>
        <stp>BS_INVENTORIES</stp>
        <stp>FQ3 2015</stp>
        <stp>FQ3 2015</stp>
        <stp>[FA1_m42y3cpi.xlsx]Bal Sheet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3"/>
      </tp>
      <tp>
        <v>16743</v>
        <stp/>
        <stp>##V3_BDHV12</stp>
        <stp>XOM US Equity</stp>
        <stp>BS_INVENTORIES</stp>
        <stp>FQ3 2017</stp>
        <stp>FQ3 2017</stp>
        <stp>[FA1_m42y3cpi.xlsx]Bal Sheet - Standardized!R13C39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3" s="3"/>
      </tp>
      <tp t="s">
        <v>—</v>
        <stp/>
        <stp>##V3_BDHV12</stp>
        <stp>XOM US Equity</stp>
        <stp>BS_FUTURE_MIN_OPER_LEASE_OBLIG</stp>
        <stp>FQ1 2018</stp>
        <stp>FQ1 2018</stp>
        <stp>[FA1_m42y3cpi.xlsx]Bal Sheet - Standardized!R82C41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2" s="3"/>
      </tp>
      <tp>
        <v>4605</v>
        <stp/>
        <stp>##V3_BDHV12</stp>
        <stp>XOM US Equity</stp>
        <stp>IS_D&amp;A_COST_OF_REVENUE</stp>
        <stp>FQ3 2016</stp>
        <stp>FQ3 2016</stp>
        <stp>[FA1_m42y3cpi.xlsx]Income - Adjusted!R10C35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0" s="2"/>
      </tp>
      <tp>
        <v>4362</v>
        <stp/>
        <stp>##V3_BDHV12</stp>
        <stp>XOM US Equity</stp>
        <stp>IS_D&amp;A_COST_OF_REVENUE</stp>
        <stp>FQ3 2014</stp>
        <stp>FQ3 2014</stp>
        <stp>[FA1_m42y3cpi.xlsx]Income - Adjusted!R10C27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>
        <v>12.1363</v>
        <stp/>
        <stp>##V3_BDHV12</stp>
        <stp>XOM US Equity</stp>
        <stp>OPER_MARGIN</stp>
        <stp>FQ4 2008</stp>
        <stp>FQ4 2008</stp>
        <stp>[FA1_m42y3cpi.xlsx]Income - Adjusted!R66C4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66" s="2"/>
      </tp>
      <tp>
        <v>17.3993</v>
        <stp/>
        <stp>##V3_BDHV12</stp>
        <stp>XOM US Equity</stp>
        <stp>OPER_MARGIN</stp>
        <stp>FQ3 2008</stp>
        <stp>FQ3 2008</stp>
        <stp>[FA1_m42y3cpi.xlsx]Income - Adjusted!R66C3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66" s="2"/>
      </tp>
      <tp t="s">
        <v>—</v>
        <stp/>
        <stp>##V3_BDHV12</stp>
        <stp>XOM US Equity</stp>
        <stp>IS_GAIN_LOSS_DISPOSAL_ASSETS</stp>
        <stp>FQ3 2008</stp>
        <stp>FQ3 2008</stp>
        <stp>[FA1_m42y3cpi.xlsx]Income - Adjusted!R27C3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2"/>
      </tp>
      <tp t="s">
        <v>—</v>
        <stp/>
        <stp>##V3_BDHV12</stp>
        <stp>XOM US Equity</stp>
        <stp>IS_GAIN_LOSS_DISPOSAL_ASSETS</stp>
        <stp>FQ3 2009</stp>
        <stp>FQ3 2009</stp>
        <stp>[FA1_m42y3cpi.xlsx]Income - Adjusted!R27C7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2"/>
      </tp>
      <tp t="s">
        <v>—</v>
        <stp/>
        <stp>##V3_BDHV12</stp>
        <stp>XOM US Equity</stp>
        <stp>BS_ACCTS_REC_EXCL_NOTES_REC</stp>
        <stp>FQ2 2009</stp>
        <stp>FQ2 2009</stp>
        <stp>[FA1_m42y3cpi.xlsx]Bal Sheet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3"/>
      </tp>
      <tp t="s">
        <v>—</v>
        <stp/>
        <stp>##V3_BDHV12</stp>
        <stp>XOM US Equity</stp>
        <stp>BS_ACCTS_REC_EXCL_NOTES_REC</stp>
        <stp>FQ3 2009</stp>
        <stp>FQ3 2009</stp>
        <stp>[FA1_m42y3cpi.xlsx]Bal Sheet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3"/>
      </tp>
      <tp t="s">
        <v>—</v>
        <stp/>
        <stp>##V3_BDHV12</stp>
        <stp>XOM US Equity</stp>
        <stp>BS_ACCTS_REC_EXCL_NOTES_REC</stp>
        <stp>FQ1 2009</stp>
        <stp>FQ1 2009</stp>
        <stp>[FA1_m42y3cpi.xlsx]Bal Sheet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3"/>
      </tp>
      <tp t="s">
        <v>—</v>
        <stp/>
        <stp>##V3_BDHV12</stp>
        <stp>XOM US Equity</stp>
        <stp>BS_ACCTS_REC_EXCL_NOTES_REC</stp>
        <stp>FQ4 2008</stp>
        <stp>FQ4 2008</stp>
        <stp>[FA1_m42y3cpi.xlsx]Bal Sheet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3"/>
      </tp>
      <tp t="s">
        <v>—</v>
        <stp/>
        <stp>##V3_BDHV12</stp>
        <stp>XOM US Equity</stp>
        <stp>BS_ACCTS_REC_EXCL_NOTES_REC</stp>
        <stp>FQ3 2008</stp>
        <stp>FQ3 2008</stp>
        <stp>[FA1_m42y3cpi.xlsx]Bal Sheet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3"/>
      </tp>
      <tp>
        <v>22186</v>
        <stp/>
        <stp>##V3_BDHV12</stp>
        <stp>XOM US Equity</stp>
        <stp>BS_ACCTS_REC_EXCL_NOTES_REC</stp>
        <stp>FQ4 2009</stp>
        <stp>FQ4 2009</stp>
        <stp>[FA1_m42y3cpi.xlsx]Bal Sheet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3"/>
      </tp>
      <tp t="s">
        <v>—</v>
        <stp/>
        <stp>##V3_BDHV12</stp>
        <stp>XOM US Equity</stp>
        <stp>BS_ACCTS_REC_EXCL_NOTES_REC</stp>
        <stp>FQ1 2010</stp>
        <stp>FQ1 2010</stp>
        <stp>[FA1_m42y3cpi.xlsx]Bal Sheet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3"/>
      </tp>
      <tp>
        <v>17320</v>
        <stp/>
        <stp>##V3_BDHV12</stp>
        <stp>XOM US Equity</stp>
        <stp>PRETAX_INC</stp>
        <stp>FQ3 2012</stp>
        <stp>FQ3 2012</stp>
        <stp>[FA1_m42y3cpi.xlsx]Income - Adjusted!R32C19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32" s="2"/>
      </tp>
      <tp>
        <v>10836</v>
        <stp/>
        <stp>##V3_BDHV12</stp>
        <stp>XOM US Equity</stp>
        <stp>INVTRY_FINISHED_GOODS</stp>
        <stp>FQ4 2012</stp>
        <stp>FQ4 2012</stp>
        <stp>[FA1_m42y3cpi.xlsx]Bal Sheet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3"/>
      </tp>
      <tp>
        <v>7350</v>
        <stp/>
        <stp>##V3_BDHV12</stp>
        <stp>XOM US Equity</stp>
        <stp>NET_INCOME</stp>
        <stp>FQ3 2010</stp>
        <stp>FQ3 2010</stp>
        <stp>[FA1_m42y3cpi.xlsx]Income - Adjusted!R40C11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40" s="2"/>
      </tp>
      <tp>
        <v>6860</v>
        <stp/>
        <stp>##V3_BDHV12</stp>
        <stp>XOM US Equity</stp>
        <stp>NET_INCOME</stp>
        <stp>FQ2 2013</stp>
        <stp>FQ2 2013</stp>
        <stp>[FA1_m42y3cpi.xlsx]Income - Adjusted!R40C22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40" s="2"/>
      </tp>
      <tp>
        <v>9100</v>
        <stp/>
        <stp>##V3_BDHV12</stp>
        <stp>XOM US Equity</stp>
        <stp>NET_INCOME</stp>
        <stp>FQ1 2014</stp>
        <stp>FQ1 2014</stp>
        <stp>[FA1_m42y3cpi.xlsx]Income - Adjusted!R40C25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40" s="2"/>
      </tp>
      <tp>
        <v>3350</v>
        <stp/>
        <stp>##V3_BDHV12</stp>
        <stp>XOM US Equity</stp>
        <stp>CF_NET_INC</stp>
        <stp>FQ2 2017</stp>
        <stp>FQ2 2017</stp>
        <stp>[FA1_m42y3cpi.xlsx]Cash Flow - Standardized!R7C38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" s="4"/>
      </tp>
      <tp>
        <v>3970</v>
        <stp/>
        <stp>##V3_BDHV12</stp>
        <stp>XOM US Equity</stp>
        <stp>CF_NET_INC</stp>
        <stp>FQ3 2017</stp>
        <stp>FQ3 2017</stp>
        <stp>[FA1_m42y3cpi.xlsx]Cash Flow - Standardized!R7C39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" s="4"/>
      </tp>
      <tp>
        <v>12117</v>
        <stp/>
        <stp>##V3_BDHV12</stp>
        <stp>XOM US Equity</stp>
        <stp>INVTRY_FINISHED_GOODS</stp>
        <stp>FQ4 2013</stp>
        <stp>FQ4 2013</stp>
        <stp>[FA1_m42y3cpi.xlsx]Bal Sheet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3"/>
      </tp>
      <tp>
        <v>2780</v>
        <stp/>
        <stp>##V3_BDHV12</stp>
        <stp>XOM US Equity</stp>
        <stp>CF_NET_INC</stp>
        <stp>FQ4 2015</stp>
        <stp>FQ4 2015</stp>
        <stp>[FA1_m42y3cpi.xlsx]Cash Flow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4"/>
      </tp>
      <tp>
        <v>2650</v>
        <stp/>
        <stp>##V3_BDHV12</stp>
        <stp>XOM US Equity</stp>
        <stp>CF_NET_INC</stp>
        <stp>FQ3 2016</stp>
        <stp>FQ3 2016</stp>
        <stp>[FA1_m42y3cpi.xlsx]Cash Flow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4"/>
      </tp>
      <tp>
        <v>1700</v>
        <stp/>
        <stp>##V3_BDHV12</stp>
        <stp>XOM US Equity</stp>
        <stp>CF_NET_INC</stp>
        <stp>FQ2 2016</stp>
        <stp>FQ2 2016</stp>
        <stp>[FA1_m42y3cpi.xlsx]Cash Flow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4"/>
      </tp>
      <tp>
        <v>4010</v>
        <stp/>
        <stp>##V3_BDHV12</stp>
        <stp>XOM US Equity</stp>
        <stp>CF_NET_INC</stp>
        <stp>FQ1 2017</stp>
        <stp>FQ1 2017</stp>
        <stp>[FA1_m42y3cpi.xlsx]Cash Flow - Standardized!R7C37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" s="4"/>
      </tp>
      <tp>
        <v>18453</v>
        <stp/>
        <stp>##V3_BDHV12</stp>
        <stp>XOM US Equity</stp>
        <stp>EBITDA</stp>
        <stp>FQ2 2011</stp>
        <stp>FQ2 2011</stp>
        <stp>[FA1_m42y3cpi.xlsx]Income - Adjusted!R61C14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1" s="2"/>
      </tp>
      <tp>
        <v>8737</v>
        <stp/>
        <stp>##V3_BDHV12</stp>
        <stp>XOM US Equity</stp>
        <stp>EBITDA</stp>
        <stp>FQ2 2015</stp>
        <stp>FQ2 2015</stp>
        <stp>[FA1_m42y3cpi.xlsx]Income - Adjusted!R61C30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1" s="2"/>
      </tp>
      <tp>
        <v>16600</v>
        <stp/>
        <stp>##V3_BDHV12</stp>
        <stp>XOM US Equity</stp>
        <stp>EBITDA</stp>
        <stp>FQ1 2012</stp>
        <stp>FQ1 2012</stp>
        <stp>[FA1_m42y3cpi.xlsx]Income - Adjusted!R61C17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1" s="2"/>
      </tp>
      <tp>
        <v>4970</v>
        <stp/>
        <stp>##V3_BDHV12</stp>
        <stp>XOM US Equity</stp>
        <stp>EBITDA</stp>
        <stp>FQ1 2016</stp>
        <stp>FQ1 2016</stp>
        <stp>[FA1_m42y3cpi.xlsx]Income - Adjusted!R61C33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1" s="2"/>
      </tp>
      <tp>
        <v>12384</v>
        <stp/>
        <stp>##V3_BDHV12</stp>
        <stp>XOM US Equity</stp>
        <stp>INVTRY_FINISHED_GOODS</stp>
        <stp>FQ4 2014</stp>
        <stp>FQ4 2014</stp>
        <stp>[FA1_m42y3cpi.xlsx]Bal Sheet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3"/>
      </tp>
      <tp>
        <v>14373</v>
        <stp/>
        <stp>##V3_BDHV12</stp>
        <stp>XOM US Equity</stp>
        <stp>INVTRY_FINISHED_GOODS</stp>
        <stp>FQ2 2018</stp>
        <stp>FQ2 2018</stp>
        <stp>[FA1_m42y3cpi.xlsx]Bal Sheet - Standardized!R16C42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6" s="3"/>
      </tp>
      <tp>
        <v>1680</v>
        <stp/>
        <stp>##V3_BDHV12</stp>
        <stp>XOM US Equity</stp>
        <stp>CF_NET_INC</stp>
        <stp>FQ4 2016</stp>
        <stp>FQ4 2016</stp>
        <stp>[FA1_m42y3cpi.xlsx]Cash Flow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4"/>
      </tp>
      <tp>
        <v>4190</v>
        <stp/>
        <stp>##V3_BDHV12</stp>
        <stp>XOM US Equity</stp>
        <stp>CF_NET_INC</stp>
        <stp>FQ2 2015</stp>
        <stp>FQ2 2015</stp>
        <stp>[FA1_m42y3cpi.xlsx]Cash Flow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4"/>
      </tp>
      <tp>
        <v>1810</v>
        <stp/>
        <stp>##V3_BDHV12</stp>
        <stp>XOM US Equity</stp>
        <stp>CF_NET_INC</stp>
        <stp>FQ1 2016</stp>
        <stp>FQ1 2016</stp>
        <stp>[FA1_m42y3cpi.xlsx]Cash Flow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4"/>
      </tp>
      <tp>
        <v>4240</v>
        <stp/>
        <stp>##V3_BDHV12</stp>
        <stp>XOM US Equity</stp>
        <stp>CF_NET_INC</stp>
        <stp>FQ3 2015</stp>
        <stp>FQ3 2015</stp>
        <stp>[FA1_m42y3cpi.xlsx]Cash Flow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4"/>
      </tp>
      <tp>
        <v>0</v>
        <stp/>
        <stp>##V3_BDHV12</stp>
        <stp>XOM US Equity</stp>
        <stp>INVTRY_IN_PROGRESS</stp>
        <stp>FQ4 2009</stp>
        <stp>FQ4 2009</stp>
        <stp>[FA1_m42y3cpi.xlsx]Bal Sheet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0</v>
        <stp/>
        <stp>##V3_BDHV12</stp>
        <stp>XOM US Equity</stp>
        <stp>INVTRY_IN_PROGRESS</stp>
        <stp>FQ1 2010</stp>
        <stp>FQ1 2010</stp>
        <stp>[FA1_m42y3cpi.xlsx]Bal Sheet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3"/>
      </tp>
      <tp>
        <v>0</v>
        <stp/>
        <stp>##V3_BDHV12</stp>
        <stp>XOM US Equity</stp>
        <stp>INVTRY_IN_PROGRESS</stp>
        <stp>FQ2 2009</stp>
        <stp>FQ2 2009</stp>
        <stp>[FA1_m42y3cpi.xlsx]Bal Sheet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3"/>
      </tp>
      <tp>
        <v>0</v>
        <stp/>
        <stp>##V3_BDHV12</stp>
        <stp>XOM US Equity</stp>
        <stp>INVTRY_IN_PROGRESS</stp>
        <stp>FQ3 2009</stp>
        <stp>FQ3 2009</stp>
        <stp>[FA1_m42y3cpi.xlsx]Bal Sheet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3"/>
      </tp>
      <tp>
        <v>0</v>
        <stp/>
        <stp>##V3_BDHV12</stp>
        <stp>XOM US Equity</stp>
        <stp>INVTRY_IN_PROGRESS</stp>
        <stp>FQ1 2009</stp>
        <stp>FQ1 2009</stp>
        <stp>[FA1_m42y3cpi.xlsx]Bal Sheet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3"/>
      </tp>
      <tp>
        <v>0</v>
        <stp/>
        <stp>##V3_BDHV12</stp>
        <stp>XOM US Equity</stp>
        <stp>INVTRY_IN_PROGRESS</stp>
        <stp>FQ3 2008</stp>
        <stp>FQ3 2008</stp>
        <stp>[FA1_m42y3cpi.xlsx]Bal Sheet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0</v>
        <stp/>
        <stp>##V3_BDHV12</stp>
        <stp>XOM US Equity</stp>
        <stp>INVTRY_IN_PROGRESS</stp>
        <stp>FQ4 2008</stp>
        <stp>FQ4 2008</stp>
        <stp>[FA1_m42y3cpi.xlsx]Bal Sheet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37617</v>
        <stp/>
        <stp>##V3_BDHV12</stp>
        <stp>XOM US Equity</stp>
        <stp>BS_OTHER_ASSETS_DEF_CHRG_OTHER</stp>
        <stp>FQ4 2013</stp>
        <stp>FQ4 2013</stp>
        <stp>[FA1_m42y3cpi.xlsx]Bal Sheet - Standardized!R29C24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3"/>
      </tp>
      <tp>
        <v>-7500</v>
        <stp/>
        <stp>##V3_BDHV12</stp>
        <stp>XOM US Equity</stp>
        <stp>IS_NET_ABNORMAL_ITEMS</stp>
        <stp>FQ2 2012</stp>
        <stp>FQ2 2012</stp>
        <stp>[FA1_m42y3cpi.xlsx]Income - Adjusted!R46C18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6" s="2"/>
      </tp>
      <tp>
        <v>36157</v>
        <stp/>
        <stp>##V3_BDHV12</stp>
        <stp>XOM US Equity</stp>
        <stp>BS_OTHER_ASSETS_DEF_CHRG_OTHER</stp>
        <stp>FQ4 2012</stp>
        <stp>FQ4 2012</stp>
        <stp>[FA1_m42y3cpi.xlsx]Bal Sheet - Standardized!R29C20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3"/>
      </tp>
      <tp>
        <v>38511</v>
        <stp/>
        <stp>##V3_BDHV12</stp>
        <stp>XOM US Equity</stp>
        <stp>BS_OTHER_ASSETS_DEF_CHRG_OTHER</stp>
        <stp>FQ4 2014</stp>
        <stp>FQ4 2014</stp>
        <stp>[FA1_m42y3cpi.xlsx]Bal Sheet - Standardized!R29C28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3"/>
      </tp>
      <tp>
        <v>50026</v>
        <stp/>
        <stp>##V3_BDHV12</stp>
        <stp>XOM US Equity</stp>
        <stp>BS_OTHER_ASSETS_DEF_CHRG_OTHER</stp>
        <stp>FQ2 2018</stp>
        <stp>FQ2 2018</stp>
        <stp>[FA1_m42y3cpi.xlsx]Bal Sheet - Standardized!R29C42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9" s="3"/>
      </tp>
      <tp>
        <v>2027</v>
        <stp/>
        <stp>##V3_BDHV12</stp>
        <stp>XOM US Equity</stp>
        <stp>IS_NET_ABNORMAL_ITEMS</stp>
        <stp>FQ4 2016</stp>
        <stp>FQ4 2016</stp>
        <stp>[FA1_m42y3cpi.xlsx]Income - Adjusted!R46C36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6" s="2"/>
      </tp>
      <tp>
        <v>0</v>
        <stp/>
        <stp>##V3_BDHV12</stp>
        <stp>XOM US Equity</stp>
        <stp>IS_NET_ABNORMAL_ITEMS</stp>
        <stp>FQ1 2011</stp>
        <stp>FQ1 2011</stp>
        <stp>[FA1_m42y3cpi.xlsx]Income - Adjusted!R46C13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6" s="2"/>
      </tp>
      <tp>
        <v>17761</v>
        <stp/>
        <stp>##V3_BDHV12</stp>
        <stp>XOM US Equity</stp>
        <stp>BS_INVENTORIES</stp>
        <stp>FQ3 2014</stp>
        <stp>FQ3 2014</stp>
        <stp>[FA1_m42y3cpi.xlsx]Bal Sheet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3"/>
      </tp>
      <tp>
        <v>15875</v>
        <stp/>
        <stp>##V3_BDHV12</stp>
        <stp>XOM US Equity</stp>
        <stp>BS_INVENTORIES</stp>
        <stp>FQ2 2016</stp>
        <stp>FQ2 2016</stp>
        <stp>[FA1_m42y3cpi.xlsx]Bal Sheet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3"/>
      </tp>
      <tp>
        <v>16867</v>
        <stp/>
        <stp>##V3_BDHV12</stp>
        <stp>XOM US Equity</stp>
        <stp>BS_INVENTORIES</stp>
        <stp>FQ3 2013</stp>
        <stp>FQ3 2013</stp>
        <stp>[FA1_m42y3cpi.xlsx]Bal Sheet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3"/>
      </tp>
      <tp>
        <v>16663</v>
        <stp/>
        <stp>##V3_BDHV12</stp>
        <stp>XOM US Equity</stp>
        <stp>BS_INVENTORIES</stp>
        <stp>FQ2 2015</stp>
        <stp>FQ2 2015</stp>
        <stp>[FA1_m42y3cpi.xlsx]Bal Sheet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3"/>
      </tp>
      <tp>
        <v>15305</v>
        <stp/>
        <stp>##V3_BDHV12</stp>
        <stp>XOM US Equity</stp>
        <stp>BS_INVENTORIES</stp>
        <stp>FQ2 2017</stp>
        <stp>FQ2 2017</stp>
        <stp>[FA1_m42y3cpi.xlsx]Bal Sheet - Standardized!R13C38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3" s="3"/>
      </tp>
      <tp>
        <v>62633</v>
        <stp/>
        <stp>##V3_BDHV12</stp>
        <stp>XOM US Equity</stp>
        <stp>BS_CUR_LIAB</stp>
        <stp>FQ4 2010</stp>
        <stp>FQ4 2010</stp>
        <stp>[FA1_m42y3cpi.xlsx]Bal Sheet - Standardized!R55C12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5" s="3"/>
      </tp>
      <tp>
        <v>4716</v>
        <stp/>
        <stp>##V3_BDHV12</stp>
        <stp>XOM US Equity</stp>
        <stp>IS_SH_FOR_DILUTED_EPS</stp>
        <stp>FQ1 2012</stp>
        <stp>FQ1 2012</stp>
        <stp>[FA1_m42y3cpi.xlsx]Per Share!R7C17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5"/>
      </tp>
      <tp>
        <v>3761</v>
        <stp/>
        <stp>##V3_BDHV12</stp>
        <stp>XOM US Equity</stp>
        <stp>IS_D&amp;A_COST_OF_REVENUE</stp>
        <stp>FQ1 2011</stp>
        <stp>FQ1 2011</stp>
        <stp>[FA1_m42y3cpi.xlsx]Income - Adjusted!R10C13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>
        <v>4110</v>
        <stp/>
        <stp>##V3_BDHV12</stp>
        <stp>XOM US Equity</stp>
        <stp>IS_D&amp;A_COST_OF_REVENUE</stp>
        <stp>FQ1 2013</stp>
        <stp>FQ1 2013</stp>
        <stp>[FA1_m42y3cpi.xlsx]Income - Adjusted!R10C21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>
        <v>4821</v>
        <stp/>
        <stp>##V3_BDHV12</stp>
        <stp>XOM US Equity</stp>
        <stp>IS_D&amp;A_COST_OF_REVENUE</stp>
        <stp>FQ2 2016</stp>
        <stp>FQ2 2016</stp>
        <stp>[FA1_m42y3cpi.xlsx]Income - Adjusted!R10C34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0" s="2"/>
      </tp>
      <tp>
        <v>4285</v>
        <stp/>
        <stp>##V3_BDHV12</stp>
        <stp>XOM US Equity</stp>
        <stp>IS_D&amp;A_COST_OF_REVENUE</stp>
        <stp>FQ2 2014</stp>
        <stp>FQ2 2014</stp>
        <stp>[FA1_m42y3cpi.xlsx]Income - Adjusted!R10C26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>
        <v>4270</v>
        <stp/>
        <stp>##V3_BDHV12</stp>
        <stp>XOM US Equity</stp>
        <stp>IS_D&amp;A_COST_OF_REVENUE</stp>
        <stp>FQ4 2010</stp>
        <stp>FQ4 2010</stp>
        <stp>[FA1_m42y3cpi.xlsx]Income - Adjusted!R10C12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>
        <v>4110</v>
        <stp/>
        <stp>##V3_BDHV12</stp>
        <stp>XOM US Equity</stp>
        <stp>IS_D&amp;A_COST_OF_REVENUE</stp>
        <stp>FQ4 2012</stp>
        <stp>FQ4 2012</stp>
        <stp>[FA1_m42y3cpi.xlsx]Income - Adjusted!R10C20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>
        <v>4176</v>
        <stp/>
        <stp>##V3_BDHV12</stp>
        <stp>XOM US Equity</stp>
        <stp>IS_SH_FOR_DILUTED_EPS</stp>
        <stp>FQ4 2016</stp>
        <stp>FQ4 2016</stp>
        <stp>[FA1_m42y3cpi.xlsx]Per Share!R7C36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5"/>
      </tp>
      <tp>
        <v>4178</v>
        <stp/>
        <stp>##V3_BDHV12</stp>
        <stp>XOM US Equity</stp>
        <stp>IS_SH_FOR_DILUTED_EPS</stp>
        <stp>FQ1 2016</stp>
        <stp>FQ1 2016</stp>
        <stp>[FA1_m42y3cpi.xlsx]Per Share!R7C33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5"/>
      </tp>
      <tp>
        <v>77505</v>
        <stp/>
        <stp>##V3_BDHV12</stp>
        <stp>XOM US Equity</stp>
        <stp>BS_CUR_LIAB</stp>
        <stp>FQ4 2011</stp>
        <stp>FQ4 2011</stp>
        <stp>[FA1_m42y3cpi.xlsx]Bal Sheet - Standardized!R55C16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5" s="3"/>
      </tp>
      <tp>
        <v>1.27</v>
        <stp/>
        <stp>##V3_BDHV12</stp>
        <stp>XOM US Equity</stp>
        <stp>IS_BASIC_EPS_CONT_OPS</stp>
        <stp>FQ4 2009</stp>
        <stp>FQ4 2009</stp>
        <stp>[FA1_m42y3cpi.xlsx]Per Share!R16C8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6" s="5"/>
      </tp>
      <tp>
        <v>9.3826000000000001</v>
        <stp/>
        <stp>##V3_BDHV12</stp>
        <stp>XOM US Equity</stp>
        <stp>OPER_MARGIN</stp>
        <stp>FQ4 2009</stp>
        <stp>FQ4 2009</stp>
        <stp>[FA1_m42y3cpi.xlsx]Income - Adjusted!R66C8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66" s="2"/>
      </tp>
      <tp>
        <v>8.4457000000000004</v>
        <stp/>
        <stp>##V3_BDHV12</stp>
        <stp>XOM US Equity</stp>
        <stp>OPER_MARGIN</stp>
        <stp>FQ2 2009</stp>
        <stp>FQ2 2009</stp>
        <stp>[FA1_m42y3cpi.xlsx]Income - Adjusted!R66C6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66" s="2"/>
      </tp>
      <tp>
        <v>9.6827000000000005</v>
        <stp/>
        <stp>##V3_BDHV12</stp>
        <stp>XOM US Equity</stp>
        <stp>OPER_MARGIN</stp>
        <stp>FQ3 2009</stp>
        <stp>FQ3 2009</stp>
        <stp>[FA1_m42y3cpi.xlsx]Income - Adjusted!R66C7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66" s="2"/>
      </tp>
      <tp>
        <v>10.773400000000001</v>
        <stp/>
        <stp>##V3_BDHV12</stp>
        <stp>XOM US Equity</stp>
        <stp>OPER_MARGIN</stp>
        <stp>FQ1 2009</stp>
        <stp>FQ1 2009</stp>
        <stp>[FA1_m42y3cpi.xlsx]Income - Adjusted!R66C5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66" s="2"/>
      </tp>
      <tp t="s">
        <v>—</v>
        <stp/>
        <stp>##V3_BDHV12</stp>
        <stp>XOM US Equity</stp>
        <stp>IS_GAIN_LOSS_DISPOSAL_ASSETS</stp>
        <stp>FQ2 2009</stp>
        <stp>FQ2 2009</stp>
        <stp>[FA1_m42y3cpi.xlsx]Income - Adjusted!R27C6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2"/>
      </tp>
      <tp>
        <v>60306</v>
        <stp/>
        <stp>##V3_BDHV12</stp>
        <stp>XOM US Equity</stp>
        <stp>BS_CUR_LIAB</stp>
        <stp>FQ1 2018</stp>
        <stp>FQ1 2018</stp>
        <stp>[FA1_m42y3cpi.xlsx]Bal Sheet - Standardized!R55C41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5" s="3"/>
      </tp>
      <tp>
        <v>49.534799999999997</v>
        <stp/>
        <stp>##V3_BDHV12</stp>
        <stp>XOM US Equity</stp>
        <stp>TCE_RATIO</stp>
        <stp>FQ4 2008</stp>
        <stp>FQ4 2008</stp>
        <stp>[FA1_m42y3cpi.xlsx]Bal Sheet - Standardized!R88C4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8" s="3"/>
      </tp>
      <tp>
        <v>4176</v>
        <stp/>
        <stp>##V3_BDHV12</stp>
        <stp>XOM US Equity</stp>
        <stp>IS_AVG_NUM_SH_FOR_EPS</stp>
        <stp>FQ4 2016</stp>
        <stp>FQ4 2016</stp>
        <stp>[FA1_m42y3cpi.xlsx]Per Share!R8C36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5"/>
      </tp>
      <tp>
        <v>4178</v>
        <stp/>
        <stp>##V3_BDHV12</stp>
        <stp>XOM US Equity</stp>
        <stp>IS_AVG_NUM_SH_FOR_EPS</stp>
        <stp>FQ1 2016</stp>
        <stp>FQ1 2016</stp>
        <stp>[FA1_m42y3cpi.xlsx]Per Share!R8C33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5"/>
      </tp>
      <tp>
        <v>48.898200000000003</v>
        <stp/>
        <stp>##V3_BDHV12</stp>
        <stp>XOM US Equity</stp>
        <stp>TCE_RATIO</stp>
        <stp>FQ3 2008</stp>
        <stp>FQ3 2008</stp>
        <stp>[FA1_m42y3cpi.xlsx]Bal Sheet - Standardized!R88C3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8" s="3"/>
      </tp>
      <tp>
        <v>4715</v>
        <stp/>
        <stp>##V3_BDHV12</stp>
        <stp>XOM US Equity</stp>
        <stp>IS_AVG_NUM_SH_FOR_EPS</stp>
        <stp>FQ1 2012</stp>
        <stp>FQ1 2012</stp>
        <stp>[FA1_m42y3cpi.xlsx]Per Share!R8C17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5"/>
      </tp>
      <tp>
        <v>9852</v>
        <stp/>
        <stp>##V3_BDHV12</stp>
        <stp>XOM US Equity</stp>
        <stp>INVTRY_FINISHED_GOODS</stp>
        <stp>FQ4 2010</stp>
        <stp>FQ4 2010</stp>
        <stp>[FA1_m42y3cpi.xlsx]Bal Sheet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3"/>
      </tp>
      <tp>
        <v>9250</v>
        <stp/>
        <stp>##V3_BDHV12</stp>
        <stp>XOM US Equity</stp>
        <stp>NET_INCOME</stp>
        <stp>FQ4 2010</stp>
        <stp>FQ4 2010</stp>
        <stp>[FA1_m42y3cpi.xlsx]Income - Adjusted!R40C12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40" s="2"/>
      </tp>
      <tp>
        <v>9950</v>
        <stp/>
        <stp>##V3_BDHV12</stp>
        <stp>XOM US Equity</stp>
        <stp>NET_INCOME</stp>
        <stp>FQ4 2012</stp>
        <stp>FQ4 2012</stp>
        <stp>[FA1_m42y3cpi.xlsx]Income - Adjusted!R40C20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40" s="2"/>
      </tp>
      <tp>
        <v>1700</v>
        <stp/>
        <stp>##V3_BDHV12</stp>
        <stp>XOM US Equity</stp>
        <stp>NET_INCOME</stp>
        <stp>FQ2 2016</stp>
        <stp>FQ2 2016</stp>
        <stp>[FA1_m42y3cpi.xlsx]Income - Adjusted!R40C34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40" s="2"/>
      </tp>
      <tp>
        <v>8780</v>
        <stp/>
        <stp>##V3_BDHV12</stp>
        <stp>XOM US Equity</stp>
        <stp>NET_INCOME</stp>
        <stp>FQ2 2014</stp>
        <stp>FQ2 2014</stp>
        <stp>[FA1_m42y3cpi.xlsx]Income - Adjusted!R40C26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40" s="2"/>
      </tp>
      <tp>
        <v>10650</v>
        <stp/>
        <stp>##V3_BDHV12</stp>
        <stp>XOM US Equity</stp>
        <stp>NET_INCOME</stp>
        <stp>FQ1 2011</stp>
        <stp>FQ1 2011</stp>
        <stp>[FA1_m42y3cpi.xlsx]Income - Adjusted!R40C13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40" s="2"/>
      </tp>
      <tp>
        <v>9500</v>
        <stp/>
        <stp>##V3_BDHV12</stp>
        <stp>XOM US Equity</stp>
        <stp>NET_INCOME</stp>
        <stp>FQ1 2013</stp>
        <stp>FQ1 2013</stp>
        <stp>[FA1_m42y3cpi.xlsx]Income - Adjusted!R40C21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40" s="2"/>
      </tp>
      <tp>
        <v>195732</v>
        <stp/>
        <stp>##V3_BDHV12</stp>
        <stp>XOM US Equity</stp>
        <stp>BS_ACCUM_DEPR</stp>
        <stp>FQ4 2015</stp>
        <stp>FQ4 2015</stp>
        <stp>[FA1_m42y3cpi.xlsx]Bal Sheet - Standardized!R25C32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3"/>
      </tp>
      <tp>
        <v>209691</v>
        <stp/>
        <stp>##V3_BDHV12</stp>
        <stp>XOM US Equity</stp>
        <stp>BS_ACCUM_DEPR</stp>
        <stp>FQ4 2016</stp>
        <stp>FQ4 2016</stp>
        <stp>[FA1_m42y3cpi.xlsx]Bal Sheet - Standardized!R25C36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3"/>
      </tp>
      <tp>
        <v>11665</v>
        <stp/>
        <stp>##V3_BDHV12</stp>
        <stp>XOM US Equity</stp>
        <stp>INVTRY_FINISHED_GOODS</stp>
        <stp>FQ4 2011</stp>
        <stp>FQ4 2011</stp>
        <stp>[FA1_m42y3cpi.xlsx]Bal Sheet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3"/>
      </tp>
      <tp>
        <v>13879</v>
        <stp/>
        <stp>##V3_BDHV12</stp>
        <stp>XOM US Equity</stp>
        <stp>INVTRY_FINISHED_GOODS</stp>
        <stp>FQ1 2018</stp>
        <stp>FQ1 2018</stp>
        <stp>[FA1_m42y3cpi.xlsx]Bal Sheet - Standardized!R16C41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6" s="3"/>
      </tp>
      <tp>
        <v>55.564900000000002</v>
        <stp/>
        <stp>##V3_BDHV12</stp>
        <stp>XOM US Equity</stp>
        <stp>PX_TO_FREE_CASH_FLOW</stp>
        <stp>FQ4 2009</stp>
        <stp>FQ4 2009</stp>
        <stp>[FA1_m42y3cpi.xlsx]Cash Flow - Standardized!R67C8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7" s="4"/>
      </tp>
      <tp>
        <v>-269</v>
        <stp/>
        <stp>##V3_BDHV12</stp>
        <stp>XOM US Equity</stp>
        <stp>IS_NET_ABNORMAL_ITEMS</stp>
        <stp>FQ4 2014</stp>
        <stp>FQ4 2014</stp>
        <stp>[FA1_m42y3cpi.xlsx]Income - Adjusted!R46C28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6" s="2"/>
      </tp>
      <tp>
        <v>35800</v>
        <stp/>
        <stp>##V3_BDHV12</stp>
        <stp>XOM US Equity</stp>
        <stp>BS_OTHER_ASSETS_DEF_CHRG_OTHER</stp>
        <stp>FQ4 2011</stp>
        <stp>FQ4 2011</stp>
        <stp>[FA1_m42y3cpi.xlsx]Bal Sheet - Standardized!R29C16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3"/>
      </tp>
      <tp>
        <v>35355</v>
        <stp/>
        <stp>##V3_BDHV12</stp>
        <stp>XOM US Equity</stp>
        <stp>BS_OTHER_ASSETS_DEF_CHRG_OTHER</stp>
        <stp>FQ4 2010</stp>
        <stp>FQ4 2010</stp>
        <stp>[FA1_m42y3cpi.xlsx]Bal Sheet - Standardized!R29C12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3"/>
      </tp>
      <tp>
        <v>50159</v>
        <stp/>
        <stp>##V3_BDHV12</stp>
        <stp>XOM US Equity</stp>
        <stp>BS_OTHER_ASSETS_DEF_CHRG_OTHER</stp>
        <stp>FQ1 2018</stp>
        <stp>FQ1 2018</stp>
        <stp>[FA1_m42y3cpi.xlsx]Bal Sheet - Standardized!R29C41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9" s="3"/>
      </tp>
      <tp>
        <v>0</v>
        <stp/>
        <stp>##V3_BDHV12</stp>
        <stp>XOM US Equity</stp>
        <stp>IS_NET_ABNORMAL_ITEMS</stp>
        <stp>FQ1 2012</stp>
        <stp>FQ1 2012</stp>
        <stp>[FA1_m42y3cpi.xlsx]Income - Adjusted!R46C17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6" s="2"/>
      </tp>
      <tp>
        <v>0</v>
        <stp/>
        <stp>##V3_BDHV12</stp>
        <stp>XOM US Equity</stp>
        <stp>IS_NET_ABNORMAL_ITEMS</stp>
        <stp>FQ2 2011</stp>
        <stp>FQ2 2011</stp>
        <stp>[FA1_m42y3cpi.xlsx]Income - Adjusted!R46C14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6" s="2"/>
      </tp>
      <tp>
        <v>0</v>
        <stp/>
        <stp>##V3_BDHV12</stp>
        <stp>XOM US Equity</stp>
        <stp>IS_NET_ABNORMAL_ITEMS</stp>
        <stp>FQ4 2015</stp>
        <stp>FQ4 2015</stp>
        <stp>[FA1_m42y3cpi.xlsx]Income - Adjusted!R46C32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6" s="2"/>
      </tp>
      <tp>
        <v>0</v>
        <stp/>
        <stp>##V3_BDHV12</stp>
        <stp>XOM US Equity</stp>
        <stp>IS_NET_ABNORMAL_ITEMS</stp>
        <stp>FQ3 2013</stp>
        <stp>FQ3 2013</stp>
        <stp>[FA1_m42y3cpi.xlsx]Income - Adjusted!R46C23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6" s="2"/>
      </tp>
      <tp>
        <v>1.3</v>
        <stp/>
        <stp>##V3_BDHV12</stp>
        <stp>XOM US Equity</stp>
        <stp>IS_NET_ABNORMAL_ITEMS</stp>
        <stp>FQ3 2010</stp>
        <stp>FQ3 2010</stp>
        <stp>[FA1_m42y3cpi.xlsx]Income - Adjusted!R46C11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6" s="2"/>
      </tp>
      <tp>
        <v>14873</v>
        <stp/>
        <stp>##V3_BDHV12</stp>
        <stp>XOM US Equity</stp>
        <stp>BS_INVENTORIES</stp>
        <stp>FQ1 2017</stp>
        <stp>FQ1 2017</stp>
        <stp>[FA1_m42y3cpi.xlsx]Bal Sheet - Standardized!R13C37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3" s="3"/>
      </tp>
      <tp>
        <v>14302</v>
        <stp/>
        <stp>##V3_BDHV12</stp>
        <stp>XOM US Equity</stp>
        <stp>BS_INVENTORIES</stp>
        <stp>FQ3 2010</stp>
        <stp>FQ3 2010</stp>
        <stp>[FA1_m42y3cpi.xlsx]Bal Sheet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3"/>
      </tp>
      <tp>
        <v>3811</v>
        <stp/>
        <stp>##V3_BDHV12</stp>
        <stp>XOM US Equity</stp>
        <stp>BS_FUTURE_MIN_OPER_LEASE_OBLIG</stp>
        <stp>FQ4 2016</stp>
        <stp>FQ4 2016</stp>
        <stp>[FA1_m42y3cpi.xlsx]Bal Sheet - Standardized!R82C36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2" s="3"/>
      </tp>
      <tp>
        <v>7850</v>
        <stp/>
        <stp>##V3_BDHV12</stp>
        <stp>XOM US Equity</stp>
        <stp>PRETAX_INC</stp>
        <stp>FQ1 2009</stp>
        <stp>FQ1 2009</stp>
        <stp>[FA1_m42y3cpi.xlsx]Income - Adjusted!R32C5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32" s="2"/>
      </tp>
      <tp>
        <v>9204</v>
        <stp/>
        <stp>##V3_BDHV12</stp>
        <stp>XOM US Equity</stp>
        <stp>PRETAX_INC</stp>
        <stp>FQ3 2009</stp>
        <stp>FQ3 2009</stp>
        <stp>[FA1_m42y3cpi.xlsx]Income - Adjusted!R32C7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32" s="2"/>
      </tp>
      <tp>
        <v>7517</v>
        <stp/>
        <stp>##V3_BDHV12</stp>
        <stp>XOM US Equity</stp>
        <stp>PRETAX_INC</stp>
        <stp>FQ2 2009</stp>
        <stp>FQ2 2009</stp>
        <stp>[FA1_m42y3cpi.xlsx]Income - Adjusted!R32C6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32" s="2"/>
      </tp>
      <tp>
        <v>16223</v>
        <stp/>
        <stp>##V3_BDHV12</stp>
        <stp>XOM US Equity</stp>
        <stp>BS_INVENTORIES</stp>
        <stp>FQ1 2016</stp>
        <stp>FQ1 2016</stp>
        <stp>[FA1_m42y3cpi.xlsx]Bal Sheet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3"/>
      </tp>
      <tp>
        <v>4845</v>
        <stp/>
        <stp>##V3_BDHV12</stp>
        <stp>XOM US Equity</stp>
        <stp>BS_FUTURE_MIN_OPER_LEASE_OBLIG</stp>
        <stp>FQ4 2015</stp>
        <stp>FQ4 2015</stp>
        <stp>[FA1_m42y3cpi.xlsx]Bal Sheet - Standardized!R82C32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2" s="3"/>
      </tp>
      <tp>
        <v>16730</v>
        <stp/>
        <stp>##V3_BDHV12</stp>
        <stp>XOM US Equity</stp>
        <stp>BS_INVENTORIES</stp>
        <stp>FQ3 2011</stp>
        <stp>FQ3 2011</stp>
        <stp>[FA1_m42y3cpi.xlsx]Bal Sheet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3"/>
      </tp>
      <tp>
        <v>16575</v>
        <stp/>
        <stp>##V3_BDHV12</stp>
        <stp>XOM US Equity</stp>
        <stp>BS_INVENTORIES</stp>
        <stp>FQ3 2012</stp>
        <stp>FQ3 2012</stp>
        <stp>[FA1_m42y3cpi.xlsx]Bal Sheet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3"/>
      </tp>
      <tp>
        <v>64139</v>
        <stp/>
        <stp>##V3_BDHV12</stp>
        <stp>XOM US Equity</stp>
        <stp>BS_CUR_LIAB</stp>
        <stp>FQ4 2012</stp>
        <stp>FQ4 2012</stp>
        <stp>[FA1_m42y3cpi.xlsx]Bal Sheet - Standardized!R55C20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5" s="3"/>
      </tp>
      <tp>
        <v>4192</v>
        <stp/>
        <stp>##V3_BDHV12</stp>
        <stp>XOM US Equity</stp>
        <stp>IS_D&amp;A_COST_OF_REVENUE</stp>
        <stp>FQ1 2014</stp>
        <stp>FQ1 2014</stp>
        <stp>[FA1_m42y3cpi.xlsx]Income - Adjusted!R10C25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>
        <v>4405</v>
        <stp/>
        <stp>##V3_BDHV12</stp>
        <stp>XOM US Equity</stp>
        <stp>IS_D&amp;A_COST_OF_REVENUE</stp>
        <stp>FQ2 2013</stp>
        <stp>FQ2 2013</stp>
        <stp>[FA1_m42y3cpi.xlsx]Income - Adjusted!R10C22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>
        <v>3844</v>
        <stp/>
        <stp>##V3_BDHV12</stp>
        <stp>XOM US Equity</stp>
        <stp>IS_D&amp;A_COST_OF_REVENUE</stp>
        <stp>FQ3 2010</stp>
        <stp>FQ3 2010</stp>
        <stp>[FA1_m42y3cpi.xlsx]Income - Adjusted!R10C11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>
        <v>4843</v>
        <stp/>
        <stp>##V3_BDHV12</stp>
        <stp>XOM US Equity</stp>
        <stp>IS_SH_FOR_DILUTED_EPS</stp>
        <stp>FQ3 2011</stp>
        <stp>FQ3 2011</stp>
        <stp>[FA1_m42y3cpi.xlsx]Per Share!R7C15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5"/>
      </tp>
      <tp>
        <v>4912</v>
        <stp/>
        <stp>##V3_BDHV12</stp>
        <stp>XOM US Equity</stp>
        <stp>IS_SH_FOR_DILUTED_EPS</stp>
        <stp>FQ2 2011</stp>
        <stp>FQ2 2011</stp>
        <stp>[FA1_m42y3cpi.xlsx]Per Share!R7C14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5"/>
      </tp>
      <tp>
        <v>71724</v>
        <stp/>
        <stp>##V3_BDHV12</stp>
        <stp>XOM US Equity</stp>
        <stp>BS_CUR_LIAB</stp>
        <stp>FQ4 2013</stp>
        <stp>FQ4 2013</stp>
        <stp>[FA1_m42y3cpi.xlsx]Bal Sheet - Standardized!R55C24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5" s="3"/>
      </tp>
      <tp>
        <v>4190</v>
        <stp/>
        <stp>##V3_BDHV12</stp>
        <stp>XOM US Equity</stp>
        <stp>IS_SH_FOR_DILUTED_EPS</stp>
        <stp>FQ3 2015</stp>
        <stp>FQ3 2015</stp>
        <stp>[FA1_m42y3cpi.xlsx]Per Share!R7C31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5"/>
      </tp>
      <tp>
        <v>4200</v>
        <stp/>
        <stp>##V3_BDHV12</stp>
        <stp>XOM US Equity</stp>
        <stp>IS_SH_FOR_DILUTED_EPS</stp>
        <stp>FQ2 2015</stp>
        <stp>FQ2 2015</stp>
        <stp>[FA1_m42y3cpi.xlsx]Per Share!R7C30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5"/>
      </tp>
      <tp t="s">
        <v>—</v>
        <stp/>
        <stp>##V3_BDHV12</stp>
        <stp>XOM US Equity</stp>
        <stp>IS_GAIN_LOSS_DISPOSAL_ASSETS</stp>
        <stp>FQ1 2009</stp>
        <stp>FQ1 2009</stp>
        <stp>[FA1_m42y3cpi.xlsx]Income - Adjusted!R27C5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2"/>
      </tp>
      <tp>
        <v>62447</v>
        <stp/>
        <stp>##V3_BDHV12</stp>
        <stp>XOM US Equity</stp>
        <stp>BS_CUR_LIAB</stp>
        <stp>FQ2 2018</stp>
        <stp>FQ2 2018</stp>
        <stp>[FA1_m42y3cpi.xlsx]Bal Sheet - Standardized!R55C42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5" s="3"/>
      </tp>
      <tp>
        <v>64633</v>
        <stp/>
        <stp>##V3_BDHV12</stp>
        <stp>XOM US Equity</stp>
        <stp>BS_CUR_LIAB</stp>
        <stp>FQ4 2014</stp>
        <stp>FQ4 2014</stp>
        <stp>[FA1_m42y3cpi.xlsx]Bal Sheet - Standardized!R55C28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5" s="3"/>
      </tp>
      <tp>
        <v>4200</v>
        <stp/>
        <stp>##V3_BDHV12</stp>
        <stp>XOM US Equity</stp>
        <stp>IS_AVG_NUM_SH_FOR_EPS</stp>
        <stp>FQ2 2015</stp>
        <stp>FQ2 2015</stp>
        <stp>[FA1_m42y3cpi.xlsx]Per Share!R8C30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5"/>
      </tp>
      <tp>
        <v>4190</v>
        <stp/>
        <stp>##V3_BDHV12</stp>
        <stp>XOM US Equity</stp>
        <stp>IS_AVG_NUM_SH_FOR_EPS</stp>
        <stp>FQ3 2015</stp>
        <stp>FQ3 2015</stp>
        <stp>[FA1_m42y3cpi.xlsx]Per Share!R8C31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5"/>
      </tp>
      <tp>
        <v>4906</v>
        <stp/>
        <stp>##V3_BDHV12</stp>
        <stp>XOM US Equity</stp>
        <stp>IS_AVG_NUM_SH_FOR_EPS</stp>
        <stp>FQ2 2011</stp>
        <stp>FQ2 2011</stp>
        <stp>[FA1_m42y3cpi.xlsx]Per Share!R8C14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5"/>
      </tp>
      <tp>
        <v>4839</v>
        <stp/>
        <stp>##V3_BDHV12</stp>
        <stp>XOM US Equity</stp>
        <stp>IS_AVG_NUM_SH_FOR_EPS</stp>
        <stp>FQ3 2011</stp>
        <stp>FQ3 2011</stp>
        <stp>[FA1_m42y3cpi.xlsx]Per Share!R8C15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5"/>
      </tp>
      <tp>
        <v>0</v>
        <stp/>
        <stp>##V3_BDHV12</stp>
        <stp>XOM US Equity</stp>
        <stp>IS_OTHER_OPER_INC</stp>
        <stp>FQ2 2009</stp>
        <stp>FQ2 2009</stp>
        <stp>[FA1_m42y3cpi.xlsx]Income - Adjusted!R12C6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0</v>
        <stp/>
        <stp>##V3_BDHV12</stp>
        <stp>XOM US Equity</stp>
        <stp>IS_OTHER_OPER_INC</stp>
        <stp>FQ3 2009</stp>
        <stp>FQ3 2009</stp>
        <stp>[FA1_m42y3cpi.xlsx]Income - Adjusted!R12C7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>
        <v>0</v>
        <stp/>
        <stp>##V3_BDHV12</stp>
        <stp>XOM US Equity</stp>
        <stp>IS_OTHER_OPER_INC</stp>
        <stp>FQ1 2009</stp>
        <stp>FQ1 2009</stp>
        <stp>[FA1_m42y3cpi.xlsx]Income - Adjusted!R12C5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7240</v>
        <stp/>
        <stp>##V3_BDHV12</stp>
        <stp>XOM US Equity</stp>
        <stp>PRETAX_INC</stp>
        <stp>FQ1 2018</stp>
        <stp>FQ1 2018</stp>
        <stp>[FA1_m42y3cpi.xlsx]Income - Adjusted!R32C41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32" s="2"/>
      </tp>
      <tp>
        <v>2650</v>
        <stp/>
        <stp>##V3_BDHV12</stp>
        <stp>XOM US Equity</stp>
        <stp>NET_INCOME</stp>
        <stp>FQ3 2016</stp>
        <stp>FQ3 2016</stp>
        <stp>[FA1_m42y3cpi.xlsx]Income - Adjusted!R40C35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40" s="2"/>
      </tp>
      <tp>
        <v>8070</v>
        <stp/>
        <stp>##V3_BDHV12</stp>
        <stp>XOM US Equity</stp>
        <stp>NET_INCOME</stp>
        <stp>FQ3 2014</stp>
        <stp>FQ3 2014</stp>
        <stp>[FA1_m42y3cpi.xlsx]Income - Adjusted!R40C27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40" s="2"/>
      </tp>
      <tp>
        <v>190867</v>
        <stp/>
        <stp>##V3_BDHV12</stp>
        <stp>XOM US Equity</stp>
        <stp>BS_ACCUM_DEPR</stp>
        <stp>FQ4 2013</stp>
        <stp>FQ4 2013</stp>
        <stp>[FA1_m42y3cpi.xlsx]Bal Sheet - Standardized!R25C24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3"/>
      </tp>
      <tp>
        <v>9570</v>
        <stp/>
        <stp>##V3_BDHV12</stp>
        <stp>XOM US Equity</stp>
        <stp>CF_NET_INC</stp>
        <stp>FQ3 2012</stp>
        <stp>FQ3 2012</stp>
        <stp>[FA1_m42y3cpi.xlsx]Cash Flow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4"/>
      </tp>
      <tp>
        <v>15910</v>
        <stp/>
        <stp>##V3_BDHV12</stp>
        <stp>XOM US Equity</stp>
        <stp>CF_NET_INC</stp>
        <stp>FQ2 2012</stp>
        <stp>FQ2 2012</stp>
        <stp>[FA1_m42y3cpi.xlsx]Cash Flow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4"/>
      </tp>
      <tp>
        <v>182365</v>
        <stp/>
        <stp>##V3_BDHV12</stp>
        <stp>XOM US Equity</stp>
        <stp>BS_ACCUM_DEPR</stp>
        <stp>FQ4 2012</stp>
        <stp>FQ4 2012</stp>
        <stp>[FA1_m42y3cpi.xlsx]Bal Sheet - Standardized!R25C20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3"/>
      </tp>
      <tp>
        <v>194121</v>
        <stp/>
        <stp>##V3_BDHV12</stp>
        <stp>XOM US Equity</stp>
        <stp>BS_ACCUM_DEPR</stp>
        <stp>FQ4 2014</stp>
        <stp>FQ4 2014</stp>
        <stp>[FA1_m42y3cpi.xlsx]Bal Sheet - Standardized!R25C28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3"/>
      </tp>
      <tp t="s">
        <v>—</v>
        <stp/>
        <stp>##V3_BDHV12</stp>
        <stp>XOM US Equity</stp>
        <stp>BS_ACCUM_DEPR</stp>
        <stp>FQ2 2018</stp>
        <stp>FQ2 2018</stp>
        <stp>[FA1_m42y3cpi.xlsx]Bal Sheet - Standardized!R25C42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3"/>
      </tp>
      <tp>
        <v>10680</v>
        <stp/>
        <stp>##V3_BDHV12</stp>
        <stp>XOM US Equity</stp>
        <stp>CF_NET_INC</stp>
        <stp>FQ2 2011</stp>
        <stp>FQ2 2011</stp>
        <stp>[FA1_m42y3cpi.xlsx]Cash Flow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4"/>
      </tp>
      <tp>
        <v>9450</v>
        <stp/>
        <stp>##V3_BDHV12</stp>
        <stp>XOM US Equity</stp>
        <stp>CF_NET_INC</stp>
        <stp>FQ1 2012</stp>
        <stp>FQ1 2012</stp>
        <stp>[FA1_m42y3cpi.xlsx]Cash Flow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4"/>
      </tp>
      <tp>
        <v>10330</v>
        <stp/>
        <stp>##V3_BDHV12</stp>
        <stp>XOM US Equity</stp>
        <stp>CF_NET_INC</stp>
        <stp>FQ3 2011</stp>
        <stp>FQ3 2011</stp>
        <stp>[FA1_m42y3cpi.xlsx]Cash Flow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4"/>
      </tp>
      <tp>
        <v>9250</v>
        <stp/>
        <stp>##V3_BDHV12</stp>
        <stp>XOM US Equity</stp>
        <stp>CF_NET_INC</stp>
        <stp>FQ4 2010</stp>
        <stp>FQ4 2010</stp>
        <stp>[FA1_m42y3cpi.xlsx]Cash Flow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4"/>
      </tp>
      <tp>
        <v>5327</v>
        <stp/>
        <stp>##V3_BDHV12</stp>
        <stp>XOM US Equity</stp>
        <stp>EBITDA</stp>
        <stp>FQ4 2015</stp>
        <stp>FQ4 2015</stp>
        <stp>[FA1_m42y3cpi.xlsx]Income - Adjusted!R61C32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1" s="2"/>
      </tp>
      <tp>
        <v>15491</v>
        <stp/>
        <stp>##V3_BDHV12</stp>
        <stp>XOM US Equity</stp>
        <stp>EBITDA</stp>
        <stp>FQ4 2011</stp>
        <stp>FQ4 2011</stp>
        <stp>[FA1_m42y3cpi.xlsx]Income - Adjusted!R61C16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1" s="2"/>
      </tp>
      <tp>
        <v>14102</v>
        <stp/>
        <stp>##V3_BDHV12</stp>
        <stp>XOM US Equity</stp>
        <stp>EBITDA</stp>
        <stp>FQ4 2013</stp>
        <stp>FQ4 2013</stp>
        <stp>[FA1_m42y3cpi.xlsx]Income - Adjusted!R61C24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1" s="2"/>
      </tp>
      <tp>
        <v>9832.7692000000006</v>
        <stp/>
        <stp>##V3_BDHV12</stp>
        <stp>XOM US Equity</stp>
        <stp>EBITDA</stp>
        <stp>FQ4 2017</stp>
        <stp>FQ4 2017</stp>
        <stp>[FA1_m42y3cpi.xlsx]Income - Adjusted!R61C40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61" s="2"/>
      </tp>
      <tp>
        <v>10650</v>
        <stp/>
        <stp>##V3_BDHV12</stp>
        <stp>XOM US Equity</stp>
        <stp>CF_NET_INC</stp>
        <stp>FQ1 2011</stp>
        <stp>FQ1 2011</stp>
        <stp>[FA1_m42y3cpi.xlsx]Cash Flow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4"/>
      </tp>
      <tp>
        <v>7350</v>
        <stp/>
        <stp>##V3_BDHV12</stp>
        <stp>XOM US Equity</stp>
        <stp>CF_NET_INC</stp>
        <stp>FQ3 2010</stp>
        <stp>FQ3 2010</stp>
        <stp>[FA1_m42y3cpi.xlsx]Cash Flow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4"/>
      </tp>
      <tp>
        <v>7560</v>
        <stp/>
        <stp>##V3_BDHV12</stp>
        <stp>XOM US Equity</stp>
        <stp>CF_NET_INC</stp>
        <stp>FQ2 2010</stp>
        <stp>FQ2 2010</stp>
        <stp>[FA1_m42y3cpi.xlsx]Cash Flow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4"/>
      </tp>
      <tp>
        <v>9400</v>
        <stp/>
        <stp>##V3_BDHV12</stp>
        <stp>XOM US Equity</stp>
        <stp>CF_NET_INC</stp>
        <stp>FQ4 2011</stp>
        <stp>FQ4 2011</stp>
        <stp>[FA1_m42y3cpi.xlsx]Cash Flow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4"/>
      </tp>
      <tp>
        <v>1577</v>
        <stp/>
        <stp>##V3_BDHV12</stp>
        <stp>XOM US Equity</stp>
        <stp>BS_LONG_TERM_INVESTMENTS</stp>
        <stp>FQ4 2009</stp>
        <stp>FQ4 2009</stp>
        <stp>[FA1_m42y3cpi.xlsx]Bal Sheet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3"/>
      </tp>
      <tp t="s">
        <v>—</v>
        <stp/>
        <stp>##V3_BDHV12</stp>
        <stp>XOM US Equity</stp>
        <stp>BS_LONG_TERM_INVESTMENTS</stp>
        <stp>FQ1 2010</stp>
        <stp>FQ1 2010</stp>
        <stp>[FA1_m42y3cpi.xlsx]Bal Sheet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3"/>
      </tp>
      <tp>
        <v>0</v>
        <stp/>
        <stp>##V3_BDHV12</stp>
        <stp>XOM US Equity</stp>
        <stp>IS_NET_ABNORMAL_ITEMS</stp>
        <stp>FQ3 2011</stp>
        <stp>FQ3 2011</stp>
        <stp>[FA1_m42y3cpi.xlsx]Income - Adjusted!R46C15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6" s="2"/>
      </tp>
      <tp t="s">
        <v>—</v>
        <stp/>
        <stp>##V3_BDHV12</stp>
        <stp>XOM US Equity</stp>
        <stp>BS_LONG_TERM_INVESTMENTS</stp>
        <stp>FQ3 2009</stp>
        <stp>FQ3 2009</stp>
        <stp>[FA1_m42y3cpi.xlsx]Bal Sheet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3"/>
      </tp>
      <tp t="s">
        <v>—</v>
        <stp/>
        <stp>##V3_BDHV12</stp>
        <stp>XOM US Equity</stp>
        <stp>BS_LONG_TERM_INVESTMENTS</stp>
        <stp>FQ2 2009</stp>
        <stp>FQ2 2009</stp>
        <stp>[FA1_m42y3cpi.xlsx]Bal Sheet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3"/>
      </tp>
      <tp t="s">
        <v>—</v>
        <stp/>
        <stp>##V3_BDHV12</stp>
        <stp>XOM US Equity</stp>
        <stp>BS_LONG_TERM_INVESTMENTS</stp>
        <stp>FQ1 2009</stp>
        <stp>FQ1 2009</stp>
        <stp>[FA1_m42y3cpi.xlsx]Bal Sheet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3"/>
      </tp>
      <tp>
        <v>409.75</v>
        <stp/>
        <stp>##V3_BDHV12</stp>
        <stp>XOM US Equity</stp>
        <stp>IS_NET_ABNORMAL_ITEMS</stp>
        <stp>FQ2 2010</stp>
        <stp>FQ2 2010</stp>
        <stp>[FA1_m42y3cpi.xlsx]Income - Adjusted!R46C10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6" s="2"/>
      </tp>
      <tp>
        <v>0</v>
        <stp/>
        <stp>##V3_BDHV12</stp>
        <stp>XOM US Equity</stp>
        <stp>IS_NET_ABNORMAL_ITEMS</stp>
        <stp>FQ2 2013</stp>
        <stp>FQ2 2013</stp>
        <stp>[FA1_m42y3cpi.xlsx]Income - Adjusted!R46C22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6" s="2"/>
      </tp>
      <tp t="s">
        <v>—</v>
        <stp/>
        <stp>##V3_BDHV12</stp>
        <stp>XOM US Equity</stp>
        <stp>BS_LONG_TERM_INVESTMENTS</stp>
        <stp>FQ3 2008</stp>
        <stp>FQ3 2008</stp>
        <stp>[FA1_m42y3cpi.xlsx]Bal Sheet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3"/>
      </tp>
      <tp t="s">
        <v>—</v>
        <stp/>
        <stp>##V3_BDHV12</stp>
        <stp>XOM US Equity</stp>
        <stp>BS_LONG_TERM_INVESTMENTS</stp>
        <stp>FQ4 2008</stp>
        <stp>FQ4 2008</stp>
        <stp>[FA1_m42y3cpi.xlsx]Bal Sheet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3"/>
      </tp>
      <tp>
        <v>18568</v>
        <stp/>
        <stp>##V3_BDHV12</stp>
        <stp>XOM US Equity</stp>
        <stp>BS_INVENTORIES</stp>
        <stp>FQ1 2014</stp>
        <stp>FQ1 2014</stp>
        <stp>[FA1_m42y3cpi.xlsx]Bal Sheet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3"/>
      </tp>
      <tp>
        <v>8070</v>
        <stp/>
        <stp>##V3_BDHV12</stp>
        <stp>XOM US Equity</stp>
        <stp>BS_FUTURE_MIN_OPER_LEASE_OBLIG</stp>
        <stp>FQ4 2012</stp>
        <stp>FQ4 2012</stp>
        <stp>[FA1_m42y3cpi.xlsx]Bal Sheet - Standardized!R82C20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2" s="3"/>
      </tp>
      <tp>
        <v>13439</v>
        <stp/>
        <stp>##V3_BDHV12</stp>
        <stp>XOM US Equity</stp>
        <stp>BS_INVENTORIES</stp>
        <stp>FQ2 2010</stp>
        <stp>FQ2 2010</stp>
        <stp>[FA1_m42y3cpi.xlsx]Bal Sheet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3"/>
      </tp>
      <tp>
        <v>16231</v>
        <stp/>
        <stp>##V3_BDHV12</stp>
        <stp>XOM US Equity</stp>
        <stp>BS_INVENTORIES</stp>
        <stp>FQ1 2013</stp>
        <stp>FQ1 2013</stp>
        <stp>[FA1_m42y3cpi.xlsx]Bal Sheet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3"/>
      </tp>
      <tp>
        <v>7343</v>
        <stp/>
        <stp>##V3_BDHV12</stp>
        <stp>XOM US Equity</stp>
        <stp>BS_FUTURE_MIN_OPER_LEASE_OBLIG</stp>
        <stp>FQ4 2013</stp>
        <stp>FQ4 2013</stp>
        <stp>[FA1_m42y3cpi.xlsx]Bal Sheet - Standardized!R82C24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2" s="3"/>
      </tp>
      <tp>
        <v>19048</v>
        <stp/>
        <stp>##V3_BDHV12</stp>
        <stp>XOM US Equity</stp>
        <stp>BS_INVENTORIES</stp>
        <stp>FQ2 2011</stp>
        <stp>FQ2 2011</stp>
        <stp>[FA1_m42y3cpi.xlsx]Bal Sheet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3"/>
      </tp>
      <tp>
        <v>15158</v>
        <stp/>
        <stp>##V3_BDHV12</stp>
        <stp>XOM US Equity</stp>
        <stp>BS_INVENTORIES</stp>
        <stp>FQ2 2012</stp>
        <stp>FQ2 2012</stp>
        <stp>[FA1_m42y3cpi.xlsx]Bal Sheet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3"/>
      </tp>
      <tp>
        <v>16102</v>
        <stp/>
        <stp>##V3_BDHV12</stp>
        <stp>XOM US Equity</stp>
        <stp>BS_INVENTORIES</stp>
        <stp>FQ1 2015</stp>
        <stp>FQ1 2015</stp>
        <stp>[FA1_m42y3cpi.xlsx]Bal Sheet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3"/>
      </tp>
      <tp>
        <v>6143</v>
        <stp/>
        <stp>##V3_BDHV12</stp>
        <stp>XOM US Equity</stp>
        <stp>BS_FUTURE_MIN_OPER_LEASE_OBLIG</stp>
        <stp>FQ4 2014</stp>
        <stp>FQ4 2014</stp>
        <stp>[FA1_m42y3cpi.xlsx]Bal Sheet - Standardized!R82C28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2" s="3"/>
      </tp>
      <tp t="s">
        <v>—</v>
        <stp/>
        <stp>##V3_BDHV12</stp>
        <stp>XOM US Equity</stp>
        <stp>BS_FUTURE_MIN_OPER_LEASE_OBLIG</stp>
        <stp>FQ2 2018</stp>
        <stp>FQ2 2018</stp>
        <stp>[FA1_m42y3cpi.xlsx]Bal Sheet - Standardized!R82C42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2" s="3"/>
      </tp>
      <tp>
        <v>4541</v>
        <stp/>
        <stp>##V3_BDHV12</stp>
        <stp>XOM US Equity</stp>
        <stp>IS_SH_FOR_DILUTED_EPS</stp>
        <stp>FQ4 2012</stp>
        <stp>FQ4 2012</stp>
        <stp>[FA1_m42y3cpi.xlsx]Per Share!R7C20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5"/>
      </tp>
      <tp>
        <v>47638</v>
        <stp/>
        <stp>##V3_BDHV12</stp>
        <stp>XOM US Equity</stp>
        <stp>BS_CUR_LIAB</stp>
        <stp>FQ4 2016</stp>
        <stp>FQ4 2016</stp>
        <stp>[FA1_m42y3cpi.xlsx]Bal Sheet - Standardized!R55C36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5" s="3"/>
      </tp>
      <tp>
        <v>5031</v>
        <stp/>
        <stp>##V3_BDHV12</stp>
        <stp>XOM US Equity</stp>
        <stp>IS_SH_FOR_DILUTED_EPS</stp>
        <stp>FQ4 2010</stp>
        <stp>FQ4 2010</stp>
        <stp>[FA1_m42y3cpi.xlsx]Per Share!R7C12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5"/>
      </tp>
      <tp>
        <v>4519</v>
        <stp/>
        <stp>##V3_BDHV12</stp>
        <stp>XOM US Equity</stp>
        <stp>IS_D&amp;A_COST_OF_REVENUE</stp>
        <stp>FQ1 2017</stp>
        <stp>FQ1 2017</stp>
        <stp>[FA1_m42y3cpi.xlsx]Income - Adjusted!R10C37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0" s="2"/>
      </tp>
      <tp>
        <v>3366</v>
        <stp/>
        <stp>##V3_BDHV12</stp>
        <stp>XOM US Equity</stp>
        <stp>IS_D&amp;A_COST_OF_REVENUE</stp>
        <stp>FQ2 2010</stp>
        <stp>FQ2 2010</stp>
        <stp>[FA1_m42y3cpi.xlsx]Income - Adjusted!R10C10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>
        <v>4287</v>
        <stp/>
        <stp>##V3_BDHV12</stp>
        <stp>XOM US Equity</stp>
        <stp>IS_D&amp;A_COST_OF_REVENUE</stp>
        <stp>FQ3 2013</stp>
        <stp>FQ3 2013</stp>
        <stp>[FA1_m42y3cpi.xlsx]Income - Adjusted!R10C23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>
        <v>8117</v>
        <stp/>
        <stp>##V3_BDHV12</stp>
        <stp>XOM US Equity</stp>
        <stp>IS_D&amp;A_COST_OF_REVENUE</stp>
        <stp>FQ4 2016</stp>
        <stp>FQ4 2016</stp>
        <stp>[FA1_m42y3cpi.xlsx]Income - Adjusted!R10C36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0" s="2"/>
      </tp>
      <tp>
        <v>53976</v>
        <stp/>
        <stp>##V3_BDHV12</stp>
        <stp>XOM US Equity</stp>
        <stp>BS_CUR_LIAB</stp>
        <stp>FQ4 2015</stp>
        <stp>FQ4 2015</stp>
        <stp>[FA1_m42y3cpi.xlsx]Bal Sheet - Standardized!R55C32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5" s="3"/>
      </tp>
      <tp t="s">
        <v>—</v>
        <stp/>
        <stp>##V3_BDHV12</stp>
        <stp>XOM US Equity</stp>
        <stp>IS_GAIN_LOSS_DISPOSAL_ASSETS</stp>
        <stp>FQ1 2010</stp>
        <stp>FQ1 2010</stp>
        <stp>[FA1_m42y3cpi.xlsx]Income - Adjusted!R27C9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2"/>
      </tp>
      <tp>
        <v>4973</v>
        <stp/>
        <stp>##V3_BDHV12</stp>
        <stp>XOM US Equity</stp>
        <stp>IS_AVG_NUM_SH_FOR_EPS</stp>
        <stp>FQ4 2010</stp>
        <stp>FQ4 2010</stp>
        <stp>[FA1_m42y3cpi.xlsx]Per Share!R8C12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5"/>
      </tp>
      <tp>
        <v>4522.7272999999996</v>
        <stp/>
        <stp>##V3_BDHV12</stp>
        <stp>XOM US Equity</stp>
        <stp>IS_AVG_NUM_SH_FOR_EPS</stp>
        <stp>FQ4 2012</stp>
        <stp>FQ4 2012</stp>
        <stp>[FA1_m42y3cpi.xlsx]Per Share!R8C20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5"/>
      </tp>
      <tp>
        <v>0</v>
        <stp/>
        <stp>##V3_BDHV12</stp>
        <stp>XOM US Equity</stp>
        <stp>NET_CHG_IN_LT_INVEST_DETAILED</stp>
        <stp>FQ4 2016</stp>
        <stp>FQ4 2016</stp>
        <stp>[FA1_m42y3cpi.xlsx]Cash Flow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4"/>
      </tp>
      <tp>
        <v>1.97</v>
        <stp/>
        <stp>##V3_BDHV12</stp>
        <stp>XOM US Equity</stp>
        <stp>IS_EARN_BEF_XO_ITEMS_PER_SH</stp>
        <stp>FQ4 2017</stp>
        <stp>FQ4 2017</stp>
        <stp>[FA1_m42y3cpi.xlsx]Income - Adjusted!R51C40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1" s="2"/>
      </tp>
      <tp>
        <v>1.97</v>
        <stp/>
        <stp>##V3_BDHV12</stp>
        <stp>XOM US Equity</stp>
        <stp>IS_EARN_BEF_XO_ITEMS_PER_SH</stp>
        <stp>FQ4 2011</stp>
        <stp>FQ4 2011</stp>
        <stp>[FA1_m42y3cpi.xlsx]Income - Adjusted!R51C16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1" s="2"/>
      </tp>
      <tp>
        <v>1.9100000000000001</v>
        <stp/>
        <stp>##V3_BDHV12</stp>
        <stp>XOM US Equity</stp>
        <stp>IS_EARN_BEF_XO_ITEMS_PER_SH</stp>
        <stp>FQ4 2013</stp>
        <stp>FQ4 2013</stp>
        <stp>[FA1_m42y3cpi.xlsx]Income - Adjusted!R51C24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1" s="2"/>
      </tp>
      <tp>
        <v>0.67</v>
        <stp/>
        <stp>##V3_BDHV12</stp>
        <stp>XOM US Equity</stp>
        <stp>IS_EARN_BEF_XO_ITEMS_PER_SH</stp>
        <stp>FQ4 2015</stp>
        <stp>FQ4 2015</stp>
        <stp>[FA1_m42y3cpi.xlsx]Income - Adjusted!R51C32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1" s="2"/>
      </tp>
      <tp>
        <v>13654</v>
        <stp/>
        <stp>##V3_BDHV12</stp>
        <stp>XOM US Equity</stp>
        <stp>GROSS_PROFIT</stp>
        <stp>FQ4 2013</stp>
        <stp>FQ4 2013</stp>
        <stp>[FA1_m42y3cpi.xlsx]Income - Adjusted!R11C24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1" s="2"/>
      </tp>
      <tp>
        <v>15754</v>
        <stp/>
        <stp>##V3_BDHV12</stp>
        <stp>XOM US Equity</stp>
        <stp>GROSS_PROFIT</stp>
        <stp>FQ4 2011</stp>
        <stp>FQ4 2011</stp>
        <stp>[FA1_m42y3cpi.xlsx]Income - Adjusted!R11C16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1" s="2"/>
      </tp>
      <tp>
        <v>4595</v>
        <stp/>
        <stp>##V3_BDHV12</stp>
        <stp>XOM US Equity</stp>
        <stp>GROSS_PROFIT</stp>
        <stp>FQ4 2017</stp>
        <stp>FQ4 2017</stp>
        <stp>[FA1_m42y3cpi.xlsx]Income - Adjusted!R11C40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1" s="2"/>
      </tp>
      <tp>
        <v>4080</v>
        <stp/>
        <stp>##V3_BDHV12</stp>
        <stp>XOM US Equity</stp>
        <stp>GROSS_PROFIT</stp>
        <stp>FQ4 2015</stp>
        <stp>FQ4 2015</stp>
        <stp>[FA1_m42y3cpi.xlsx]Income - Adjusted!R11C32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1" s="2"/>
      </tp>
      <tp>
        <v>0</v>
        <stp/>
        <stp>##V3_BDHV12</stp>
        <stp>XOM US Equity</stp>
        <stp>NET_CHG_IN_LT_INVEST_DETAILED</stp>
        <stp>FQ4 2015</stp>
        <stp>FQ4 2015</stp>
        <stp>[FA1_m42y3cpi.xlsx]Cash Flow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4"/>
      </tp>
      <tp t="s">
        <v>—</v>
        <stp/>
        <stp>##V3_BDHV12</stp>
        <stp>XOM US Equity</stp>
        <stp>IS_FOREIGN_EXCH_LOSS</stp>
        <stp>FQ4 2014</stp>
        <stp>FQ4 2014</stp>
        <stp>[FA1_m42y3cpi.xlsx]Income - Adjusted!R21C28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1" s="2"/>
      </tp>
      <tp t="s">
        <v>—</v>
        <stp/>
        <stp>##V3_BDHV12</stp>
        <stp>XOM US Equity</stp>
        <stp>IS_FOREIGN_EXCH_LOSS</stp>
        <stp>FQ1 2015</stp>
        <stp>FQ1 2015</stp>
        <stp>[FA1_m42y3cpi.xlsx]Income - Adjusted!R21C29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1" s="2"/>
      </tp>
      <tp>
        <v>219</v>
        <stp/>
        <stp>##V3_BDHV12</stp>
        <stp>XOM US Equity</stp>
        <stp>CF_ACT_CASH_PAID_FOR_INT_DEBT</stp>
        <stp>FQ2 2017</stp>
        <stp>FQ2 2017</stp>
        <stp>[FA1_m42y3cpi.xlsx]Cash Flow - Standardized!R56C38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6" s="4"/>
      </tp>
    </main>
    <main first="bloomberg.rtd">
      <tp>
        <v>93</v>
        <stp/>
        <stp>##V3_BDHV12</stp>
        <stp>XOM US Equity</stp>
        <stp>CF_ACT_CASH_PAID_FOR_INT_DEBT</stp>
        <stp>FQ2 2015</stp>
        <stp>FQ2 2015</stp>
        <stp>[FA1_m42y3cpi.xlsx]Cash Flow - Standardized!R56C30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6" s="4"/>
      </tp>
      <tp>
        <v>99</v>
        <stp/>
        <stp>##V3_BDHV12</stp>
        <stp>XOM US Equity</stp>
        <stp>CF_ACT_CASH_PAID_FOR_INT_DEBT</stp>
        <stp>FQ3 2013</stp>
        <stp>FQ3 2013</stp>
        <stp>[FA1_m42y3cpi.xlsx]Cash Flow - Standardized!R56C23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6" s="4"/>
      </tp>
      <tp>
        <v>121</v>
        <stp/>
        <stp>##V3_BDHV12</stp>
        <stp>XOM US Equity</stp>
        <stp>CF_ACT_CASH_PAID_FOR_INT_DEBT</stp>
        <stp>FQ3 2014</stp>
        <stp>FQ3 2014</stp>
        <stp>[FA1_m42y3cpi.xlsx]Cash Flow - Standardized!R56C27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6" s="4"/>
      </tp>
      <tp>
        <v>111</v>
        <stp/>
        <stp>##V3_BDHV12</stp>
        <stp>XOM US Equity</stp>
        <stp>CF_ACT_CASH_PAID_FOR_INT_DEBT</stp>
        <stp>FQ2 2016</stp>
        <stp>FQ2 2016</stp>
        <stp>[FA1_m42y3cpi.xlsx]Cash Flow - Standardized!R56C34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6" s="4"/>
      </tp>
      <tp>
        <v>5006</v>
        <stp/>
        <stp>##V3_BDHV12</stp>
        <stp>XOM US Equity</stp>
        <stp>EBIT</stp>
        <stp>FQ1 2018</stp>
        <stp>FQ1 2018</stp>
        <stp>[FA1_m42y3cpi.xlsx]Income - Adjusted!R64C41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64" s="2"/>
      </tp>
      <tp>
        <v>0</v>
        <stp/>
        <stp>##V3_BDHV12</stp>
        <stp>XOM US Equity</stp>
        <stp>OTHER_ADJUSTMENTS</stp>
        <stp>FQ2 2009</stp>
        <stp>FQ2 2009</stp>
        <stp>[FA1_m42y3cpi.xlsx]Income - Adjusted!R42C6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2"/>
      </tp>
      <tp>
        <v>4880</v>
        <stp/>
        <stp>##V3_BDHV12</stp>
        <stp>XOM US Equity</stp>
        <stp>CF_DEPR_AMORT</stp>
        <stp>FQ3 2017</stp>
        <stp>FQ3 2017</stp>
        <stp>[FA1_m42y3cpi.xlsx]Cash Flow - Standardized!R8C39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" s="4"/>
      </tp>
      <tp>
        <v>4652</v>
        <stp/>
        <stp>##V3_BDHV12</stp>
        <stp>XOM US Equity</stp>
        <stp>CF_DEPR_AMORT</stp>
        <stp>FQ2 2017</stp>
        <stp>FQ2 2017</stp>
        <stp>[FA1_m42y3cpi.xlsx]Cash Flow - Standardized!R8C38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" s="4"/>
      </tp>
      <tp>
        <v>4755</v>
        <stp/>
        <stp>##V3_BDHV12</stp>
        <stp>XOM US Equity</stp>
        <stp>CF_DEPR_AMORT</stp>
        <stp>FQ4 2015</stp>
        <stp>FQ4 2015</stp>
        <stp>[FA1_m42y3cpi.xlsx]Cash Flow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4"/>
      </tp>
      <tp>
        <v>4519</v>
        <stp/>
        <stp>##V3_BDHV12</stp>
        <stp>XOM US Equity</stp>
        <stp>CF_DEPR_AMORT</stp>
        <stp>FQ1 2017</stp>
        <stp>FQ1 2017</stp>
        <stp>[FA1_m42y3cpi.xlsx]Cash Flow - Standardized!R8C37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" s="4"/>
      </tp>
      <tp>
        <v>4821</v>
        <stp/>
        <stp>##V3_BDHV12</stp>
        <stp>XOM US Equity</stp>
        <stp>CF_DEPR_AMORT</stp>
        <stp>FQ2 2016</stp>
        <stp>FQ2 2016</stp>
        <stp>[FA1_m42y3cpi.xlsx]Cash Flow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4"/>
      </tp>
      <tp>
        <v>6632</v>
        <stp/>
        <stp>##V3_BDHV12</stp>
        <stp>XOM US Equity</stp>
        <stp>NOTES_RECEIVABLE</stp>
        <stp>FQ4 2015</stp>
        <stp>FQ4 2015</stp>
        <stp>[FA1_m42y3cpi.xlsx]Bal Sheet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3"/>
      </tp>
      <tp>
        <v>4605</v>
        <stp/>
        <stp>##V3_BDHV12</stp>
        <stp>XOM US Equity</stp>
        <stp>CF_DEPR_AMORT</stp>
        <stp>FQ3 2016</stp>
        <stp>FQ3 2016</stp>
        <stp>[FA1_m42y3cpi.xlsx]Cash Flow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4"/>
      </tp>
      <tp>
        <v>5361</v>
        <stp/>
        <stp>##V3_BDHV12</stp>
        <stp>XOM US Equity</stp>
        <stp>NOTES_RECEIVABLE</stp>
        <stp>FQ4 2016</stp>
        <stp>FQ4 2016</stp>
        <stp>[FA1_m42y3cpi.xlsx]Bal Sheet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3"/>
      </tp>
      <tp>
        <v>287</v>
        <stp/>
        <stp>##V3_BDHV12</stp>
        <stp>XOM US Equity</stp>
        <stp>IS_OTHER_OPERATING_EXPENSES</stp>
        <stp>FQ1 2018</stp>
        <stp>FQ1 2018</stp>
        <stp>[FA1_m42y3cpi.xlsx]Income - Adjusted!R15C41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5" s="2"/>
      </tp>
      <tp>
        <v>8117</v>
        <stp/>
        <stp>##V3_BDHV12</stp>
        <stp>XOM US Equity</stp>
        <stp>CF_DEPR_AMORT</stp>
        <stp>FQ4 2016</stp>
        <stp>FQ4 2016</stp>
        <stp>[FA1_m42y3cpi.xlsx]Cash Flow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4"/>
      </tp>
      <tp>
        <v>4542</v>
        <stp/>
        <stp>##V3_BDHV12</stp>
        <stp>XOM US Equity</stp>
        <stp>CF_DEPR_AMORT</stp>
        <stp>FQ3 2015</stp>
        <stp>FQ3 2015</stp>
        <stp>[FA1_m42y3cpi.xlsx]Cash Flow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4"/>
      </tp>
      <tp>
        <v>4451</v>
        <stp/>
        <stp>##V3_BDHV12</stp>
        <stp>XOM US Equity</stp>
        <stp>CF_DEPR_AMORT</stp>
        <stp>FQ2 2015</stp>
        <stp>FQ2 2015</stp>
        <stp>[FA1_m42y3cpi.xlsx]Cash Flow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4"/>
      </tp>
      <tp>
        <v>4765</v>
        <stp/>
        <stp>##V3_BDHV12</stp>
        <stp>XOM US Equity</stp>
        <stp>CF_DEPR_AMORT</stp>
        <stp>FQ1 2016</stp>
        <stp>FQ1 2016</stp>
        <stp>[FA1_m42y3cpi.xlsx]Cash Flow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4"/>
      </tp>
      <tp t="s">
        <v>—</v>
        <stp/>
        <stp>##V3_BDHV12</stp>
        <stp>XOM US Equity</stp>
        <stp>CF_TAX_BENEFIT_FRM_STOCK_OPTIONS</stp>
        <stp>FQ2 2012</stp>
        <stp>FQ2 2012</stp>
        <stp>[FA1_m42y3cpi.xlsx]Cash Flow - Standardized!R62C18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2" s="4"/>
      </tp>
      <tp>
        <v>39105</v>
        <stp/>
        <stp>##V3_BDHV12</stp>
        <stp>XOM US Equity</stp>
        <stp>NET_DEBT</stp>
        <stp>FQ4 2016</stp>
        <stp>FQ4 2016</stp>
        <stp>[FA1_m42y3cpi.xlsx]Bal Sheet - Standardized!R86C36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6" s="3"/>
      </tp>
      <tp>
        <v>-41</v>
        <stp/>
        <stp>##V3_BDHV12</stp>
        <stp>XOM US Equity</stp>
        <stp>CF_OTHER_FINANCING_ACT_EXCL_FX</stp>
        <stp>FQ4 2010</stp>
        <stp>FQ4 2010</stp>
        <stp>[FA1_m42y3cpi.xlsx]Cash Flow - Standardized!R47C12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4"/>
      </tp>
      <tp>
        <v>5088.1538</v>
        <stp/>
        <stp>##V3_BDHV12</stp>
        <stp>XOM US Equity</stp>
        <stp>IS_OPER_INC</stp>
        <stp>FQ4 2014</stp>
        <stp>FQ4 2014</stp>
        <stp>[FA1_m42y3cpi.xlsx]Income - Adjusted!R16C28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6" s="2"/>
      </tp>
      <tp>
        <v>3863</v>
        <stp/>
        <stp>##V3_BDHV12</stp>
        <stp>XOM US Equity</stp>
        <stp>IS_OPER_INC</stp>
        <stp>FQ1 2015</stp>
        <stp>FQ1 2015</stp>
        <stp>[FA1_m42y3cpi.xlsx]Income - Adjusted!R16C29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6" s="2"/>
      </tp>
      <tp>
        <v>-46</v>
        <stp/>
        <stp>##V3_BDHV12</stp>
        <stp>XOM US Equity</stp>
        <stp>CF_OTHER_FINANCING_ACT_EXCL_FX</stp>
        <stp>FQ4 2011</stp>
        <stp>FQ4 2011</stp>
        <stp>[FA1_m42y3cpi.xlsx]Cash Flow - Standardized!R47C16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4"/>
      </tp>
      <tp t="s">
        <v>—</v>
        <stp/>
        <stp>##V3_BDHV12</stp>
        <stp>XOM US Equity</stp>
        <stp>CF_TAX_BENEFIT_FRM_STOCK_OPTIONS</stp>
        <stp>FQ1 2015</stp>
        <stp>FQ1 2015</stp>
        <stp>[FA1_m42y3cpi.xlsx]Cash Flow - Standardized!R62C29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2" s="4"/>
      </tp>
      <tp>
        <v>-1681</v>
        <stp/>
        <stp>##V3_BDHV12</stp>
        <stp>XOM US Equity</stp>
        <stp>CF_NET_CHG_IN_ST_DBT_&amp;_CPTL_LEAS</stp>
        <stp>FQ2 2017</stp>
        <stp>FQ2 2017</stp>
        <stp>[FA1_m42y3cpi.xlsx]Cash Flow - Standardized!R41C38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1" s="4"/>
      </tp>
      <tp>
        <v>-4913</v>
        <stp/>
        <stp>##V3_BDHV12</stp>
        <stp>XOM US Equity</stp>
        <stp>CF_PURCHASE_OF_FIXED_PROD_ASSETS</stp>
        <stp>FQ3 2017</stp>
        <stp>FQ3 2017</stp>
        <stp>[FA1_m42y3cpi.xlsx]Cash Flow - Standardized!R25C39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4"/>
      </tp>
      <tp>
        <v>34982</v>
        <stp/>
        <stp>##V3_BDHV12</stp>
        <stp>XOM US Equity</stp>
        <stp>NET_DEBT</stp>
        <stp>FQ4 2015</stp>
        <stp>FQ4 2015</stp>
        <stp>[FA1_m42y3cpi.xlsx]Bal Sheet - Standardized!R86C32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6" s="3"/>
      </tp>
      <tp t="s">
        <v>—</v>
        <stp/>
        <stp>##V3_BDHV12</stp>
        <stp>XOM US Equity</stp>
        <stp>CF_TAX_BENEFIT_FRM_STOCK_OPTIONS</stp>
        <stp>FQ1 2014</stp>
        <stp>FQ1 2014</stp>
        <stp>[FA1_m42y3cpi.xlsx]Cash Flow - Standardized!R62C25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2" s="4"/>
      </tp>
      <tp>
        <v>-8651</v>
        <stp/>
        <stp>##V3_BDHV12</stp>
        <stp>XOM US Equity</stp>
        <stp>CF_PURCHASE_OF_FIXED_PROD_ASSETS</stp>
        <stp>FQ2 2013</stp>
        <stp>FQ2 2013</stp>
        <stp>[FA1_m42y3cpi.xlsx]Cash Flow - Standardized!R25C22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4"/>
      </tp>
      <tp>
        <v>-7051</v>
        <stp/>
        <stp>##V3_BDHV12</stp>
        <stp>XOM US Equity</stp>
        <stp>CF_PURCHASE_OF_FIXED_PROD_ASSETS</stp>
        <stp>FQ1 2011</stp>
        <stp>FQ1 2011</stp>
        <stp>[FA1_m42y3cpi.xlsx]Cash Flow - Standardized!R25C13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4"/>
      </tp>
      <tp>
        <v>-4501</v>
        <stp/>
        <stp>##V3_BDHV12</stp>
        <stp>XOM US Equity</stp>
        <stp>CF_PURCHASE_OF_FIXED_PROD_ASSETS</stp>
        <stp>FQ4 2017</stp>
        <stp>FQ4 2017</stp>
        <stp>[FA1_m42y3cpi.xlsx]Cash Flow - Standardized!R25C40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4"/>
      </tp>
      <tp>
        <v>309</v>
        <stp/>
        <stp>##V3_BDHV12</stp>
        <stp>XOM US Equity</stp>
        <stp>CF_NET_CHG_IN_ST_DBT_&amp;_CPTL_LEAS</stp>
        <stp>FQ3 2014</stp>
        <stp>FQ3 2014</stp>
        <stp>[FA1_m42y3cpi.xlsx]Cash Flow - Standardized!R41C27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1" s="4"/>
      </tp>
      <tp>
        <v>1399</v>
        <stp/>
        <stp>##V3_BDHV12</stp>
        <stp>XOM US Equity</stp>
        <stp>CF_NET_CHG_IN_ST_DBT_&amp;_CPTL_LEAS</stp>
        <stp>FQ2 2016</stp>
        <stp>FQ2 2016</stp>
        <stp>[FA1_m42y3cpi.xlsx]Cash Flow - Standardized!R41C34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1" s="4"/>
      </tp>
      <tp>
        <v>28</v>
        <stp/>
        <stp>##V3_BDHV12</stp>
        <stp>XOM US Equity</stp>
        <stp>CF_TAX_BENEFIT_FRM_STOCK_OPTIONS</stp>
        <stp>FQ2 2010</stp>
        <stp>FQ2 2010</stp>
        <stp>[FA1_m42y3cpi.xlsx]Cash Flow - Standardized!R62C10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2" s="4"/>
      </tp>
      <tp t="s">
        <v>—</v>
        <stp/>
        <stp>##V3_BDHV12</stp>
        <stp>XOM US Equity</stp>
        <stp>CF_TAX_BENEFIT_FRM_STOCK_OPTIONS</stp>
        <stp>FQ1 2013</stp>
        <stp>FQ1 2013</stp>
        <stp>[FA1_m42y3cpi.xlsx]Cash Flow - Standardized!R62C21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2" s="4"/>
      </tp>
      <tp t="s">
        <v>—</v>
        <stp/>
        <stp>##V3_BDHV12</stp>
        <stp>XOM US Equity</stp>
        <stp>IS_OTHER_ONE_TIME_ITEMS</stp>
        <stp>FQ3 2008</stp>
        <stp>FQ3 2008</stp>
        <stp>[FA1_m42y3cpi.xlsx]Income - Adjusted!R31C3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2"/>
      </tp>
      <tp>
        <v>-3404</v>
        <stp/>
        <stp>##V3_BDHV12</stp>
        <stp>XOM US Equity</stp>
        <stp>CF_PURCHASE_OF_FIXED_PROD_ASSETS</stp>
        <stp>FQ3 2016</stp>
        <stp>FQ3 2016</stp>
        <stp>[FA1_m42y3cpi.xlsx]Cash Flow - Standardized!R25C35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4"/>
      </tp>
      <tp>
        <v>-8542</v>
        <stp/>
        <stp>##V3_BDHV12</stp>
        <stp>XOM US Equity</stp>
        <stp>CF_PURCHASE_OF_FIXED_PROD_ASSETS</stp>
        <stp>FQ2 2014</stp>
        <stp>FQ2 2014</stp>
        <stp>[FA1_m42y3cpi.xlsx]Cash Flow - Standardized!R25C26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4"/>
      </tp>
      <tp>
        <v>1917</v>
        <stp/>
        <stp>##V3_BDHV12</stp>
        <stp>XOM US Equity</stp>
        <stp>CF_NET_CHG_IN_ST_DBT_&amp;_CPTL_LEAS</stp>
        <stp>FQ3 2013</stp>
        <stp>FQ3 2013</stp>
        <stp>[FA1_m42y3cpi.xlsx]Cash Flow - Standardized!R41C23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1" s="4"/>
      </tp>
      <tp>
        <v>-6401</v>
        <stp/>
        <stp>##V3_BDHV12</stp>
        <stp>XOM US Equity</stp>
        <stp>CF_PURCHASE_OF_FIXED_PROD_ASSETS</stp>
        <stp>FQ3 2015</stp>
        <stp>FQ3 2015</stp>
        <stp>[FA1_m42y3cpi.xlsx]Cash Flow - Standardized!R25C31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4"/>
      </tp>
      <tp t="s">
        <v>—</v>
        <stp/>
        <stp>##V3_BDHV12</stp>
        <stp>XOM US Equity</stp>
        <stp>IS_OTHER_ONE_TIME_ITEMS</stp>
        <stp>FQ3 2009</stp>
        <stp>FQ3 2009</stp>
        <stp>[FA1_m42y3cpi.xlsx]Income - Adjusted!R31C7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2"/>
      </tp>
      <tp>
        <v>171</v>
        <stp/>
        <stp>##V3_BDHV12</stp>
        <stp>XOM US Equity</stp>
        <stp>CF_TAX_BENEFIT_FRM_STOCK_OPTIONS</stp>
        <stp>FQ2 2011</stp>
        <stp>FQ2 2011</stp>
        <stp>[FA1_m42y3cpi.xlsx]Cash Flow - Standardized!R62C14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2" s="4"/>
      </tp>
      <tp>
        <v>-7843</v>
        <stp/>
        <stp>##V3_BDHV12</stp>
        <stp>XOM US Equity</stp>
        <stp>CF_PURCHASE_OF_FIXED_PROD_ASSETS</stp>
        <stp>FQ1 2012</stp>
        <stp>FQ1 2012</stp>
        <stp>[FA1_m42y3cpi.xlsx]Cash Flow - Standardized!R25C17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4"/>
      </tp>
      <tp>
        <v>-102</v>
        <stp/>
        <stp>##V3_BDHV12</stp>
        <stp>XOM US Equity</stp>
        <stp>CF_OTHER_FINANCING_ACT_EXCL_FX</stp>
        <stp>FQ1 2018</stp>
        <stp>FQ1 2018</stp>
        <stp>[FA1_m42y3cpi.xlsx]Cash Flow - Standardized!R47C41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7" s="4"/>
      </tp>
      <tp>
        <v>926</v>
        <stp/>
        <stp>##V3_BDHV12</stp>
        <stp>XOM US Equity</stp>
        <stp>CF_NET_CHG_IN_ST_DBT_&amp;_CPTL_LEAS</stp>
        <stp>FQ2 2015</stp>
        <stp>FQ2 2015</stp>
        <stp>[FA1_m42y3cpi.xlsx]Cash Flow - Standardized!R41C30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1" s="4"/>
      </tp>
      <tp>
        <v>0.93</v>
        <stp/>
        <stp>##V3_BDHV12</stp>
        <stp>XOM US Equity</stp>
        <stp>IS_DIL_EPS_BEF_XO</stp>
        <stp>FQ3 2017</stp>
        <stp>FQ3 2017</stp>
        <stp>[FA1_m42y3cpi.xlsx]Income - Adjusted!R56C39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6" s="2"/>
      </tp>
      <tp>
        <v>77.66</v>
        <stp/>
        <stp>##V3_BDHV12</stp>
        <stp>XOM US Equity</stp>
        <stp>PX_LAST</stp>
        <stp>FQ3 2008</stp>
        <stp>FQ3 2008</stp>
        <stp>[FA1_m42y3cpi.xlsx]Stock Value!R6C3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6"/>
      </tp>
      <tp>
        <v>0.92</v>
        <stp/>
        <stp>##V3_BDHV12</stp>
        <stp>XOM US Equity</stp>
        <stp>IS_DIL_EPS_CONT_OPS</stp>
        <stp>FQ2 2018</stp>
        <stp>FQ2 2018</stp>
        <stp>[FA1_m42y3cpi.xlsx]Per Share!R19C42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9" s="5"/>
      </tp>
      <tp>
        <v>1.7991999999999999</v>
        <stp/>
        <stp>##V3_BDHV12</stp>
        <stp>XOM US Equity</stp>
        <stp>IS_DIL_EPS_CONT_OPS</stp>
        <stp>FQ2 2012</stp>
        <stp>FQ2 2012</stp>
        <stp>[FA1_m42y3cpi.xlsx]Per Share!R19C18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9" s="5"/>
      </tp>
      <tp>
        <v>6300</v>
        <stp/>
        <stp>##V3_BDHV12</stp>
        <stp>XOM US Equity</stp>
        <stp>EARN_FOR_COMMON</stp>
        <stp>FQ1 2010</stp>
        <stp>FQ1 2010</stp>
        <stp>[FA1_m42y3cpi.xlsx]Income - Adjusted!R43C9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43" s="2"/>
      </tp>
      <tp>
        <v>-20679</v>
        <stp/>
        <stp>##V3_BDHV12</stp>
        <stp>XOM US Equity</stp>
        <stp>OTHER_INS_RES_TO_SHRHLDR_EQY</stp>
        <stp>FQ1 2017</stp>
        <stp>FQ1 2017</stp>
        <stp>[FA1_m42y3cpi.xlsx]Bal Sheet - Standardized!R71C37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1" s="3"/>
      </tp>
      <tp>
        <v>0</v>
        <stp/>
        <stp>##V3_BDHV12</stp>
        <stp>XOM US Equity</stp>
        <stp>NET_CHG_IN_LT_INVEST_DETAILED</stp>
        <stp>FQ4 2012</stp>
        <stp>FQ4 2012</stp>
        <stp>[FA1_m42y3cpi.xlsx]Cash Flow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4"/>
      </tp>
      <tp>
        <v>0</v>
        <stp/>
        <stp>##V3_BDHV12</stp>
        <stp>XOM US Equity</stp>
        <stp>NET_CHG_IN_LT_INVEST_DETAILED</stp>
        <stp>FQ4 2013</stp>
        <stp>FQ4 2013</stp>
        <stp>[FA1_m42y3cpi.xlsx]Cash Flow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4"/>
      </tp>
      <tp>
        <v>0</v>
        <stp/>
        <stp>##V3_BDHV12</stp>
        <stp>XOM US Equity</stp>
        <stp>NET_CHG_IN_LT_INVEST_DETAILED</stp>
        <stp>FQ4 2014</stp>
        <stp>FQ4 2014</stp>
        <stp>[FA1_m42y3cpi.xlsx]Cash Flow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4"/>
      </tp>
      <tp>
        <v>0</v>
        <stp/>
        <stp>##V3_BDHV12</stp>
        <stp>XOM US Equity</stp>
        <stp>NET_CHG_IN_LT_INVEST_DETAILED</stp>
        <stp>FQ2 2018</stp>
        <stp>FQ2 2018</stp>
        <stp>[FA1_m42y3cpi.xlsx]Cash Flow - Standardized!R27C42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4"/>
      </tp>
      <tp>
        <v>378</v>
        <stp/>
        <stp>##V3_BDHV12</stp>
        <stp>XOM US Equity</stp>
        <stp>CF_ACT_CASH_PAID_FOR_INT_DEBT</stp>
        <stp>FQ3 2017</stp>
        <stp>FQ3 2017</stp>
        <stp>[FA1_m42y3cpi.xlsx]Cash Flow - Standardized!R56C39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6" s="4"/>
      </tp>
      <tp>
        <v>196</v>
        <stp/>
        <stp>##V3_BDHV12</stp>
        <stp>XOM US Equity</stp>
        <stp>CF_ACT_CASH_PAID_FOR_INT_DEBT</stp>
        <stp>FQ3 2015</stp>
        <stp>FQ3 2015</stp>
        <stp>[FA1_m42y3cpi.xlsx]Cash Flow - Standardized!R56C31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6" s="4"/>
      </tp>
      <tp>
        <v>99</v>
        <stp/>
        <stp>##V3_BDHV12</stp>
        <stp>XOM US Equity</stp>
        <stp>CF_ACT_CASH_PAID_FOR_INT_DEBT</stp>
        <stp>FQ1 2012</stp>
        <stp>FQ1 2012</stp>
        <stp>[FA1_m42y3cpi.xlsx]Cash Flow - Standardized!R56C17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6" s="4"/>
      </tp>
      <tp>
        <v>103</v>
        <stp/>
        <stp>##V3_BDHV12</stp>
        <stp>XOM US Equity</stp>
        <stp>CF_ACT_CASH_PAID_FOR_INT_DEBT</stp>
        <stp>FQ1 2011</stp>
        <stp>FQ1 2011</stp>
        <stp>[FA1_m42y3cpi.xlsx]Cash Flow - Standardized!R56C13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6" s="4"/>
      </tp>
      <tp>
        <v>114</v>
        <stp/>
        <stp>##V3_BDHV12</stp>
        <stp>XOM US Equity</stp>
        <stp>CF_ACT_CASH_PAID_FOR_INT_DEBT</stp>
        <stp>FQ2 2013</stp>
        <stp>FQ2 2013</stp>
        <stp>[FA1_m42y3cpi.xlsx]Cash Flow - Standardized!R56C22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6" s="4"/>
      </tp>
      <tp>
        <v>167</v>
        <stp/>
        <stp>##V3_BDHV12</stp>
        <stp>XOM US Equity</stp>
        <stp>CF_ACT_CASH_PAID_FOR_INT_DEBT</stp>
        <stp>FQ4 2017</stp>
        <stp>FQ4 2017</stp>
        <stp>[FA1_m42y3cpi.xlsx]Cash Flow - Standardized!R56C40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6" s="4"/>
      </tp>
      <tp>
        <v>87</v>
        <stp/>
        <stp>##V3_BDHV12</stp>
        <stp>XOM US Equity</stp>
        <stp>CF_ACT_CASH_PAID_FOR_INT_DEBT</stp>
        <stp>FQ2 2014</stp>
        <stp>FQ2 2014</stp>
        <stp>[FA1_m42y3cpi.xlsx]Cash Flow - Standardized!R56C26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6" s="4"/>
      </tp>
      <tp>
        <v>375</v>
        <stp/>
        <stp>##V3_BDHV12</stp>
        <stp>XOM US Equity</stp>
        <stp>CF_ACT_CASH_PAID_FOR_INT_DEBT</stp>
        <stp>FQ3 2016</stp>
        <stp>FQ3 2016</stp>
        <stp>[FA1_m42y3cpi.xlsx]Cash Flow - Standardized!R56C35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6" s="4"/>
      </tp>
      <tp>
        <v>3034</v>
        <stp/>
        <stp>##V3_BDHV12</stp>
        <stp>XOM US Equity</stp>
        <stp>IS_OPERATING_EXPN</stp>
        <stp>FQ1 2018</stp>
        <stp>FQ1 2018</stp>
        <stp>[FA1_m42y3cpi.xlsx]Income - Adjusted!R13C41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3" s="2"/>
      </tp>
      <tp>
        <v>-9931</v>
        <stp/>
        <stp>##V3_BDHV12</stp>
        <stp>XOM US Equity</stp>
        <stp>OTHER_INS_RES_TO_SHRHLDR_EQY</stp>
        <stp>FQ4 2008</stp>
        <stp>FQ4 2008</stp>
        <stp>[FA1_m42y3cpi.xlsx]Bal Sheet - Standardized!R71C4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1" s="3"/>
      </tp>
      <tp>
        <v>0</v>
        <stp/>
        <stp>##V3_BDHV12</stp>
        <stp>XOM US Equity</stp>
        <stp>OTHER_ADJUSTMENTS</stp>
        <stp>FQ3 2009</stp>
        <stp>FQ3 2009</stp>
        <stp>[FA1_m42y3cpi.xlsx]Income - Adjusted!R42C7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2"/>
      </tp>
      <tp>
        <v>-61</v>
        <stp/>
        <stp>##V3_BDHV12</stp>
        <stp>XOM US Equity</stp>
        <stp>OTHER_INS_RES_TO_SHRHLDR_EQY</stp>
        <stp>FQ3 2008</stp>
        <stp>FQ3 2008</stp>
        <stp>[FA1_m42y3cpi.xlsx]Bal Sheet - Standardized!R71C3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1" s="3"/>
      </tp>
      <tp>
        <v>0</v>
        <stp/>
        <stp>##V3_BDHV12</stp>
        <stp>XOM US Equity</stp>
        <stp>OTHER_ADJUSTMENTS</stp>
        <stp>FQ3 2008</stp>
        <stp>FQ3 2008</stp>
        <stp>[FA1_m42y3cpi.xlsx]Income - Adjusted!R42C3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2"/>
      </tp>
      <tp>
        <v>9468</v>
        <stp/>
        <stp>##V3_BDHV12</stp>
        <stp>XOM US Equity</stp>
        <stp>NOTES_RECEIVABLE</stp>
        <stp>FQ4 2014</stp>
        <stp>FQ4 2014</stp>
        <stp>[FA1_m42y3cpi.xlsx]Bal Sheet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3"/>
      </tp>
      <tp t="s">
        <v>—</v>
        <stp/>
        <stp>##V3_BDHV12</stp>
        <stp>XOM US Equity</stp>
        <stp>NOTES_RECEIVABLE</stp>
        <stp>FQ2 2018</stp>
        <stp>FQ2 2018</stp>
        <stp>[FA1_m42y3cpi.xlsx]Bal Sheet - Standardized!R12C42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3"/>
      </tp>
      <tp>
        <v>4458</v>
        <stp/>
        <stp>##V3_BDHV12</stp>
        <stp>XOM US Equity</stp>
        <stp>CF_DEPR_AMORT</stp>
        <stp>FQ4 2014</stp>
        <stp>FQ4 2014</stp>
        <stp>[FA1_m42y3cpi.xlsx]Cash Flow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4"/>
      </tp>
      <tp>
        <v>4300</v>
        <stp/>
        <stp>##V3_BDHV12</stp>
        <stp>XOM US Equity</stp>
        <stp>CF_DEPR_AMORT</stp>
        <stp>FQ1 2015</stp>
        <stp>FQ1 2015</stp>
        <stp>[FA1_m42y3cpi.xlsx]Cash Flow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4"/>
      </tp>
      <tp>
        <v>4110</v>
        <stp/>
        <stp>##V3_BDHV12</stp>
        <stp>XOM US Equity</stp>
        <stp>CF_DEPR_AMORT</stp>
        <stp>FQ4 2012</stp>
        <stp>FQ4 2012</stp>
        <stp>[FA1_m42y3cpi.xlsx]Cash Flow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4"/>
      </tp>
      <tp>
        <v>4285</v>
        <stp/>
        <stp>##V3_BDHV12</stp>
        <stp>XOM US Equity</stp>
        <stp>CF_DEPR_AMORT</stp>
        <stp>FQ2 2014</stp>
        <stp>FQ2 2014</stp>
        <stp>[FA1_m42y3cpi.xlsx]Cash Flow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4"/>
      </tp>
      <tp>
        <v>4362</v>
        <stp/>
        <stp>##V3_BDHV12</stp>
        <stp>XOM US Equity</stp>
        <stp>CF_DEPR_AMORT</stp>
        <stp>FQ3 2014</stp>
        <stp>FQ3 2014</stp>
        <stp>[FA1_m42y3cpi.xlsx]Cash Flow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4"/>
      </tp>
      <tp>
        <v>4192</v>
        <stp/>
        <stp>##V3_BDHV12</stp>
        <stp>XOM US Equity</stp>
        <stp>CF_DEPR_AMORT</stp>
        <stp>FQ1 2014</stp>
        <stp>FQ1 2014</stp>
        <stp>[FA1_m42y3cpi.xlsx]Cash Flow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4"/>
      </tp>
      <tp>
        <v>7159</v>
        <stp/>
        <stp>##V3_BDHV12</stp>
        <stp>XOM US Equity</stp>
        <stp>NOTES_RECEIVABLE</stp>
        <stp>FQ4 2013</stp>
        <stp>FQ4 2013</stp>
        <stp>[FA1_m42y3cpi.xlsx]Bal Sheet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3"/>
      </tp>
      <tp>
        <v>4110</v>
        <stp/>
        <stp>##V3_BDHV12</stp>
        <stp>XOM US Equity</stp>
        <stp>CF_DEPR_AMORT</stp>
        <stp>FQ1 2013</stp>
        <stp>FQ1 2013</stp>
        <stp>[FA1_m42y3cpi.xlsx]Cash Flow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4"/>
      </tp>
      <tp>
        <v>4287</v>
        <stp/>
        <stp>##V3_BDHV12</stp>
        <stp>XOM US Equity</stp>
        <stp>CF_DEPR_AMORT</stp>
        <stp>FQ3 2013</stp>
        <stp>FQ3 2013</stp>
        <stp>[FA1_m42y3cpi.xlsx]Cash Flow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4"/>
      </tp>
      <tp>
        <v>4405</v>
        <stp/>
        <stp>##V3_BDHV12</stp>
        <stp>XOM US Equity</stp>
        <stp>CF_DEPR_AMORT</stp>
        <stp>FQ2 2013</stp>
        <stp>FQ2 2013</stp>
        <stp>[FA1_m42y3cpi.xlsx]Cash Flow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4"/>
      </tp>
      <tp>
        <v>4380</v>
        <stp/>
        <stp>##V3_BDHV12</stp>
        <stp>XOM US Equity</stp>
        <stp>CF_DEPR_AMORT</stp>
        <stp>FQ4 2013</stp>
        <stp>FQ4 2013</stp>
        <stp>[FA1_m42y3cpi.xlsx]Cash Flow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4"/>
      </tp>
      <tp>
        <v>6614</v>
        <stp/>
        <stp>##V3_BDHV12</stp>
        <stp>XOM US Equity</stp>
        <stp>NOTES_RECEIVABLE</stp>
        <stp>FQ4 2012</stp>
        <stp>FQ4 2012</stp>
        <stp>[FA1_m42y3cpi.xlsx]Bal Sheet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3"/>
      </tp>
      <tp>
        <v>0</v>
        <stp/>
        <stp>##V3_BDHV12</stp>
        <stp>XOM US Equity</stp>
        <stp>CF_TAX_BENEFIT_FRM_STOCK_OPTIONS</stp>
        <stp>FQ3 2012</stp>
        <stp>FQ3 2012</stp>
        <stp>[FA1_m42y3cpi.xlsx]Cash Flow - Standardized!R62C19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2" s="4"/>
      </tp>
      <tp>
        <v>1999</v>
        <stp/>
        <stp>##V3_BDHV12</stp>
        <stp>XOM US Equity</stp>
        <stp>NET_DEBT</stp>
        <stp>FQ4 2012</stp>
        <stp>FQ4 2012</stp>
        <stp>[FA1_m42y3cpi.xlsx]Bal Sheet - Standardized!R86C20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6" s="3"/>
      </tp>
      <tp>
        <v>-1589</v>
        <stp/>
        <stp>##V3_BDHV12</stp>
        <stp>XOM US Equity</stp>
        <stp>CF_NET_CHG_IN_ST_DBT_&amp;_CPTL_LEAS</stp>
        <stp>FQ3 2017</stp>
        <stp>FQ3 2017</stp>
        <stp>[FA1_m42y3cpi.xlsx]Cash Flow - Standardized!R41C39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1" s="4"/>
      </tp>
      <tp>
        <v>-3098</v>
        <stp/>
        <stp>##V3_BDHV12</stp>
        <stp>XOM US Equity</stp>
        <stp>CF_PURCHASE_OF_FIXED_PROD_ASSETS</stp>
        <stp>FQ2 2017</stp>
        <stp>FQ2 2017</stp>
        <stp>[FA1_m42y3cpi.xlsx]Cash Flow - Standardized!R25C38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4"/>
      </tp>
      <tp>
        <v>18055</v>
        <stp/>
        <stp>##V3_BDHV12</stp>
        <stp>XOM US Equity</stp>
        <stp>NET_DEBT</stp>
        <stp>FQ4 2013</stp>
        <stp>FQ4 2013</stp>
        <stp>[FA1_m42y3cpi.xlsx]Bal Sheet - Standardized!R86C24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6" s="3"/>
      </tp>
      <tp>
        <v>-9098</v>
        <stp/>
        <stp>##V3_BDHV12</stp>
        <stp>XOM US Equity</stp>
        <stp>CF_PURCHASE_OF_FIXED_PROD_ASSETS</stp>
        <stp>FQ3 2013</stp>
        <stp>FQ3 2013</stp>
        <stp>[FA1_m42y3cpi.xlsx]Cash Flow - Standardized!R25C23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4"/>
      </tp>
      <tp>
        <v>432</v>
        <stp/>
        <stp>##V3_BDHV12</stp>
        <stp>XOM US Equity</stp>
        <stp>CF_NET_CHG_IN_ST_DBT_&amp;_CPTL_LEAS</stp>
        <stp>FQ2 2014</stp>
        <stp>FQ2 2014</stp>
        <stp>[FA1_m42y3cpi.xlsx]Cash Flow - Standardized!R41C26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1" s="4"/>
      </tp>
      <tp>
        <v>1875</v>
        <stp/>
        <stp>##V3_BDHV12</stp>
        <stp>XOM US Equity</stp>
        <stp>CF_NET_CHG_IN_ST_DBT_&amp;_CPTL_LEAS</stp>
        <stp>FQ3 2016</stp>
        <stp>FQ3 2016</stp>
        <stp>[FA1_m42y3cpi.xlsx]Cash Flow - Standardized!R41C35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1" s="4"/>
      </tp>
      <tp t="s">
        <v>—</v>
        <stp/>
        <stp>##V3_BDHV12</stp>
        <stp>XOM US Equity</stp>
        <stp>CF_TAX_BENEFIT_FRM_STOCK_OPTIONS</stp>
        <stp>FQ1 2017</stp>
        <stp>FQ1 2017</stp>
        <stp>[FA1_m42y3cpi.xlsx]Cash Flow - Standardized!R62C37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2" s="4"/>
      </tp>
      <tp>
        <v>19</v>
        <stp/>
        <stp>##V3_BDHV12</stp>
        <stp>XOM US Equity</stp>
        <stp>CF_TAX_BENEFIT_FRM_STOCK_OPTIONS</stp>
        <stp>FQ3 2010</stp>
        <stp>FQ3 2010</stp>
        <stp>[FA1_m42y3cpi.xlsx]Cash Flow - Standardized!R62C11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2" s="4"/>
      </tp>
      <tp>
        <v>-4271</v>
        <stp/>
        <stp>##V3_BDHV12</stp>
        <stp>XOM US Equity</stp>
        <stp>CF_PURCHASE_OF_FIXED_PROD_ASSETS</stp>
        <stp>FQ2 2016</stp>
        <stp>FQ2 2016</stp>
        <stp>[FA1_m42y3cpi.xlsx]Cash Flow - Standardized!R25C34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4"/>
      </tp>
      <tp>
        <v>-8198</v>
        <stp/>
        <stp>##V3_BDHV12</stp>
        <stp>XOM US Equity</stp>
        <stp>CF_PURCHASE_OF_FIXED_PROD_ASSETS</stp>
        <stp>FQ3 2014</stp>
        <stp>FQ3 2014</stp>
        <stp>[FA1_m42y3cpi.xlsx]Cash Flow - Standardized!R25C27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4"/>
      </tp>
      <tp>
        <v>1789</v>
        <stp/>
        <stp>##V3_BDHV12</stp>
        <stp>XOM US Equity</stp>
        <stp>CF_NET_CHG_IN_ST_DBT_&amp;_CPTL_LEAS</stp>
        <stp>FQ4 2017</stp>
        <stp>FQ4 2017</stp>
        <stp>[FA1_m42y3cpi.xlsx]Cash Flow - Standardized!R41C40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1" s="4"/>
      </tp>
      <tp>
        <v>743</v>
        <stp/>
        <stp>##V3_BDHV12</stp>
        <stp>XOM US Equity</stp>
        <stp>CF_NET_CHG_IN_ST_DBT_&amp;_CPTL_LEAS</stp>
        <stp>FQ1 2011</stp>
        <stp>FQ1 2011</stp>
        <stp>[FA1_m42y3cpi.xlsx]Cash Flow - Standardized!R41C13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1" s="4"/>
      </tp>
      <tp>
        <v>5979</v>
        <stp/>
        <stp>##V3_BDHV12</stp>
        <stp>XOM US Equity</stp>
        <stp>CF_NET_CHG_IN_ST_DBT_&amp;_CPTL_LEAS</stp>
        <stp>FQ2 2013</stp>
        <stp>FQ2 2013</stp>
        <stp>[FA1_m42y3cpi.xlsx]Cash Flow - Standardized!R41C22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1" s="4"/>
      </tp>
      <tp t="s">
        <v>—</v>
        <stp/>
        <stp>##V3_BDHV12</stp>
        <stp>XOM US Equity</stp>
        <stp>CF_TAX_BENEFIT_FRM_STOCK_OPTIONS</stp>
        <stp>FQ1 2016</stp>
        <stp>FQ1 2016</stp>
        <stp>[FA1_m42y3cpi.xlsx]Cash Flow - Standardized!R62C33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2" s="4"/>
      </tp>
      <tp>
        <v>-7109</v>
        <stp/>
        <stp>##V3_BDHV12</stp>
        <stp>XOM US Equity</stp>
        <stp>CF_PURCHASE_OF_FIXED_PROD_ASSETS</stp>
        <stp>FQ2 2015</stp>
        <stp>FQ2 2015</stp>
        <stp>[FA1_m42y3cpi.xlsx]Cash Flow - Standardized!R25C30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4"/>
      </tp>
      <tp>
        <v>24505</v>
        <stp/>
        <stp>##V3_BDHV12</stp>
        <stp>XOM US Equity</stp>
        <stp>NET_DEBT</stp>
        <stp>FQ4 2014</stp>
        <stp>FQ4 2014</stp>
        <stp>[FA1_m42y3cpi.xlsx]Bal Sheet - Standardized!R86C28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6" s="3"/>
      </tp>
      <tp>
        <v>37790</v>
        <stp/>
        <stp>##V3_BDHV12</stp>
        <stp>XOM US Equity</stp>
        <stp>NET_DEBT</stp>
        <stp>FQ2 2018</stp>
        <stp>FQ2 2018</stp>
        <stp>[FA1_m42y3cpi.xlsx]Bal Sheet - Standardized!R86C42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6" s="3"/>
      </tp>
      <tp>
        <v>-527</v>
        <stp/>
        <stp>##V3_BDHV12</stp>
        <stp>XOM US Equity</stp>
        <stp>CF_NET_CHG_IN_ST_DBT_&amp;_CPTL_LEAS</stp>
        <stp>FQ1 2012</stp>
        <stp>FQ1 2012</stp>
        <stp>[FA1_m42y3cpi.xlsx]Cash Flow - Standardized!R41C17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1" s="4"/>
      </tp>
      <tp>
        <v>215.38460000000001</v>
        <stp/>
        <stp>##V3_BDHV12</stp>
        <stp>XOM US Equity</stp>
        <stp>IS_OTHER_ONE_TIME_ITEMS</stp>
        <stp>FQ2 2009</stp>
        <stp>FQ2 2009</stp>
        <stp>[FA1_m42y3cpi.xlsx]Income - Adjusted!R31C6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2"/>
      </tp>
      <tp>
        <v>49</v>
        <stp/>
        <stp>##V3_BDHV12</stp>
        <stp>XOM US Equity</stp>
        <stp>CF_TAX_BENEFIT_FRM_STOCK_OPTIONS</stp>
        <stp>FQ3 2011</stp>
        <stp>FQ3 2011</stp>
        <stp>[FA1_m42y3cpi.xlsx]Cash Flow - Standardized!R62C15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2" s="4"/>
      </tp>
      <tp>
        <v>175</v>
        <stp/>
        <stp>##V3_BDHV12</stp>
        <stp>XOM US Equity</stp>
        <stp>CF_NET_CHG_IN_ST_DBT_&amp;_CPTL_LEAS</stp>
        <stp>FQ3 2015</stp>
        <stp>FQ3 2015</stp>
        <stp>[FA1_m42y3cpi.xlsx]Cash Flow - Standardized!R41C31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1" s="4"/>
      </tp>
      <tp>
        <v>0.78</v>
        <stp/>
        <stp>##V3_BDHV12</stp>
        <stp>XOM US Equity</stp>
        <stp>IS_DIL_EPS_BEF_XO</stp>
        <stp>FQ2 2017</stp>
        <stp>FQ2 2017</stp>
        <stp>[FA1_m42y3cpi.xlsx]Income - Adjusted!R56C38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6" s="2"/>
      </tp>
      <tp>
        <v>2.09</v>
        <stp/>
        <stp>##V3_BDHV12</stp>
        <stp>XOM US Equity</stp>
        <stp>IS_DIL_EPS_CONT_OPS</stp>
        <stp>FQ3 2012</stp>
        <stp>FQ3 2012</stp>
        <stp>[FA1_m42y3cpi.xlsx]Per Share!R19C19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9" s="5"/>
      </tp>
      <tp>
        <v>6.6875</v>
        <stp/>
        <stp>##V3_BDHV12</stp>
        <stp>XOM US Equity</stp>
        <stp>OPER_MARGIN</stp>
        <stp>FQ4 2014</stp>
        <stp>FQ4 2014</stp>
        <stp>[FA1_m42y3cpi.xlsx]Income - Adjusted!R66C28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66" s="2"/>
      </tp>
      <tp>
        <v>1.0932999999999999</v>
        <stp/>
        <stp>##V3_BDHV12</stp>
        <stp>XOM US Equity</stp>
        <stp>OPER_MARGIN</stp>
        <stp>FQ4 2015</stp>
        <stp>FQ4 2015</stp>
        <stp>[FA1_m42y3cpi.xlsx]Income - Adjusted!R66C32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66" s="2"/>
      </tp>
      <tp>
        <v>0.37569999999999998</v>
        <stp/>
        <stp>##V3_BDHV12</stp>
        <stp>XOM US Equity</stp>
        <stp>OPER_MARGIN</stp>
        <stp>FQ4 2016</stp>
        <stp>FQ4 2016</stp>
        <stp>[FA1_m42y3cpi.xlsx]Income - Adjusted!R66C36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66" s="2"/>
      </tp>
      <tp>
        <v>5.9998000000000005</v>
        <stp/>
        <stp>##V3_BDHV12</stp>
        <stp>XOM US Equity</stp>
        <stp>OPER_MARGIN</stp>
        <stp>FQ4 2017</stp>
        <stp>FQ4 2017</stp>
        <stp>[FA1_m42y3cpi.xlsx]Income - Adjusted!R66C40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66" s="2"/>
      </tp>
      <tp>
        <v>11.1922</v>
        <stp/>
        <stp>##V3_BDHV12</stp>
        <stp>XOM US Equity</stp>
        <stp>OPER_MARGIN</stp>
        <stp>FQ4 2012</stp>
        <stp>FQ4 2012</stp>
        <stp>[FA1_m42y3cpi.xlsx]Income - Adjusted!R66C20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66" s="2"/>
      </tp>
      <tp>
        <v>10.6275</v>
        <stp/>
        <stp>##V3_BDHV12</stp>
        <stp>XOM US Equity</stp>
        <stp>OPER_MARGIN</stp>
        <stp>FQ4 2011</stp>
        <stp>FQ4 2011</stp>
        <stp>[FA1_m42y3cpi.xlsx]Income - Adjusted!R66C16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66" s="2"/>
      </tp>
      <tp>
        <v>12.0885</v>
        <stp/>
        <stp>##V3_BDHV12</stp>
        <stp>XOM US Equity</stp>
        <stp>OPER_MARGIN</stp>
        <stp>FQ4 2010</stp>
        <stp>FQ4 2010</stp>
        <stp>[FA1_m42y3cpi.xlsx]Income - Adjusted!R66C12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66" s="2"/>
      </tp>
      <tp>
        <v>9.8846000000000007</v>
        <stp/>
        <stp>##V3_BDHV12</stp>
        <stp>XOM US Equity</stp>
        <stp>OPER_MARGIN</stp>
        <stp>FQ4 2013</stp>
        <stp>FQ4 2013</stp>
        <stp>[FA1_m42y3cpi.xlsx]Income - Adjusted!R66C24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66" s="2"/>
      </tp>
      <tp>
        <v>12.9206</v>
        <stp/>
        <stp>##V3_BDHV12</stp>
        <stp>XOM US Equity</stp>
        <stp>OPER_MARGIN</stp>
        <stp>FQ2 2011</stp>
        <stp>FQ2 2011</stp>
        <stp>[FA1_m42y3cpi.xlsx]Income - Adjusted!R66C14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66" s="2"/>
      </tp>
      <tp>
        <v>9.6923999999999992</v>
        <stp/>
        <stp>##V3_BDHV12</stp>
        <stp>XOM US Equity</stp>
        <stp>OPER_MARGIN</stp>
        <stp>FQ2 2013</stp>
        <stp>FQ2 2013</stp>
        <stp>[FA1_m42y3cpi.xlsx]Income - Adjusted!R66C22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66" s="2"/>
      </tp>
      <tp>
        <v>12.0464</v>
        <stp/>
        <stp>##V3_BDHV12</stp>
        <stp>XOM US Equity</stp>
        <stp>OPER_MARGIN</stp>
        <stp>FQ2 2010</stp>
        <stp>FQ2 2010</stp>
        <stp>[FA1_m42y3cpi.xlsx]Income - Adjusted!R66C10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66" s="2"/>
      </tp>
      <tp>
        <v>1.5499000000000001</v>
        <stp/>
        <stp>##V3_BDHV12</stp>
        <stp>XOM US Equity</stp>
        <stp>OPER_MARGIN</stp>
        <stp>FQ2 2012</stp>
        <stp>FQ2 2012</stp>
        <stp>[FA1_m42y3cpi.xlsx]Income - Adjusted!R66C18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66" s="2"/>
      </tp>
      <tp>
        <v>4.0970000000000004</v>
        <stp/>
        <stp>##V3_BDHV12</stp>
        <stp>XOM US Equity</stp>
        <stp>OPER_MARGIN</stp>
        <stp>FQ2 2017</stp>
        <stp>FQ2 2017</stp>
        <stp>[FA1_m42y3cpi.xlsx]Income - Adjusted!R66C38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66" s="2"/>
      </tp>
      <tp>
        <v>2.2326999999999999</v>
        <stp/>
        <stp>##V3_BDHV12</stp>
        <stp>XOM US Equity</stp>
        <stp>OPER_MARGIN</stp>
        <stp>FQ2 2016</stp>
        <stp>FQ2 2016</stp>
        <stp>[FA1_m42y3cpi.xlsx]Income - Adjusted!R66C34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66" s="2"/>
      </tp>
      <tp>
        <v>8.8780999999999999</v>
        <stp/>
        <stp>##V3_BDHV12</stp>
        <stp>XOM US Equity</stp>
        <stp>OPER_MARGIN</stp>
        <stp>FQ2 2014</stp>
        <stp>FQ2 2014</stp>
        <stp>[FA1_m42y3cpi.xlsx]Income - Adjusted!R66C26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66" s="2"/>
      </tp>
      <tp>
        <v>6.5540000000000003</v>
        <stp/>
        <stp>##V3_BDHV12</stp>
        <stp>XOM US Equity</stp>
        <stp>OPER_MARGIN</stp>
        <stp>FQ2 2015</stp>
        <stp>FQ2 2015</stp>
        <stp>[FA1_m42y3cpi.xlsx]Income - Adjusted!R66C30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66" s="2"/>
      </tp>
      <tp>
        <v>6.4570999999999996</v>
        <stp/>
        <stp>##V3_BDHV12</stp>
        <stp>XOM US Equity</stp>
        <stp>OPER_MARGIN</stp>
        <stp>FQ2 2018</stp>
        <stp>FQ2 2018</stp>
        <stp>[FA1_m42y3cpi.xlsx]Income - Adjusted!R66C42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66" s="2"/>
      </tp>
      <tp>
        <v>11.7033</v>
        <stp/>
        <stp>##V3_BDHV12</stp>
        <stp>XOM US Equity</stp>
        <stp>OPER_MARGIN</stp>
        <stp>FQ3 2010</stp>
        <stp>FQ3 2010</stp>
        <stp>[FA1_m42y3cpi.xlsx]Income - Adjusted!R66C11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66" s="2"/>
      </tp>
      <tp>
        <v>10.207100000000001</v>
        <stp/>
        <stp>##V3_BDHV12</stp>
        <stp>XOM US Equity</stp>
        <stp>OPER_MARGIN</stp>
        <stp>FQ3 2013</stp>
        <stp>FQ3 2013</stp>
        <stp>[FA1_m42y3cpi.xlsx]Income - Adjusted!R66C23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66" s="2"/>
      </tp>
      <tp>
        <v>12.4322</v>
        <stp/>
        <stp>##V3_BDHV12</stp>
        <stp>XOM US Equity</stp>
        <stp>OPER_MARGIN</stp>
        <stp>FQ3 2011</stp>
        <stp>FQ3 2011</stp>
        <stp>[FA1_m42y3cpi.xlsx]Income - Adjusted!R66C15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66" s="2"/>
      </tp>
      <tp>
        <v>12.79</v>
        <stp/>
        <stp>##V3_BDHV12</stp>
        <stp>XOM US Equity</stp>
        <stp>OPER_MARGIN</stp>
        <stp>FQ3 2012</stp>
        <stp>FQ3 2012</stp>
        <stp>[FA1_m42y3cpi.xlsx]Income - Adjusted!R66C19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66" s="2"/>
      </tp>
      <tp>
        <v>2.7702999999999998</v>
        <stp/>
        <stp>##V3_BDHV12</stp>
        <stp>XOM US Equity</stp>
        <stp>OPER_MARGIN</stp>
        <stp>FQ3 2016</stp>
        <stp>FQ3 2016</stp>
        <stp>[FA1_m42y3cpi.xlsx]Income - Adjusted!R66C35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66" s="2"/>
      </tp>
      <tp>
        <v>6.7359999999999998</v>
        <stp/>
        <stp>##V3_BDHV12</stp>
        <stp>XOM US Equity</stp>
        <stp>OPER_MARGIN</stp>
        <stp>FQ3 2017</stp>
        <stp>FQ3 2017</stp>
        <stp>[FA1_m42y3cpi.xlsx]Income - Adjusted!R66C39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66" s="2"/>
      </tp>
      <tp>
        <v>9.968</v>
        <stp/>
        <stp>##V3_BDHV12</stp>
        <stp>XOM US Equity</stp>
        <stp>OPER_MARGIN</stp>
        <stp>FQ3 2014</stp>
        <stp>FQ3 2014</stp>
        <stp>[FA1_m42y3cpi.xlsx]Income - Adjusted!R66C27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66" s="2"/>
      </tp>
      <tp>
        <v>6.9522000000000004</v>
        <stp/>
        <stp>##V3_BDHV12</stp>
        <stp>XOM US Equity</stp>
        <stp>OPER_MARGIN</stp>
        <stp>FQ3 2015</stp>
        <stp>FQ3 2015</stp>
        <stp>[FA1_m42y3cpi.xlsx]Income - Adjusted!R66C31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66" s="2"/>
      </tp>
      <tp>
        <v>11.5253</v>
        <stp/>
        <stp>##V3_BDHV12</stp>
        <stp>XOM US Equity</stp>
        <stp>OPER_MARGIN</stp>
        <stp>FQ1 2012</stp>
        <stp>FQ1 2012</stp>
        <stp>[FA1_m42y3cpi.xlsx]Income - Adjusted!R66C17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66" s="2"/>
      </tp>
      <tp>
        <v>11.5045</v>
        <stp/>
        <stp>##V3_BDHV12</stp>
        <stp>XOM US Equity</stp>
        <stp>OPER_MARGIN</stp>
        <stp>FQ1 2013</stp>
        <stp>FQ1 2013</stp>
        <stp>[FA1_m42y3cpi.xlsx]Income - Adjusted!R66C21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66" s="2"/>
      </tp>
      <tp>
        <v>14.006</v>
        <stp/>
        <stp>##V3_BDHV12</stp>
        <stp>XOM US Equity</stp>
        <stp>OPER_MARGIN</stp>
        <stp>FQ1 2011</stp>
        <stp>FQ1 2011</stp>
        <stp>[FA1_m42y3cpi.xlsx]Income - Adjusted!R66C13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66" s="2"/>
      </tp>
      <tp>
        <v>6.5222999999999995</v>
        <stp/>
        <stp>##V3_BDHV12</stp>
        <stp>XOM US Equity</stp>
        <stp>OPER_MARGIN</stp>
        <stp>FQ1 2015</stp>
        <stp>FQ1 2015</stp>
        <stp>[FA1_m42y3cpi.xlsx]Income - Adjusted!R66C29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66" s="2"/>
      </tp>
      <tp>
        <v>10.8963</v>
        <stp/>
        <stp>##V3_BDHV12</stp>
        <stp>XOM US Equity</stp>
        <stp>OPER_MARGIN</stp>
        <stp>FQ1 2014</stp>
        <stp>FQ1 2014</stp>
        <stp>[FA1_m42y3cpi.xlsx]Income - Adjusted!R66C25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66" s="2"/>
      </tp>
      <tp>
        <v>0.48470000000000002</v>
        <stp/>
        <stp>##V3_BDHV12</stp>
        <stp>XOM US Equity</stp>
        <stp>OPER_MARGIN</stp>
        <stp>FQ1 2016</stp>
        <stp>FQ1 2016</stp>
        <stp>[FA1_m42y3cpi.xlsx]Income - Adjusted!R66C33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66" s="2"/>
      </tp>
      <tp>
        <v>6.9366000000000003</v>
        <stp/>
        <stp>##V3_BDHV12</stp>
        <stp>XOM US Equity</stp>
        <stp>OPER_MARGIN</stp>
        <stp>FQ1 2017</stp>
        <stp>FQ1 2017</stp>
        <stp>[FA1_m42y3cpi.xlsx]Income - Adjusted!R66C37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66" s="2"/>
      </tp>
      <tp>
        <v>7.6501999999999999</v>
        <stp/>
        <stp>##V3_BDHV12</stp>
        <stp>XOM US Equity</stp>
        <stp>OPER_MARGIN</stp>
        <stp>FQ1 2018</stp>
        <stp>FQ1 2018</stp>
        <stp>[FA1_m42y3cpi.xlsx]Income - Adjusted!R66C41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66" s="2"/>
      </tp>
      <tp>
        <v>-20744</v>
        <stp/>
        <stp>##V3_BDHV12</stp>
        <stp>XOM US Equity</stp>
        <stp>OTHER_INS_RES_TO_SHRHLDR_EQY</stp>
        <stp>FQ2 2016</stp>
        <stp>FQ2 2016</stp>
        <stp>[FA1_m42y3cpi.xlsx]Bal Sheet - Standardized!R71C34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1" s="3"/>
      </tp>
      <tp>
        <v>-20466</v>
        <stp/>
        <stp>##V3_BDHV12</stp>
        <stp>XOM US Equity</stp>
        <stp>OTHER_INS_RES_TO_SHRHLDR_EQY</stp>
        <stp>FQ3 2016</stp>
        <stp>FQ3 2016</stp>
        <stp>[FA1_m42y3cpi.xlsx]Bal Sheet - Standardized!R71C35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1" s="3"/>
      </tp>
      <tp>
        <v>7820</v>
        <stp/>
        <stp>##V3_BDHV12</stp>
        <stp>XOM US Equity</stp>
        <stp>EARN_FOR_COMMON</stp>
        <stp>FQ4 2008</stp>
        <stp>FQ4 2008</stp>
        <stp>[FA1_m42y3cpi.xlsx]Income - Adjusted!R43C4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43" s="2"/>
      </tp>
      <tp>
        <v>14830</v>
        <stp/>
        <stp>##V3_BDHV12</stp>
        <stp>XOM US Equity</stp>
        <stp>EARN_FOR_COMMON</stp>
        <stp>FQ3 2008</stp>
        <stp>FQ3 2008</stp>
        <stp>[FA1_m42y3cpi.xlsx]Income - Adjusted!R43C3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43" s="2"/>
      </tp>
      <tp>
        <v>-12196</v>
        <stp/>
        <stp>##V3_BDHV12</stp>
        <stp>XOM US Equity</stp>
        <stp>OTHER_INS_RES_TO_SHRHLDR_EQY</stp>
        <stp>FQ3 2014</stp>
        <stp>FQ3 2014</stp>
        <stp>[FA1_m42y3cpi.xlsx]Bal Sheet - Standardized!R71C27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1" s="3"/>
      </tp>
      <tp>
        <v>-9311</v>
        <stp/>
        <stp>##V3_BDHV12</stp>
        <stp>XOM US Equity</stp>
        <stp>OTHER_INS_RES_TO_SHRHLDR_EQY</stp>
        <stp>FQ2 2014</stp>
        <stp>FQ2 2014</stp>
        <stp>[FA1_m42y3cpi.xlsx]Bal Sheet - Standardized!R71C26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1" s="3"/>
      </tp>
      <tp>
        <v>-11040</v>
        <stp/>
        <stp>##V3_BDHV12</stp>
        <stp>XOM US Equity</stp>
        <stp>OTHER_INS_RES_TO_SHRHLDR_EQY</stp>
        <stp>FQ1 2014</stp>
        <stp>FQ1 2014</stp>
        <stp>[FA1_m42y3cpi.xlsx]Bal Sheet - Standardized!R71C25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1" s="3"/>
      </tp>
      <tp>
        <v>140</v>
        <stp/>
        <stp>##V3_BDHV12</stp>
        <stp>XOM US Equity</stp>
        <stp>NET_CHG_IN_LT_INVEST_DETAILED</stp>
        <stp>FQ4 2010</stp>
        <stp>FQ4 2010</stp>
        <stp>[FA1_m42y3cpi.xlsx]Cash Flow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4"/>
      </tp>
      <tp>
        <v>1</v>
        <stp/>
        <stp>##V3_BDHV12</stp>
        <stp>XOM US Equity</stp>
        <stp>IS_EARN_BEF_XO_ITEMS_PER_SH</stp>
        <stp>FQ2 2015</stp>
        <stp>FQ2 2015</stp>
        <stp>[FA1_m42y3cpi.xlsx]Income - Adjusted!R51C30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1" s="2"/>
      </tp>
      <tp>
        <v>2.19</v>
        <stp/>
        <stp>##V3_BDHV12</stp>
        <stp>XOM US Equity</stp>
        <stp>IS_EARN_BEF_XO_ITEMS_PER_SH</stp>
        <stp>FQ2 2011</stp>
        <stp>FQ2 2011</stp>
        <stp>[FA1_m42y3cpi.xlsx]Income - Adjusted!R51C14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1" s="2"/>
      </tp>
      <tp>
        <v>0.43</v>
        <stp/>
        <stp>##V3_BDHV12</stp>
        <stp>XOM US Equity</stp>
        <stp>IS_EARN_BEF_XO_ITEMS_PER_SH</stp>
        <stp>FQ1 2016</stp>
        <stp>FQ1 2016</stp>
        <stp>[FA1_m42y3cpi.xlsx]Income - Adjusted!R51C33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1" s="2"/>
      </tp>
      <tp>
        <v>2</v>
        <stp/>
        <stp>##V3_BDHV12</stp>
        <stp>XOM US Equity</stp>
        <stp>IS_EARN_BEF_XO_ITEMS_PER_SH</stp>
        <stp>FQ1 2012</stp>
        <stp>FQ1 2012</stp>
        <stp>[FA1_m42y3cpi.xlsx]Income - Adjusted!R51C17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1" s="2"/>
      </tp>
      <tp>
        <v>3153</v>
        <stp/>
        <stp>##V3_BDHV12</stp>
        <stp>XOM US Equity</stp>
        <stp>GROSS_PROFIT</stp>
        <stp>FQ1 2016</stp>
        <stp>FQ1 2016</stp>
        <stp>[FA1_m42y3cpi.xlsx]Income - Adjusted!R11C33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1" s="2"/>
      </tp>
      <tp>
        <v>16881</v>
        <stp/>
        <stp>##V3_BDHV12</stp>
        <stp>XOM US Equity</stp>
        <stp>GROSS_PROFIT</stp>
        <stp>FQ1 2012</stp>
        <stp>FQ1 2012</stp>
        <stp>[FA1_m42y3cpi.xlsx]Income - Adjusted!R11C17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1" s="2"/>
      </tp>
      <tp>
        <v>7487</v>
        <stp/>
        <stp>##V3_BDHV12</stp>
        <stp>XOM US Equity</stp>
        <stp>GROSS_PROFIT</stp>
        <stp>FQ2 2015</stp>
        <stp>FQ2 2015</stp>
        <stp>[FA1_m42y3cpi.xlsx]Income - Adjusted!R11C30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1" s="2"/>
      </tp>
      <tp>
        <v>18845</v>
        <stp/>
        <stp>##V3_BDHV12</stp>
        <stp>XOM US Equity</stp>
        <stp>GROSS_PROFIT</stp>
        <stp>FQ2 2011</stp>
        <stp>FQ2 2011</stp>
        <stp>[FA1_m42y3cpi.xlsx]Income - Adjusted!R11C14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1" s="2"/>
      </tp>
      <tp>
        <v>0</v>
        <stp/>
        <stp>##V3_BDHV12</stp>
        <stp>XOM US Equity</stp>
        <stp>NET_CHG_IN_LT_INVEST_DETAILED</stp>
        <stp>FQ4 2011</stp>
        <stp>FQ4 2011</stp>
        <stp>[FA1_m42y3cpi.xlsx]Cash Flow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4"/>
      </tp>
      <tp t="s">
        <v>—</v>
        <stp/>
        <stp>##V3_BDHV12</stp>
        <stp>XOM US Equity</stp>
        <stp>IS_FOREIGN_EXCH_LOSS</stp>
        <stp>FQ3 2017</stp>
        <stp>FQ3 2017</stp>
        <stp>[FA1_m42y3cpi.xlsx]Income - Adjusted!R21C39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21" s="2"/>
      </tp>
      <tp>
        <v>0</v>
        <stp/>
        <stp>##V3_BDHV12</stp>
        <stp>XOM US Equity</stp>
        <stp>NET_CHG_IN_LT_INVEST_DETAILED</stp>
        <stp>FQ1 2018</stp>
        <stp>FQ1 2018</stp>
        <stp>[FA1_m42y3cpi.xlsx]Cash Flow - Standardized!R27C41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4"/>
      </tp>
      <tp>
        <v>170</v>
        <stp/>
        <stp>##V3_BDHV12</stp>
        <stp>XOM US Equity</stp>
        <stp>CF_ACT_CASH_PAID_FOR_INT_DEBT</stp>
        <stp>FQ1 2015</stp>
        <stp>FQ1 2015</stp>
        <stp>[FA1_m42y3cpi.xlsx]Cash Flow - Standardized!R56C29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6" s="4"/>
      </tp>
      <tp>
        <v>191</v>
        <stp/>
        <stp>##V3_BDHV12</stp>
        <stp>XOM US Equity</stp>
        <stp>CF_ACT_CASH_PAID_FOR_INT_DEBT</stp>
        <stp>FQ2 2012</stp>
        <stp>FQ2 2012</stp>
        <stp>[FA1_m42y3cpi.xlsx]Cash Flow - Standardized!R56C18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6" s="4"/>
      </tp>
      <tp>
        <v>159</v>
        <stp/>
        <stp>##V3_BDHV12</stp>
        <stp>XOM US Equity</stp>
        <stp>CF_ACT_CASH_PAID_FOR_INT_DEBT</stp>
        <stp>FQ2 2011</stp>
        <stp>FQ2 2011</stp>
        <stp>[FA1_m42y3cpi.xlsx]Cash Flow - Standardized!R56C14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6" s="4"/>
      </tp>
      <tp>
        <v>164</v>
        <stp/>
        <stp>##V3_BDHV12</stp>
        <stp>XOM US Equity</stp>
        <stp>CF_ACT_CASH_PAID_FOR_INT_DEBT</stp>
        <stp>FQ2 2010</stp>
        <stp>FQ2 2010</stp>
        <stp>[FA1_m42y3cpi.xlsx]Cash Flow - Standardized!R56C10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6" s="4"/>
      </tp>
      <tp>
        <v>105</v>
        <stp/>
        <stp>##V3_BDHV12</stp>
        <stp>XOM US Equity</stp>
        <stp>CF_ACT_CASH_PAID_FOR_INT_DEBT</stp>
        <stp>FQ1 2013</stp>
        <stp>FQ1 2013</stp>
        <stp>[FA1_m42y3cpi.xlsx]Cash Flow - Standardized!R56C21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6" s="4"/>
      </tp>
      <tp>
        <v>87</v>
        <stp/>
        <stp>##V3_BDHV12</stp>
        <stp>XOM US Equity</stp>
        <stp>CF_ACT_CASH_PAID_FOR_INT_DEBT</stp>
        <stp>FQ1 2014</stp>
        <stp>FQ1 2014</stp>
        <stp>[FA1_m42y3cpi.xlsx]Cash Flow - Standardized!R56C25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6" s="4"/>
      </tp>
      <tp>
        <v>13227</v>
        <stp/>
        <stp>##V3_BDHV12</stp>
        <stp>XOM US Equity</stp>
        <stp>EBIT</stp>
        <stp>FQ3 2012</stp>
        <stp>FQ3 2012</stp>
        <stp>[FA1_m42y3cpi.xlsx]Income - Adjusted!R64C19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4" s="2"/>
      </tp>
      <tp>
        <v>13858</v>
        <stp/>
        <stp>##V3_BDHV12</stp>
        <stp>XOM US Equity</stp>
        <stp>IS_OPERATING_EXPN</stp>
        <stp>FQ2 2012</stp>
        <stp>FQ2 2012</stp>
        <stp>[FA1_m42y3cpi.xlsx]Income - Adjusted!R13C18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3" s="2"/>
      </tp>
      <tp>
        <v>3633</v>
        <stp/>
        <stp>##V3_BDHV12</stp>
        <stp>XOM US Equity</stp>
        <stp>IS_OPERATING_EXPN</stp>
        <stp>FQ2 2018</stp>
        <stp>FQ2 2018</stp>
        <stp>[FA1_m42y3cpi.xlsx]Income - Adjusted!R13C42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3" s="2"/>
      </tp>
      <tp>
        <v>0</v>
        <stp/>
        <stp>##V3_BDHV12</stp>
        <stp>XOM US Equity</stp>
        <stp>OTHER_ADJUSTMENTS</stp>
        <stp>FQ1 2010</stp>
        <stp>FQ1 2010</stp>
        <stp>[FA1_m42y3cpi.xlsx]Income - Adjusted!R42C9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2"/>
      </tp>
      <tp t="s">
        <v>—</v>
        <stp/>
        <stp>##V3_BDHV12</stp>
        <stp>XOM US Equity</stp>
        <stp>NOTES_RECEIVABLE</stp>
        <stp>FQ1 2018</stp>
        <stp>FQ1 2018</stp>
        <stp>[FA1_m42y3cpi.xlsx]Bal Sheet - Standardized!R12C41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3"/>
      </tp>
      <tp>
        <v>3899</v>
        <stp/>
        <stp>##V3_BDHV12</stp>
        <stp>XOM US Equity</stp>
        <stp>CF_DEPR_AMORT</stp>
        <stp>FQ2 2012</stp>
        <stp>FQ2 2012</stp>
        <stp>[FA1_m42y3cpi.xlsx]Cash Flow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4"/>
      </tp>
      <tp>
        <v>4037</v>
        <stp/>
        <stp>##V3_BDHV12</stp>
        <stp>XOM US Equity</stp>
        <stp>CF_DEPR_AMORT</stp>
        <stp>FQ3 2012</stp>
        <stp>FQ3 2012</stp>
        <stp>[FA1_m42y3cpi.xlsx]Cash Flow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4"/>
      </tp>
      <tp>
        <v>3866</v>
        <stp/>
        <stp>##V3_BDHV12</stp>
        <stp>XOM US Equity</stp>
        <stp>CF_DEPR_AMORT</stp>
        <stp>FQ3 2011</stp>
        <stp>FQ3 2011</stp>
        <stp>[FA1_m42y3cpi.xlsx]Cash Flow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4"/>
      </tp>
      <tp>
        <v>3881</v>
        <stp/>
        <stp>##V3_BDHV12</stp>
        <stp>XOM US Equity</stp>
        <stp>CF_DEPR_AMORT</stp>
        <stp>FQ2 2011</stp>
        <stp>FQ2 2011</stp>
        <stp>[FA1_m42y3cpi.xlsx]Cash Flow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4"/>
      </tp>
      <tp>
        <v>3842</v>
        <stp/>
        <stp>##V3_BDHV12</stp>
        <stp>XOM US Equity</stp>
        <stp>CF_DEPR_AMORT</stp>
        <stp>FQ1 2012</stp>
        <stp>FQ1 2012</stp>
        <stp>[FA1_m42y3cpi.xlsx]Cash Flow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4"/>
      </tp>
      <tp>
        <v>8598</v>
        <stp/>
        <stp>##V3_BDHV12</stp>
        <stp>XOM US Equity</stp>
        <stp>NOTES_RECEIVABLE</stp>
        <stp>FQ4 2011</stp>
        <stp>FQ4 2011</stp>
        <stp>[FA1_m42y3cpi.xlsx]Bal Sheet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3"/>
      </tp>
      <tp>
        <v>4270</v>
        <stp/>
        <stp>##V3_BDHV12</stp>
        <stp>XOM US Equity</stp>
        <stp>CF_DEPR_AMORT</stp>
        <stp>FQ4 2010</stp>
        <stp>FQ4 2010</stp>
        <stp>[FA1_m42y3cpi.xlsx]Cash Flow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4"/>
      </tp>
      <tp>
        <v>494</v>
        <stp/>
        <stp>##V3_BDHV12</stp>
        <stp>XOM US Equity</stp>
        <stp>IS_OTHER_OPERATING_EXPENSES</stp>
        <stp>FQ3 2012</stp>
        <stp>FQ3 2012</stp>
        <stp>[FA1_m42y3cpi.xlsx]Income - Adjusted!R15C19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5" s="2"/>
      </tp>
      <tp>
        <v>6845</v>
        <stp/>
        <stp>##V3_BDHV12</stp>
        <stp>XOM US Equity</stp>
        <stp>NOTES_RECEIVABLE</stp>
        <stp>FQ4 2010</stp>
        <stp>FQ4 2010</stp>
        <stp>[FA1_m42y3cpi.xlsx]Bal Sheet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3"/>
      </tp>
      <tp>
        <v>3366</v>
        <stp/>
        <stp>##V3_BDHV12</stp>
        <stp>XOM US Equity</stp>
        <stp>CF_DEPR_AMORT</stp>
        <stp>FQ2 2010</stp>
        <stp>FQ2 2010</stp>
        <stp>[FA1_m42y3cpi.xlsx]Cash Flow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4"/>
      </tp>
      <tp>
        <v>3844</v>
        <stp/>
        <stp>##V3_BDHV12</stp>
        <stp>XOM US Equity</stp>
        <stp>CF_DEPR_AMORT</stp>
        <stp>FQ3 2010</stp>
        <stp>FQ3 2010</stp>
        <stp>[FA1_m42y3cpi.xlsx]Cash Flow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4"/>
      </tp>
      <tp>
        <v>3761</v>
        <stp/>
        <stp>##V3_BDHV12</stp>
        <stp>XOM US Equity</stp>
        <stp>CF_DEPR_AMORT</stp>
        <stp>FQ1 2011</stp>
        <stp>FQ1 2011</stp>
        <stp>[FA1_m42y3cpi.xlsx]Cash Flow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4"/>
      </tp>
      <tp>
        <v>4075</v>
        <stp/>
        <stp>##V3_BDHV12</stp>
        <stp>XOM US Equity</stp>
        <stp>CF_DEPR_AMORT</stp>
        <stp>FQ4 2011</stp>
        <stp>FQ4 2011</stp>
        <stp>[FA1_m42y3cpi.xlsx]Cash Flow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4"/>
      </tp>
      <tp>
        <v>313</v>
        <stp/>
        <stp>##V3_BDHV12</stp>
        <stp>XOM US Equity</stp>
        <stp>CF_NET_CHG_IN_ST_DBT_&amp;_CPTL_LEAS</stp>
        <stp>FQ2 2012</stp>
        <stp>FQ2 2012</stp>
        <stp>[FA1_m42y3cpi.xlsx]Cash Flow - Standardized!R41C18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1" s="4"/>
      </tp>
      <tp>
        <v>3944</v>
        <stp/>
        <stp>##V3_BDHV12</stp>
        <stp>XOM US Equity</stp>
        <stp>IS_OPER_INC</stp>
        <stp>FQ3 2017</stp>
        <stp>FQ3 2017</stp>
        <stp>[FA1_m42y3cpi.xlsx]Income - Adjusted!R16C39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6" s="2"/>
      </tp>
      <tp>
        <v>7187</v>
        <stp/>
        <stp>##V3_BDHV12</stp>
        <stp>XOM US Equity</stp>
        <stp>NET_DEBT</stp>
        <stp>FQ4 2010</stp>
        <stp>FQ4 2010</stp>
        <stp>[FA1_m42y3cpi.xlsx]Bal Sheet - Standardized!R86C12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6" s="3"/>
      </tp>
      <tp>
        <v>-8026</v>
        <stp/>
        <stp>##V3_BDHV12</stp>
        <stp>XOM US Equity</stp>
        <stp>CF_PURCHASE_OF_FIXED_PROD_ASSETS</stp>
        <stp>FQ3 2012</stp>
        <stp>FQ3 2012</stp>
        <stp>[FA1_m42y3cpi.xlsx]Cash Flow - Standardized!R25C19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4"/>
      </tp>
      <tp>
        <v>-40</v>
        <stp/>
        <stp>##V3_BDHV12</stp>
        <stp>XOM US Equity</stp>
        <stp>CF_OTHER_FINANCING_ACT_EXCL_FX</stp>
        <stp>FQ4 2016</stp>
        <stp>FQ4 2016</stp>
        <stp>[FA1_m42y3cpi.xlsx]Cash Flow - Standardized!R47C36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4"/>
      </tp>
      <tp>
        <v>-43</v>
        <stp/>
        <stp>##V3_BDHV12</stp>
        <stp>XOM US Equity</stp>
        <stp>CF_OTHER_FINANCING_ACT_EXCL_FX</stp>
        <stp>FQ4 2015</stp>
        <stp>FQ4 2015</stp>
        <stp>[FA1_m42y3cpi.xlsx]Cash Flow - Standardized!R47C32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4"/>
      </tp>
      <tp t="s">
        <v>—</v>
        <stp/>
        <stp>##V3_BDHV12</stp>
        <stp>XOM US Equity</stp>
        <stp>CF_TAX_BENEFIT_FRM_STOCK_OPTIONS</stp>
        <stp>FQ2 2017</stp>
        <stp>FQ2 2017</stp>
        <stp>[FA1_m42y3cpi.xlsx]Cash Flow - Standardized!R62C38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2" s="4"/>
      </tp>
      <tp>
        <v>-4113</v>
        <stp/>
        <stp>##V3_BDHV12</stp>
        <stp>XOM US Equity</stp>
        <stp>CF_NET_CHG_IN_ST_DBT_&amp;_CPTL_LEAS</stp>
        <stp>FQ1 2015</stp>
        <stp>FQ1 2015</stp>
        <stp>[FA1_m42y3cpi.xlsx]Cash Flow - Standardized!R41C29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1" s="4"/>
      </tp>
      <tp>
        <v>4369</v>
        <stp/>
        <stp>##V3_BDHV12</stp>
        <stp>XOM US Equity</stp>
        <stp>NET_DEBT</stp>
        <stp>FQ4 2011</stp>
        <stp>FQ4 2011</stp>
        <stp>[FA1_m42y3cpi.xlsx]Bal Sheet - Standardized!R86C16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6" s="3"/>
      </tp>
      <tp>
        <v>3</v>
        <stp/>
        <stp>##V3_BDHV12</stp>
        <stp>XOM US Equity</stp>
        <stp>CF_TAX_BENEFIT_FRM_STOCK_OPTIONS</stp>
        <stp>FQ3 2014</stp>
        <stp>FQ3 2014</stp>
        <stp>[FA1_m42y3cpi.xlsx]Cash Flow - Standardized!R62C27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2" s="4"/>
      </tp>
      <tp t="s">
        <v>—</v>
        <stp/>
        <stp>##V3_BDHV12</stp>
        <stp>XOM US Equity</stp>
        <stp>CF_TAX_BENEFIT_FRM_STOCK_OPTIONS</stp>
        <stp>FQ2 2016</stp>
        <stp>FQ2 2016</stp>
        <stp>[FA1_m42y3cpi.xlsx]Cash Flow - Standardized!R62C34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2" s="4"/>
      </tp>
      <tp>
        <v>-6668</v>
        <stp/>
        <stp>##V3_BDHV12</stp>
        <stp>XOM US Equity</stp>
        <stp>CF_NET_CHG_IN_ST_DBT_&amp;_CPTL_LEAS</stp>
        <stp>FQ1 2014</stp>
        <stp>FQ1 2014</stp>
        <stp>[FA1_m42y3cpi.xlsx]Cash Flow - Standardized!R41C25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1" s="4"/>
      </tp>
      <tp>
        <v>-7801</v>
        <stp/>
        <stp>##V3_BDHV12</stp>
        <stp>XOM US Equity</stp>
        <stp>CF_PURCHASE_OF_FIXED_PROD_ASSETS</stp>
        <stp>FQ3 2010</stp>
        <stp>FQ3 2010</stp>
        <stp>[FA1_m42y3cpi.xlsx]Cash Flow - Standardized!R25C11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4"/>
      </tp>
      <tp>
        <v>-2890</v>
        <stp/>
        <stp>##V3_BDHV12</stp>
        <stp>XOM US Equity</stp>
        <stp>CF_PURCHASE_OF_FIXED_PROD_ASSETS</stp>
        <stp>FQ1 2017</stp>
        <stp>FQ1 2017</stp>
        <stp>[FA1_m42y3cpi.xlsx]Cash Flow - Standardized!R25C37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4"/>
      </tp>
      <tp>
        <v>-576</v>
        <stp/>
        <stp>##V3_BDHV12</stp>
        <stp>XOM US Equity</stp>
        <stp>CF_NET_CHG_IN_ST_DBT_&amp;_CPTL_LEAS</stp>
        <stp>FQ2 2010</stp>
        <stp>FQ2 2010</stp>
        <stp>[FA1_m42y3cpi.xlsx]Cash Flow - Standardized!R41C10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1" s="4"/>
      </tp>
      <tp>
        <v>7</v>
        <stp/>
        <stp>##V3_BDHV12</stp>
        <stp>XOM US Equity</stp>
        <stp>CF_TAX_BENEFIT_FRM_STOCK_OPTIONS</stp>
        <stp>FQ3 2013</stp>
        <stp>FQ3 2013</stp>
        <stp>[FA1_m42y3cpi.xlsx]Cash Flow - Standardized!R62C23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2" s="4"/>
      </tp>
      <tp>
        <v>1587</v>
        <stp/>
        <stp>##V3_BDHV12</stp>
        <stp>XOM US Equity</stp>
        <stp>CF_NET_CHG_IN_ST_DBT_&amp;_CPTL_LEAS</stp>
        <stp>FQ1 2013</stp>
        <stp>FQ1 2013</stp>
        <stp>[FA1_m42y3cpi.xlsx]Cash Flow - Standardized!R41C21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1" s="4"/>
      </tp>
      <tp>
        <v>-7478</v>
        <stp/>
        <stp>##V3_BDHV12</stp>
        <stp>XOM US Equity</stp>
        <stp>CF_PURCHASE_OF_FIXED_PROD_ASSETS</stp>
        <stp>FQ3 2011</stp>
        <stp>FQ3 2011</stp>
        <stp>[FA1_m42y3cpi.xlsx]Cash Flow - Standardized!R25C15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4"/>
      </tp>
      <tp>
        <v>36492</v>
        <stp/>
        <stp>##V3_BDHV12</stp>
        <stp>XOM US Equity</stp>
        <stp>NET_DEBT</stp>
        <stp>FQ1 2018</stp>
        <stp>FQ1 2018</stp>
        <stp>[FA1_m42y3cpi.xlsx]Bal Sheet - Standardized!R86C41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6" s="3"/>
      </tp>
      <tp t="s">
        <v>—</v>
        <stp/>
        <stp>##V3_BDHV12</stp>
        <stp>XOM US Equity</stp>
        <stp>IS_OTHER_ONE_TIME_ITEMS</stp>
        <stp>FQ1 2009</stp>
        <stp>FQ1 2009</stp>
        <stp>[FA1_m42y3cpi.xlsx]Income - Adjusted!R31C5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2"/>
      </tp>
      <tp t="s">
        <v>—</v>
        <stp/>
        <stp>##V3_BDHV12</stp>
        <stp>XOM US Equity</stp>
        <stp>CF_TAX_BENEFIT_FRM_STOCK_OPTIONS</stp>
        <stp>FQ2 2015</stp>
        <stp>FQ2 2015</stp>
        <stp>[FA1_m42y3cpi.xlsx]Cash Flow - Standardized!R62C30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2" s="4"/>
      </tp>
      <tp>
        <v>-4601</v>
        <stp/>
        <stp>##V3_BDHV12</stp>
        <stp>XOM US Equity</stp>
        <stp>CF_PURCHASE_OF_FIXED_PROD_ASSETS</stp>
        <stp>FQ1 2016</stp>
        <stp>FQ1 2016</stp>
        <stp>[FA1_m42y3cpi.xlsx]Cash Flow - Standardized!R25C33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4"/>
      </tp>
      <tp>
        <v>439</v>
        <stp/>
        <stp>##V3_BDHV12</stp>
        <stp>XOM US Equity</stp>
        <stp>CF_NET_CHG_IN_ST_DBT_&amp;_CPTL_LEAS</stp>
        <stp>FQ2 2011</stp>
        <stp>FQ2 2011</stp>
        <stp>[FA1_m42y3cpi.xlsx]Cash Flow - Standardized!R41C14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1" s="4"/>
      </tp>
      <tp>
        <v>1.17</v>
        <stp/>
        <stp>##V3_BDHV12</stp>
        <stp>XOM US Equity</stp>
        <stp>IS_DIL_EPS_BEF_XO</stp>
        <stp>FQ1 2015</stp>
        <stp>FQ1 2015</stp>
        <stp>[FA1_m42y3cpi.xlsx]Income - Adjusted!R56C29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6" s="2"/>
      </tp>
      <tp>
        <v>1.56</v>
        <stp/>
        <stp>##V3_BDHV12</stp>
        <stp>XOM US Equity</stp>
        <stp>IS_DIL_EPS_BEF_XO</stp>
        <stp>FQ4 2014</stp>
        <stp>FQ4 2014</stp>
        <stp>[FA1_m42y3cpi.xlsx]Income - Adjusted!R56C28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6" s="2"/>
      </tp>
      <tp>
        <v>66.98</v>
        <stp/>
        <stp>##V3_BDHV12</stp>
        <stp>XOM US Equity</stp>
        <stp>PX_LAST</stp>
        <stp>FQ1 2010</stp>
        <stp>FQ1 2010</stp>
        <stp>[FA1_m42y3cpi.xlsx]Stock Value!R6C9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6"/>
      </tp>
      <tp>
        <v>7319.9656000000004</v>
        <stp/>
        <stp>##V3_BDHV12</stp>
        <stp>XOM US Equity</stp>
        <stp>CF_FREE_CASH_FLOW_FIRM</stp>
        <stp>FQ1 2010</stp>
        <stp>FQ1 2010</stp>
        <stp>[FA1_m42y3cpi.xlsx]Cash Flow - Standardized!R64C9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64" s="4"/>
      </tp>
      <tp>
        <v>5.6108000000000002</v>
        <stp/>
        <stp>##V3_BDHV12</stp>
        <stp>XOM US Equity</stp>
        <stp>PROF_MARGIN</stp>
        <stp>FQ4 2017</stp>
        <stp>FQ4 2017</stp>
        <stp>[FA1_m42y3cpi.xlsx]Income - Adjusted!R67C40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67" s="2"/>
      </tp>
      <tp>
        <v>8.7507999999999999</v>
        <stp/>
        <stp>##V3_BDHV12</stp>
        <stp>XOM US Equity</stp>
        <stp>PROF_MARGIN</stp>
        <stp>FQ4 2011</stp>
        <stp>FQ4 2011</stp>
        <stp>[FA1_m42y3cpi.xlsx]Income - Adjusted!R67C16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67" s="2"/>
      </tp>
      <tp>
        <v>9.2201000000000004</v>
        <stp/>
        <stp>##V3_BDHV12</stp>
        <stp>XOM US Equity</stp>
        <stp>PROF_MARGIN</stp>
        <stp>FQ4 2012</stp>
        <stp>FQ4 2012</stp>
        <stp>[FA1_m42y3cpi.xlsx]Income - Adjusted!R67C20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67" s="2"/>
      </tp>
      <tp>
        <v>8.4896999999999991</v>
        <stp/>
        <stp>##V3_BDHV12</stp>
        <stp>XOM US Equity</stp>
        <stp>PROF_MARGIN</stp>
        <stp>FQ4 2013</stp>
        <stp>FQ4 2013</stp>
        <stp>[FA1_m42y3cpi.xlsx]Income - Adjusted!R67C24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67" s="2"/>
      </tp>
      <tp>
        <v>9.9014000000000006</v>
        <stp/>
        <stp>##V3_BDHV12</stp>
        <stp>XOM US Equity</stp>
        <stp>PROF_MARGIN</stp>
        <stp>FQ4 2010</stp>
        <stp>FQ4 2010</stp>
        <stp>[FA1_m42y3cpi.xlsx]Income - Adjusted!R67C12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67" s="2"/>
      </tp>
      <tp>
        <v>5.3133999999999997</v>
        <stp/>
        <stp>##V3_BDHV12</stp>
        <stp>XOM US Equity</stp>
        <stp>PROF_MARGIN</stp>
        <stp>FQ4 2015</stp>
        <stp>FQ4 2015</stp>
        <stp>[FA1_m42y3cpi.xlsx]Income - Adjusted!R67C32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67" s="2"/>
      </tp>
      <tp>
        <v>8.2814999999999994</v>
        <stp/>
        <stp>##V3_BDHV12</stp>
        <stp>XOM US Equity</stp>
        <stp>PROF_MARGIN</stp>
        <stp>FQ4 2014</stp>
        <stp>FQ4 2014</stp>
        <stp>[FA1_m42y3cpi.xlsx]Income - Adjusted!R67C28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67" s="2"/>
      </tp>
      <tp>
        <v>6.9978999999999996</v>
        <stp/>
        <stp>##V3_BDHV12</stp>
        <stp>XOM US Equity</stp>
        <stp>PROF_MARGIN</stp>
        <stp>FQ4 2016</stp>
        <stp>FQ4 2016</stp>
        <stp>[FA1_m42y3cpi.xlsx]Income - Adjusted!R67C36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67" s="2"/>
      </tp>
      <tp>
        <v>-16262</v>
        <stp/>
        <stp>##V3_BDHV12</stp>
        <stp>XOM US Equity</stp>
        <stp>OTHER_INS_RES_TO_SHRHLDR_EQY</stp>
        <stp>FQ4 2017</stp>
        <stp>FQ4 2017</stp>
        <stp>[FA1_m42y3cpi.xlsx]Bal Sheet - Standardized!R71C40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1" s="3"/>
      </tp>
      <tp>
        <v>-23511</v>
        <stp/>
        <stp>##V3_BDHV12</stp>
        <stp>XOM US Equity</stp>
        <stp>OTHER_INS_RES_TO_SHRHLDR_EQY</stp>
        <stp>FQ4 2015</stp>
        <stp>FQ4 2015</stp>
        <stp>[FA1_m42y3cpi.xlsx]Bal Sheet - Standardized!R71C32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1" s="3"/>
      </tp>
      <tp>
        <v>76.540000000000006</v>
        <stp/>
        <stp>##V3_BDHV12</stp>
        <stp>XOM US Equity</stp>
        <stp>PX_HIGH</stp>
        <stp>FQ4 2009</stp>
        <stp>FQ4 2009</stp>
        <stp>[FA1_m42y3cpi.xlsx]Stock Value!R9C8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9" s="6"/>
      </tp>
      <tp>
        <v>-13051</v>
        <stp/>
        <stp>##V3_BDHV12</stp>
        <stp>XOM US Equity</stp>
        <stp>OTHER_INS_RES_TO_SHRHLDR_EQY</stp>
        <stp>FQ3 2013</stp>
        <stp>FQ3 2013</stp>
        <stp>[FA1_m42y3cpi.xlsx]Bal Sheet - Standardized!R71C23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1" s="3"/>
      </tp>
      <tp>
        <v>-14381</v>
        <stp/>
        <stp>##V3_BDHV12</stp>
        <stp>XOM US Equity</stp>
        <stp>OTHER_INS_RES_TO_SHRHLDR_EQY</stp>
        <stp>FQ2 2013</stp>
        <stp>FQ2 2013</stp>
        <stp>[FA1_m42y3cpi.xlsx]Bal Sheet - Standardized!R71C22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1" s="3"/>
      </tp>
      <tp>
        <v>-12767</v>
        <stp/>
        <stp>##V3_BDHV12</stp>
        <stp>XOM US Equity</stp>
        <stp>OTHER_INS_RES_TO_SHRHLDR_EQY</stp>
        <stp>FQ1 2013</stp>
        <stp>FQ1 2013</stp>
        <stp>[FA1_m42y3cpi.xlsx]Bal Sheet - Standardized!R71C21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1" s="3"/>
      </tp>
      <tp>
        <v>-10725</v>
        <stp/>
        <stp>##V3_BDHV12</stp>
        <stp>XOM US Equity</stp>
        <stp>OTHER_INS_RES_TO_SHRHLDR_EQY</stp>
        <stp>FQ4 2013</stp>
        <stp>FQ4 2013</stp>
        <stp>[FA1_m42y3cpi.xlsx]Bal Sheet - Standardized!R71C24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1" s="3"/>
      </tp>
      <tp>
        <v>8.3406000000000002</v>
        <stp/>
        <stp>##V3_BDHV12</stp>
        <stp>XOM US Equity</stp>
        <stp>PROF_MARGIN</stp>
        <stp>FQ1 2015</stp>
        <stp>FQ1 2015</stp>
        <stp>[FA1_m42y3cpi.xlsx]Income - Adjusted!R67C29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67" s="2"/>
      </tp>
      <tp>
        <v>9.6456</v>
        <stp/>
        <stp>##V3_BDHV12</stp>
        <stp>XOM US Equity</stp>
        <stp>PROF_MARGIN</stp>
        <stp>FQ1 2014</stp>
        <stp>FQ1 2014</stp>
        <stp>[FA1_m42y3cpi.xlsx]Income - Adjusted!R67C25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67" s="2"/>
      </tp>
      <tp>
        <v>4.28</v>
        <stp/>
        <stp>##V3_BDHV12</stp>
        <stp>XOM US Equity</stp>
        <stp>PROF_MARGIN</stp>
        <stp>FQ1 2016</stp>
        <stp>FQ1 2016</stp>
        <stp>[FA1_m42y3cpi.xlsx]Income - Adjusted!R67C33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67" s="2"/>
      </tp>
      <tp>
        <v>7.1931000000000003</v>
        <stp/>
        <stp>##V3_BDHV12</stp>
        <stp>XOM US Equity</stp>
        <stp>PROF_MARGIN</stp>
        <stp>FQ1 2017</stp>
        <stp>FQ1 2017</stp>
        <stp>[FA1_m42y3cpi.xlsx]Income - Adjusted!R67C37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67" s="2"/>
      </tp>
      <tp>
        <v>8.5368999999999993</v>
        <stp/>
        <stp>##V3_BDHV12</stp>
        <stp>XOM US Equity</stp>
        <stp>PROF_MARGIN</stp>
        <stp>FQ1 2012</stp>
        <stp>FQ1 2012</stp>
        <stp>[FA1_m42y3cpi.xlsx]Income - Adjusted!R67C17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67" s="2"/>
      </tp>
      <tp>
        <v>9.8613</v>
        <stp/>
        <stp>##V3_BDHV12</stp>
        <stp>XOM US Equity</stp>
        <stp>PROF_MARGIN</stp>
        <stp>FQ1 2013</stp>
        <stp>FQ1 2013</stp>
        <stp>[FA1_m42y3cpi.xlsx]Income - Adjusted!R67C21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67" s="2"/>
      </tp>
      <tp>
        <v>10.5097</v>
        <stp/>
        <stp>##V3_BDHV12</stp>
        <stp>XOM US Equity</stp>
        <stp>PROF_MARGIN</stp>
        <stp>FQ1 2011</stp>
        <stp>FQ1 2011</stp>
        <stp>[FA1_m42y3cpi.xlsx]Income - Adjusted!R67C13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67" s="2"/>
      </tp>
      <tp>
        <v>7.1062000000000003</v>
        <stp/>
        <stp>##V3_BDHV12</stp>
        <stp>XOM US Equity</stp>
        <stp>PROF_MARGIN</stp>
        <stp>FQ1 2018</stp>
        <stp>FQ1 2018</stp>
        <stp>[FA1_m42y3cpi.xlsx]Income - Adjusted!R67C41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67" s="2"/>
      </tp>
      <tp>
        <v>6.0648999999999997</v>
        <stp/>
        <stp>##V3_BDHV12</stp>
        <stp>XOM US Equity</stp>
        <stp>PROF_MARGIN</stp>
        <stp>FQ2 2017</stp>
        <stp>FQ2 2017</stp>
        <stp>[FA1_m42y3cpi.xlsx]Income - Adjusted!R67C38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67" s="2"/>
      </tp>
      <tp>
        <v>3.3382000000000001</v>
        <stp/>
        <stp>##V3_BDHV12</stp>
        <stp>XOM US Equity</stp>
        <stp>PROF_MARGIN</stp>
        <stp>FQ2 2016</stp>
        <stp>FQ2 2016</stp>
        <stp>[FA1_m42y3cpi.xlsx]Income - Adjusted!R67C34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67" s="2"/>
      </tp>
      <tp>
        <v>6.4071999999999996</v>
        <stp/>
        <stp>##V3_BDHV12</stp>
        <stp>XOM US Equity</stp>
        <stp>PROF_MARGIN</stp>
        <stp>FQ2 2015</stp>
        <stp>FQ2 2015</stp>
        <stp>[FA1_m42y3cpi.xlsx]Income - Adjusted!R67C30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67" s="2"/>
      </tp>
      <tp>
        <v>8.9329999999999998</v>
        <stp/>
        <stp>##V3_BDHV12</stp>
        <stp>XOM US Equity</stp>
        <stp>PROF_MARGIN</stp>
        <stp>FQ2 2014</stp>
        <stp>FQ2 2014</stp>
        <stp>[FA1_m42y3cpi.xlsx]Income - Adjusted!R67C26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67" s="2"/>
      </tp>
      <tp>
        <v>9.4696999999999996</v>
        <stp/>
        <stp>##V3_BDHV12</stp>
        <stp>XOM US Equity</stp>
        <stp>PROF_MARGIN</stp>
        <stp>FQ2 2011</stp>
        <stp>FQ2 2011</stp>
        <stp>[FA1_m42y3cpi.xlsx]Income - Adjusted!R67C14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67" s="2"/>
      </tp>
      <tp>
        <v>9.6314999999999991</v>
        <stp/>
        <stp>##V3_BDHV12</stp>
        <stp>XOM US Equity</stp>
        <stp>PROF_MARGIN</stp>
        <stp>FQ2 2010</stp>
        <stp>FQ2 2010</stp>
        <stp>[FA1_m42y3cpi.xlsx]Income - Adjusted!R67C10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67" s="2"/>
      </tp>
      <tp>
        <v>7.1981999999999999</v>
        <stp/>
        <stp>##V3_BDHV12</stp>
        <stp>XOM US Equity</stp>
        <stp>PROF_MARGIN</stp>
        <stp>FQ2 2013</stp>
        <stp>FQ2 2013</stp>
        <stp>[FA1_m42y3cpi.xlsx]Income - Adjusted!R67C22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67" s="2"/>
      </tp>
      <tp>
        <v>8.0311000000000003</v>
        <stp/>
        <stp>##V3_BDHV12</stp>
        <stp>XOM US Equity</stp>
        <stp>PROF_MARGIN</stp>
        <stp>FQ2 2012</stp>
        <stp>FQ2 2012</stp>
        <stp>[FA1_m42y3cpi.xlsx]Income - Adjusted!R67C18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67" s="2"/>
      </tp>
      <tp>
        <v>5.5278999999999998</v>
        <stp/>
        <stp>##V3_BDHV12</stp>
        <stp>XOM US Equity</stp>
        <stp>PROF_MARGIN</stp>
        <stp>FQ2 2018</stp>
        <stp>FQ2 2018</stp>
        <stp>[FA1_m42y3cpi.xlsx]Income - Adjusted!R67C42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67" s="2"/>
      </tp>
      <tp>
        <v>-3656</v>
        <stp/>
        <stp>##V3_BDHV12</stp>
        <stp>XOM US Equity</stp>
        <stp>OTHER_INS_RES_TO_SHRHLDR_EQY</stp>
        <stp>FQ1 2011</stp>
        <stp>FQ1 2011</stp>
        <stp>[FA1_m42y3cpi.xlsx]Bal Sheet - Standardized!R71C13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1" s="3"/>
      </tp>
      <tp>
        <v>-9123</v>
        <stp/>
        <stp>##V3_BDHV12</stp>
        <stp>XOM US Equity</stp>
        <stp>OTHER_INS_RES_TO_SHRHLDR_EQY</stp>
        <stp>FQ4 2011</stp>
        <stp>FQ4 2011</stp>
        <stp>[FA1_m42y3cpi.xlsx]Bal Sheet - Standardized!R71C16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1" s="3"/>
      </tp>
      <tp>
        <v>5.1627000000000001</v>
        <stp/>
        <stp>##V3_BDHV12</stp>
        <stp>XOM US Equity</stp>
        <stp>PROF_MARGIN</stp>
        <stp>FQ3 2016</stp>
        <stp>FQ3 2016</stp>
        <stp>[FA1_m42y3cpi.xlsx]Income - Adjusted!R67C35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67" s="2"/>
      </tp>
      <tp>
        <v>6.7804000000000002</v>
        <stp/>
        <stp>##V3_BDHV12</stp>
        <stp>XOM US Equity</stp>
        <stp>PROF_MARGIN</stp>
        <stp>FQ3 2017</stp>
        <stp>FQ3 2017</stp>
        <stp>[FA1_m42y3cpi.xlsx]Income - Adjusted!R67C39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67" s="2"/>
      </tp>
      <tp>
        <v>7.0824999999999996</v>
        <stp/>
        <stp>##V3_BDHV12</stp>
        <stp>XOM US Equity</stp>
        <stp>PROF_MARGIN</stp>
        <stp>FQ3 2015</stp>
        <stp>FQ3 2015</stp>
        <stp>[FA1_m42y3cpi.xlsx]Income - Adjusted!R67C31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67" s="2"/>
      </tp>
      <tp>
        <v>8.4021000000000008</v>
        <stp/>
        <stp>##V3_BDHV12</stp>
        <stp>XOM US Equity</stp>
        <stp>PROF_MARGIN</stp>
        <stp>FQ3 2014</stp>
        <stp>FQ3 2014</stp>
        <stp>[FA1_m42y3cpi.xlsx]Income - Adjusted!R67C27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67" s="2"/>
      </tp>
      <tp>
        <v>7.8301999999999996</v>
        <stp/>
        <stp>##V3_BDHV12</stp>
        <stp>XOM US Equity</stp>
        <stp>PROF_MARGIN</stp>
        <stp>FQ3 2013</stp>
        <stp>FQ3 2013</stp>
        <stp>[FA1_m42y3cpi.xlsx]Income - Adjusted!R67C23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67" s="2"/>
      </tp>
      <tp>
        <v>8.6302000000000003</v>
        <stp/>
        <stp>##V3_BDHV12</stp>
        <stp>XOM US Equity</stp>
        <stp>PROF_MARGIN</stp>
        <stp>FQ3 2010</stp>
        <stp>FQ3 2010</stp>
        <stp>[FA1_m42y3cpi.xlsx]Income - Adjusted!R67C11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67" s="2"/>
      </tp>
      <tp>
        <v>9.2240000000000002</v>
        <stp/>
        <stp>##V3_BDHV12</stp>
        <stp>XOM US Equity</stp>
        <stp>PROF_MARGIN</stp>
        <stp>FQ3 2011</stp>
        <stp>FQ3 2011</stp>
        <stp>[FA1_m42y3cpi.xlsx]Income - Adjusted!R67C15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67" s="2"/>
      </tp>
      <tp>
        <v>9.2538</v>
        <stp/>
        <stp>##V3_BDHV12</stp>
        <stp>XOM US Equity</stp>
        <stp>PROF_MARGIN</stp>
        <stp>FQ3 2012</stp>
        <stp>FQ3 2012</stp>
        <stp>[FA1_m42y3cpi.xlsx]Income - Adjusted!R67C19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67" s="2"/>
      </tp>
      <tp>
        <v>1.01</v>
        <stp/>
        <stp>##V3_BDHV12</stp>
        <stp>XOM US Equity</stp>
        <stp>IS_EARN_BEF_XO_ITEMS_PER_SH</stp>
        <stp>FQ3 2015</stp>
        <stp>FQ3 2015</stp>
        <stp>[FA1_m42y3cpi.xlsx]Income - Adjusted!R51C31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1" s="2"/>
      </tp>
      <tp>
        <v>2.13</v>
        <stp/>
        <stp>##V3_BDHV12</stp>
        <stp>XOM US Equity</stp>
        <stp>IS_EARN_BEF_XO_ITEMS_PER_SH</stp>
        <stp>FQ3 2011</stp>
        <stp>FQ3 2011</stp>
        <stp>[FA1_m42y3cpi.xlsx]Income - Adjusted!R51C15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1" s="2"/>
      </tp>
      <tp>
        <v>7453</v>
        <stp/>
        <stp>##V3_BDHV12</stp>
        <stp>XOM US Equity</stp>
        <stp>GROSS_PROFIT</stp>
        <stp>FQ3 2015</stp>
        <stp>FQ3 2015</stp>
        <stp>[FA1_m42y3cpi.xlsx]Income - Adjusted!R11C31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1" s="2"/>
      </tp>
      <tp>
        <v>18415</v>
        <stp/>
        <stp>##V3_BDHV12</stp>
        <stp>XOM US Equity</stp>
        <stp>GROSS_PROFIT</stp>
        <stp>FQ3 2011</stp>
        <stp>FQ3 2011</stp>
        <stp>[FA1_m42y3cpi.xlsx]Income - Adjusted!R11C15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1" s="2"/>
      </tp>
      <tp t="s">
        <v>—</v>
        <stp/>
        <stp>##V3_BDHV12</stp>
        <stp>XOM US Equity</stp>
        <stp>IS_FOREIGN_EXCH_LOSS</stp>
        <stp>FQ2 2017</stp>
        <stp>FQ2 2017</stp>
        <stp>[FA1_m42y3cpi.xlsx]Income - Adjusted!R21C38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21" s="2"/>
      </tp>
      <tp>
        <v>97</v>
        <stp/>
        <stp>##V3_BDHV12</stp>
        <stp>XOM US Equity</stp>
        <stp>CF_ACT_CASH_PAID_FOR_INT_DEBT</stp>
        <stp>FQ3 2012</stp>
        <stp>FQ3 2012</stp>
        <stp>[FA1_m42y3cpi.xlsx]Cash Flow - Standardized!R56C19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6" s="4"/>
      </tp>
      <tp>
        <v>128</v>
        <stp/>
        <stp>##V3_BDHV12</stp>
        <stp>XOM US Equity</stp>
        <stp>CF_ACT_CASH_PAID_FOR_INT_DEBT</stp>
        <stp>FQ3 2011</stp>
        <stp>FQ3 2011</stp>
        <stp>[FA1_m42y3cpi.xlsx]Cash Flow - Standardized!R56C15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6" s="4"/>
      </tp>
      <tp>
        <v>223</v>
        <stp/>
        <stp>##V3_BDHV12</stp>
        <stp>XOM US Equity</stp>
        <stp>CF_ACT_CASH_PAID_FOR_INT_DEBT</stp>
        <stp>FQ1 2016</stp>
        <stp>FQ1 2016</stp>
        <stp>[FA1_m42y3cpi.xlsx]Cash Flow - Standardized!R56C33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6" s="4"/>
      </tp>
      <tp>
        <v>166</v>
        <stp/>
        <stp>##V3_BDHV12</stp>
        <stp>XOM US Equity</stp>
        <stp>CF_ACT_CASH_PAID_FOR_INT_DEBT</stp>
        <stp>FQ3 2010</stp>
        <stp>FQ3 2010</stp>
        <stp>[FA1_m42y3cpi.xlsx]Cash Flow - Standardized!R56C11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6" s="4"/>
      </tp>
      <tp>
        <v>4614</v>
        <stp/>
        <stp>##V3_BDHV12</stp>
        <stp>XOM US Equity</stp>
        <stp>EBIT</stp>
        <stp>FQ2 2018</stp>
        <stp>FQ2 2018</stp>
        <stp>[FA1_m42y3cpi.xlsx]Income - Adjusted!R64C42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64" s="2"/>
      </tp>
      <tp>
        <v>1623</v>
        <stp/>
        <stp>##V3_BDHV12</stp>
        <stp>XOM US Equity</stp>
        <stp>EBIT</stp>
        <stp>FQ2 2012</stp>
        <stp>FQ2 2012</stp>
        <stp>[FA1_m42y3cpi.xlsx]Income - Adjusted!R64C18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4" s="2"/>
      </tp>
      <tp>
        <v>368</v>
        <stp/>
        <stp>##V3_BDHV12</stp>
        <stp>XOM US Equity</stp>
        <stp>CF_ACT_CASH_PAID_FOR_INT_DEBT</stp>
        <stp>FQ1 2017</stp>
        <stp>FQ1 2017</stp>
        <stp>[FA1_m42y3cpi.xlsx]Cash Flow - Standardized!R56C37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6" s="4"/>
      </tp>
      <tp>
        <v>0.92</v>
        <stp/>
        <stp>##V3_BDHV12</stp>
        <stp>XOM US Equity</stp>
        <stp>IS_DIL_EPS_CONT_OPS</stp>
        <stp>FQ1 2009</stp>
        <stp>FQ1 2009</stp>
        <stp>[FA1_m42y3cpi.xlsx]Income - Adjusted!R57C5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7" s="2"/>
      </tp>
      <tp>
        <v>0.98</v>
        <stp/>
        <stp>##V3_BDHV12</stp>
        <stp>XOM US Equity</stp>
        <stp>IS_DIL_EPS_CONT_OPS</stp>
        <stp>FQ3 2009</stp>
        <stp>FQ3 2009</stp>
        <stp>[FA1_m42y3cpi.xlsx]Income - Adjusted!R57C7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7" s="2"/>
      </tp>
      <tp>
        <v>0.8387</v>
        <stp/>
        <stp>##V3_BDHV12</stp>
        <stp>XOM US Equity</stp>
        <stp>IS_DIL_EPS_CONT_OPS</stp>
        <stp>FQ2 2009</stp>
        <stp>FQ2 2009</stp>
        <stp>[FA1_m42y3cpi.xlsx]Income - Adjusted!R57C6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7" s="2"/>
      </tp>
      <tp>
        <v>3962</v>
        <stp/>
        <stp>##V3_BDHV12</stp>
        <stp>XOM US Equity</stp>
        <stp>IS_OPERATING_EXPN</stp>
        <stp>FQ3 2012</stp>
        <stp>FQ3 2012</stp>
        <stp>[FA1_m42y3cpi.xlsx]Income - Adjusted!R13C19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3" s="2"/>
      </tp>
      <tp>
        <v>0</v>
        <stp/>
        <stp>##V3_BDHV12</stp>
        <stp>XOM US Equity</stp>
        <stp>OTHER_ADJUSTMENTS</stp>
        <stp>FQ1 2009</stp>
        <stp>FQ1 2009</stp>
        <stp>[FA1_m42y3cpi.xlsx]Income - Adjusted!R42C5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2"/>
      </tp>
      <tp>
        <v>-5756</v>
        <stp/>
        <stp>##V3_BDHV12</stp>
        <stp>XOM US Equity</stp>
        <stp>ACQUIS_FXD_&amp;_INTANG_DETAILED</stp>
        <stp>FQ1 2010</stp>
        <stp>FQ1 2010</stp>
        <stp>[FA1_m42y3cpi.xlsx]Cash Flow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4"/>
      </tp>
      <tp>
        <v>-6763</v>
        <stp/>
        <stp>##V3_BDHV12</stp>
        <stp>XOM US Equity</stp>
        <stp>ACQUIS_FXD_&amp;_INTANG_DETAILED</stp>
        <stp>FQ4 2009</stp>
        <stp>FQ4 2009</stp>
        <stp>[FA1_m42y3cpi.xlsx]Cash Flow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4"/>
      </tp>
      <tp>
        <v>-5142</v>
        <stp/>
        <stp>##V3_BDHV12</stp>
        <stp>XOM US Equity</stp>
        <stp>ACQUIS_FXD_&amp;_INTANG_DETAILED</stp>
        <stp>FQ3 2008</stp>
        <stp>FQ3 2008</stp>
        <stp>[FA1_m42y3cpi.xlsx]Cash Flow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4"/>
      </tp>
      <tp>
        <v>-5325</v>
        <stp/>
        <stp>##V3_BDHV12</stp>
        <stp>XOM US Equity</stp>
        <stp>ACQUIS_FXD_&amp;_INTANG_DETAILED</stp>
        <stp>FQ4 2008</stp>
        <stp>FQ4 2008</stp>
        <stp>[FA1_m42y3cpi.xlsx]Cash Flow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4"/>
      </tp>
      <tp>
        <v>-4673</v>
        <stp/>
        <stp>##V3_BDHV12</stp>
        <stp>XOM US Equity</stp>
        <stp>ACQUIS_FXD_&amp;_INTANG_DETAILED</stp>
        <stp>FQ1 2009</stp>
        <stp>FQ1 2009</stp>
        <stp>[FA1_m42y3cpi.xlsx]Cash Flow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4"/>
      </tp>
      <tp>
        <v>-5565</v>
        <stp/>
        <stp>##V3_BDHV12</stp>
        <stp>XOM US Equity</stp>
        <stp>ACQUIS_FXD_&amp;_INTANG_DETAILED</stp>
        <stp>FQ2 2009</stp>
        <stp>FQ2 2009</stp>
        <stp>[FA1_m42y3cpi.xlsx]Cash Flow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4"/>
      </tp>
      <tp>
        <v>-5490</v>
        <stp/>
        <stp>##V3_BDHV12</stp>
        <stp>XOM US Equity</stp>
        <stp>ACQUIS_FXD_&amp;_INTANG_DETAILED</stp>
        <stp>FQ3 2009</stp>
        <stp>FQ3 2009</stp>
        <stp>[FA1_m42y3cpi.xlsx]Cash Flow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4"/>
      </tp>
      <tp>
        <v>640</v>
        <stp/>
        <stp>##V3_BDHV12</stp>
        <stp>XOM US Equity</stp>
        <stp>IS_OTHER_OPERATING_EXPENSES</stp>
        <stp>FQ2 2018</stp>
        <stp>FQ2 2018</stp>
        <stp>[FA1_m42y3cpi.xlsx]Income - Adjusted!R15C42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5" s="2"/>
      </tp>
      <tp>
        <v>10372</v>
        <stp/>
        <stp>##V3_BDHV12</stp>
        <stp>XOM US Equity</stp>
        <stp>IS_OTHER_OPERATING_EXPENSES</stp>
        <stp>FQ2 2012</stp>
        <stp>FQ2 2012</stp>
        <stp>[FA1_m42y3cpi.xlsx]Income - Adjusted!R15C18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5" s="2"/>
      </tp>
      <tp>
        <v>-3292</v>
        <stp/>
        <stp>##V3_BDHV12</stp>
        <stp>XOM US Equity</stp>
        <stp>CF_NET_CHG_IN_ST_DBT_&amp;_CPTL_LEAS</stp>
        <stp>FQ3 2012</stp>
        <stp>FQ3 2012</stp>
        <stp>[FA1_m42y3cpi.xlsx]Cash Flow - Standardized!R41C19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1" s="4"/>
      </tp>
      <tp>
        <v>-34</v>
        <stp/>
        <stp>##V3_BDHV12</stp>
        <stp>XOM US Equity</stp>
        <stp>CF_OTHER_FINANCING_ACT_EXCL_FX</stp>
        <stp>FQ4 2012</stp>
        <stp>FQ4 2012</stp>
        <stp>[FA1_m42y3cpi.xlsx]Cash Flow - Standardized!R47C20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4"/>
      </tp>
      <tp>
        <v>2263</v>
        <stp/>
        <stp>##V3_BDHV12</stp>
        <stp>XOM US Equity</stp>
        <stp>IS_OPER_INC</stp>
        <stp>FQ2 2017</stp>
        <stp>FQ2 2017</stp>
        <stp>[FA1_m42y3cpi.xlsx]Income - Adjusted!R16C38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6" s="2"/>
      </tp>
      <tp>
        <v>-8345</v>
        <stp/>
        <stp>##V3_BDHV12</stp>
        <stp>XOM US Equity</stp>
        <stp>CF_PURCHASE_OF_FIXED_PROD_ASSETS</stp>
        <stp>FQ2 2012</stp>
        <stp>FQ2 2012</stp>
        <stp>[FA1_m42y3cpi.xlsx]Cash Flow - Standardized!R25C18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4"/>
      </tp>
      <tp>
        <v>-79</v>
        <stp/>
        <stp>##V3_BDHV12</stp>
        <stp>XOM US Equity</stp>
        <stp>CF_OTHER_FINANCING_ACT_EXCL_FX</stp>
        <stp>FQ4 2013</stp>
        <stp>FQ4 2013</stp>
        <stp>[FA1_m42y3cpi.xlsx]Cash Flow - Standardized!R47C24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4"/>
      </tp>
      <tp t="s">
        <v>—</v>
        <stp/>
        <stp>##V3_BDHV12</stp>
        <stp>XOM US Equity</stp>
        <stp>CF_TAX_BENEFIT_FRM_STOCK_OPTIONS</stp>
        <stp>FQ3 2017</stp>
        <stp>FQ3 2017</stp>
        <stp>[FA1_m42y3cpi.xlsx]Cash Flow - Standardized!R62C39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2" s="4"/>
      </tp>
      <tp>
        <v>-6844</v>
        <stp/>
        <stp>##V3_BDHV12</stp>
        <stp>XOM US Equity</stp>
        <stp>CF_PURCHASE_OF_FIXED_PROD_ASSETS</stp>
        <stp>FQ1 2015</stp>
        <stp>FQ1 2015</stp>
        <stp>[FA1_m42y3cpi.xlsx]Cash Flow - Standardized!R25C29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4"/>
      </tp>
      <tp>
        <v>7</v>
        <stp/>
        <stp>##V3_BDHV12</stp>
        <stp>XOM US Equity</stp>
        <stp>CF_TAX_BENEFIT_FRM_STOCK_OPTIONS</stp>
        <stp>FQ2 2014</stp>
        <stp>FQ2 2014</stp>
        <stp>[FA1_m42y3cpi.xlsx]Cash Flow - Standardized!R62C26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2" s="4"/>
      </tp>
      <tp t="s">
        <v>—</v>
        <stp/>
        <stp>##V3_BDHV12</stp>
        <stp>XOM US Equity</stp>
        <stp>CF_TAX_BENEFIT_FRM_STOCK_OPTIONS</stp>
        <stp>FQ3 2016</stp>
        <stp>FQ3 2016</stp>
        <stp>[FA1_m42y3cpi.xlsx]Cash Flow - Standardized!R62C35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2" s="4"/>
      </tp>
      <tp>
        <v>-7494</v>
        <stp/>
        <stp>##V3_BDHV12</stp>
        <stp>XOM US Equity</stp>
        <stp>CF_PURCHASE_OF_FIXED_PROD_ASSETS</stp>
        <stp>FQ1 2013</stp>
        <stp>FQ1 2013</stp>
        <stp>[FA1_m42y3cpi.xlsx]Cash Flow - Standardized!R25C21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4"/>
      </tp>
      <tp>
        <v>-5644</v>
        <stp/>
        <stp>##V3_BDHV12</stp>
        <stp>XOM US Equity</stp>
        <stp>CF_PURCHASE_OF_FIXED_PROD_ASSETS</stp>
        <stp>FQ2 2010</stp>
        <stp>FQ2 2010</stp>
        <stp>[FA1_m42y3cpi.xlsx]Cash Flow - Standardized!R25C10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4"/>
      </tp>
      <tp>
        <v>373</v>
        <stp/>
        <stp>##V3_BDHV12</stp>
        <stp>XOM US Equity</stp>
        <stp>CF_NET_CHG_IN_ST_DBT_&amp;_CPTL_LEAS</stp>
        <stp>FQ1 2017</stp>
        <stp>FQ1 2017</stp>
        <stp>[FA1_m42y3cpi.xlsx]Cash Flow - Standardized!R41C37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1" s="4"/>
      </tp>
      <tp t="s">
        <v>—</v>
        <stp/>
        <stp>##V3_BDHV12</stp>
        <stp>XOM US Equity</stp>
        <stp>IS_OTHER_ONE_TIME_ITEMS</stp>
        <stp>FQ1 2010</stp>
        <stp>FQ1 2010</stp>
        <stp>[FA1_m42y3cpi.xlsx]Income - Adjusted!R31C9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2"/>
      </tp>
      <tp>
        <v>-32</v>
        <stp/>
        <stp>##V3_BDHV12</stp>
        <stp>XOM US Equity</stp>
        <stp>CF_NET_CHG_IN_ST_DBT_&amp;_CPTL_LEAS</stp>
        <stp>FQ3 2010</stp>
        <stp>FQ3 2010</stp>
        <stp>[FA1_m42y3cpi.xlsx]Cash Flow - Standardized!R41C11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1" s="4"/>
      </tp>
      <tp t="s">
        <v>—</v>
        <stp/>
        <stp>##V3_BDHV12</stp>
        <stp>XOM US Equity</stp>
        <stp>CF_TAX_BENEFIT_FRM_STOCK_OPTIONS</stp>
        <stp>FQ1 2011</stp>
        <stp>FQ1 2011</stp>
        <stp>[FA1_m42y3cpi.xlsx]Cash Flow - Standardized!R62C13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2" s="4"/>
      </tp>
      <tp>
        <v>7</v>
        <stp/>
        <stp>##V3_BDHV12</stp>
        <stp>XOM US Equity</stp>
        <stp>CF_TAX_BENEFIT_FRM_STOCK_OPTIONS</stp>
        <stp>FQ2 2013</stp>
        <stp>FQ2 2013</stp>
        <stp>[FA1_m42y3cpi.xlsx]Cash Flow - Standardized!R62C22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2" s="4"/>
      </tp>
      <tp t="s">
        <v>—</v>
        <stp/>
        <stp>##V3_BDHV12</stp>
        <stp>XOM US Equity</stp>
        <stp>CF_TAX_BENEFIT_FRM_STOCK_OPTIONS</stp>
        <stp>FQ4 2017</stp>
        <stp>FQ4 2017</stp>
        <stp>[FA1_m42y3cpi.xlsx]Cash Flow - Standardized!R62C40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2" s="4"/>
      </tp>
      <tp>
        <v>-7328</v>
        <stp/>
        <stp>##V3_BDHV12</stp>
        <stp>XOM US Equity</stp>
        <stp>CF_PURCHASE_OF_FIXED_PROD_ASSETS</stp>
        <stp>FQ1 2014</stp>
        <stp>FQ1 2014</stp>
        <stp>[FA1_m42y3cpi.xlsx]Cash Flow - Standardized!R25C25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4"/>
      </tp>
      <tp t="s">
        <v>—</v>
        <stp/>
        <stp>##V3_BDHV12</stp>
        <stp>XOM US Equity</stp>
        <stp>CF_TAX_BENEFIT_FRM_STOCK_OPTIONS</stp>
        <stp>FQ1 2012</stp>
        <stp>FQ1 2012</stp>
        <stp>[FA1_m42y3cpi.xlsx]Cash Flow - Standardized!R62C17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2" s="4"/>
      </tp>
      <tp>
        <v>-7812</v>
        <stp/>
        <stp>##V3_BDHV12</stp>
        <stp>XOM US Equity</stp>
        <stp>CF_PURCHASE_OF_FIXED_PROD_ASSETS</stp>
        <stp>FQ2 2011</stp>
        <stp>FQ2 2011</stp>
        <stp>[FA1_m42y3cpi.xlsx]Cash Flow - Standardized!R25C14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4"/>
      </tp>
      <tp>
        <v>-7622</v>
        <stp/>
        <stp>##V3_BDHV12</stp>
        <stp>XOM US Equity</stp>
        <stp>CF_NET_CHG_IN_ST_DBT_&amp;_CPTL_LEAS</stp>
        <stp>FQ1 2016</stp>
        <stp>FQ1 2016</stp>
        <stp>[FA1_m42y3cpi.xlsx]Cash Flow - Standardized!R41C33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1" s="4"/>
      </tp>
      <tp>
        <v>0</v>
        <stp/>
        <stp>##V3_BDHV12</stp>
        <stp>XOM US Equity</stp>
        <stp>CF_TAX_BENEFIT_FRM_STOCK_OPTIONS</stp>
        <stp>FQ3 2015</stp>
        <stp>FQ3 2015</stp>
        <stp>[FA1_m42y3cpi.xlsx]Cash Flow - Standardized!R62C31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2" s="4"/>
      </tp>
      <tp>
        <v>-308</v>
        <stp/>
        <stp>##V3_BDHV12</stp>
        <stp>XOM US Equity</stp>
        <stp>CF_OTHER_FINANCING_ACT_EXCL_FX</stp>
        <stp>FQ2 2018</stp>
        <stp>FQ2 2018</stp>
        <stp>[FA1_m42y3cpi.xlsx]Cash Flow - Standardized!R47C42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7" s="4"/>
      </tp>
      <tp>
        <v>-76</v>
        <stp/>
        <stp>##V3_BDHV12</stp>
        <stp>XOM US Equity</stp>
        <stp>CF_OTHER_FINANCING_ACT_EXCL_FX</stp>
        <stp>FQ4 2014</stp>
        <stp>FQ4 2014</stp>
        <stp>[FA1_m42y3cpi.xlsx]Cash Flow - Standardized!R47C28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4"/>
      </tp>
      <tp>
        <v>232</v>
        <stp/>
        <stp>##V3_BDHV12</stp>
        <stp>XOM US Equity</stp>
        <stp>CF_NET_CHG_IN_ST_DBT_&amp;_CPTL_LEAS</stp>
        <stp>FQ3 2011</stp>
        <stp>FQ3 2011</stp>
        <stp>[FA1_m42y3cpi.xlsx]Cash Flow - Standardized!R41C15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1" s="4"/>
      </tp>
      <tp>
        <v>1.0900000000000001</v>
        <stp/>
        <stp>##V3_BDHV12</stp>
        <stp>XOM US Equity</stp>
        <stp>IS_DIL_EPS_CONT_OPS</stp>
        <stp>FQ1 2018</stp>
        <stp>FQ1 2018</stp>
        <stp>[FA1_m42y3cpi.xlsx]Per Share!R19C41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9" s="5"/>
      </tp>
      <tp>
        <v>89</v>
        <stp/>
        <stp>##V3_BDHV12</stp>
        <stp>XOM US Equity</stp>
        <stp>MIN_NONCONTROL_INTEREST_CREDITS</stp>
        <stp>FQ4 2009</stp>
        <stp>FQ4 2009</stp>
        <stp>[FA1_m42y3cpi.xlsx]Income - Adjusted!R39C8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39" s="2"/>
      </tp>
      <tp>
        <v>6139</v>
        <stp/>
        <stp>##V3_BDHV12</stp>
        <stp>XOM US Equity</stp>
        <stp>NI_INCLUDING_MINORITY_INT_RATIO</stp>
        <stp>FQ4 2009</stp>
        <stp>FQ4 2009</stp>
        <stp>[FA1_m42y3cpi.xlsx]Income - Adjusted!R38C8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38" s="2"/>
      </tp>
      <tp>
        <v>-6755</v>
        <stp/>
        <stp>##V3_BDHV12</stp>
        <stp>XOM US Equity</stp>
        <stp>OTHER_INS_RES_TO_SHRHLDR_EQY</stp>
        <stp>FQ2 2010</stp>
        <stp>FQ2 2010</stp>
        <stp>[FA1_m42y3cpi.xlsx]Bal Sheet - Standardized!R71C10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1" s="3"/>
      </tp>
      <tp>
        <v>-4339</v>
        <stp/>
        <stp>##V3_BDHV12</stp>
        <stp>XOM US Equity</stp>
        <stp>OTHER_INS_RES_TO_SHRHLDR_EQY</stp>
        <stp>FQ3 2010</stp>
        <stp>FQ3 2010</stp>
        <stp>[FA1_m42y3cpi.xlsx]Bal Sheet - Standardized!R71C11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1" s="3"/>
      </tp>
      <tp>
        <v>-1754</v>
        <stp/>
        <stp>##V3_BDHV12</stp>
        <stp>XOM US Equity</stp>
        <stp>NET_CHG_IN_LT_INVEST_DETAILED</stp>
        <stp>FQ2 2011</stp>
        <stp>FQ2 2011</stp>
        <stp>[FA1_m42y3cpi.xlsx]Cash Flow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4"/>
      </tp>
      <tp>
        <v>0.63</v>
        <stp/>
        <stp>##V3_BDHV12</stp>
        <stp>XOM US Equity</stp>
        <stp>IS_EARN_BEF_XO_ITEMS_PER_SH</stp>
        <stp>FQ3 2016</stp>
        <stp>FQ3 2016</stp>
        <stp>[FA1_m42y3cpi.xlsx]Income - Adjusted!R51C35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1" s="2"/>
      </tp>
      <tp>
        <v>1.8900000000000001</v>
        <stp/>
        <stp>##V3_BDHV12</stp>
        <stp>XOM US Equity</stp>
        <stp>IS_EARN_BEF_XO_ITEMS_PER_SH</stp>
        <stp>FQ3 2014</stp>
        <stp>FQ3 2014</stp>
        <stp>[FA1_m42y3cpi.xlsx]Income - Adjusted!R51C27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1" s="2"/>
      </tp>
      <tp>
        <v>0</v>
        <stp/>
        <stp>##V3_BDHV12</stp>
        <stp>XOM US Equity</stp>
        <stp>NET_CHG_IN_LT_INVEST_DETAILED</stp>
        <stp>FQ2 2010</stp>
        <stp>FQ2 2010</stp>
        <stp>[FA1_m42y3cpi.xlsx]Cash Flow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4"/>
      </tp>
      <tp>
        <v>13062</v>
        <stp/>
        <stp>##V3_BDHV12</stp>
        <stp>XOM US Equity</stp>
        <stp>GROSS_PROFIT</stp>
        <stp>FQ3 2014</stp>
        <stp>FQ3 2014</stp>
        <stp>[FA1_m42y3cpi.xlsx]Income - Adjusted!R11C27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1" s="2"/>
      </tp>
      <tp>
        <v>4485</v>
        <stp/>
        <stp>##V3_BDHV12</stp>
        <stp>XOM US Equity</stp>
        <stp>GROSS_PROFIT</stp>
        <stp>FQ3 2016</stp>
        <stp>FQ3 2016</stp>
        <stp>[FA1_m42y3cpi.xlsx]Income - Adjusted!R11C35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1" s="2"/>
      </tp>
      <tp>
        <v>0</v>
        <stp/>
        <stp>##V3_BDHV12</stp>
        <stp>XOM US Equity</stp>
        <stp>NET_CHG_IN_LT_INVEST_DETAILED</stp>
        <stp>FQ1 2013</stp>
        <stp>FQ1 2013</stp>
        <stp>[FA1_m42y3cpi.xlsx]Cash Flow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4"/>
      </tp>
      <tp>
        <v>0</v>
        <stp/>
        <stp>##V3_BDHV12</stp>
        <stp>XOM US Equity</stp>
        <stp>NET_CHG_IN_LT_INVEST_DETAILED</stp>
        <stp>FQ1 2014</stp>
        <stp>FQ1 2014</stp>
        <stp>[FA1_m42y3cpi.xlsx]Cash Flow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4"/>
      </tp>
      <tp>
        <v>0</v>
        <stp/>
        <stp>##V3_BDHV12</stp>
        <stp>XOM US Equity</stp>
        <stp>NET_CHG_IN_LT_INVEST_DETAILED</stp>
        <stp>FQ1 2015</stp>
        <stp>FQ1 2015</stp>
        <stp>[FA1_m42y3cpi.xlsx]Cash Flow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4"/>
      </tp>
      <tp>
        <v>0</v>
        <stp/>
        <stp>##V3_BDHV12</stp>
        <stp>XOM US Equity</stp>
        <stp>NET_CHG_IN_LT_INVEST_DETAILED</stp>
        <stp>FQ2 2012</stp>
        <stp>FQ2 2012</stp>
        <stp>[FA1_m42y3cpi.xlsx]Cash Flow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4"/>
      </tp>
      <tp>
        <v>4721.2730000000001</v>
        <stp/>
        <stp>##V3_BDHV12</stp>
        <stp>XOM US Equity</stp>
        <stp>EQY_SH_OUT</stp>
        <stp>FQ1 2010</stp>
        <stp>FQ1 2010</stp>
        <stp>[FA1_m42y3cpi.xlsx]Stock Value!R13C9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3" s="6"/>
      </tp>
      <tp>
        <v>360</v>
        <stp/>
        <stp>##V3_BDHV12</stp>
        <stp>XOM US Equity</stp>
        <stp>CF_ACT_CASH_PAID_FOR_INT_DEBT</stp>
        <stp>FQ1 2018</stp>
        <stp>FQ1 2018</stp>
        <stp>[FA1_m42y3cpi.xlsx]Cash Flow - Standardized!R56C41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6" s="4"/>
      </tp>
      <tp>
        <v>243</v>
        <stp/>
        <stp>##V3_BDHV12</stp>
        <stp>XOM US Equity</stp>
        <stp>CF_ACT_CASH_PAID_FOR_INT_DEBT</stp>
        <stp>FQ4 2010</stp>
        <stp>FQ4 2010</stp>
        <stp>[FA1_m42y3cpi.xlsx]Cash Flow - Standardized!R56C12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6" s="4"/>
      </tp>
      <tp>
        <v>167</v>
        <stp/>
        <stp>##V3_BDHV12</stp>
        <stp>XOM US Equity</stp>
        <stp>CF_ACT_CASH_PAID_FOR_INT_DEBT</stp>
        <stp>FQ4 2011</stp>
        <stp>FQ4 2011</stp>
        <stp>[FA1_m42y3cpi.xlsx]Cash Flow - Standardized!R56C16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6" s="4"/>
      </tp>
      <tp>
        <v>3024</v>
        <stp/>
        <stp>##V3_BDHV12</stp>
        <stp>XOM US Equity</stp>
        <stp>IS_OPERATING_EXPN</stp>
        <stp>FQ1 2015</stp>
        <stp>FQ1 2015</stp>
        <stp>[FA1_m42y3cpi.xlsx]Income - Adjusted!R13C29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3" s="2"/>
      </tp>
      <tp>
        <v>4078.8462</v>
        <stp/>
        <stp>##V3_BDHV12</stp>
        <stp>XOM US Equity</stp>
        <stp>IS_OPERATING_EXPN</stp>
        <stp>FQ4 2014</stp>
        <stp>FQ4 2014</stp>
        <stp>[FA1_m42y3cpi.xlsx]Income - Adjusted!R13C28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3" s="2"/>
      </tp>
      <tp t="s">
        <v>—</v>
        <stp/>
        <stp>##V3_BDHV12</stp>
        <stp>XOM US Equity</stp>
        <stp>NOTES_RECEIVABLE</stp>
        <stp>FQ2 2012</stp>
        <stp>FQ2 2012</stp>
        <stp>[FA1_m42y3cpi.xlsx]Bal Sheet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3"/>
      </tp>
      <tp t="s">
        <v>—</v>
        <stp/>
        <stp>##V3_BDHV12</stp>
        <stp>XOM US Equity</stp>
        <stp>NOTES_RECEIVABLE</stp>
        <stp>FQ1 2015</stp>
        <stp>FQ1 2015</stp>
        <stp>[FA1_m42y3cpi.xlsx]Bal Sheet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3"/>
      </tp>
      <tp t="s">
        <v>—</v>
        <stp/>
        <stp>##V3_BDHV12</stp>
        <stp>XOM US Equity</stp>
        <stp>NOTES_RECEIVABLE</stp>
        <stp>FQ1 2014</stp>
        <stp>FQ1 2014</stp>
        <stp>[FA1_m42y3cpi.xlsx]Bal Sheet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3"/>
      </tp>
      <tp t="s">
        <v>—</v>
        <stp/>
        <stp>##V3_BDHV12</stp>
        <stp>XOM US Equity</stp>
        <stp>NOTES_RECEIVABLE</stp>
        <stp>FQ2 2010</stp>
        <stp>FQ2 2010</stp>
        <stp>[FA1_m42y3cpi.xlsx]Bal Sheet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3"/>
      </tp>
      <tp t="s">
        <v>—</v>
        <stp/>
        <stp>##V3_BDHV12</stp>
        <stp>XOM US Equity</stp>
        <stp>NOTES_RECEIVABLE</stp>
        <stp>FQ1 2013</stp>
        <stp>FQ1 2013</stp>
        <stp>[FA1_m42y3cpi.xlsx]Bal Sheet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3"/>
      </tp>
      <tp t="s">
        <v>—</v>
        <stp/>
        <stp>##V3_BDHV12</stp>
        <stp>XOM US Equity</stp>
        <stp>NOTES_RECEIVABLE</stp>
        <stp>FQ2 2011</stp>
        <stp>FQ2 2011</stp>
        <stp>[FA1_m42y3cpi.xlsx]Bal Sheet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3"/>
      </tp>
      <tp>
        <v>-1922</v>
        <stp/>
        <stp>##V3_BDHV12</stp>
        <stp>XOM US Equity</stp>
        <stp>CF_NET_CHG_IN_ST_DBT_&amp;_CPTL_LEAS</stp>
        <stp>FQ1 2018</stp>
        <stp>FQ1 2018</stp>
        <stp>[FA1_m42y3cpi.xlsx]Cash Flow - Standardized!R41C41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1" s="4"/>
      </tp>
      <tp>
        <v>-48</v>
        <stp/>
        <stp>##V3_BDHV12</stp>
        <stp>XOM US Equity</stp>
        <stp>CF_OTHER_FINANCING_ACT_EXCL_FX</stp>
        <stp>FQ2 2015</stp>
        <stp>FQ2 2015</stp>
        <stp>[FA1_m42y3cpi.xlsx]Cash Flow - Standardized!R47C30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4"/>
      </tp>
      <tp>
        <v>6447</v>
        <stp/>
        <stp>##V3_BDHV12</stp>
        <stp>XOM US Equity</stp>
        <stp>NET_DEBT</stp>
        <stp>FQ2 2011</stp>
        <stp>FQ2 2011</stp>
        <stp>[FA1_m42y3cpi.xlsx]Bal Sheet - Standardized!R86C14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6" s="3"/>
      </tp>
      <tp>
        <v>15766</v>
        <stp/>
        <stp>##V3_BDHV12</stp>
        <stp>XOM US Equity</stp>
        <stp>NET_DEBT</stp>
        <stp>FQ1 2014</stp>
        <stp>FQ1 2014</stp>
        <stp>[FA1_m42y3cpi.xlsx]Bal Sheet - Standardized!R86C25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6" s="3"/>
      </tp>
      <tp>
        <v>-40</v>
        <stp/>
        <stp>##V3_BDHV12</stp>
        <stp>XOM US Equity</stp>
        <stp>CF_OTHER_FINANCING_ACT_EXCL_FX</stp>
        <stp>FQ3 2013</stp>
        <stp>FQ3 2013</stp>
        <stp>[FA1_m42y3cpi.xlsx]Cash Flow - Standardized!R47C23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4"/>
      </tp>
      <tp>
        <v>7165</v>
        <stp/>
        <stp>##V3_BDHV12</stp>
        <stp>XOM US Equity</stp>
        <stp>NET_DEBT</stp>
        <stp>FQ2 2010</stp>
        <stp>FQ2 2010</stp>
        <stp>[FA1_m42y3cpi.xlsx]Bal Sheet - Standardized!R86C10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6" s="3"/>
      </tp>
      <tp>
        <v>7198</v>
        <stp/>
        <stp>##V3_BDHV12</stp>
        <stp>XOM US Equity</stp>
        <stp>NET_DEBT</stp>
        <stp>FQ1 2013</stp>
        <stp>FQ1 2013</stp>
        <stp>[FA1_m42y3cpi.xlsx]Bal Sheet - Standardized!R86C21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6" s="3"/>
      </tp>
      <tp>
        <v>-41</v>
        <stp/>
        <stp>##V3_BDHV12</stp>
        <stp>XOM US Equity</stp>
        <stp>CF_OTHER_FINANCING_ACT_EXCL_FX</stp>
        <stp>FQ3 2014</stp>
        <stp>FQ3 2014</stp>
        <stp>[FA1_m42y3cpi.xlsx]Cash Flow - Standardized!R47C27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4"/>
      </tp>
      <tp>
        <v>-43</v>
        <stp/>
        <stp>##V3_BDHV12</stp>
        <stp>XOM US Equity</stp>
        <stp>CF_OTHER_FINANCING_ACT_EXCL_FX</stp>
        <stp>FQ2 2016</stp>
        <stp>FQ2 2016</stp>
        <stp>[FA1_m42y3cpi.xlsx]Cash Flow - Standardized!R47C34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4"/>
      </tp>
      <tp>
        <v>27587</v>
        <stp/>
        <stp>##V3_BDHV12</stp>
        <stp>XOM US Equity</stp>
        <stp>NET_DEBT</stp>
        <stp>FQ1 2015</stp>
        <stp>FQ1 2015</stp>
        <stp>[FA1_m42y3cpi.xlsx]Bal Sheet - Standardized!R86C29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6" s="3"/>
      </tp>
      <tp>
        <v>-76</v>
        <stp/>
        <stp>##V3_BDHV12</stp>
        <stp>XOM US Equity</stp>
        <stp>CF_OTHER_FINANCING_ACT_EXCL_FX</stp>
        <stp>FQ2 2017</stp>
        <stp>FQ2 2017</stp>
        <stp>[FA1_m42y3cpi.xlsx]Cash Flow - Standardized!R47C38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7" s="4"/>
      </tp>
      <tp>
        <v>2</v>
        <stp/>
        <stp>##V3_BDHV12</stp>
        <stp>XOM US Equity</stp>
        <stp>CF_TAX_BENEFIT_FRM_STOCK_OPTIONS</stp>
        <stp>FQ4 2015</stp>
        <stp>FQ4 2015</stp>
        <stp>[FA1_m42y3cpi.xlsx]Cash Flow - Standardized!R62C32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2" s="4"/>
      </tp>
      <tp>
        <v>107</v>
        <stp/>
        <stp>##V3_BDHV12</stp>
        <stp>XOM US Equity</stp>
        <stp>CF_NET_CHG_IN_ST_DBT_&amp;_CPTL_LEAS</stp>
        <stp>FQ4 2011</stp>
        <stp>FQ4 2011</stp>
        <stp>[FA1_m42y3cpi.xlsx]Cash Flow - Standardized!R41C16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1" s="4"/>
      </tp>
      <tp t="s">
        <v>—</v>
        <stp/>
        <stp>##V3_BDHV12</stp>
        <stp>XOM US Equity</stp>
        <stp>CF_TAX_BENEFIT_FRM_STOCK_OPTIONS</stp>
        <stp>FQ4 2016</stp>
        <stp>FQ4 2016</stp>
        <stp>[FA1_m42y3cpi.xlsx]Cash Flow - Standardized!R62C36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2" s="4"/>
      </tp>
      <tp>
        <v>-2221</v>
        <stp/>
        <stp>##V3_BDHV12</stp>
        <stp>XOM US Equity</stp>
        <stp>NET_DEBT</stp>
        <stp>FQ2 2012</stp>
        <stp>FQ2 2012</stp>
        <stp>[FA1_m42y3cpi.xlsx]Bal Sheet - Standardized!R86C18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6" s="3"/>
      </tp>
      <tp>
        <v>-400</v>
        <stp/>
        <stp>##V3_BDHV12</stp>
        <stp>XOM US Equity</stp>
        <stp>CF_NET_CHG_IN_ST_DBT_&amp;_CPTL_LEAS</stp>
        <stp>FQ4 2010</stp>
        <stp>FQ4 2010</stp>
        <stp>[FA1_m42y3cpi.xlsx]Cash Flow - Standardized!R41C12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1" s="4"/>
      </tp>
      <tp>
        <v>0.92</v>
        <stp/>
        <stp>##V3_BDHV12</stp>
        <stp>XOM US Equity</stp>
        <stp>IS_DIL_EPS_BEF_XO</stp>
        <stp>FQ2 2018</stp>
        <stp>FQ2 2018</stp>
        <stp>[FA1_m42y3cpi.xlsx]Income - Adjusted!R56C42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6" s="2"/>
      </tp>
      <tp>
        <v>3.41</v>
        <stp/>
        <stp>##V3_BDHV12</stp>
        <stp>XOM US Equity</stp>
        <stp>IS_DIL_EPS_BEF_XO</stp>
        <stp>FQ2 2012</stp>
        <stp>FQ2 2012</stp>
        <stp>[FA1_m42y3cpi.xlsx]Income - Adjusted!R56C18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6" s="2"/>
      </tp>
      <tp>
        <v>69.91</v>
        <stp/>
        <stp>##V3_BDHV12</stp>
        <stp>XOM US Equity</stp>
        <stp>PX_LAST</stp>
        <stp>FQ2 2009</stp>
        <stp>FQ2 2009</stp>
        <stp>[FA1_m42y3cpi.xlsx]Stock Value!R6C6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6"/>
      </tp>
      <tp>
        <v>0.93</v>
        <stp/>
        <stp>##V3_BDHV12</stp>
        <stp>XOM US Equity</stp>
        <stp>IS_DIL_EPS_CONT_OPS</stp>
        <stp>FQ3 2017</stp>
        <stp>FQ3 2017</stp>
        <stp>[FA1_m42y3cpi.xlsx]Per Share!R19C39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9" s="5"/>
      </tp>
      <tp>
        <v>4730</v>
        <stp/>
        <stp>##V3_BDHV12</stp>
        <stp>XOM US Equity</stp>
        <stp>EARN_FOR_COMMON</stp>
        <stp>FQ3 2009</stp>
        <stp>FQ3 2009</stp>
        <stp>[FA1_m42y3cpi.xlsx]Income - Adjusted!R43C7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43" s="2"/>
      </tp>
      <tp>
        <v>3950</v>
        <stp/>
        <stp>##V3_BDHV12</stp>
        <stp>XOM US Equity</stp>
        <stp>EARN_FOR_COMMON</stp>
        <stp>FQ2 2009</stp>
        <stp>FQ2 2009</stp>
        <stp>[FA1_m42y3cpi.xlsx]Income - Adjusted!R43C6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43" s="2"/>
      </tp>
      <tp>
        <v>4550</v>
        <stp/>
        <stp>##V3_BDHV12</stp>
        <stp>XOM US Equity</stp>
        <stp>EARN_FOR_COMMON</stp>
        <stp>FQ1 2009</stp>
        <stp>FQ1 2009</stp>
        <stp>[FA1_m42y3cpi.xlsx]Income - Adjusted!R43C5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43" s="2"/>
      </tp>
      <tp>
        <v>1674</v>
        <stp/>
        <stp>##V3_BDHV12</stp>
        <stp>XOM US Equity</stp>
        <stp>NET_CHG_IN_LT_INVEST_DETAILED</stp>
        <stp>FQ3 2011</stp>
        <stp>FQ3 2011</stp>
        <stp>[FA1_m42y3cpi.xlsx]Cash Flow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4"/>
      </tp>
      <tp>
        <v>0</v>
        <stp/>
        <stp>##V3_BDHV12</stp>
        <stp>XOM US Equity</stp>
        <stp>NET_CHG_IN_LT_INVEST_DETAILED</stp>
        <stp>FQ1 2016</stp>
        <stp>FQ1 2016</stp>
        <stp>[FA1_m42y3cpi.xlsx]Cash Flow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4"/>
      </tp>
      <tp>
        <v>2.2000000000000002</v>
        <stp/>
        <stp>##V3_BDHV12</stp>
        <stp>XOM US Equity</stp>
        <stp>IS_EARN_BEF_XO_ITEMS_PER_SH</stp>
        <stp>FQ4 2012</stp>
        <stp>FQ4 2012</stp>
        <stp>[FA1_m42y3cpi.xlsx]Income - Adjusted!R51C20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1" s="2"/>
      </tp>
      <tp>
        <v>1.8599999999999999</v>
        <stp/>
        <stp>##V3_BDHV12</stp>
        <stp>XOM US Equity</stp>
        <stp>IS_EARN_BEF_XO_ITEMS_PER_SH</stp>
        <stp>FQ4 2010</stp>
        <stp>FQ4 2010</stp>
        <stp>[FA1_m42y3cpi.xlsx]Income - Adjusted!R51C12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1" s="2"/>
      </tp>
      <tp>
        <v>0.41</v>
        <stp/>
        <stp>##V3_BDHV12</stp>
        <stp>XOM US Equity</stp>
        <stp>IS_EARN_BEF_XO_ITEMS_PER_SH</stp>
        <stp>FQ2 2016</stp>
        <stp>FQ2 2016</stp>
        <stp>[FA1_m42y3cpi.xlsx]Income - Adjusted!R51C34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1" s="2"/>
      </tp>
      <tp>
        <v>2.0499999999999998</v>
        <stp/>
        <stp>##V3_BDHV12</stp>
        <stp>XOM US Equity</stp>
        <stp>IS_EARN_BEF_XO_ITEMS_PER_SH</stp>
        <stp>FQ2 2014</stp>
        <stp>FQ2 2014</stp>
        <stp>[FA1_m42y3cpi.xlsx]Income - Adjusted!R51C26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1" s="2"/>
      </tp>
      <tp>
        <v>2.12</v>
        <stp/>
        <stp>##V3_BDHV12</stp>
        <stp>XOM US Equity</stp>
        <stp>IS_EARN_BEF_XO_ITEMS_PER_SH</stp>
        <stp>FQ1 2013</stp>
        <stp>FQ1 2013</stp>
        <stp>[FA1_m42y3cpi.xlsx]Income - Adjusted!R51C21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1" s="2"/>
      </tp>
      <tp>
        <v>2.14</v>
        <stp/>
        <stp>##V3_BDHV12</stp>
        <stp>XOM US Equity</stp>
        <stp>IS_EARN_BEF_XO_ITEMS_PER_SH</stp>
        <stp>FQ1 2011</stp>
        <stp>FQ1 2011</stp>
        <stp>[FA1_m42y3cpi.xlsx]Income - Adjusted!R51C13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1" s="2"/>
      </tp>
      <tp>
        <v>0</v>
        <stp/>
        <stp>##V3_BDHV12</stp>
        <stp>XOM US Equity</stp>
        <stp>NET_CHG_IN_LT_INVEST_DETAILED</stp>
        <stp>FQ3 2010</stp>
        <stp>FQ3 2010</stp>
        <stp>[FA1_m42y3cpi.xlsx]Cash Flow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4"/>
      </tp>
      <tp>
        <v>15699</v>
        <stp/>
        <stp>##V3_BDHV12</stp>
        <stp>XOM US Equity</stp>
        <stp>GROSS_PROFIT</stp>
        <stp>FQ4 2010</stp>
        <stp>FQ4 2010</stp>
        <stp>[FA1_m42y3cpi.xlsx]Income - Adjusted!R11C12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1" s="2"/>
      </tp>
      <tp>
        <v>16047</v>
        <stp/>
        <stp>##V3_BDHV12</stp>
        <stp>XOM US Equity</stp>
        <stp>GROSS_PROFIT</stp>
        <stp>FQ4 2012</stp>
        <stp>FQ4 2012</stp>
        <stp>[FA1_m42y3cpi.xlsx]Income - Adjusted!R11C20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1" s="2"/>
      </tp>
      <tp>
        <v>18154</v>
        <stp/>
        <stp>##V3_BDHV12</stp>
        <stp>XOM US Equity</stp>
        <stp>GROSS_PROFIT</stp>
        <stp>FQ1 2011</stp>
        <stp>FQ1 2011</stp>
        <stp>[FA1_m42y3cpi.xlsx]Income - Adjusted!R11C13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1" s="2"/>
      </tp>
      <tp>
        <v>14646</v>
        <stp/>
        <stp>##V3_BDHV12</stp>
        <stp>XOM US Equity</stp>
        <stp>GROSS_PROFIT</stp>
        <stp>FQ1 2013</stp>
        <stp>FQ1 2013</stp>
        <stp>[FA1_m42y3cpi.xlsx]Income - Adjusted!R11C21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1" s="2"/>
      </tp>
      <tp>
        <v>12391</v>
        <stp/>
        <stp>##V3_BDHV12</stp>
        <stp>XOM US Equity</stp>
        <stp>GROSS_PROFIT</stp>
        <stp>FQ2 2014</stp>
        <stp>FQ2 2014</stp>
        <stp>[FA1_m42y3cpi.xlsx]Income - Adjusted!R11C26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1" s="2"/>
      </tp>
      <tp>
        <v>4228</v>
        <stp/>
        <stp>##V3_BDHV12</stp>
        <stp>XOM US Equity</stp>
        <stp>GROSS_PROFIT</stp>
        <stp>FQ2 2016</stp>
        <stp>FQ2 2016</stp>
        <stp>[FA1_m42y3cpi.xlsx]Income - Adjusted!R11C34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1" s="2"/>
      </tp>
      <tp>
        <v>0</v>
        <stp/>
        <stp>##V3_BDHV12</stp>
        <stp>XOM US Equity</stp>
        <stp>NET_CHG_IN_LT_INVEST_DETAILED</stp>
        <stp>FQ1 2017</stp>
        <stp>FQ1 2017</stp>
        <stp>[FA1_m42y3cpi.xlsx]Cash Flow - Standardized!R27C37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4"/>
      </tp>
      <tp t="s">
        <v>—</v>
        <stp/>
        <stp>##V3_BDHV12</stp>
        <stp>XOM US Equity</stp>
        <stp>IS_FOREIGN_EXCH_LOSS</stp>
        <stp>FQ1 2018</stp>
        <stp>FQ1 2018</stp>
        <stp>[FA1_m42y3cpi.xlsx]Income - Adjusted!R21C41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21" s="2"/>
      </tp>
      <tp>
        <v>0</v>
        <stp/>
        <stp>##V3_BDHV12</stp>
        <stp>XOM US Equity</stp>
        <stp>NET_CHG_IN_LT_INVEST_DETAILED</stp>
        <stp>FQ3 2012</stp>
        <stp>FQ3 2012</stp>
        <stp>[FA1_m42y3cpi.xlsx]Cash Flow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4"/>
      </tp>
      <tp>
        <v>4747.2839999999997</v>
        <stp/>
        <stp>##V3_BDHV12</stp>
        <stp>XOM US Equity</stp>
        <stp>EQY_SH_OUT</stp>
        <stp>FQ4 2009</stp>
        <stp>FQ4 2009</stp>
        <stp>[FA1_m42y3cpi.xlsx]Stock Value!R13C8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3" s="6"/>
      </tp>
      <tp>
        <v>5088.1538</v>
        <stp/>
        <stp>##V3_BDHV12</stp>
        <stp>XOM US Equity</stp>
        <stp>EBIT</stp>
        <stp>FQ4 2014</stp>
        <stp>FQ4 2014</stp>
        <stp>[FA1_m42y3cpi.xlsx]Income - Adjusted!R64C28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4" s="2"/>
      </tp>
      <tp>
        <v>3863</v>
        <stp/>
        <stp>##V3_BDHV12</stp>
        <stp>XOM US Equity</stp>
        <stp>EBIT</stp>
        <stp>FQ1 2015</stp>
        <stp>FQ1 2015</stp>
        <stp>[FA1_m42y3cpi.xlsx]Income - Adjusted!R64C29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4" s="2"/>
      </tp>
      <tp>
        <v>-10900</v>
        <stp/>
        <stp>##V3_BDHV12</stp>
        <stp>XOM US Equity</stp>
        <stp>OTHER_INS_RES_TO_SHRHLDR_EQY</stp>
        <stp>FQ1 2009</stp>
        <stp>FQ1 2009</stp>
        <stp>[FA1_m42y3cpi.xlsx]Bal Sheet - Standardized!R71C5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1" s="3"/>
      </tp>
      <tp>
        <v>-8249</v>
        <stp/>
        <stp>##V3_BDHV12</stp>
        <stp>XOM US Equity</stp>
        <stp>OTHER_INS_RES_TO_SHRHLDR_EQY</stp>
        <stp>FQ2 2009</stp>
        <stp>FQ2 2009</stp>
        <stp>[FA1_m42y3cpi.xlsx]Bal Sheet - Standardized!R71C6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1" s="3"/>
      </tp>
      <tp>
        <v>-6380</v>
        <stp/>
        <stp>##V3_BDHV12</stp>
        <stp>XOM US Equity</stp>
        <stp>OTHER_INS_RES_TO_SHRHLDR_EQY</stp>
        <stp>FQ3 2009</stp>
        <stp>FQ3 2009</stp>
        <stp>[FA1_m42y3cpi.xlsx]Bal Sheet - Standardized!R71C7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1" s="3"/>
      </tp>
      <tp t="s">
        <v>—</v>
        <stp/>
        <stp>##V3_BDHV12</stp>
        <stp>XOM US Equity</stp>
        <stp>NOTES_RECEIVABLE</stp>
        <stp>FQ3 2012</stp>
        <stp>FQ3 2012</stp>
        <stp>[FA1_m42y3cpi.xlsx]Bal Sheet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3"/>
      </tp>
      <tp t="s">
        <v>—</v>
        <stp/>
        <stp>##V3_BDHV12</stp>
        <stp>XOM US Equity</stp>
        <stp>NOTES_RECEIVABLE</stp>
        <stp>FQ1 2017</stp>
        <stp>FQ1 2017</stp>
        <stp>[FA1_m42y3cpi.xlsx]Bal Sheet - Standardized!R12C37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3"/>
      </tp>
      <tp t="s">
        <v>—</v>
        <stp/>
        <stp>##V3_BDHV12</stp>
        <stp>XOM US Equity</stp>
        <stp>NOTES_RECEIVABLE</stp>
        <stp>FQ3 2010</stp>
        <stp>FQ3 2010</stp>
        <stp>[FA1_m42y3cpi.xlsx]Bal Sheet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3"/>
      </tp>
      <tp t="s">
        <v>—</v>
        <stp/>
        <stp>##V3_BDHV12</stp>
        <stp>XOM US Equity</stp>
        <stp>NOTES_RECEIVABLE</stp>
        <stp>FQ1 2016</stp>
        <stp>FQ1 2016</stp>
        <stp>[FA1_m42y3cpi.xlsx]Bal Sheet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3"/>
      </tp>
      <tp>
        <v>950.84619999999995</v>
        <stp/>
        <stp>##V3_BDHV12</stp>
        <stp>XOM US Equity</stp>
        <stp>IS_OTHER_OPERATING_EXPENSES</stp>
        <stp>FQ4 2014</stp>
        <stp>FQ4 2014</stp>
        <stp>[FA1_m42y3cpi.xlsx]Income - Adjusted!R15C28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5" s="2"/>
      </tp>
      <tp>
        <v>311</v>
        <stp/>
        <stp>##V3_BDHV12</stp>
        <stp>XOM US Equity</stp>
        <stp>IS_OTHER_OPERATING_EXPENSES</stp>
        <stp>FQ1 2015</stp>
        <stp>FQ1 2015</stp>
        <stp>[FA1_m42y3cpi.xlsx]Income - Adjusted!R15C29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5" s="2"/>
      </tp>
      <tp t="s">
        <v>—</v>
        <stp/>
        <stp>##V3_BDHV12</stp>
        <stp>XOM US Equity</stp>
        <stp>NOTES_RECEIVABLE</stp>
        <stp>FQ3 2011</stp>
        <stp>FQ3 2011</stp>
        <stp>[FA1_m42y3cpi.xlsx]Bal Sheet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3"/>
      </tp>
      <tp>
        <v>105</v>
        <stp/>
        <stp>##V3_BDHV12</stp>
        <stp>XOM US Equity</stp>
        <stp>CF_TAX_BENEFIT_FRM_STOCK_OPTIONS</stp>
        <stp>FQ4 2014</stp>
        <stp>FQ4 2014</stp>
        <stp>[FA1_m42y3cpi.xlsx]Cash Flow - Standardized!R62C28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2" s="4"/>
      </tp>
      <tp t="s">
        <v>—</v>
        <stp/>
        <stp>##V3_BDHV12</stp>
        <stp>XOM US Equity</stp>
        <stp>CF_TAX_BENEFIT_FRM_STOCK_OPTIONS</stp>
        <stp>FQ2 2018</stp>
        <stp>FQ2 2018</stp>
        <stp>[FA1_m42y3cpi.xlsx]Cash Flow - Standardized!R62C42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2" s="4"/>
      </tp>
      <tp>
        <v>38262</v>
        <stp/>
        <stp>##V3_BDHV12</stp>
        <stp>XOM US Equity</stp>
        <stp>NET_DEBT</stp>
        <stp>FQ1 2016</stp>
        <stp>FQ1 2016</stp>
        <stp>[FA1_m42y3cpi.xlsx]Bal Sheet - Standardized!R86C33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6" s="3"/>
      </tp>
      <tp>
        <v>-39</v>
        <stp/>
        <stp>##V3_BDHV12</stp>
        <stp>XOM US Equity</stp>
        <stp>CF_OTHER_FINANCING_ACT_EXCL_FX</stp>
        <stp>FQ3 2015</stp>
        <stp>FQ3 2015</stp>
        <stp>[FA1_m42y3cpi.xlsx]Cash Flow - Standardized!R47C31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4"/>
      </tp>
      <tp>
        <v>5006</v>
        <stp/>
        <stp>##V3_BDHV12</stp>
        <stp>XOM US Equity</stp>
        <stp>IS_OPER_INC</stp>
        <stp>FQ1 2018</stp>
        <stp>FQ1 2018</stp>
        <stp>[FA1_m42y3cpi.xlsx]Income - Adjusted!R16C41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6" s="2"/>
      </tp>
      <tp>
        <v>-3349</v>
        <stp/>
        <stp>##V3_BDHV12</stp>
        <stp>XOM US Equity</stp>
        <stp>CF_PURCHASE_OF_FIXED_PROD_ASSETS</stp>
        <stp>FQ1 2018</stp>
        <stp>FQ1 2018</stp>
        <stp>[FA1_m42y3cpi.xlsx]Cash Flow - Standardized!R25C41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4"/>
      </tp>
      <tp>
        <v>5740</v>
        <stp/>
        <stp>##V3_BDHV12</stp>
        <stp>XOM US Equity</stp>
        <stp>NET_DEBT</stp>
        <stp>FQ3 2011</stp>
        <stp>FQ3 2011</stp>
        <stp>[FA1_m42y3cpi.xlsx]Bal Sheet - Standardized!R86C15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6" s="3"/>
      </tp>
      <tp>
        <v>116</v>
        <stp/>
        <stp>##V3_BDHV12</stp>
        <stp>XOM US Equity</stp>
        <stp>CF_OTHER_FINANCING_ACT_EXCL_FX</stp>
        <stp>FQ1 2012</stp>
        <stp>FQ1 2012</stp>
        <stp>[FA1_m42y3cpi.xlsx]Cash Flow - Standardized!R47C17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4"/>
      </tp>
      <tp>
        <v>-105</v>
        <stp/>
        <stp>##V3_BDHV12</stp>
        <stp>XOM US Equity</stp>
        <stp>CF_OTHER_FINANCING_ACT_EXCL_FX</stp>
        <stp>FQ4 2017</stp>
        <stp>FQ4 2017</stp>
        <stp>[FA1_m42y3cpi.xlsx]Cash Flow - Standardized!R47C40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7" s="4"/>
      </tp>
      <tp>
        <v>-104</v>
        <stp/>
        <stp>##V3_BDHV12</stp>
        <stp>XOM US Equity</stp>
        <stp>CF_OTHER_FINANCING_ACT_EXCL_FX</stp>
        <stp>FQ1 2011</stp>
        <stp>FQ1 2011</stp>
        <stp>[FA1_m42y3cpi.xlsx]Cash Flow - Standardized!R47C13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4"/>
      </tp>
      <tp>
        <v>-80</v>
        <stp/>
        <stp>##V3_BDHV12</stp>
        <stp>XOM US Equity</stp>
        <stp>CF_OTHER_FINANCING_ACT_EXCL_FX</stp>
        <stp>FQ2 2013</stp>
        <stp>FQ2 2013</stp>
        <stp>[FA1_m42y3cpi.xlsx]Cash Flow - Standardized!R47C22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4"/>
      </tp>
      <tp>
        <v>38710</v>
        <stp/>
        <stp>##V3_BDHV12</stp>
        <stp>XOM US Equity</stp>
        <stp>NET_DEBT</stp>
        <stp>FQ1 2017</stp>
        <stp>FQ1 2017</stp>
        <stp>[FA1_m42y3cpi.xlsx]Bal Sheet - Standardized!R86C37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6" s="3"/>
      </tp>
      <tp>
        <v>6035</v>
        <stp/>
        <stp>##V3_BDHV12</stp>
        <stp>XOM US Equity</stp>
        <stp>NET_DEBT</stp>
        <stp>FQ3 2010</stp>
        <stp>FQ3 2010</stp>
        <stp>[FA1_m42y3cpi.xlsx]Bal Sheet - Standardized!R86C11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6" s="3"/>
      </tp>
      <tp>
        <v>-73</v>
        <stp/>
        <stp>##V3_BDHV12</stp>
        <stp>XOM US Equity</stp>
        <stp>CF_OTHER_FINANCING_ACT_EXCL_FX</stp>
        <stp>FQ2 2014</stp>
        <stp>FQ2 2014</stp>
        <stp>[FA1_m42y3cpi.xlsx]Cash Flow - Standardized!R47C26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4"/>
      </tp>
      <tp>
        <v>-37</v>
        <stp/>
        <stp>##V3_BDHV12</stp>
        <stp>XOM US Equity</stp>
        <stp>CF_OTHER_FINANCING_ACT_EXCL_FX</stp>
        <stp>FQ3 2016</stp>
        <stp>FQ3 2016</stp>
        <stp>[FA1_m42y3cpi.xlsx]Cash Flow - Standardized!R47C35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4"/>
      </tp>
      <tp>
        <v>-8634</v>
        <stp/>
        <stp>##V3_BDHV12</stp>
        <stp>XOM US Equity</stp>
        <stp>CF_PURCHASE_OF_FIXED_PROD_ASSETS</stp>
        <stp>FQ4 2011</stp>
        <stp>FQ4 2011</stp>
        <stp>[FA1_m42y3cpi.xlsx]Cash Flow - Standardized!R25C16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4"/>
      </tp>
      <tp>
        <v>-109</v>
        <stp/>
        <stp>##V3_BDHV12</stp>
        <stp>XOM US Equity</stp>
        <stp>CF_OTHER_FINANCING_ACT_EXCL_FX</stp>
        <stp>FQ3 2017</stp>
        <stp>FQ3 2017</stp>
        <stp>[FA1_m42y3cpi.xlsx]Cash Flow - Standardized!R47C39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7" s="4"/>
      </tp>
      <tp>
        <v>34</v>
        <stp/>
        <stp>##V3_BDHV12</stp>
        <stp>XOM US Equity</stp>
        <stp>CF_TAX_BENEFIT_FRM_STOCK_OPTIONS</stp>
        <stp>FQ4 2013</stp>
        <stp>FQ4 2013</stp>
        <stp>[FA1_m42y3cpi.xlsx]Cash Flow - Standardized!R62C24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2" s="4"/>
      </tp>
      <tp>
        <v>-631</v>
        <stp/>
        <stp>##V3_BDHV12</stp>
        <stp>XOM US Equity</stp>
        <stp>NET_DEBT</stp>
        <stp>FQ3 2012</stp>
        <stp>FQ3 2012</stp>
        <stp>[FA1_m42y3cpi.xlsx]Bal Sheet - Standardized!R86C19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6" s="3"/>
      </tp>
      <tp>
        <v>-7670</v>
        <stp/>
        <stp>##V3_BDHV12</stp>
        <stp>XOM US Equity</stp>
        <stp>CF_PURCHASE_OF_FIXED_PROD_ASSETS</stp>
        <stp>FQ4 2010</stp>
        <stp>FQ4 2010</stp>
        <stp>[FA1_m42y3cpi.xlsx]Cash Flow - Standardized!R25C12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4"/>
      </tp>
      <tp>
        <v>130</v>
        <stp/>
        <stp>##V3_BDHV12</stp>
        <stp>XOM US Equity</stp>
        <stp>CF_TAX_BENEFIT_FRM_STOCK_OPTIONS</stp>
        <stp>FQ4 2012</stp>
        <stp>FQ4 2012</stp>
        <stp>[FA1_m42y3cpi.xlsx]Cash Flow - Standardized!R62C20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2" s="4"/>
      </tp>
      <tp>
        <v>2.09</v>
        <stp/>
        <stp>##V3_BDHV12</stp>
        <stp>XOM US Equity</stp>
        <stp>IS_DIL_EPS_BEF_XO</stp>
        <stp>FQ3 2012</stp>
        <stp>FQ3 2012</stp>
        <stp>[FA1_m42y3cpi.xlsx]Income - Adjusted!R56C19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6" s="2"/>
      </tp>
      <tp>
        <v>68.61</v>
        <stp/>
        <stp>##V3_BDHV12</stp>
        <stp>XOM US Equity</stp>
        <stp>PX_LAST</stp>
        <stp>FQ3 2009</stp>
        <stp>FQ3 2009</stp>
        <stp>[FA1_m42y3cpi.xlsx]Stock Value!R6C7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6"/>
      </tp>
      <tp>
        <v>0.78</v>
        <stp/>
        <stp>##V3_BDHV12</stp>
        <stp>XOM US Equity</stp>
        <stp>IS_DIL_EPS_CONT_OPS</stp>
        <stp>FQ2 2017</stp>
        <stp>FQ2 2017</stp>
        <stp>[FA1_m42y3cpi.xlsx]Per Share!R19C38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9" s="5"/>
      </tp>
      <tp>
        <v>-20384</v>
        <stp/>
        <stp>##V3_BDHV12</stp>
        <stp>XOM US Equity</stp>
        <stp>OTHER_INS_RES_TO_SHRHLDR_EQY</stp>
        <stp>FQ1 2016</stp>
        <stp>FQ1 2016</stp>
        <stp>[FA1_m42y3cpi.xlsx]Bal Sheet - Standardized!R71C33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1" s="3"/>
      </tp>
      <tp>
        <v>-22239</v>
        <stp/>
        <stp>##V3_BDHV12</stp>
        <stp>XOM US Equity</stp>
        <stp>OTHER_INS_RES_TO_SHRHLDR_EQY</stp>
        <stp>FQ4 2016</stp>
        <stp>FQ4 2016</stp>
        <stp>[FA1_m42y3cpi.xlsx]Bal Sheet - Standardized!R71C36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1" s="3"/>
      </tp>
      <tp>
        <v>-7998</v>
        <stp/>
        <stp>##V3_BDHV12</stp>
        <stp>XOM US Equity</stp>
        <stp>OTHER_INS_RES_TO_SHRHLDR_EQY</stp>
        <stp>FQ1 2012</stp>
        <stp>FQ1 2012</stp>
        <stp>[FA1_m42y3cpi.xlsx]Bal Sheet - Standardized!R71C17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1" s="3"/>
      </tp>
      <tp>
        <v>0</v>
        <stp/>
        <stp>##V3_BDHV12</stp>
        <stp>XOM US Equity</stp>
        <stp>NET_CHG_IN_LT_INVEST_DETAILED</stp>
        <stp>FQ2 2015</stp>
        <stp>FQ2 2015</stp>
        <stp>[FA1_m42y3cpi.xlsx]Cash Flow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4"/>
      </tp>
      <tp>
        <v>1.55</v>
        <stp/>
        <stp>##V3_BDHV12</stp>
        <stp>XOM US Equity</stp>
        <stp>IS_EARN_BEF_XO_ITEMS_PER_SH</stp>
        <stp>FQ2 2013</stp>
        <stp>FQ2 2013</stp>
        <stp>[FA1_m42y3cpi.xlsx]Income - Adjusted!R51C22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1" s="2"/>
      </tp>
      <tp>
        <v>1.44</v>
        <stp/>
        <stp>##V3_BDHV12</stp>
        <stp>XOM US Equity</stp>
        <stp>IS_EARN_BEF_XO_ITEMS_PER_SH</stp>
        <stp>FQ3 2010</stp>
        <stp>FQ3 2010</stp>
        <stp>[FA1_m42y3cpi.xlsx]Income - Adjusted!R51C11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1" s="2"/>
      </tp>
      <tp>
        <v>2.1</v>
        <stp/>
        <stp>##V3_BDHV12</stp>
        <stp>XOM US Equity</stp>
        <stp>IS_EARN_BEF_XO_ITEMS_PER_SH</stp>
        <stp>FQ1 2014</stp>
        <stp>FQ1 2014</stp>
        <stp>[FA1_m42y3cpi.xlsx]Income - Adjusted!R51C25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1" s="2"/>
      </tp>
      <tp>
        <v>13729</v>
        <stp/>
        <stp>##V3_BDHV12</stp>
        <stp>XOM US Equity</stp>
        <stp>GROSS_PROFIT</stp>
        <stp>FQ1 2014</stp>
        <stp>FQ1 2014</stp>
        <stp>[FA1_m42y3cpi.xlsx]Income - Adjusted!R11C25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1" s="2"/>
      </tp>
      <tp>
        <v>12959</v>
        <stp/>
        <stp>##V3_BDHV12</stp>
        <stp>XOM US Equity</stp>
        <stp>GROSS_PROFIT</stp>
        <stp>FQ2 2013</stp>
        <stp>FQ2 2013</stp>
        <stp>[FA1_m42y3cpi.xlsx]Income - Adjusted!R11C22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1" s="2"/>
      </tp>
      <tp>
        <v>14174</v>
        <stp/>
        <stp>##V3_BDHV12</stp>
        <stp>XOM US Equity</stp>
        <stp>GROSS_PROFIT</stp>
        <stp>FQ3 2010</stp>
        <stp>FQ3 2010</stp>
        <stp>[FA1_m42y3cpi.xlsx]Income - Adjusted!R11C11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1" s="2"/>
      </tp>
      <tp>
        <v>0</v>
        <stp/>
        <stp>##V3_BDHV12</stp>
        <stp>XOM US Equity</stp>
        <stp>NET_CHG_IN_LT_INVEST_DETAILED</stp>
        <stp>FQ3 2013</stp>
        <stp>FQ3 2013</stp>
        <stp>[FA1_m42y3cpi.xlsx]Cash Flow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4"/>
      </tp>
      <tp>
        <v>0</v>
        <stp/>
        <stp>##V3_BDHV12</stp>
        <stp>XOM US Equity</stp>
        <stp>NET_CHG_IN_LT_INVEST_DETAILED</stp>
        <stp>FQ2 2016</stp>
        <stp>FQ2 2016</stp>
        <stp>[FA1_m42y3cpi.xlsx]Cash Flow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4"/>
      </tp>
      <tp>
        <v>0</v>
        <stp/>
        <stp>##V3_BDHV12</stp>
        <stp>XOM US Equity</stp>
        <stp>NET_CHG_IN_LT_INVEST_DETAILED</stp>
        <stp>FQ3 2014</stp>
        <stp>FQ3 2014</stp>
        <stp>[FA1_m42y3cpi.xlsx]Cash Flow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4"/>
      </tp>
      <tp>
        <v>0</v>
        <stp/>
        <stp>##V3_BDHV12</stp>
        <stp>XOM US Equity</stp>
        <stp>NET_CHG_IN_LT_INVEST_DETAILED</stp>
        <stp>FQ2 2017</stp>
        <stp>FQ2 2017</stp>
        <stp>[FA1_m42y3cpi.xlsx]Cash Flow - Standardized!R27C38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4"/>
      </tp>
      <tp t="s">
        <v>—</v>
        <stp/>
        <stp>##V3_BDHV12</stp>
        <stp>XOM US Equity</stp>
        <stp>IS_FOREIGN_EXCH_LOSS</stp>
        <stp>FQ2 2018</stp>
        <stp>FQ2 2018</stp>
        <stp>[FA1_m42y3cpi.xlsx]Income - Adjusted!R21C42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21" s="2"/>
      </tp>
      <tp t="s">
        <v>—</v>
        <stp/>
        <stp>##V3_BDHV12</stp>
        <stp>XOM US Equity</stp>
        <stp>IS_FOREIGN_EXCH_LOSS</stp>
        <stp>FQ2 2012</stp>
        <stp>FQ2 2012</stp>
        <stp>[FA1_m42y3cpi.xlsx]Income - Adjusted!R21C18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1" s="2"/>
      </tp>
      <tp>
        <v>109</v>
        <stp/>
        <stp>##V3_BDHV12</stp>
        <stp>XOM US Equity</stp>
        <stp>CF_ACT_CASH_PAID_FOR_INT_DEBT</stp>
        <stp>FQ4 2016</stp>
        <stp>FQ4 2016</stp>
        <stp>[FA1_m42y3cpi.xlsx]Cash Flow - Standardized!R56C36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6" s="4"/>
      </tp>
      <tp>
        <v>127</v>
        <stp/>
        <stp>##V3_BDHV12</stp>
        <stp>XOM US Equity</stp>
        <stp>CF_ACT_CASH_PAID_FOR_INT_DEBT</stp>
        <stp>FQ4 2015</stp>
        <stp>FQ4 2015</stp>
        <stp>[FA1_m42y3cpi.xlsx]Cash Flow - Standardized!R56C32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6" s="4"/>
      </tp>
      <tp>
        <v>2263</v>
        <stp/>
        <stp>##V3_BDHV12</stp>
        <stp>XOM US Equity</stp>
        <stp>EBIT</stp>
        <stp>FQ2 2017</stp>
        <stp>FQ2 2017</stp>
        <stp>[FA1_m42y3cpi.xlsx]Income - Adjusted!R64C38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64" s="2"/>
      </tp>
      <tp>
        <v>1.55</v>
        <stp/>
        <stp>##V3_BDHV12</stp>
        <stp>XOM US Equity</stp>
        <stp>IS_DIL_EPS_CONT_OPS</stp>
        <stp>FQ4 2008</stp>
        <stp>FQ4 2008</stp>
        <stp>[FA1_m42y3cpi.xlsx]Income - Adjusted!R57C4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7" s="2"/>
      </tp>
      <tp>
        <v>2.59</v>
        <stp/>
        <stp>##V3_BDHV12</stp>
        <stp>XOM US Equity</stp>
        <stp>IS_DIL_EPS_CONT_OPS</stp>
        <stp>FQ3 2008</stp>
        <stp>FQ3 2008</stp>
        <stp>[FA1_m42y3cpi.xlsx]Income - Adjusted!R57C3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7" s="2"/>
      </tp>
      <tp>
        <v>3009</v>
        <stp/>
        <stp>##V3_BDHV12</stp>
        <stp>XOM US Equity</stp>
        <stp>IS_OPERATING_EXPN</stp>
        <stp>FQ3 2017</stp>
        <stp>FQ3 2017</stp>
        <stp>[FA1_m42y3cpi.xlsx]Income - Adjusted!R13C39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3" s="2"/>
      </tp>
      <tp>
        <v>0</v>
        <stp/>
        <stp>##V3_BDHV12</stp>
        <stp>XOM US Equity</stp>
        <stp>OTHER_ADJUSTMENTS</stp>
        <stp>FQ4 2008</stp>
        <stp>FQ4 2008</stp>
        <stp>[FA1_m42y3cpi.xlsx]Income - Adjusted!R42C4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2"/>
      </tp>
      <tp>
        <v>0</v>
        <stp/>
        <stp>##V3_BDHV12</stp>
        <stp>XOM US Equity</stp>
        <stp>OTHER_ADJUSTMENTS</stp>
        <stp>FQ4 2009</stp>
        <stp>FQ4 2009</stp>
        <stp>[FA1_m42y3cpi.xlsx]Income - Adjusted!R42C8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2"/>
      </tp>
      <tp t="s">
        <v>—</v>
        <stp/>
        <stp>##V3_BDHV12</stp>
        <stp>XOM US Equity</stp>
        <stp>NOTES_RECEIVABLE</stp>
        <stp>FQ2 2017</stp>
        <stp>FQ2 2017</stp>
        <stp>[FA1_m42y3cpi.xlsx]Bal Sheet - Standardized!R12C38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3"/>
      </tp>
      <tp t="s">
        <v>—</v>
        <stp/>
        <stp>##V3_BDHV12</stp>
        <stp>XOM US Equity</stp>
        <stp>NOTES_RECEIVABLE</stp>
        <stp>FQ2 2016</stp>
        <stp>FQ2 2016</stp>
        <stp>[FA1_m42y3cpi.xlsx]Bal Sheet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3"/>
      </tp>
      <tp t="s">
        <v>—</v>
        <stp/>
        <stp>##V3_BDHV12</stp>
        <stp>XOM US Equity</stp>
        <stp>NOTES_RECEIVABLE</stp>
        <stp>FQ3 2014</stp>
        <stp>FQ3 2014</stp>
        <stp>[FA1_m42y3cpi.xlsx]Bal Sheet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3"/>
      </tp>
      <tp t="s">
        <v>—</v>
        <stp/>
        <stp>##V3_BDHV12</stp>
        <stp>XOM US Equity</stp>
        <stp>NOTES_RECEIVABLE</stp>
        <stp>FQ3 2013</stp>
        <stp>FQ3 2013</stp>
        <stp>[FA1_m42y3cpi.xlsx]Bal Sheet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3"/>
      </tp>
      <tp>
        <v>514</v>
        <stp/>
        <stp>##V3_BDHV12</stp>
        <stp>XOM US Equity</stp>
        <stp>IS_OTHER_OPERATING_EXPENSES</stp>
        <stp>FQ2 2017</stp>
        <stp>FQ2 2017</stp>
        <stp>[FA1_m42y3cpi.xlsx]Income - Adjusted!R15C38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5" s="2"/>
      </tp>
      <tp t="s">
        <v>—</v>
        <stp/>
        <stp>##V3_BDHV12</stp>
        <stp>XOM US Equity</stp>
        <stp>NOTES_RECEIVABLE</stp>
        <stp>FQ2 2015</stp>
        <stp>FQ2 2015</stp>
        <stp>[FA1_m42y3cpi.xlsx]Bal Sheet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3"/>
      </tp>
      <tp t="s">
        <v>—</v>
        <stp/>
        <stp>##V3_BDHV12</stp>
        <stp>XOM US Equity</stp>
        <stp>CF_TAX_BENEFIT_FRM_STOCK_OPTIONS</stp>
        <stp>FQ1 2018</stp>
        <stp>FQ1 2018</stp>
        <stp>[FA1_m42y3cpi.xlsx]Cash Flow - Standardized!R62C41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2" s="4"/>
      </tp>
      <tp>
        <v>-60</v>
        <stp/>
        <stp>##V3_BDHV12</stp>
        <stp>XOM US Equity</stp>
        <stp>CF_OTHER_FINANCING_ACT_EXCL_FX</stp>
        <stp>FQ2 2011</stp>
        <stp>FQ2 2011</stp>
        <stp>[FA1_m42y3cpi.xlsx]Cash Flow - Standardized!R47C14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4"/>
      </tp>
      <tp>
        <v>1623</v>
        <stp/>
        <stp>##V3_BDHV12</stp>
        <stp>XOM US Equity</stp>
        <stp>IS_OPER_INC</stp>
        <stp>FQ2 2012</stp>
        <stp>FQ2 2012</stp>
        <stp>[FA1_m42y3cpi.xlsx]Income - Adjusted!R16C18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6" s="2"/>
      </tp>
      <tp>
        <v>4614</v>
        <stp/>
        <stp>##V3_BDHV12</stp>
        <stp>XOM US Equity</stp>
        <stp>IS_OPER_INC</stp>
        <stp>FQ2 2018</stp>
        <stp>FQ2 2018</stp>
        <stp>[FA1_m42y3cpi.xlsx]Income - Adjusted!R16C42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6" s="2"/>
      </tp>
      <tp>
        <v>-8884</v>
        <stp/>
        <stp>##V3_BDHV12</stp>
        <stp>XOM US Equity</stp>
        <stp>CF_PURCHASE_OF_FIXED_PROD_ASSETS</stp>
        <stp>FQ4 2014</stp>
        <stp>FQ4 2014</stp>
        <stp>[FA1_m42y3cpi.xlsx]Cash Flow - Standardized!R25C28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4"/>
      </tp>
      <tp>
        <v>-4927</v>
        <stp/>
        <stp>##V3_BDHV12</stp>
        <stp>XOM US Equity</stp>
        <stp>CF_PURCHASE_OF_FIXED_PROD_ASSETS</stp>
        <stp>FQ2 2018</stp>
        <stp>FQ2 2018</stp>
        <stp>[FA1_m42y3cpi.xlsx]Cash Flow - Standardized!R25C42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4"/>
      </tp>
      <tp>
        <v>29497</v>
        <stp/>
        <stp>##V3_BDHV12</stp>
        <stp>XOM US Equity</stp>
        <stp>NET_DEBT</stp>
        <stp>FQ2 2015</stp>
        <stp>FQ2 2015</stp>
        <stp>[FA1_m42y3cpi.xlsx]Bal Sheet - Standardized!R86C30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6" s="3"/>
      </tp>
      <tp>
        <v>16872</v>
        <stp/>
        <stp>##V3_BDHV12</stp>
        <stp>XOM US Equity</stp>
        <stp>NET_DEBT</stp>
        <stp>FQ3 2014</stp>
        <stp>FQ3 2014</stp>
        <stp>[FA1_m42y3cpi.xlsx]Bal Sheet - Standardized!R86C27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6" s="3"/>
      </tp>
      <tp>
        <v>40113</v>
        <stp/>
        <stp>##V3_BDHV12</stp>
        <stp>XOM US Equity</stp>
        <stp>NET_DEBT</stp>
        <stp>FQ2 2016</stp>
        <stp>FQ2 2016</stp>
        <stp>[FA1_m42y3cpi.xlsx]Bal Sheet - Standardized!R86C34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6" s="3"/>
      </tp>
      <tp>
        <v>-106</v>
        <stp/>
        <stp>##V3_BDHV12</stp>
        <stp>XOM US Equity</stp>
        <stp>CF_OTHER_FINANCING_ACT_EXCL_FX</stp>
        <stp>FQ1 2013</stp>
        <stp>FQ1 2013</stp>
        <stp>[FA1_m42y3cpi.xlsx]Cash Flow - Standardized!R47C21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4"/>
      </tp>
      <tp>
        <v>-57</v>
        <stp/>
        <stp>##V3_BDHV12</stp>
        <stp>XOM US Equity</stp>
        <stp>CF_OTHER_FINANCING_ACT_EXCL_FX</stp>
        <stp>FQ2 2010</stp>
        <stp>FQ2 2010</stp>
        <stp>[FA1_m42y3cpi.xlsx]Cash Flow - Standardized!R47C10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4"/>
      </tp>
      <tp>
        <v>15983</v>
        <stp/>
        <stp>##V3_BDHV12</stp>
        <stp>XOM US Equity</stp>
        <stp>NET_DEBT</stp>
        <stp>FQ3 2013</stp>
        <stp>FQ3 2013</stp>
        <stp>[FA1_m42y3cpi.xlsx]Bal Sheet - Standardized!R86C23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6" s="3"/>
      </tp>
      <tp>
        <v>-58</v>
        <stp/>
        <stp>##V3_BDHV12</stp>
        <stp>XOM US Equity</stp>
        <stp>CF_OTHER_FINANCING_ACT_EXCL_FX</stp>
        <stp>FQ1 2014</stp>
        <stp>FQ1 2014</stp>
        <stp>[FA1_m42y3cpi.xlsx]Cash Flow - Standardized!R47C25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4"/>
      </tp>
      <tp>
        <v>-8426</v>
        <stp/>
        <stp>##V3_BDHV12</stp>
        <stp>XOM US Equity</stp>
        <stp>CF_PURCHASE_OF_FIXED_PROD_ASSETS</stp>
        <stp>FQ4 2013</stp>
        <stp>FQ4 2013</stp>
        <stp>[FA1_m42y3cpi.xlsx]Cash Flow - Standardized!R25C24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4"/>
      </tp>
      <tp>
        <v>37893</v>
        <stp/>
        <stp>##V3_BDHV12</stp>
        <stp>XOM US Equity</stp>
        <stp>NET_DEBT</stp>
        <stp>FQ2 2017</stp>
        <stp>FQ2 2017</stp>
        <stp>[FA1_m42y3cpi.xlsx]Bal Sheet - Standardized!R86C38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6" s="3"/>
      </tp>
      <tp>
        <v>-40</v>
        <stp/>
        <stp>##V3_BDHV12</stp>
        <stp>XOM US Equity</stp>
        <stp>CF_OTHER_FINANCING_ACT_EXCL_FX</stp>
        <stp>FQ1 2015</stp>
        <stp>FQ1 2015</stp>
        <stp>[FA1_m42y3cpi.xlsx]Cash Flow - Standardized!R47C29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4"/>
      </tp>
      <tp>
        <v>40</v>
        <stp/>
        <stp>##V3_BDHV12</stp>
        <stp>XOM US Equity</stp>
        <stp>CF_TAX_BENEFIT_FRM_STOCK_OPTIONS</stp>
        <stp>FQ4 2011</stp>
        <stp>FQ4 2011</stp>
        <stp>[FA1_m42y3cpi.xlsx]Cash Flow - Standardized!R62C16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2" s="4"/>
      </tp>
      <tp>
        <v>4265</v>
        <stp/>
        <stp>##V3_BDHV12</stp>
        <stp>XOM US Equity</stp>
        <stp>CF_NET_CHG_IN_ST_DBT_&amp;_CPTL_LEAS</stp>
        <stp>FQ4 2015</stp>
        <stp>FQ4 2015</stp>
        <stp>[FA1_m42y3cpi.xlsx]Cash Flow - Standardized!R41C32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1" s="4"/>
      </tp>
      <tp>
        <v>-3425</v>
        <stp/>
        <stp>##V3_BDHV12</stp>
        <stp>XOM US Equity</stp>
        <stp>CF_NET_CHG_IN_ST_DBT_&amp;_CPTL_LEAS</stp>
        <stp>FQ4 2016</stp>
        <stp>FQ4 2016</stp>
        <stp>[FA1_m42y3cpi.xlsx]Cash Flow - Standardized!R41C36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1" s="4"/>
      </tp>
      <tp>
        <v>-10057</v>
        <stp/>
        <stp>##V3_BDHV12</stp>
        <stp>XOM US Equity</stp>
        <stp>CF_PURCHASE_OF_FIXED_PROD_ASSETS</stp>
        <stp>FQ4 2012</stp>
        <stp>FQ4 2012</stp>
        <stp>[FA1_m42y3cpi.xlsx]Cash Flow - Standardized!R25C20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4"/>
      </tp>
      <tp>
        <v>75</v>
        <stp/>
        <stp>##V3_BDHV12</stp>
        <stp>XOM US Equity</stp>
        <stp>CF_TAX_BENEFIT_FRM_STOCK_OPTIONS</stp>
        <stp>FQ4 2010</stp>
        <stp>FQ4 2010</stp>
        <stp>[FA1_m42y3cpi.xlsx]Cash Flow - Standardized!R62C12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2" s="4"/>
      </tp>
      <tp>
        <v>-55</v>
        <stp/>
        <stp>##V3_BDHV12</stp>
        <stp>XOM US Equity</stp>
        <stp>CF_OTHER_FINANCING_ACT_EXCL_FX</stp>
        <stp>FQ2 2012</stp>
        <stp>FQ2 2012</stp>
        <stp>[FA1_m42y3cpi.xlsx]Cash Flow - Standardized!R47C18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4"/>
      </tp>
      <tp>
        <v>1.17</v>
        <stp/>
        <stp>##V3_BDHV12</stp>
        <stp>XOM US Equity</stp>
        <stp>IS_DIL_EPS_CONT_OPS</stp>
        <stp>FQ1 2015</stp>
        <stp>FQ1 2015</stp>
        <stp>[FA1_m42y3cpi.xlsx]Per Share!R19C29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9" s="5"/>
      </tp>
      <tp>
        <v>1.4878</v>
        <stp/>
        <stp>##V3_BDHV12</stp>
        <stp>XOM US Equity</stp>
        <stp>IS_DIL_EPS_CONT_OPS</stp>
        <stp>FQ4 2014</stp>
        <stp>FQ4 2014</stp>
        <stp>[FA1_m42y3cpi.xlsx]Per Share!R19C28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9" s="5"/>
      </tp>
      <tp>
        <v>-21493</v>
        <stp/>
        <stp>##V3_BDHV12</stp>
        <stp>XOM US Equity</stp>
        <stp>OTHER_INS_RES_TO_SHRHLDR_EQY</stp>
        <stp>FQ2 2015</stp>
        <stp>FQ2 2015</stp>
        <stp>[FA1_m42y3cpi.xlsx]Bal Sheet - Standardized!R71C30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1" s="3"/>
      </tp>
      <tp>
        <v>-24336</v>
        <stp/>
        <stp>##V3_BDHV12</stp>
        <stp>XOM US Equity</stp>
        <stp>OTHER_INS_RES_TO_SHRHLDR_EQY</stp>
        <stp>FQ3 2015</stp>
        <stp>FQ3 2015</stp>
        <stp>[FA1_m42y3cpi.xlsx]Bal Sheet - Standardized!R71C31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1" s="3"/>
      </tp>
      <tp>
        <v>-2799</v>
        <stp/>
        <stp>##V3_BDHV12</stp>
        <stp>XOM US Equity</stp>
        <stp>OTHER_INS_RES_TO_SHRHLDR_EQY</stp>
        <stp>FQ2 2011</stp>
        <stp>FQ2 2011</stp>
        <stp>[FA1_m42y3cpi.xlsx]Bal Sheet - Standardized!R71C14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1" s="3"/>
      </tp>
      <tp>
        <v>-5328</v>
        <stp/>
        <stp>##V3_BDHV12</stp>
        <stp>XOM US Equity</stp>
        <stp>OTHER_INS_RES_TO_SHRHLDR_EQY</stp>
        <stp>FQ3 2011</stp>
        <stp>FQ3 2011</stp>
        <stp>[FA1_m42y3cpi.xlsx]Bal Sheet - Standardized!R71C15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1" s="3"/>
      </tp>
      <tp>
        <v>0</v>
        <stp/>
        <stp>##V3_BDHV12</stp>
        <stp>XOM US Equity</stp>
        <stp>NET_CHG_IN_LT_INVEST_DETAILED</stp>
        <stp>FQ3 2015</stp>
        <stp>FQ3 2015</stp>
        <stp>[FA1_m42y3cpi.xlsx]Cash Flow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4"/>
      </tp>
      <tp>
        <v>0</v>
        <stp/>
        <stp>##V3_BDHV12</stp>
        <stp>XOM US Equity</stp>
        <stp>NET_CHG_IN_LT_INVEST_DETAILED</stp>
        <stp>FQ1 2012</stp>
        <stp>FQ1 2012</stp>
        <stp>[FA1_m42y3cpi.xlsx]Cash Flow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4"/>
      </tp>
      <tp>
        <v>0.41</v>
        <stp/>
        <stp>##V3_BDHV12</stp>
        <stp>XOM US Equity</stp>
        <stp>IS_EARN_BEF_XO_ITEMS_PER_SH</stp>
        <stp>FQ4 2016</stp>
        <stp>FQ4 2016</stp>
        <stp>[FA1_m42y3cpi.xlsx]Income - Adjusted!R51C36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1" s="2"/>
      </tp>
      <tp>
        <v>1.6099999999999999</v>
        <stp/>
        <stp>##V3_BDHV12</stp>
        <stp>XOM US Equity</stp>
        <stp>IS_EARN_BEF_XO_ITEMS_PER_SH</stp>
        <stp>FQ2 2010</stp>
        <stp>FQ2 2010</stp>
        <stp>[FA1_m42y3cpi.xlsx]Income - Adjusted!R51C10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1" s="2"/>
      </tp>
      <tp>
        <v>1.79</v>
        <stp/>
        <stp>##V3_BDHV12</stp>
        <stp>XOM US Equity</stp>
        <stp>IS_EARN_BEF_XO_ITEMS_PER_SH</stp>
        <stp>FQ3 2013</stp>
        <stp>FQ3 2013</stp>
        <stp>[FA1_m42y3cpi.xlsx]Income - Adjusted!R51C23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1" s="2"/>
      </tp>
      <tp>
        <v>0.95</v>
        <stp/>
        <stp>##V3_BDHV12</stp>
        <stp>XOM US Equity</stp>
        <stp>IS_EARN_BEF_XO_ITEMS_PER_SH</stp>
        <stp>FQ1 2017</stp>
        <stp>FQ1 2017</stp>
        <stp>[FA1_m42y3cpi.xlsx]Income - Adjusted!R51C37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1" s="2"/>
      </tp>
      <tp>
        <v>1336</v>
        <stp/>
        <stp>##V3_BDHV12</stp>
        <stp>XOM US Equity</stp>
        <stp>GROSS_PROFIT</stp>
        <stp>FQ4 2016</stp>
        <stp>FQ4 2016</stp>
        <stp>[FA1_m42y3cpi.xlsx]Income - Adjusted!R11C36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1" s="2"/>
      </tp>
      <tp>
        <v>6755</v>
        <stp/>
        <stp>##V3_BDHV12</stp>
        <stp>XOM US Equity</stp>
        <stp>GROSS_PROFIT</stp>
        <stp>FQ1 2017</stp>
        <stp>FQ1 2017</stp>
        <stp>[FA1_m42y3cpi.xlsx]Income - Adjusted!R11C37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1" s="2"/>
      </tp>
      <tp>
        <v>13967</v>
        <stp/>
        <stp>##V3_BDHV12</stp>
        <stp>XOM US Equity</stp>
        <stp>GROSS_PROFIT</stp>
        <stp>FQ2 2010</stp>
        <stp>FQ2 2010</stp>
        <stp>[FA1_m42y3cpi.xlsx]Income - Adjusted!R11C10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1" s="2"/>
      </tp>
      <tp>
        <v>13895</v>
        <stp/>
        <stp>##V3_BDHV12</stp>
        <stp>XOM US Equity</stp>
        <stp>GROSS_PROFIT</stp>
        <stp>FQ3 2013</stp>
        <stp>FQ3 2013</stp>
        <stp>[FA1_m42y3cpi.xlsx]Income - Adjusted!R11C23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1" s="2"/>
      </tp>
      <tp>
        <v>0</v>
        <stp/>
        <stp>##V3_BDHV12</stp>
        <stp>XOM US Equity</stp>
        <stp>NET_CHG_IN_LT_INVEST_DETAILED</stp>
        <stp>FQ2 2013</stp>
        <stp>FQ2 2013</stp>
        <stp>[FA1_m42y3cpi.xlsx]Cash Flow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4"/>
      </tp>
      <tp>
        <v>0</v>
        <stp/>
        <stp>##V3_BDHV12</stp>
        <stp>XOM US Equity</stp>
        <stp>NET_CHG_IN_LT_INVEST_DETAILED</stp>
        <stp>FQ1 2011</stp>
        <stp>FQ1 2011</stp>
        <stp>[FA1_m42y3cpi.xlsx]Cash Flow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4"/>
      </tp>
      <tp>
        <v>0</v>
        <stp/>
        <stp>##V3_BDHV12</stp>
        <stp>XOM US Equity</stp>
        <stp>NET_CHG_IN_LT_INVEST_DETAILED</stp>
        <stp>FQ4 2017</stp>
        <stp>FQ4 2017</stp>
        <stp>[FA1_m42y3cpi.xlsx]Cash Flow - Standardized!R27C40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4"/>
      </tp>
      <tp>
        <v>0</v>
        <stp/>
        <stp>##V3_BDHV12</stp>
        <stp>XOM US Equity</stp>
        <stp>NET_CHG_IN_LT_INVEST_DETAILED</stp>
        <stp>FQ3 2016</stp>
        <stp>FQ3 2016</stp>
        <stp>[FA1_m42y3cpi.xlsx]Cash Flow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4"/>
      </tp>
      <tp>
        <v>0</v>
        <stp/>
        <stp>##V3_BDHV12</stp>
        <stp>XOM US Equity</stp>
        <stp>NET_CHG_IN_LT_INVEST_DETAILED</stp>
        <stp>FQ2 2014</stp>
        <stp>FQ2 2014</stp>
        <stp>[FA1_m42y3cpi.xlsx]Cash Flow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4"/>
      </tp>
      <tp>
        <v>0</v>
        <stp/>
        <stp>##V3_BDHV12</stp>
        <stp>XOM US Equity</stp>
        <stp>NET_CHG_IN_LT_INVEST_DETAILED</stp>
        <stp>FQ3 2017</stp>
        <stp>FQ3 2017</stp>
        <stp>[FA1_m42y3cpi.xlsx]Cash Flow - Standardized!R27C39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4"/>
      </tp>
      <tp t="s">
        <v>—</v>
        <stp/>
        <stp>##V3_BDHV12</stp>
        <stp>XOM US Equity</stp>
        <stp>IS_FOREIGN_EXCH_LOSS</stp>
        <stp>FQ3 2012</stp>
        <stp>FQ3 2012</stp>
        <stp>[FA1_m42y3cpi.xlsx]Income - Adjusted!R21C19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1" s="2"/>
      </tp>
      <tp>
        <v>117</v>
        <stp/>
        <stp>##V3_BDHV12</stp>
        <stp>XOM US Equity</stp>
        <stp>CF_ACT_CASH_PAID_FOR_INT_DEBT</stp>
        <stp>FQ2 2018</stp>
        <stp>FQ2 2018</stp>
        <stp>[FA1_m42y3cpi.xlsx]Cash Flow - Standardized!R56C42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6" s="4"/>
      </tp>
      <tp>
        <v>85</v>
        <stp/>
        <stp>##V3_BDHV12</stp>
        <stp>XOM US Equity</stp>
        <stp>CF_ACT_CASH_PAID_FOR_INT_DEBT</stp>
        <stp>FQ4 2014</stp>
        <stp>FQ4 2014</stp>
        <stp>[FA1_m42y3cpi.xlsx]Cash Flow - Standardized!R56C28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6" s="4"/>
      </tp>
      <tp>
        <v>168</v>
        <stp/>
        <stp>##V3_BDHV12</stp>
        <stp>XOM US Equity</stp>
        <stp>CF_ACT_CASH_PAID_FOR_INT_DEBT</stp>
        <stp>FQ4 2012</stp>
        <stp>FQ4 2012</stp>
        <stp>[FA1_m42y3cpi.xlsx]Cash Flow - Standardized!R56C20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6" s="4"/>
      </tp>
      <tp>
        <v>108</v>
        <stp/>
        <stp>##V3_BDHV12</stp>
        <stp>XOM US Equity</stp>
        <stp>CF_ACT_CASH_PAID_FOR_INT_DEBT</stp>
        <stp>FQ4 2013</stp>
        <stp>FQ4 2013</stp>
        <stp>[FA1_m42y3cpi.xlsx]Cash Flow - Standardized!R56C24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6" s="4"/>
      </tp>
      <tp>
        <v>3944</v>
        <stp/>
        <stp>##V3_BDHV12</stp>
        <stp>XOM US Equity</stp>
        <stp>EBIT</stp>
        <stp>FQ3 2017</stp>
        <stp>FQ3 2017</stp>
        <stp>[FA1_m42y3cpi.xlsx]Income - Adjusted!R64C39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64" s="2"/>
      </tp>
      <tp>
        <v>3142</v>
        <stp/>
        <stp>##V3_BDHV12</stp>
        <stp>XOM US Equity</stp>
        <stp>IS_OPERATING_EXPN</stp>
        <stp>FQ2 2017</stp>
        <stp>FQ2 2017</stp>
        <stp>[FA1_m42y3cpi.xlsx]Income - Adjusted!R13C38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3" s="2"/>
      </tp>
      <tp>
        <v>1.3721999999999999</v>
        <stp/>
        <stp>##V3_BDHV12</stp>
        <stp>XOM US Equity</stp>
        <stp>IS_DIL_EPS_CONT_OPS</stp>
        <stp>FQ1 2010</stp>
        <stp>FQ1 2010</stp>
        <stp>[FA1_m42y3cpi.xlsx]Income - Adjusted!R57C9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7" s="2"/>
      </tp>
      <tp t="s">
        <v>—</v>
        <stp/>
        <stp>##V3_BDHV12</stp>
        <stp>XOM US Equity</stp>
        <stp>NOTES_RECEIVABLE</stp>
        <stp>FQ3 2017</stp>
        <stp>FQ3 2017</stp>
        <stp>[FA1_m42y3cpi.xlsx]Bal Sheet - Standardized!R12C39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3"/>
      </tp>
      <tp t="s">
        <v>—</v>
        <stp/>
        <stp>##V3_BDHV12</stp>
        <stp>XOM US Equity</stp>
        <stp>NOTES_RECEIVABLE</stp>
        <stp>FQ3 2016</stp>
        <stp>FQ3 2016</stp>
        <stp>[FA1_m42y3cpi.xlsx]Bal Sheet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3"/>
      </tp>
      <tp t="s">
        <v>—</v>
        <stp/>
        <stp>##V3_BDHV12</stp>
        <stp>XOM US Equity</stp>
        <stp>NOTES_RECEIVABLE</stp>
        <stp>FQ2 2014</stp>
        <stp>FQ2 2014</stp>
        <stp>[FA1_m42y3cpi.xlsx]Bal Sheet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3"/>
      </tp>
      <tp>
        <v>5842</v>
        <stp/>
        <stp>##V3_BDHV12</stp>
        <stp>XOM US Equity</stp>
        <stp>CF_DEPR_AMORT</stp>
        <stp>FQ4 2017</stp>
        <stp>FQ4 2017</stp>
        <stp>[FA1_m42y3cpi.xlsx]Cash Flow - Standardized!R8C40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" s="4"/>
      </tp>
      <tp t="s">
        <v>—</v>
        <stp/>
        <stp>##V3_BDHV12</stp>
        <stp>XOM US Equity</stp>
        <stp>NOTES_RECEIVABLE</stp>
        <stp>FQ2 2013</stp>
        <stp>FQ2 2013</stp>
        <stp>[FA1_m42y3cpi.xlsx]Bal Sheet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3"/>
      </tp>
      <tp t="s">
        <v>—</v>
        <stp/>
        <stp>##V3_BDHV12</stp>
        <stp>XOM US Equity</stp>
        <stp>NOTES_RECEIVABLE</stp>
        <stp>FQ1 2011</stp>
        <stp>FQ1 2011</stp>
        <stp>[FA1_m42y3cpi.xlsx]Bal Sheet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3"/>
      </tp>
      <tp>
        <v>4323</v>
        <stp/>
        <stp>##V3_BDHV12</stp>
        <stp>XOM US Equity</stp>
        <stp>NOTES_RECEIVABLE</stp>
        <stp>FQ4 2017</stp>
        <stp>FQ4 2017</stp>
        <stp>[FA1_m42y3cpi.xlsx]Bal Sheet - Standardized!R12C40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3"/>
      </tp>
      <tp t="s">
        <v>—</v>
        <stp/>
        <stp>##V3_BDHV12</stp>
        <stp>XOM US Equity</stp>
        <stp>NOTES_RECEIVABLE</stp>
        <stp>FQ1 2012</stp>
        <stp>FQ1 2012</stp>
        <stp>[FA1_m42y3cpi.xlsx]Bal Sheet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3"/>
      </tp>
      <tp>
        <v>4589</v>
        <stp/>
        <stp>##V3_BDHV12</stp>
        <stp>XOM US Equity</stp>
        <stp>CF_DEPR_AMORT</stp>
        <stp>FQ2 2018</stp>
        <stp>FQ2 2018</stp>
        <stp>[FA1_m42y3cpi.xlsx]Cash Flow - Standardized!R8C42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" s="4"/>
      </tp>
      <tp>
        <v>4470</v>
        <stp/>
        <stp>##V3_BDHV12</stp>
        <stp>XOM US Equity</stp>
        <stp>CF_DEPR_AMORT</stp>
        <stp>FQ1 2018</stp>
        <stp>FQ1 2018</stp>
        <stp>[FA1_m42y3cpi.xlsx]Cash Flow - Standardized!R8C41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" s="4"/>
      </tp>
      <tp>
        <v>284</v>
        <stp/>
        <stp>##V3_BDHV12</stp>
        <stp>XOM US Equity</stp>
        <stp>IS_OTHER_OPERATING_EXPENSES</stp>
        <stp>FQ3 2017</stp>
        <stp>FQ3 2017</stp>
        <stp>[FA1_m42y3cpi.xlsx]Income - Adjusted!R15C39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5" s="2"/>
      </tp>
      <tp t="s">
        <v>—</v>
        <stp/>
        <stp>##V3_BDHV12</stp>
        <stp>XOM US Equity</stp>
        <stp>NOTES_RECEIVABLE</stp>
        <stp>FQ3 2015</stp>
        <stp>FQ3 2015</stp>
        <stp>[FA1_m42y3cpi.xlsx]Bal Sheet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3"/>
      </tp>
      <tp>
        <v>-3020</v>
        <stp/>
        <stp>##V3_BDHV12</stp>
        <stp>XOM US Equity</stp>
        <stp>NET_DEBT</stp>
        <stp>FQ1 2012</stp>
        <stp>FQ1 2012</stp>
        <stp>[FA1_m42y3cpi.xlsx]Bal Sheet - Standardized!R86C17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6" s="3"/>
      </tp>
      <tp>
        <v>568</v>
        <stp/>
        <stp>##V3_BDHV12</stp>
        <stp>XOM US Equity</stp>
        <stp>CF_NET_CHG_IN_ST_DBT_&amp;_CPTL_LEAS</stp>
        <stp>FQ2 2018</stp>
        <stp>FQ2 2018</stp>
        <stp>[FA1_m42y3cpi.xlsx]Cash Flow - Standardized!R41C42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1" s="4"/>
      </tp>
      <tp>
        <v>7231</v>
        <stp/>
        <stp>##V3_BDHV12</stp>
        <stp>XOM US Equity</stp>
        <stp>CF_NET_CHG_IN_ST_DBT_&amp;_CPTL_LEAS</stp>
        <stp>FQ4 2014</stp>
        <stp>FQ4 2014</stp>
        <stp>[FA1_m42y3cpi.xlsx]Cash Flow - Standardized!R41C28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1" s="4"/>
      </tp>
      <tp>
        <v>-112</v>
        <stp/>
        <stp>##V3_BDHV12</stp>
        <stp>XOM US Equity</stp>
        <stp>CF_OTHER_FINANCING_ACT_EXCL_FX</stp>
        <stp>FQ3 2011</stp>
        <stp>FQ3 2011</stp>
        <stp>[FA1_m42y3cpi.xlsx]Cash Flow - Standardized!R47C15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4"/>
      </tp>
      <tp>
        <v>13227</v>
        <stp/>
        <stp>##V3_BDHV12</stp>
        <stp>XOM US Equity</stp>
        <stp>IS_OPER_INC</stp>
        <stp>FQ3 2012</stp>
        <stp>FQ3 2012</stp>
        <stp>[FA1_m42y3cpi.xlsx]Income - Adjusted!R16C19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6" s="2"/>
      </tp>
      <tp>
        <v>30016</v>
        <stp/>
        <stp>##V3_BDHV12</stp>
        <stp>XOM US Equity</stp>
        <stp>NET_DEBT</stp>
        <stp>FQ3 2015</stp>
        <stp>FQ3 2015</stp>
        <stp>[FA1_m42y3cpi.xlsx]Bal Sheet - Standardized!R86C31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6" s="3"/>
      </tp>
      <tp>
        <v>-42</v>
        <stp/>
        <stp>##V3_BDHV12</stp>
        <stp>XOM US Equity</stp>
        <stp>CF_OTHER_FINANCING_ACT_EXCL_FX</stp>
        <stp>FQ1 2016</stp>
        <stp>FQ1 2016</stp>
        <stp>[FA1_m42y3cpi.xlsx]Cash Flow - Standardized!R47C33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4"/>
      </tp>
      <tp>
        <v>15682</v>
        <stp/>
        <stp>##V3_BDHV12</stp>
        <stp>XOM US Equity</stp>
        <stp>NET_DEBT</stp>
        <stp>FQ2 2014</stp>
        <stp>FQ2 2014</stp>
        <stp>[FA1_m42y3cpi.xlsx]Bal Sheet - Standardized!R86C26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6" s="3"/>
      </tp>
      <tp>
        <v>41062</v>
        <stp/>
        <stp>##V3_BDHV12</stp>
        <stp>XOM US Equity</stp>
        <stp>NET_DEBT</stp>
        <stp>FQ3 2016</stp>
        <stp>FQ3 2016</stp>
        <stp>[FA1_m42y3cpi.xlsx]Bal Sheet - Standardized!R86C35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6" s="3"/>
      </tp>
      <tp>
        <v>-106</v>
        <stp/>
        <stp>##V3_BDHV12</stp>
        <stp>XOM US Equity</stp>
        <stp>CF_OTHER_FINANCING_ACT_EXCL_FX</stp>
        <stp>FQ3 2010</stp>
        <stp>FQ3 2010</stp>
        <stp>[FA1_m42y3cpi.xlsx]Cash Flow - Standardized!R47C11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4"/>
      </tp>
      <tp t="s">
        <v>—</v>
        <stp/>
        <stp>##V3_BDHV12</stp>
        <stp>XOM US Equity</stp>
        <stp>IS_OTHER_ONE_TIME_ITEMS</stp>
        <stp>FQ4 2009</stp>
        <stp>FQ4 2009</stp>
        <stp>[FA1_m42y3cpi.xlsx]Income - Adjusted!R31C8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2"/>
      </tp>
      <tp>
        <v>-44</v>
        <stp/>
        <stp>##V3_BDHV12</stp>
        <stp>XOM US Equity</stp>
        <stp>CF_OTHER_FINANCING_ACT_EXCL_FX</stp>
        <stp>FQ1 2017</stp>
        <stp>FQ1 2017</stp>
        <stp>[FA1_m42y3cpi.xlsx]Cash Flow - Standardized!R47C37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7" s="4"/>
      </tp>
      <tp>
        <v>3043</v>
        <stp/>
        <stp>##V3_BDHV12</stp>
        <stp>XOM US Equity</stp>
        <stp>NET_DEBT</stp>
        <stp>FQ1 2011</stp>
        <stp>FQ1 2011</stp>
        <stp>[FA1_m42y3cpi.xlsx]Bal Sheet - Standardized!R86C13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6" s="3"/>
      </tp>
      <tp>
        <v>14748</v>
        <stp/>
        <stp>##V3_BDHV12</stp>
        <stp>XOM US Equity</stp>
        <stp>NET_DEBT</stp>
        <stp>FQ2 2013</stp>
        <stp>FQ2 2013</stp>
        <stp>[FA1_m42y3cpi.xlsx]Bal Sheet - Standardized!R86C22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6" s="3"/>
      </tp>
      <tp>
        <v>39159</v>
        <stp/>
        <stp>##V3_BDHV12</stp>
        <stp>XOM US Equity</stp>
        <stp>NET_DEBT</stp>
        <stp>FQ4 2017</stp>
        <stp>FQ4 2017</stp>
        <stp>[FA1_m42y3cpi.xlsx]Bal Sheet - Standardized!R86C40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6" s="3"/>
      </tp>
      <tp>
        <v>-6136</v>
        <stp/>
        <stp>##V3_BDHV12</stp>
        <stp>XOM US Equity</stp>
        <stp>CF_PURCHASE_OF_FIXED_PROD_ASSETS</stp>
        <stp>FQ4 2015</stp>
        <stp>FQ4 2015</stp>
        <stp>[FA1_m42y3cpi.xlsx]Cash Flow - Standardized!R25C32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4"/>
      </tp>
      <tp>
        <v>36344</v>
        <stp/>
        <stp>##V3_BDHV12</stp>
        <stp>XOM US Equity</stp>
        <stp>NET_DEBT</stp>
        <stp>FQ3 2017</stp>
        <stp>FQ3 2017</stp>
        <stp>[FA1_m42y3cpi.xlsx]Bal Sheet - Standardized!R86C39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6" s="3"/>
      </tp>
      <tp t="s">
        <v>—</v>
        <stp/>
        <stp>##V3_BDHV12</stp>
        <stp>XOM US Equity</stp>
        <stp>IS_OTHER_ONE_TIME_ITEMS</stp>
        <stp>FQ4 2008</stp>
        <stp>FQ4 2008</stp>
        <stp>[FA1_m42y3cpi.xlsx]Income - Adjusted!R31C4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2"/>
      </tp>
      <tp>
        <v>1789</v>
        <stp/>
        <stp>##V3_BDHV12</stp>
        <stp>XOM US Equity</stp>
        <stp>CF_NET_CHG_IN_ST_DBT_&amp;_CPTL_LEAS</stp>
        <stp>FQ4 2013</stp>
        <stp>FQ4 2013</stp>
        <stp>[FA1_m42y3cpi.xlsx]Cash Flow - Standardized!R41C24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1" s="4"/>
      </tp>
      <tp>
        <v>-250</v>
        <stp/>
        <stp>##V3_BDHV12</stp>
        <stp>XOM US Equity</stp>
        <stp>CF_NET_CHG_IN_ST_DBT_&amp;_CPTL_LEAS</stp>
        <stp>FQ4 2012</stp>
        <stp>FQ4 2012</stp>
        <stp>[FA1_m42y3cpi.xlsx]Cash Flow - Standardized!R41C20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1" s="4"/>
      </tp>
      <tp>
        <v>-3887</v>
        <stp/>
        <stp>##V3_BDHV12</stp>
        <stp>XOM US Equity</stp>
        <stp>CF_PURCHASE_OF_FIXED_PROD_ASSETS</stp>
        <stp>FQ4 2016</stp>
        <stp>FQ4 2016</stp>
        <stp>[FA1_m42y3cpi.xlsx]Cash Flow - Standardized!R25C36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4"/>
      </tp>
      <tp>
        <v>-150</v>
        <stp/>
        <stp>##V3_BDHV12</stp>
        <stp>XOM US Equity</stp>
        <stp>CF_OTHER_FINANCING_ACT_EXCL_FX</stp>
        <stp>FQ3 2012</stp>
        <stp>FQ3 2012</stp>
        <stp>[FA1_m42y3cpi.xlsx]Cash Flow - Standardized!R47C19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4"/>
      </tp>
      <tp>
        <v>1.0900000000000001</v>
        <stp/>
        <stp>##V3_BDHV12</stp>
        <stp>XOM US Equity</stp>
        <stp>IS_DIL_EPS_BEF_XO</stp>
        <stp>FQ1 2018</stp>
        <stp>FQ1 2018</stp>
        <stp>[FA1_m42y3cpi.xlsx]Income - Adjusted!R56C41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6" s="2"/>
      </tp>
      <tp>
        <v>7516</v>
        <stp/>
        <stp>##V3_BDHV12</stp>
        <stp>XOM US Equity</stp>
        <stp>IS_OPER_INC</stp>
        <stp>FQ4 2009</stp>
        <stp>FQ4 2009</stp>
        <stp>[FA1_m42y3cpi.xlsx]Income - Adjusted!R16C8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6" s="2"/>
      </tp>
      <tp>
        <v>68.099999999999994</v>
        <stp/>
        <stp>##V3_BDHV12</stp>
        <stp>XOM US Equity</stp>
        <stp>PX_LAST</stp>
        <stp>FQ1 2009</stp>
        <stp>FQ1 2009</stp>
        <stp>[FA1_m42y3cpi.xlsx]Stock Value!R6C5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6"/>
      </tp>
      <tp>
        <v>79.83</v>
        <stp/>
        <stp>##V3_BDHV12</stp>
        <stp>XOM US Equity</stp>
        <stp>PX_LAST</stp>
        <stp>FQ4 2008</stp>
        <stp>FQ4 2008</stp>
        <stp>[FA1_m42y3cpi.xlsx]Stock Value!R6C4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6"/>
      </tp>
      <tp>
        <v>1762.6542999999999</v>
        <stp/>
        <stp>##V3_BDHV12</stp>
        <stp>XOM US Equity</stp>
        <stp>CF_FREE_CASH_FLOW_FIRM</stp>
        <stp>FQ4 2009</stp>
        <stp>FQ4 2009</stp>
        <stp>[FA1_m42y3cpi.xlsx]Cash Flow - Standardized!R64C8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64" s="4"/>
      </tp>
      <tp>
        <v>-12184</v>
        <stp/>
        <stp>##V3_BDHV12</stp>
        <stp>XOM US Equity</stp>
        <stp>OTHER_INS_RES_TO_SHRHLDR_EQY</stp>
        <stp>FQ4 2012</stp>
        <stp>FQ4 2012</stp>
        <stp>[FA1_m42y3cpi.xlsx]Bal Sheet - Standardized!R71C20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1" s="3"/>
      </tp>
      <tp>
        <v>-4823</v>
        <stp/>
        <stp>##V3_BDHV12</stp>
        <stp>XOM US Equity</stp>
        <stp>OTHER_INS_RES_TO_SHRHLDR_EQY</stp>
        <stp>FQ4 2010</stp>
        <stp>FQ4 2010</stp>
        <stp>[FA1_m42y3cpi.xlsx]Bal Sheet - Standardized!R71C12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1" s="3"/>
      </tp>
      <tp>
        <v>-8634</v>
        <stp/>
        <stp>##V3_BDHV12</stp>
        <stp>XOM US Equity</stp>
        <stp>ACQUIS_FXD_&amp;_INTANG_DETAILED</stp>
        <stp>FQ4 2011</stp>
        <stp>FQ4 2011</stp>
        <stp>[FA1_m42y3cpi.xlsx]Cash Flow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4"/>
      </tp>
      <tp>
        <v>0.78</v>
        <stp/>
        <stp>##V3_BDHV12</stp>
        <stp>XOM US Equity</stp>
        <stp>IS_EARN_BEF_XO_ITEMS_PER_SH</stp>
        <stp>FQ2 2017</stp>
        <stp>FQ2 2017</stp>
        <stp>[FA1_m42y3cpi.xlsx]Income - Adjusted!R51C38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1" s="2"/>
      </tp>
      <tp>
        <v>5405</v>
        <stp/>
        <stp>##V3_BDHV12</stp>
        <stp>XOM US Equity</stp>
        <stp>GROSS_PROFIT</stp>
        <stp>FQ2 2017</stp>
        <stp>FQ2 2017</stp>
        <stp>[FA1_m42y3cpi.xlsx]Income - Adjusted!R11C38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1" s="2"/>
      </tp>
      <tp>
        <v>-7670</v>
        <stp/>
        <stp>##V3_BDHV12</stp>
        <stp>XOM US Equity</stp>
        <stp>ACQUIS_FXD_&amp;_INTANG_DETAILED</stp>
        <stp>FQ4 2010</stp>
        <stp>FQ4 2010</stp>
        <stp>[FA1_m42y3cpi.xlsx]Cash Flow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4"/>
      </tp>
      <tp>
        <v>-3349</v>
        <stp/>
        <stp>##V3_BDHV12</stp>
        <stp>XOM US Equity</stp>
        <stp>ACQUIS_FXD_&amp;_INTANG_DETAILED</stp>
        <stp>FQ1 2018</stp>
        <stp>FQ1 2018</stp>
        <stp>[FA1_m42y3cpi.xlsx]Cash Flow - Standardized!R24C41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4" s="4"/>
      </tp>
      <tp t="s">
        <v>—</v>
        <stp/>
        <stp>##V3_BDHV12</stp>
        <stp>XOM US Equity</stp>
        <stp>IS_FOREIGN_EXCH_LOSS</stp>
        <stp>FQ3 2011</stp>
        <stp>FQ3 2011</stp>
        <stp>[FA1_m42y3cpi.xlsx]Income - Adjusted!R21C15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1" s="2"/>
      </tp>
      <tp t="s">
        <v>—</v>
        <stp/>
        <stp>##V3_BDHV12</stp>
        <stp>XOM US Equity</stp>
        <stp>IS_FOREIGN_EXCH_LOSS</stp>
        <stp>FQ3 2015</stp>
        <stp>FQ3 2015</stp>
        <stp>[FA1_m42y3cpi.xlsx]Income - Adjusted!R21C31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1" s="2"/>
      </tp>
      <tp>
        <v>4941.63</v>
        <stp/>
        <stp>##V3_BDHV12</stp>
        <stp>XOM US Equity</stp>
        <stp>EQY_SH_OUT</stp>
        <stp>FQ1 2009</stp>
        <stp>FQ1 2009</stp>
        <stp>[FA1_m42y3cpi.xlsx]Stock Value!R13C5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3" s="6"/>
      </tp>
      <tp>
        <v>4689</v>
        <stp/>
        <stp>##V3_BDHV12</stp>
        <stp>XOM US Equity</stp>
        <stp>FREE_CASH_FLOW_EQUITY</stp>
        <stp>FQ1 2018</stp>
        <stp>FQ1 2018</stp>
        <stp>[FA1_m42y3cpi.xlsx]Cash Flow - Standardized!R65C41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5" s="4"/>
      </tp>
      <tp>
        <v>-5008</v>
        <stp/>
        <stp>##V3_BDHV12</stp>
        <stp>XOM US Equity</stp>
        <stp>PROC_FR_REPURCH_EQTY_DETAILED</stp>
        <stp>FQ2 2012</stp>
        <stp>FQ2 2012</stp>
        <stp>[FA1_m42y3cpi.xlsx]Cash Flow - Standardized!R44C18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4" s="4"/>
      </tp>
      <tp>
        <v>-1781</v>
        <stp/>
        <stp>##V3_BDHV12</stp>
        <stp>XOM US Equity</stp>
        <stp>PROC_FR_REPURCH_EQTY_DETAILED</stp>
        <stp>FQ1 2015</stp>
        <stp>FQ1 2015</stp>
        <stp>[FA1_m42y3cpi.xlsx]Cash Flow - Standardized!R44C29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4" s="4"/>
      </tp>
      <tp>
        <v>-1471</v>
        <stp/>
        <stp>##V3_BDHV12</stp>
        <stp>XOM US Equity</stp>
        <stp>PROC_FR_REPURCH_EQTY_DETAILED</stp>
        <stp>FQ2 2010</stp>
        <stp>FQ2 2010</stp>
        <stp>[FA1_m42y3cpi.xlsx]Cash Flow - Standardized!R44C10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4" s="4"/>
      </tp>
      <tp>
        <v>-5619</v>
        <stp/>
        <stp>##V3_BDHV12</stp>
        <stp>XOM US Equity</stp>
        <stp>PROC_FR_REPURCH_EQTY_DETAILED</stp>
        <stp>FQ1 2013</stp>
        <stp>FQ1 2013</stp>
        <stp>[FA1_m42y3cpi.xlsx]Cash Flow - Standardized!R44C21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4" s="4"/>
      </tp>
      <tp>
        <v>9326</v>
        <stp/>
        <stp>##V3_BDHV12</stp>
        <stp>XOM US Equity</stp>
        <stp>FREE_CASH_FLOW_EQUITY</stp>
        <stp>FQ4 2011</stp>
        <stp>FQ4 2011</stp>
        <stp>[FA1_m42y3cpi.xlsx]Cash Flow - Standardized!R65C16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5" s="4"/>
      </tp>
      <tp>
        <v>-3858</v>
        <stp/>
        <stp>##V3_BDHV12</stp>
        <stp>XOM US Equity</stp>
        <stp>PROC_FR_REPURCH_EQTY_DETAILED</stp>
        <stp>FQ1 2014</stp>
        <stp>FQ1 2014</stp>
        <stp>[FA1_m42y3cpi.xlsx]Cash Flow - Standardized!R44C25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4" s="4"/>
      </tp>
      <tp>
        <v>3771</v>
        <stp/>
        <stp>##V3_BDHV12</stp>
        <stp>XOM US Equity</stp>
        <stp>FREE_CASH_FLOW_EQUITY</stp>
        <stp>FQ4 2010</stp>
        <stp>FQ4 2010</stp>
        <stp>[FA1_m42y3cpi.xlsx]Cash Flow - Standardized!R65C12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5" s="4"/>
      </tp>
      <tp>
        <v>-5273</v>
        <stp/>
        <stp>##V3_BDHV12</stp>
        <stp>XOM US Equity</stp>
        <stp>PROC_FR_REPURCH_EQTY_DETAILED</stp>
        <stp>FQ2 2011</stp>
        <stp>FQ2 2011</stp>
        <stp>[FA1_m42y3cpi.xlsx]Cash Flow - Standardized!R44C14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4" s="4"/>
      </tp>
      <tp>
        <v>10280</v>
        <stp/>
        <stp>##V3_BDHV12</stp>
        <stp>XOM US Equity</stp>
        <stp>EBIT</stp>
        <stp>FQ1 2014</stp>
        <stp>FQ1 2014</stp>
        <stp>[FA1_m42y3cpi.xlsx]Income - Adjusted!R64C25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4" s="2"/>
      </tp>
      <tp>
        <v>9969</v>
        <stp/>
        <stp>##V3_BDHV12</stp>
        <stp>XOM US Equity</stp>
        <stp>EBIT</stp>
        <stp>FQ3 2010</stp>
        <stp>FQ3 2010</stp>
        <stp>[FA1_m42y3cpi.xlsx]Income - Adjusted!R64C11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4" s="2"/>
      </tp>
      <tp>
        <v>9237</v>
        <stp/>
        <stp>##V3_BDHV12</stp>
        <stp>XOM US Equity</stp>
        <stp>EBIT</stp>
        <stp>FQ2 2013</stp>
        <stp>FQ2 2013</stp>
        <stp>[FA1_m42y3cpi.xlsx]Income - Adjusted!R64C22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4" s="2"/>
      </tp>
      <tp>
        <v>2888</v>
        <stp/>
        <stp>##V3_BDHV12</stp>
        <stp>XOM US Equity</stp>
        <stp>IS_OPERATING_EXPN</stp>
        <stp>FQ1 2017</stp>
        <stp>FQ1 2017</stp>
        <stp>[FA1_m42y3cpi.xlsx]Income - Adjusted!R13C37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3" s="2"/>
      </tp>
      <tp>
        <v>3999</v>
        <stp/>
        <stp>##V3_BDHV12</stp>
        <stp>XOM US Equity</stp>
        <stp>IS_OPERATING_EXPN</stp>
        <stp>FQ2 2010</stp>
        <stp>FQ2 2010</stp>
        <stp>[FA1_m42y3cpi.xlsx]Income - Adjusted!R13C10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3" s="2"/>
      </tp>
      <tp>
        <v>3636</v>
        <stp/>
        <stp>##V3_BDHV12</stp>
        <stp>XOM US Equity</stp>
        <stp>IS_OPERATING_EXPN</stp>
        <stp>FQ3 2013</stp>
        <stp>FQ3 2013</stp>
        <stp>[FA1_m42y3cpi.xlsx]Income - Adjusted!R13C23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3" s="2"/>
      </tp>
      <tp>
        <v>1137</v>
        <stp/>
        <stp>##V3_BDHV12</stp>
        <stp>XOM US Equity</stp>
        <stp>IS_OPERATING_EXPN</stp>
        <stp>FQ4 2016</stp>
        <stp>FQ4 2016</stp>
        <stp>[FA1_m42y3cpi.xlsx]Income - Adjusted!R13C36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3" s="2"/>
      </tp>
      <tp>
        <v>-5537</v>
        <stp/>
        <stp>##V3_BDHV12</stp>
        <stp>XOM US Equity</stp>
        <stp>OTHER_INS_RES_TO_SHRHLDR_EQY</stp>
        <stp>FQ1 2010</stp>
        <stp>FQ1 2010</stp>
        <stp>[FA1_m42y3cpi.xlsx]Bal Sheet - Standardized!R71C9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1" s="3"/>
      </tp>
      <tp>
        <v>-1024</v>
        <stp/>
        <stp>##V3_BDHV12</stp>
        <stp>XOM US Equity</stp>
        <stp>INC_DEC_IN_OT_OP_AST_LIAB_DETAIL</stp>
        <stp>FQ2 2015</stp>
        <stp>FQ2 2015</stp>
        <stp>[FA1_m42y3cpi.xlsx]Cash Flow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4"/>
      </tp>
      <tp>
        <v>0</v>
        <stp/>
        <stp>##V3_BDHV12</stp>
        <stp>XOM US Equity</stp>
        <stp>CF_NET_CASH_DISCONTINUED_OPS_FIN</stp>
        <stp>FQ2 2011</stp>
        <stp>FQ2 2011</stp>
        <stp>[FA1_m42y3cpi.xlsx]Cash Flow - Standardized!R48C14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8" s="4"/>
      </tp>
      <tp>
        <v>286</v>
        <stp/>
        <stp>##V3_BDHV12</stp>
        <stp>XOM US Equity</stp>
        <stp>INC_DEC_IN_OT_OP_AST_LIAB_DETAIL</stp>
        <stp>FQ3 2013</stp>
        <stp>FQ3 2013</stp>
        <stp>[FA1_m42y3cpi.xlsx]Cash Flow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4"/>
      </tp>
      <tp>
        <v>0</v>
        <stp/>
        <stp>##V3_BDHV12</stp>
        <stp>XOM US Equity</stp>
        <stp>CF_NET_CASH_DISCONTINUED_OPS_FIN</stp>
        <stp>FQ2 2010</stp>
        <stp>FQ2 2010</stp>
        <stp>[FA1_m42y3cpi.xlsx]Cash Flow - Standardized!R48C10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8" s="4"/>
      </tp>
      <tp>
        <v>252987</v>
        <stp/>
        <stp>##V3_BDHV12</stp>
        <stp>XOM US Equity</stp>
        <stp>BS_NET_FIX_ASSET</stp>
        <stp>FQ2 2017</stp>
        <stp>FQ2 2017</stp>
        <stp>[FA1_m42y3cpi.xlsx]Bal Sheet - Standardized!R23C38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3"/>
      </tp>
      <tp>
        <v>0</v>
        <stp/>
        <stp>##V3_BDHV12</stp>
        <stp>XOM US Equity</stp>
        <stp>CF_NET_CASH_DISCONTINUED_OPS_FIN</stp>
        <stp>FQ1 2013</stp>
        <stp>FQ1 2013</stp>
        <stp>[FA1_m42y3cpi.xlsx]Cash Flow - Standardized!R48C21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8" s="4"/>
      </tp>
      <tp>
        <v>0</v>
        <stp/>
        <stp>##V3_BDHV12</stp>
        <stp>XOM US Equity</stp>
        <stp>CF_NET_CASH_DISCONTINUED_OPS_FIN</stp>
        <stp>FQ1 2014</stp>
        <stp>FQ1 2014</stp>
        <stp>[FA1_m42y3cpi.xlsx]Cash Flow - Standardized!R48C25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8" s="4"/>
      </tp>
      <tp>
        <v>-463</v>
        <stp/>
        <stp>##V3_BDHV12</stp>
        <stp>XOM US Equity</stp>
        <stp>INC_DEC_IN_OT_OP_AST_LIAB_DETAIL</stp>
        <stp>FQ3 2014</stp>
        <stp>FQ3 2014</stp>
        <stp>[FA1_m42y3cpi.xlsx]Cash Flow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4"/>
      </tp>
      <tp>
        <v>-1326</v>
        <stp/>
        <stp>##V3_BDHV12</stp>
        <stp>XOM US Equity</stp>
        <stp>INC_DEC_IN_OT_OP_AST_LIAB_DETAIL</stp>
        <stp>FQ2 2016</stp>
        <stp>FQ2 2016</stp>
        <stp>[FA1_m42y3cpi.xlsx]Cash Flow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4"/>
      </tp>
      <tp>
        <v>251406</v>
        <stp/>
        <stp>##V3_BDHV12</stp>
        <stp>XOM US Equity</stp>
        <stp>BS_NET_FIX_ASSET</stp>
        <stp>FQ3 2014</stp>
        <stp>FQ3 2014</stp>
        <stp>[FA1_m42y3cpi.xlsx]Bal Sheet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3"/>
      </tp>
      <tp>
        <v>254062</v>
        <stp/>
        <stp>##V3_BDHV12</stp>
        <stp>XOM US Equity</stp>
        <stp>BS_NET_FIX_ASSET</stp>
        <stp>FQ2 2016</stp>
        <stp>FQ2 2016</stp>
        <stp>[FA1_m42y3cpi.xlsx]Bal Sheet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3"/>
      </tp>
      <tp>
        <v>-1021</v>
        <stp/>
        <stp>##V3_BDHV12</stp>
        <stp>XOM US Equity</stp>
        <stp>INC_DEC_IN_OT_OP_AST_LIAB_DETAIL</stp>
        <stp>FQ2 2017</stp>
        <stp>FQ2 2017</stp>
        <stp>[FA1_m42y3cpi.xlsx]Cash Flow - Standardized!R15C38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5" s="4"/>
      </tp>
      <tp>
        <v>240981</v>
        <stp/>
        <stp>##V3_BDHV12</stp>
        <stp>XOM US Equity</stp>
        <stp>BS_NET_FIX_ASSET</stp>
        <stp>FQ3 2013</stp>
        <stp>FQ3 2013</stp>
        <stp>[FA1_m42y3cpi.xlsx]Bal Sheet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3"/>
      </tp>
      <tp>
        <v>0</v>
        <stp/>
        <stp>##V3_BDHV12</stp>
        <stp>XOM US Equity</stp>
        <stp>CF_NET_CASH_DISCONTINUED_OPS_FIN</stp>
        <stp>FQ1 2015</stp>
        <stp>FQ1 2015</stp>
        <stp>[FA1_m42y3cpi.xlsx]Cash Flow - Standardized!R48C29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8" s="4"/>
      </tp>
      <tp>
        <v>5268</v>
        <stp/>
        <stp>##V3_BDHV12</stp>
        <stp>XOM US Equity</stp>
        <stp>BS_TAXES_PAYABLE</stp>
        <stp>FQ4 2016</stp>
        <stp>FQ4 2016</stp>
        <stp>[FA1_m42y3cpi.xlsx]Bal Sheet - Standardized!R44C36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4" s="3"/>
      </tp>
      <tp>
        <v>5739</v>
        <stp/>
        <stp>##V3_BDHV12</stp>
        <stp>XOM US Equity</stp>
        <stp>BS_TAXES_PAYABLE</stp>
        <stp>FQ4 2015</stp>
        <stp>FQ4 2015</stp>
        <stp>[FA1_m42y3cpi.xlsx]Bal Sheet - Standardized!R44C32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4" s="3"/>
      </tp>
      <tp>
        <v>0</v>
        <stp/>
        <stp>##V3_BDHV12</stp>
        <stp>XOM US Equity</stp>
        <stp>CF_NET_CASH_DISCONTINUED_OPS_FIN</stp>
        <stp>FQ2 2012</stp>
        <stp>FQ2 2012</stp>
        <stp>[FA1_m42y3cpi.xlsx]Cash Flow - Standardized!R48C18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8" s="4"/>
      </tp>
      <tp>
        <v>317</v>
        <stp/>
        <stp>##V3_BDHV12</stp>
        <stp>XOM US Equity</stp>
        <stp>IS_OTHER_OPERATING_EXPENSES</stp>
        <stp>FQ1 2014</stp>
        <stp>FQ1 2014</stp>
        <stp>[FA1_m42y3cpi.xlsx]Income - Adjusted!R15C25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5" s="2"/>
      </tp>
      <tp>
        <v>454</v>
        <stp/>
        <stp>##V3_BDHV12</stp>
        <stp>XOM US Equity</stp>
        <stp>IS_OTHER_OPERATING_EXPENSES</stp>
        <stp>FQ2 2013</stp>
        <stp>FQ2 2013</stp>
        <stp>[FA1_m42y3cpi.xlsx]Income - Adjusted!R15C22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5" s="2"/>
      </tp>
      <tp>
        <v>498</v>
        <stp/>
        <stp>##V3_BDHV12</stp>
        <stp>XOM US Equity</stp>
        <stp>IS_OTHER_OPERATING_EXPENSES</stp>
        <stp>FQ3 2010</stp>
        <stp>FQ3 2010</stp>
        <stp>[FA1_m42y3cpi.xlsx]Income - Adjusted!R15C11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5" s="2"/>
      </tp>
      <tp>
        <v>253653</v>
        <stp/>
        <stp>##V3_BDHV12</stp>
        <stp>XOM US Equity</stp>
        <stp>BS_NET_FIX_ASSET</stp>
        <stp>FQ2 2015</stp>
        <stp>FQ2 2015</stp>
        <stp>[FA1_m42y3cpi.xlsx]Bal Sheet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3"/>
      </tp>
      <tp t="s">
        <v>—</v>
        <stp/>
        <stp>##V3_BDHV12</stp>
        <stp>XOM US Equity</stp>
        <stp>BS_LONG_TERM_INVESTMENTS</stp>
        <stp>FQ3 2010</stp>
        <stp>FQ3 2010</stp>
        <stp>[FA1_m42y3cpi.xlsx]Bal Sheet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3"/>
      </tp>
      <tp>
        <v>0</v>
        <stp/>
        <stp>##V3_BDHV12</stp>
        <stp>XOM US Equity</stp>
        <stp>CF_NT_CSH_RCVD_PD_FOR_ACQUIS_DIV</stp>
        <stp>FQ4 2011</stp>
        <stp>FQ4 2011</stp>
        <stp>[FA1_m42y3cpi.xlsx]Cash Flow - Standardized!R30C16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4"/>
      </tp>
      <tp>
        <v>4162</v>
        <stp/>
        <stp>##V3_BDHV12</stp>
        <stp>XOM US Equity</stp>
        <stp>IS_OPER_INC</stp>
        <stp>FQ3 2015</stp>
        <stp>FQ3 2015</stp>
        <stp>[FA1_m42y3cpi.xlsx]Income - Adjusted!R16C31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6" s="2"/>
      </tp>
      <tp>
        <v>13923</v>
        <stp/>
        <stp>##V3_BDHV12</stp>
        <stp>XOM US Equity</stp>
        <stp>IS_OPER_INC</stp>
        <stp>FQ3 2011</stp>
        <stp>FQ3 2011</stp>
        <stp>[FA1_m42y3cpi.xlsx]Income - Adjusted!R16C15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6" s="2"/>
      </tp>
      <tp t="s">
        <v>—</v>
        <stp/>
        <stp>##V3_BDHV12</stp>
        <stp>XOM US Equity</stp>
        <stp>BS_LONG_TERM_INVESTMENTS</stp>
        <stp>FQ1 2017</stp>
        <stp>FQ1 2017</stp>
        <stp>[FA1_m42y3cpi.xlsx]Bal Sheet - Standardized!R27C37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3"/>
      </tp>
      <tp>
        <v>0</v>
        <stp/>
        <stp>##V3_BDHV12</stp>
        <stp>XOM US Equity</stp>
        <stp>CF_NT_CSH_RCVD_PD_FOR_ACQUIS_DIV</stp>
        <stp>FQ4 2010</stp>
        <stp>FQ4 2010</stp>
        <stp>[FA1_m42y3cpi.xlsx]Cash Flow - Standardized!R30C12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4"/>
      </tp>
      <tp t="s">
        <v>—</v>
        <stp/>
        <stp>##V3_BDHV12</stp>
        <stp>XOM US Equity</stp>
        <stp>BS_LONG_TERM_INVESTMENTS</stp>
        <stp>FQ3 2011</stp>
        <stp>FQ3 2011</stp>
        <stp>[FA1_m42y3cpi.xlsx]Bal Sheet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3"/>
      </tp>
      <tp t="s">
        <v>—</v>
        <stp/>
        <stp>##V3_BDHV12</stp>
        <stp>XOM US Equity</stp>
        <stp>BS_LONG_TERM_INVESTMENTS</stp>
        <stp>FQ1 2016</stp>
        <stp>FQ1 2016</stp>
        <stp>[FA1_m42y3cpi.xlsx]Bal Sheet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3"/>
      </tp>
      <tp>
        <v>0</v>
        <stp/>
        <stp>##V3_BDHV12</stp>
        <stp>XOM US Equity</stp>
        <stp>CF_NT_CSH_RCVD_PD_FOR_ACQUIS_DIV</stp>
        <stp>FQ1 2018</stp>
        <stp>FQ1 2018</stp>
        <stp>[FA1_m42y3cpi.xlsx]Cash Flow - Standardized!R30C41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0" s="4"/>
      </tp>
      <tp t="s">
        <v>—</v>
        <stp/>
        <stp>##V3_BDHV12</stp>
        <stp>XOM US Equity</stp>
        <stp>BS_LONG_TERM_INVESTMENTS</stp>
        <stp>FQ3 2012</stp>
        <stp>FQ3 2012</stp>
        <stp>[FA1_m42y3cpi.xlsx]Bal Sheet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3"/>
      </tp>
      <tp>
        <v>0.41</v>
        <stp/>
        <stp>##V3_BDHV12</stp>
        <stp>XOM US Equity</stp>
        <stp>IS_DIL_EPS_CONT_OPS</stp>
        <stp>FQ2 2016</stp>
        <stp>FQ2 2016</stp>
        <stp>[FA1_m42y3cpi.xlsx]Per Share!R19C34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9" s="5"/>
      </tp>
      <tp>
        <v>2.0499999999999998</v>
        <stp/>
        <stp>##V3_BDHV12</stp>
        <stp>XOM US Equity</stp>
        <stp>IS_DIL_EPS_CONT_OPS</stp>
        <stp>FQ2 2014</stp>
        <stp>FQ2 2014</stp>
        <stp>[FA1_m42y3cpi.xlsx]Per Share!R19C26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9" s="5"/>
      </tp>
      <tp>
        <v>2.12</v>
        <stp/>
        <stp>##V3_BDHV12</stp>
        <stp>XOM US Equity</stp>
        <stp>IS_DIL_EPS_CONT_OPS</stp>
        <stp>FQ1 2013</stp>
        <stp>FQ1 2013</stp>
        <stp>[FA1_m42y3cpi.xlsx]Per Share!R19C21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9" s="5"/>
      </tp>
      <tp>
        <v>2.14</v>
        <stp/>
        <stp>##V3_BDHV12</stp>
        <stp>XOM US Equity</stp>
        <stp>IS_DIL_EPS_CONT_OPS</stp>
        <stp>FQ1 2011</stp>
        <stp>FQ1 2011</stp>
        <stp>[FA1_m42y3cpi.xlsx]Per Share!R19C13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9" s="5"/>
      </tp>
      <tp>
        <v>2.0672999999999999</v>
        <stp/>
        <stp>##V3_BDHV12</stp>
        <stp>XOM US Equity</stp>
        <stp>IS_DIL_EPS_CONT_OPS</stp>
        <stp>FQ4 2012</stp>
        <stp>FQ4 2012</stp>
        <stp>[FA1_m42y3cpi.xlsx]Per Share!R19C20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9" s="5"/>
      </tp>
      <tp>
        <v>1.8500999999999999</v>
        <stp/>
        <stp>##V3_BDHV12</stp>
        <stp>XOM US Equity</stp>
        <stp>IS_DIL_EPS_CONT_OPS</stp>
        <stp>FQ4 2010</stp>
        <stp>FQ4 2010</stp>
        <stp>[FA1_m42y3cpi.xlsx]Per Share!R19C12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9" s="5"/>
      </tp>
      <tp t="s">
        <v>—</v>
        <stp/>
        <stp>##V3_BDHV12</stp>
        <stp>XOM US Equity</stp>
        <stp>CF_STOCK_BASED_COMPENSATION</stp>
        <stp>FQ3 2013</stp>
        <stp>FQ3 2013</stp>
        <stp>[FA1_m42y3cpi.xlsx]Cash Flow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4"/>
      </tp>
      <tp>
        <v>0</v>
        <stp/>
        <stp>##V3_BDHV12</stp>
        <stp>XOM US Equity</stp>
        <stp>CF_STOCK_BASED_COMPENSATION</stp>
        <stp>FQ3 2014</stp>
        <stp>FQ3 2014</stp>
        <stp>[FA1_m42y3cpi.xlsx]Cash Flow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4"/>
      </tp>
      <tp t="s">
        <v>—</v>
        <stp/>
        <stp>##V3_BDHV12</stp>
        <stp>XOM US Equity</stp>
        <stp>CF_STOCK_BASED_COMPENSATION</stp>
        <stp>FQ2 2016</stp>
        <stp>FQ2 2016</stp>
        <stp>[FA1_m42y3cpi.xlsx]Cash Flow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4"/>
      </tp>
      <tp t="s">
        <v>—</v>
        <stp/>
        <stp>##V3_BDHV12</stp>
        <stp>XOM US Equity</stp>
        <stp>CF_STOCK_BASED_COMPENSATION</stp>
        <stp>FQ2 2015</stp>
        <stp>FQ2 2015</stp>
        <stp>[FA1_m42y3cpi.xlsx]Cash Flow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4"/>
      </tp>
      <tp>
        <v>89.63</v>
        <stp/>
        <stp>##V3_BDHV12</stp>
        <stp>XOM US Equity</stp>
        <stp>PX_HIGH</stp>
        <stp>FQ3 2008</stp>
        <stp>FQ3 2008</stp>
        <stp>[FA1_m42y3cpi.xlsx]Stock Value!R9C3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9" s="6"/>
      </tp>
      <tp t="s">
        <v>—</v>
        <stp/>
        <stp>##V3_BDHV12</stp>
        <stp>XOM US Equity</stp>
        <stp>CF_STOCK_BASED_COMPENSATION</stp>
        <stp>FQ2 2017</stp>
        <stp>FQ2 2017</stp>
        <stp>[FA1_m42y3cpi.xlsx]Cash Flow - Standardized!R10C38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0" s="4"/>
      </tp>
      <tp>
        <v>0.93</v>
        <stp/>
        <stp>##V3_BDHV12</stp>
        <stp>XOM US Equity</stp>
        <stp>IS_EARN_BEF_XO_ITEMS_PER_SH</stp>
        <stp>FQ3 2017</stp>
        <stp>FQ3 2017</stp>
        <stp>[FA1_m42y3cpi.xlsx]Income - Adjusted!R51C39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1" s="2"/>
      </tp>
      <tp>
        <v>6953</v>
        <stp/>
        <stp>##V3_BDHV12</stp>
        <stp>XOM US Equity</stp>
        <stp>GROSS_PROFIT</stp>
        <stp>FQ3 2017</stp>
        <stp>FQ3 2017</stp>
        <stp>[FA1_m42y3cpi.xlsx]Income - Adjusted!R11C39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1" s="2"/>
      </tp>
      <tp t="s">
        <v>—</v>
        <stp/>
        <stp>##V3_BDHV12</stp>
        <stp>XOM US Equity</stp>
        <stp>IS_FOREIGN_EXCH_LOSS</stp>
        <stp>FQ2 2011</stp>
        <stp>FQ2 2011</stp>
        <stp>[FA1_m42y3cpi.xlsx]Income - Adjusted!R21C14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1" s="2"/>
      </tp>
      <tp t="s">
        <v>—</v>
        <stp/>
        <stp>##V3_BDHV12</stp>
        <stp>XOM US Equity</stp>
        <stp>IS_FOREIGN_EXCH_LOSS</stp>
        <stp>FQ2 2015</stp>
        <stp>FQ2 2015</stp>
        <stp>[FA1_m42y3cpi.xlsx]Income - Adjusted!R21C30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1" s="2"/>
      </tp>
      <tp t="s">
        <v>—</v>
        <stp/>
        <stp>##V3_BDHV12</stp>
        <stp>XOM US Equity</stp>
        <stp>IS_FOREIGN_EXCH_LOSS</stp>
        <stp>FQ1 2012</stp>
        <stp>FQ1 2012</stp>
        <stp>[FA1_m42y3cpi.xlsx]Income - Adjusted!R21C17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1" s="2"/>
      </tp>
      <tp t="s">
        <v>—</v>
        <stp/>
        <stp>##V3_BDHV12</stp>
        <stp>XOM US Equity</stp>
        <stp>IS_FOREIGN_EXCH_LOSS</stp>
        <stp>FQ1 2016</stp>
        <stp>FQ1 2016</stp>
        <stp>[FA1_m42y3cpi.xlsx]Income - Adjusted!R21C33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1" s="2"/>
      </tp>
      <tp>
        <v>-5000</v>
        <stp/>
        <stp>##V3_BDHV12</stp>
        <stp>XOM US Equity</stp>
        <stp>PROC_FR_REPURCH_EQTY_DETAILED</stp>
        <stp>FQ3 2012</stp>
        <stp>FQ3 2012</stp>
        <stp>[FA1_m42y3cpi.xlsx]Cash Flow - Standardized!R44C19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4" s="4"/>
      </tp>
      <tp>
        <v>5086.6490000000003</v>
        <stp/>
        <stp>##V3_BDHV12</stp>
        <stp>XOM US Equity</stp>
        <stp>EQY_SH_OUT</stp>
        <stp>FQ4 2008</stp>
        <stp>FQ4 2008</stp>
        <stp>[FA1_m42y3cpi.xlsx]Stock Value!R13C4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3" s="6"/>
      </tp>
      <tp>
        <v>-3095</v>
        <stp/>
        <stp>##V3_BDHV12</stp>
        <stp>XOM US Equity</stp>
        <stp>PROC_FR_REPURCH_EQTY_DETAILED</stp>
        <stp>FQ3 2010</stp>
        <stp>FQ3 2010</stp>
        <stp>[FA1_m42y3cpi.xlsx]Cash Flow - Standardized!R44C11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4" s="4"/>
      </tp>
      <tp>
        <v>-501</v>
        <stp/>
        <stp>##V3_BDHV12</stp>
        <stp>XOM US Equity</stp>
        <stp>PROC_FR_REPURCH_EQTY_DETAILED</stp>
        <stp>FQ1 2017</stp>
        <stp>FQ1 2017</stp>
        <stp>[FA1_m42y3cpi.xlsx]Cash Flow - Standardized!R44C37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4" s="4"/>
      </tp>
      <tp>
        <v>-5255</v>
        <stp/>
        <stp>##V3_BDHV12</stp>
        <stp>XOM US Equity</stp>
        <stp>PROC_FR_REPURCH_EQTY_DETAILED</stp>
        <stp>FQ3 2011</stp>
        <stp>FQ3 2011</stp>
        <stp>[FA1_m42y3cpi.xlsx]Cash Flow - Standardized!R44C15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4" s="4"/>
      </tp>
      <tp>
        <v>-721</v>
        <stp/>
        <stp>##V3_BDHV12</stp>
        <stp>XOM US Equity</stp>
        <stp>PROC_FR_REPURCH_EQTY_DETAILED</stp>
        <stp>FQ1 2016</stp>
        <stp>FQ1 2016</stp>
        <stp>[FA1_m42y3cpi.xlsx]Cash Flow - Standardized!R44C33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4" s="4"/>
      </tp>
      <tp>
        <v>199</v>
        <stp/>
        <stp>##V3_BDHV12</stp>
        <stp>XOM US Equity</stp>
        <stp>EBIT</stp>
        <stp>FQ4 2016</stp>
        <stp>FQ4 2016</stp>
        <stp>[FA1_m42y3cpi.xlsx]Income - Adjusted!R64C36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4" s="2"/>
      </tp>
      <tp>
        <v>3867</v>
        <stp/>
        <stp>##V3_BDHV12</stp>
        <stp>XOM US Equity</stp>
        <stp>EBIT</stp>
        <stp>FQ1 2017</stp>
        <stp>FQ1 2017</stp>
        <stp>[FA1_m42y3cpi.xlsx]Income - Adjusted!R64C37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64" s="2"/>
      </tp>
      <tp>
        <v>10259</v>
        <stp/>
        <stp>##V3_BDHV12</stp>
        <stp>XOM US Equity</stp>
        <stp>EBIT</stp>
        <stp>FQ3 2013</stp>
        <stp>FQ3 2013</stp>
        <stp>[FA1_m42y3cpi.xlsx]Income - Adjusted!R64C23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4" s="2"/>
      </tp>
      <tp>
        <v>9968</v>
        <stp/>
        <stp>##V3_BDHV12</stp>
        <stp>XOM US Equity</stp>
        <stp>EBIT</stp>
        <stp>FQ2 2010</stp>
        <stp>FQ2 2010</stp>
        <stp>[FA1_m42y3cpi.xlsx]Income - Adjusted!R64C10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4" s="2"/>
      </tp>
      <tp>
        <v>3449</v>
        <stp/>
        <stp>##V3_BDHV12</stp>
        <stp>XOM US Equity</stp>
        <stp>IS_OPERATING_EXPN</stp>
        <stp>FQ1 2014</stp>
        <stp>FQ1 2014</stp>
        <stp>[FA1_m42y3cpi.xlsx]Income - Adjusted!R13C25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3" s="2"/>
      </tp>
      <tp>
        <v>3722</v>
        <stp/>
        <stp>##V3_BDHV12</stp>
        <stp>XOM US Equity</stp>
        <stp>IS_OPERATING_EXPN</stp>
        <stp>FQ2 2013</stp>
        <stp>FQ2 2013</stp>
        <stp>[FA1_m42y3cpi.xlsx]Income - Adjusted!R13C22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3" s="2"/>
      </tp>
      <tp>
        <v>4205</v>
        <stp/>
        <stp>##V3_BDHV12</stp>
        <stp>XOM US Equity</stp>
        <stp>IS_OPERATING_EXPN</stp>
        <stp>FQ3 2010</stp>
        <stp>FQ3 2010</stp>
        <stp>[FA1_m42y3cpi.xlsx]Income - Adjusted!R13C11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3" s="2"/>
      </tp>
      <tp>
        <v>496</v>
        <stp/>
        <stp>##V3_BDHV12</stp>
        <stp>XOM US Equity</stp>
        <stp>INC_DEC_IN_OT_OP_AST_LIAB_DETAIL</stp>
        <stp>FQ3 2015</stp>
        <stp>FQ3 2015</stp>
        <stp>[FA1_m42y3cpi.xlsx]Cash Flow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4"/>
      </tp>
      <tp>
        <v>0</v>
        <stp/>
        <stp>##V3_BDHV12</stp>
        <stp>XOM US Equity</stp>
        <stp>CF_NET_CASH_DISCONTINUED_OPS_FIN</stp>
        <stp>FQ3 2011</stp>
        <stp>FQ3 2011</stp>
        <stp>[FA1_m42y3cpi.xlsx]Cash Flow - Standardized!R48C15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8" s="4"/>
      </tp>
      <tp>
        <v>0</v>
        <stp/>
        <stp>##V3_BDHV12</stp>
        <stp>XOM US Equity</stp>
        <stp>CF_NET_CASH_DISCONTINUED_OPS_FIN</stp>
        <stp>FQ1 2016</stp>
        <stp>FQ1 2016</stp>
        <stp>[FA1_m42y3cpi.xlsx]Cash Flow - Standardized!R48C33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8" s="4"/>
      </tp>
      <tp>
        <v>5792</v>
        <stp/>
        <stp>##V3_BDHV12</stp>
        <stp>XOM US Equity</stp>
        <stp>INC_DEC_IN_OT_OP_AST_LIAB_DETAIL</stp>
        <stp>FQ1 2012</stp>
        <stp>FQ1 2012</stp>
        <stp>[FA1_m42y3cpi.xlsx]Cash Flow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4"/>
      </tp>
      <tp>
        <v>2887</v>
        <stp/>
        <stp>##V3_BDHV12</stp>
        <stp>XOM US Equity</stp>
        <stp>INC_DEC_IN_OT_OP_AST_LIAB_DETAIL</stp>
        <stp>FQ1 2011</stp>
        <stp>FQ1 2011</stp>
        <stp>[FA1_m42y3cpi.xlsx]Cash Flow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4"/>
      </tp>
      <tp>
        <v>-5283</v>
        <stp/>
        <stp>##V3_BDHV12</stp>
        <stp>XOM US Equity</stp>
        <stp>INC_DEC_IN_OT_OP_AST_LIAB_DETAIL</stp>
        <stp>FQ2 2013</stp>
        <stp>FQ2 2013</stp>
        <stp>[FA1_m42y3cpi.xlsx]Cash Flow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4"/>
      </tp>
      <tp>
        <v>-102</v>
        <stp/>
        <stp>##V3_BDHV12</stp>
        <stp>XOM US Equity</stp>
        <stp>INC_DEC_IN_OT_OP_AST_LIAB_DETAIL</stp>
        <stp>FQ4 2017</stp>
        <stp>FQ4 2017</stp>
        <stp>[FA1_m42y3cpi.xlsx]Cash Flow - Standardized!R15C40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5" s="4"/>
      </tp>
      <tp>
        <v>0</v>
        <stp/>
        <stp>##V3_BDHV12</stp>
        <stp>XOM US Equity</stp>
        <stp>CF_NET_CASH_DISCONTINUED_OPS_FIN</stp>
        <stp>FQ3 2010</stp>
        <stp>FQ3 2010</stp>
        <stp>[FA1_m42y3cpi.xlsx]Cash Flow - Standardized!R48C11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8" s="4"/>
      </tp>
      <tp>
        <v>255556</v>
        <stp/>
        <stp>##V3_BDHV12</stp>
        <stp>XOM US Equity</stp>
        <stp>BS_NET_FIX_ASSET</stp>
        <stp>FQ3 2017</stp>
        <stp>FQ3 2017</stp>
        <stp>[FA1_m42y3cpi.xlsx]Bal Sheet - Standardized!R23C39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3"/>
      </tp>
      <tp>
        <v>-2449</v>
        <stp/>
        <stp>##V3_BDHV12</stp>
        <stp>XOM US Equity</stp>
        <stp>INC_DEC_IN_OT_OP_AST_LIAB_DETAIL</stp>
        <stp>FQ2 2014</stp>
        <stp>FQ2 2014</stp>
        <stp>[FA1_m42y3cpi.xlsx]Cash Flow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4"/>
      </tp>
      <tp>
        <v>-661</v>
        <stp/>
        <stp>##V3_BDHV12</stp>
        <stp>XOM US Equity</stp>
        <stp>INC_DEC_IN_OT_OP_AST_LIAB_DETAIL</stp>
        <stp>FQ3 2016</stp>
        <stp>FQ3 2016</stp>
        <stp>[FA1_m42y3cpi.xlsx]Cash Flow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4"/>
      </tp>
      <tp>
        <v>0</v>
        <stp/>
        <stp>##V3_BDHV12</stp>
        <stp>XOM US Equity</stp>
        <stp>CF_NET_CASH_DISCONTINUED_OPS_FIN</stp>
        <stp>FQ1 2017</stp>
        <stp>FQ1 2017</stp>
        <stp>[FA1_m42y3cpi.xlsx]Cash Flow - Standardized!R48C37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8" s="4"/>
      </tp>
      <tp>
        <v>3457</v>
        <stp/>
        <stp>##V3_BDHV12</stp>
        <stp>XOM US Equity</stp>
        <stp>BS_TAXES_PAYABLE</stp>
        <stp>FQ2 2018</stp>
        <stp>FQ2 2018</stp>
        <stp>[FA1_m42y3cpi.xlsx]Bal Sheet - Standardized!R44C42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4" s="3"/>
      </tp>
      <tp>
        <v>8228</v>
        <stp/>
        <stp>##V3_BDHV12</stp>
        <stp>XOM US Equity</stp>
        <stp>BS_TAXES_PAYABLE</stp>
        <stp>FQ4 2014</stp>
        <stp>FQ4 2014</stp>
        <stp>[FA1_m42y3cpi.xlsx]Bal Sheet - Standardized!R44C28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4" s="3"/>
      </tp>
      <tp>
        <v>251353</v>
        <stp/>
        <stp>##V3_BDHV12</stp>
        <stp>XOM US Equity</stp>
        <stp>BS_NET_FIX_ASSET</stp>
        <stp>FQ2 2014</stp>
        <stp>FQ2 2014</stp>
        <stp>[FA1_m42y3cpi.xlsx]Bal Sheet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3"/>
      </tp>
      <tp>
        <v>251923</v>
        <stp/>
        <stp>##V3_BDHV12</stp>
        <stp>XOM US Equity</stp>
        <stp>BS_NET_FIX_ASSET</stp>
        <stp>FQ3 2016</stp>
        <stp>FQ3 2016</stp>
        <stp>[FA1_m42y3cpi.xlsx]Bal Sheet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3"/>
      </tp>
      <tp>
        <v>9758</v>
        <stp/>
        <stp>##V3_BDHV12</stp>
        <stp>XOM US Equity</stp>
        <stp>BS_TAXES_PAYABLE</stp>
        <stp>FQ4 2012</stp>
        <stp>FQ4 2012</stp>
        <stp>[FA1_m42y3cpi.xlsx]Bal Sheet - Standardized!R44C20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4" s="3"/>
      </tp>
      <tp>
        <v>-319</v>
        <stp/>
        <stp>##V3_BDHV12</stp>
        <stp>XOM US Equity</stp>
        <stp>INC_DEC_IN_OT_OP_AST_LIAB_DETAIL</stp>
        <stp>FQ3 2017</stp>
        <stp>FQ3 2017</stp>
        <stp>[FA1_m42y3cpi.xlsx]Cash Flow - Standardized!R15C39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5" s="4"/>
      </tp>
      <tp>
        <v>203726</v>
        <stp/>
        <stp>##V3_BDHV12</stp>
        <stp>XOM US Equity</stp>
        <stp>BS_NET_FIX_ASSET</stp>
        <stp>FQ1 2011</stp>
        <stp>FQ1 2011</stp>
        <stp>[FA1_m42y3cpi.xlsx]Bal Sheet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3"/>
      </tp>
      <tp>
        <v>235240</v>
        <stp/>
        <stp>##V3_BDHV12</stp>
        <stp>XOM US Equity</stp>
        <stp>BS_NET_FIX_ASSET</stp>
        <stp>FQ2 2013</stp>
        <stp>FQ2 2013</stp>
        <stp>[FA1_m42y3cpi.xlsx]Bal Sheet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3"/>
      </tp>
      <tp>
        <v>252630</v>
        <stp/>
        <stp>##V3_BDHV12</stp>
        <stp>XOM US Equity</stp>
        <stp>BS_NET_FIX_ASSET</stp>
        <stp>FQ4 2017</stp>
        <stp>FQ4 2017</stp>
        <stp>[FA1_m42y3cpi.xlsx]Bal Sheet - Standardized!R23C40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3"/>
      </tp>
      <tp>
        <v>7831</v>
        <stp/>
        <stp>##V3_BDHV12</stp>
        <stp>XOM US Equity</stp>
        <stp>BS_TAXES_PAYABLE</stp>
        <stp>FQ4 2013</stp>
        <stp>FQ4 2013</stp>
        <stp>[FA1_m42y3cpi.xlsx]Bal Sheet - Standardized!R44C24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4" s="3"/>
      </tp>
      <tp>
        <v>214602</v>
        <stp/>
        <stp>##V3_BDHV12</stp>
        <stp>XOM US Equity</stp>
        <stp>BS_NET_FIX_ASSET</stp>
        <stp>FQ1 2012</stp>
        <stp>FQ1 2012</stp>
        <stp>[FA1_m42y3cpi.xlsx]Bal Sheet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3"/>
      </tp>
      <tp>
        <v>0</v>
        <stp/>
        <stp>##V3_BDHV12</stp>
        <stp>XOM US Equity</stp>
        <stp>CF_NET_CASH_DISCONTINUED_OPS_FIN</stp>
        <stp>FQ3 2012</stp>
        <stp>FQ3 2012</stp>
        <stp>[FA1_m42y3cpi.xlsx]Cash Flow - Standardized!R48C19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8" s="4"/>
      </tp>
      <tp>
        <v>-1687</v>
        <stp/>
        <stp>##V3_BDHV12</stp>
        <stp>XOM US Equity</stp>
        <stp>IS_OTHER_OPERATING_EXPENSES</stp>
        <stp>FQ4 2016</stp>
        <stp>FQ4 2016</stp>
        <stp>[FA1_m42y3cpi.xlsx]Income - Adjusted!R15C36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5" s="2"/>
      </tp>
      <tp>
        <v>289</v>
        <stp/>
        <stp>##V3_BDHV12</stp>
        <stp>XOM US Equity</stp>
        <stp>IS_OTHER_OPERATING_EXPENSES</stp>
        <stp>FQ1 2017</stp>
        <stp>FQ1 2017</stp>
        <stp>[FA1_m42y3cpi.xlsx]Income - Adjusted!R15C37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5" s="2"/>
      </tp>
      <tp>
        <v>392</v>
        <stp/>
        <stp>##V3_BDHV12</stp>
        <stp>XOM US Equity</stp>
        <stp>IS_OTHER_OPERATING_EXPENSES</stp>
        <stp>FQ2 2010</stp>
        <stp>FQ2 2010</stp>
        <stp>[FA1_m42y3cpi.xlsx]Income - Adjusted!R15C10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5" s="2"/>
      </tp>
      <tp>
        <v>486</v>
        <stp/>
        <stp>##V3_BDHV12</stp>
        <stp>XOM US Equity</stp>
        <stp>IS_OTHER_OPERATING_EXPENSES</stp>
        <stp>FQ3 2013</stp>
        <stp>FQ3 2013</stp>
        <stp>[FA1_m42y3cpi.xlsx]Income - Adjusted!R15C23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5" s="2"/>
      </tp>
      <tp>
        <v>250583</v>
        <stp/>
        <stp>##V3_BDHV12</stp>
        <stp>XOM US Equity</stp>
        <stp>BS_NET_FIX_ASSET</stp>
        <stp>FQ3 2015</stp>
        <stp>FQ3 2015</stp>
        <stp>[FA1_m42y3cpi.xlsx]Bal Sheet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3"/>
      </tp>
      <tp t="s">
        <v>—</v>
        <stp/>
        <stp>##V3_BDHV12</stp>
        <stp>XOM US Equity</stp>
        <stp>BS_LONG_TERM_INVESTMENTS</stp>
        <stp>FQ2 2010</stp>
        <stp>FQ2 2010</stp>
        <stp>[FA1_m42y3cpi.xlsx]Bal Sheet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3"/>
      </tp>
      <tp t="s">
        <v>—</v>
        <stp/>
        <stp>##V3_BDHV12</stp>
        <stp>XOM US Equity</stp>
        <stp>BS_LONG_TERM_INVESTMENTS</stp>
        <stp>FQ1 2013</stp>
        <stp>FQ1 2013</stp>
        <stp>[FA1_m42y3cpi.xlsx]Bal Sheet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3"/>
      </tp>
      <tp>
        <v>205</v>
        <stp/>
        <stp>##V3_BDHV12</stp>
        <stp>XOM US Equity</stp>
        <stp>IS_OPER_INC</stp>
        <stp>FQ1 2016</stp>
        <stp>FQ1 2016</stp>
        <stp>[FA1_m42y3cpi.xlsx]Income - Adjusted!R16C33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6" s="2"/>
      </tp>
      <tp>
        <v>12758</v>
        <stp/>
        <stp>##V3_BDHV12</stp>
        <stp>XOM US Equity</stp>
        <stp>IS_OPER_INC</stp>
        <stp>FQ1 2012</stp>
        <stp>FQ1 2012</stp>
        <stp>[FA1_m42y3cpi.xlsx]Income - Adjusted!R16C17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6" s="2"/>
      </tp>
      <tp>
        <v>4286</v>
        <stp/>
        <stp>##V3_BDHV12</stp>
        <stp>XOM US Equity</stp>
        <stp>IS_OPER_INC</stp>
        <stp>FQ2 2015</stp>
        <stp>FQ2 2015</stp>
        <stp>[FA1_m42y3cpi.xlsx]Income - Adjusted!R16C30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6" s="2"/>
      </tp>
      <tp>
        <v>14572</v>
        <stp/>
        <stp>##V3_BDHV12</stp>
        <stp>XOM US Equity</stp>
        <stp>IS_OPER_INC</stp>
        <stp>FQ2 2011</stp>
        <stp>FQ2 2011</stp>
        <stp>[FA1_m42y3cpi.xlsx]Income - Adjusted!R16C14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6" s="2"/>
      </tp>
      <tp t="s">
        <v>—</v>
        <stp/>
        <stp>##V3_BDHV12</stp>
        <stp>XOM US Equity</stp>
        <stp>BS_LONG_TERM_INVESTMENTS</stp>
        <stp>FQ1 2014</stp>
        <stp>FQ1 2014</stp>
        <stp>[FA1_m42y3cpi.xlsx]Bal Sheet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3"/>
      </tp>
      <tp t="s">
        <v>—</v>
        <stp/>
        <stp>##V3_BDHV12</stp>
        <stp>XOM US Equity</stp>
        <stp>BS_LONG_TERM_INVESTMENTS</stp>
        <stp>FQ2 2011</stp>
        <stp>FQ2 2011</stp>
        <stp>[FA1_m42y3cpi.xlsx]Bal Sheet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3"/>
      </tp>
      <tp t="s">
        <v>—</v>
        <stp/>
        <stp>##V3_BDHV12</stp>
        <stp>XOM US Equity</stp>
        <stp>BS_LONG_TERM_INVESTMENTS</stp>
        <stp>FQ2 2012</stp>
        <stp>FQ2 2012</stp>
        <stp>[FA1_m42y3cpi.xlsx]Bal Sheet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3"/>
      </tp>
      <tp t="s">
        <v>—</v>
        <stp/>
        <stp>##V3_BDHV12</stp>
        <stp>XOM US Equity</stp>
        <stp>BS_LONG_TERM_INVESTMENTS</stp>
        <stp>FQ1 2015</stp>
        <stp>FQ1 2015</stp>
        <stp>[FA1_m42y3cpi.xlsx]Bal Sheet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3"/>
      </tp>
      <tp>
        <v>0.67</v>
        <stp/>
        <stp>##V3_BDHV12</stp>
        <stp>XOM US Equity</stp>
        <stp>IS_DIL_EPS_BEF_XO</stp>
        <stp>FQ4 2015</stp>
        <stp>FQ4 2015</stp>
        <stp>[FA1_m42y3cpi.xlsx]Income - Adjusted!R56C32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6" s="2"/>
      </tp>
      <tp>
        <v>1.97</v>
        <stp/>
        <stp>##V3_BDHV12</stp>
        <stp>XOM US Equity</stp>
        <stp>IS_DIL_EPS_BEF_XO</stp>
        <stp>FQ4 2017</stp>
        <stp>FQ4 2017</stp>
        <stp>[FA1_m42y3cpi.xlsx]Income - Adjusted!R56C40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6" s="2"/>
      </tp>
      <tp>
        <v>1.9100000000000001</v>
        <stp/>
        <stp>##V3_BDHV12</stp>
        <stp>XOM US Equity</stp>
        <stp>IS_DIL_EPS_BEF_XO</stp>
        <stp>FQ4 2013</stp>
        <stp>FQ4 2013</stp>
        <stp>[FA1_m42y3cpi.xlsx]Income - Adjusted!R56C24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6" s="2"/>
      </tp>
      <tp>
        <v>1.97</v>
        <stp/>
        <stp>##V3_BDHV12</stp>
        <stp>XOM US Equity</stp>
        <stp>IS_DIL_EPS_BEF_XO</stp>
        <stp>FQ4 2011</stp>
        <stp>FQ4 2011</stp>
        <stp>[FA1_m42y3cpi.xlsx]Income - Adjusted!R56C16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6" s="2"/>
      </tp>
      <tp>
        <v>0.63</v>
        <stp/>
        <stp>##V3_BDHV12</stp>
        <stp>XOM US Equity</stp>
        <stp>IS_DIL_EPS_CONT_OPS</stp>
        <stp>FQ3 2016</stp>
        <stp>FQ3 2016</stp>
        <stp>[FA1_m42y3cpi.xlsx]Per Share!R19C35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9" s="5"/>
      </tp>
      <tp>
        <v>1.8900000000000001</v>
        <stp/>
        <stp>##V3_BDHV12</stp>
        <stp>XOM US Equity</stp>
        <stp>IS_DIL_EPS_CONT_OPS</stp>
        <stp>FQ3 2014</stp>
        <stp>FQ3 2014</stp>
        <stp>[FA1_m42y3cpi.xlsx]Per Share!R19C27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9" s="5"/>
      </tp>
      <tp t="s">
        <v>—</v>
        <stp/>
        <stp>##V3_BDHV12</stp>
        <stp>XOM US Equity</stp>
        <stp>CF_STOCK_BASED_COMPENSATION</stp>
        <stp>FQ1 2011</stp>
        <stp>FQ1 2011</stp>
        <stp>[FA1_m42y3cpi.xlsx]Cash Flow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4"/>
      </tp>
      <tp>
        <v>0</v>
        <stp/>
        <stp>##V3_BDHV12</stp>
        <stp>XOM US Equity</stp>
        <stp>CF_STOCK_BASED_COMPENSATION</stp>
        <stp>FQ2 2013</stp>
        <stp>FQ2 2013</stp>
        <stp>[FA1_m42y3cpi.xlsx]Cash Flow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4"/>
      </tp>
      <tp t="s">
        <v>—</v>
        <stp/>
        <stp>##V3_BDHV12</stp>
        <stp>XOM US Equity</stp>
        <stp>CF_STOCK_BASED_COMPENSATION</stp>
        <stp>FQ4 2017</stp>
        <stp>FQ4 2017</stp>
        <stp>[FA1_m42y3cpi.xlsx]Cash Flow - Standardized!R10C40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0" s="4"/>
      </tp>
      <tp>
        <v>0</v>
        <stp/>
        <stp>##V3_BDHV12</stp>
        <stp>XOM US Equity</stp>
        <stp>CF_STOCK_BASED_COMPENSATION</stp>
        <stp>FQ2 2014</stp>
        <stp>FQ2 2014</stp>
        <stp>[FA1_m42y3cpi.xlsx]Cash Flow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4"/>
      </tp>
      <tp t="s">
        <v>—</v>
        <stp/>
        <stp>##V3_BDHV12</stp>
        <stp>XOM US Equity</stp>
        <stp>CF_STOCK_BASED_COMPENSATION</stp>
        <stp>FQ3 2016</stp>
        <stp>FQ3 2016</stp>
        <stp>[FA1_m42y3cpi.xlsx]Cash Flow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4"/>
      </tp>
      <tp t="s">
        <v>—</v>
        <stp/>
        <stp>##V3_BDHV12</stp>
        <stp>XOM US Equity</stp>
        <stp>CF_STOCK_BASED_COMPENSATION</stp>
        <stp>FQ3 2015</stp>
        <stp>FQ3 2015</stp>
        <stp>[FA1_m42y3cpi.xlsx]Cash Flow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4"/>
      </tp>
      <tp>
        <v>0</v>
        <stp/>
        <stp>##V3_BDHV12</stp>
        <stp>XOM US Equity</stp>
        <stp>CF_STOCK_BASED_COMPENSATION</stp>
        <stp>FQ1 2012</stp>
        <stp>FQ1 2012</stp>
        <stp>[FA1_m42y3cpi.xlsx]Cash Flow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4"/>
      </tp>
      <tp>
        <v>-16992</v>
        <stp/>
        <stp>##V3_BDHV12</stp>
        <stp>XOM US Equity</stp>
        <stp>OTHER_INS_RES_TO_SHRHLDR_EQY</stp>
        <stp>FQ1 2018</stp>
        <stp>FQ1 2018</stp>
        <stp>[FA1_m42y3cpi.xlsx]Bal Sheet - Standardized!R71C41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1" s="3"/>
      </tp>
      <tp>
        <v>-18609</v>
        <stp/>
        <stp>##V3_BDHV12</stp>
        <stp>XOM US Equity</stp>
        <stp>OTHER_INS_RES_TO_SHRHLDR_EQY</stp>
        <stp>FQ2 2018</stp>
        <stp>FQ2 2018</stp>
        <stp>[FA1_m42y3cpi.xlsx]Bal Sheet - Standardized!R71C42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1" s="3"/>
      </tp>
      <tp>
        <v>-18957</v>
        <stp/>
        <stp>##V3_BDHV12</stp>
        <stp>XOM US Equity</stp>
        <stp>OTHER_INS_RES_TO_SHRHLDR_EQY</stp>
        <stp>FQ4 2014</stp>
        <stp>FQ4 2014</stp>
        <stp>[FA1_m42y3cpi.xlsx]Bal Sheet - Standardized!R71C28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1" s="3"/>
      </tp>
      <tp>
        <v>-10659</v>
        <stp/>
        <stp>##V3_BDHV12</stp>
        <stp>XOM US Equity</stp>
        <stp>OTHER_INS_RES_TO_SHRHLDR_EQY</stp>
        <stp>FQ2 2012</stp>
        <stp>FQ2 2012</stp>
        <stp>[FA1_m42y3cpi.xlsx]Bal Sheet - Standardized!R71C18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1" s="3"/>
      </tp>
      <tp>
        <v>-9113</v>
        <stp/>
        <stp>##V3_BDHV12</stp>
        <stp>XOM US Equity</stp>
        <stp>OTHER_INS_RES_TO_SHRHLDR_EQY</stp>
        <stp>FQ3 2012</stp>
        <stp>FQ3 2012</stp>
        <stp>[FA1_m42y3cpi.xlsx]Bal Sheet - Standardized!R71C19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1" s="3"/>
      </tp>
      <tp t="s">
        <v>—</v>
        <stp/>
        <stp>##V3_BDHV12</stp>
        <stp>XOM US Equity</stp>
        <stp>CF_STOCK_BASED_COMPENSATION</stp>
        <stp>FQ3 2017</stp>
        <stp>FQ3 2017</stp>
        <stp>[FA1_m42y3cpi.xlsx]Cash Flow - Standardized!R10C39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0" s="4"/>
      </tp>
      <tp>
        <v>-6136</v>
        <stp/>
        <stp>##V3_BDHV12</stp>
        <stp>XOM US Equity</stp>
        <stp>ACQUIS_FXD_&amp;_INTANG_DETAILED</stp>
        <stp>FQ4 2015</stp>
        <stp>FQ4 2015</stp>
        <stp>[FA1_m42y3cpi.xlsx]Cash Flow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4"/>
      </tp>
      <tp>
        <v>-3887</v>
        <stp/>
        <stp>##V3_BDHV12</stp>
        <stp>XOM US Equity</stp>
        <stp>ACQUIS_FXD_&amp;_INTANG_DETAILED</stp>
        <stp>FQ4 2016</stp>
        <stp>FQ4 2016</stp>
        <stp>[FA1_m42y3cpi.xlsx]Cash Flow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4"/>
      </tp>
      <tp>
        <v>4805.79</v>
        <stp/>
        <stp>##V3_BDHV12</stp>
        <stp>XOM US Equity</stp>
        <stp>EQY_SH_OUT</stp>
        <stp>FQ3 2009</stp>
        <stp>FQ3 2009</stp>
        <stp>[FA1_m42y3cpi.xlsx]Stock Value!R13C7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3" s="6"/>
      </tp>
      <tp>
        <v>-13</v>
        <stp/>
        <stp>##V3_BDHV12</stp>
        <stp>XOM US Equity</stp>
        <stp>PROC_FR_REPURCH_EQTY_DETAILED</stp>
        <stp>FQ2 2017</stp>
        <stp>FQ2 2017</stp>
        <stp>[FA1_m42y3cpi.xlsx]Cash Flow - Standardized!R44C38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4" s="4"/>
      </tp>
      <tp>
        <v>-3000</v>
        <stp/>
        <stp>##V3_BDHV12</stp>
        <stp>XOM US Equity</stp>
        <stp>PROC_FR_REPURCH_EQTY_DETAILED</stp>
        <stp>FQ3 2013</stp>
        <stp>FQ3 2013</stp>
        <stp>[FA1_m42y3cpi.xlsx]Cash Flow - Standardized!R44C23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4" s="4"/>
      </tp>
      <tp>
        <v>3286</v>
        <stp/>
        <stp>##V3_BDHV12</stp>
        <stp>XOM US Equity</stp>
        <stp>FREE_CASH_FLOW_EQUITY</stp>
        <stp>FQ4 2015</stp>
        <stp>FQ4 2015</stp>
        <stp>[FA1_m42y3cpi.xlsx]Cash Flow - Standardized!R65C32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5" s="4"/>
      </tp>
      <tp>
        <v>1</v>
        <stp/>
        <stp>##V3_BDHV12</stp>
        <stp>XOM US Equity</stp>
        <stp>PROC_FR_REPURCH_EQTY_DETAILED</stp>
        <stp>FQ2 2016</stp>
        <stp>FQ2 2016</stp>
        <stp>[FA1_m42y3cpi.xlsx]Cash Flow - Standardized!R44C34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4" s="4"/>
      </tp>
      <tp>
        <v>-2998</v>
        <stp/>
        <stp>##V3_BDHV12</stp>
        <stp>XOM US Equity</stp>
        <stp>PROC_FR_REPURCH_EQTY_DETAILED</stp>
        <stp>FQ3 2014</stp>
        <stp>FQ3 2014</stp>
        <stp>[FA1_m42y3cpi.xlsx]Cash Flow - Standardized!R44C27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4" s="4"/>
      </tp>
      <tp>
        <v>-1003</v>
        <stp/>
        <stp>##V3_BDHV12</stp>
        <stp>XOM US Equity</stp>
        <stp>PROC_FR_REPURCH_EQTY_DETAILED</stp>
        <stp>FQ2 2015</stp>
        <stp>FQ2 2015</stp>
        <stp>[FA1_m42y3cpi.xlsx]Cash Flow - Standardized!R44C30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4" s="4"/>
      </tp>
      <tp>
        <v>2279</v>
        <stp/>
        <stp>##V3_BDHV12</stp>
        <stp>XOM US Equity</stp>
        <stp>FREE_CASH_FLOW_EQUITY</stp>
        <stp>FQ4 2016</stp>
        <stp>FQ4 2016</stp>
        <stp>[FA1_m42y3cpi.xlsx]Cash Flow - Standardized!R65C36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5" s="4"/>
      </tp>
      <tp>
        <v>1422</v>
        <stp/>
        <stp>##V3_BDHV12</stp>
        <stp>XOM US Equity</stp>
        <stp>EBIT</stp>
        <stp>FQ3 2016</stp>
        <stp>FQ3 2016</stp>
        <stp>[FA1_m42y3cpi.xlsx]Income - Adjusted!R64C35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4" s="2"/>
      </tp>
      <tp>
        <v>9574</v>
        <stp/>
        <stp>##V3_BDHV12</stp>
        <stp>XOM US Equity</stp>
        <stp>EBIT</stp>
        <stp>FQ3 2014</stp>
        <stp>FQ3 2014</stp>
        <stp>[FA1_m42y3cpi.xlsx]Income - Adjusted!R64C27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4" s="2"/>
      </tp>
      <tp>
        <v>3563</v>
        <stp/>
        <stp>##V3_BDHV12</stp>
        <stp>XOM US Equity</stp>
        <stp>IS_OPERATING_EXPN</stp>
        <stp>FQ1 2013</stp>
        <stp>FQ1 2013</stp>
        <stp>[FA1_m42y3cpi.xlsx]Income - Adjusted!R13C21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3" s="2"/>
      </tp>
      <tp>
        <v>3961</v>
        <stp/>
        <stp>##V3_BDHV12</stp>
        <stp>XOM US Equity</stp>
        <stp>IS_OPERATING_EXPN</stp>
        <stp>FQ1 2011</stp>
        <stp>FQ1 2011</stp>
        <stp>[FA1_m42y3cpi.xlsx]Income - Adjusted!R13C13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3" s="2"/>
      </tp>
      <tp>
        <v>3665</v>
        <stp/>
        <stp>##V3_BDHV12</stp>
        <stp>XOM US Equity</stp>
        <stp>IS_OPERATING_EXPN</stp>
        <stp>FQ2 2014</stp>
        <stp>FQ2 2014</stp>
        <stp>[FA1_m42y3cpi.xlsx]Income - Adjusted!R13C26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3" s="2"/>
      </tp>
      <tp>
        <v>3091</v>
        <stp/>
        <stp>##V3_BDHV12</stp>
        <stp>XOM US Equity</stp>
        <stp>IS_OPERATING_EXPN</stp>
        <stp>FQ2 2016</stp>
        <stp>FQ2 2016</stp>
        <stp>[FA1_m42y3cpi.xlsx]Income - Adjusted!R13C34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3" s="2"/>
      </tp>
      <tp>
        <v>4697.0769</v>
        <stp/>
        <stp>##V3_BDHV12</stp>
        <stp>XOM US Equity</stp>
        <stp>IS_OPERATING_EXPN</stp>
        <stp>FQ4 2012</stp>
        <stp>FQ4 2012</stp>
        <stp>[FA1_m42y3cpi.xlsx]Income - Adjusted!R13C20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3" s="2"/>
      </tp>
      <tp>
        <v>4405</v>
        <stp/>
        <stp>##V3_BDHV12</stp>
        <stp>XOM US Equity</stp>
        <stp>IS_OPERATING_EXPN</stp>
        <stp>FQ4 2010</stp>
        <stp>FQ4 2010</stp>
        <stp>[FA1_m42y3cpi.xlsx]Income - Adjusted!R13C12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3" s="2"/>
      </tp>
      <tp>
        <v>-1809</v>
        <stp/>
        <stp>##V3_BDHV12</stp>
        <stp>XOM US Equity</stp>
        <stp>INC_DEC_IN_OT_OP_AST_LIAB_DETAIL</stp>
        <stp>FQ2 2011</stp>
        <stp>FQ2 2011</stp>
        <stp>[FA1_m42y3cpi.xlsx]Cash Flow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4"/>
      </tp>
      <tp>
        <v>0</v>
        <stp/>
        <stp>##V3_BDHV12</stp>
        <stp>XOM US Equity</stp>
        <stp>CF_NET_CASH_DISCONTINUED_OPS_FIN</stp>
        <stp>FQ2 2015</stp>
        <stp>FQ2 2015</stp>
        <stp>[FA1_m42y3cpi.xlsx]Cash Flow - Standardized!R48C30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8" s="4"/>
      </tp>
      <tp>
        <v>214940</v>
        <stp/>
        <stp>##V3_BDHV12</stp>
        <stp>XOM US Equity</stp>
        <stp>BS_NET_FIX_ASSET</stp>
        <stp>FQ2 2012</stp>
        <stp>FQ2 2012</stp>
        <stp>[FA1_m42y3cpi.xlsx]Bal Sheet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3"/>
      </tp>
      <tp>
        <v>2321</v>
        <stp/>
        <stp>##V3_BDHV12</stp>
        <stp>XOM US Equity</stp>
        <stp>INC_DEC_IN_OT_OP_AST_LIAB_DETAIL</stp>
        <stp>FQ1 2013</stp>
        <stp>FQ1 2013</stp>
        <stp>[FA1_m42y3cpi.xlsx]Cash Flow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4"/>
      </tp>
      <tp>
        <v>249497</v>
        <stp/>
        <stp>##V3_BDHV12</stp>
        <stp>XOM US Equity</stp>
        <stp>BS_NET_FIX_ASSET</stp>
        <stp>FQ1 2015</stp>
        <stp>FQ1 2015</stp>
        <stp>[FA1_m42y3cpi.xlsx]Bal Sheet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3"/>
      </tp>
      <tp>
        <v>-1133</v>
        <stp/>
        <stp>##V3_BDHV12</stp>
        <stp>XOM US Equity</stp>
        <stp>INC_DEC_IN_OT_OP_AST_LIAB_DETAIL</stp>
        <stp>FQ2 2010</stp>
        <stp>FQ2 2010</stp>
        <stp>[FA1_m42y3cpi.xlsx]Cash Flow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4"/>
      </tp>
      <tp>
        <v>0</v>
        <stp/>
        <stp>##V3_BDHV12</stp>
        <stp>XOM US Equity</stp>
        <stp>CF_NET_CASH_DISCONTINUED_OPS_FIN</stp>
        <stp>FQ3 2013</stp>
        <stp>FQ3 2013</stp>
        <stp>[FA1_m42y3cpi.xlsx]Cash Flow - Standardized!R48C23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8" s="4"/>
      </tp>
      <tp>
        <v>0</v>
        <stp/>
        <stp>##V3_BDHV12</stp>
        <stp>XOM US Equity</stp>
        <stp>CF_NET_CASH_DISCONTINUED_OPS_FIN</stp>
        <stp>FQ2 2016</stp>
        <stp>FQ2 2016</stp>
        <stp>[FA1_m42y3cpi.xlsx]Cash Flow - Standardized!R48C34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8" s="4"/>
      </tp>
      <tp>
        <v>0</v>
        <stp/>
        <stp>##V3_BDHV12</stp>
        <stp>XOM US Equity</stp>
        <stp>CF_NET_CASH_DISCONTINUED_OPS_FIN</stp>
        <stp>FQ3 2014</stp>
        <stp>FQ3 2014</stp>
        <stp>[FA1_m42y3cpi.xlsx]Cash Flow - Standardized!R48C27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8" s="4"/>
      </tp>
      <tp>
        <v>2452</v>
        <stp/>
        <stp>##V3_BDHV12</stp>
        <stp>XOM US Equity</stp>
        <stp>INC_DEC_IN_OT_OP_AST_LIAB_DETAIL</stp>
        <stp>FQ1 2014</stp>
        <stp>FQ1 2014</stp>
        <stp>[FA1_m42y3cpi.xlsx]Cash Flow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4"/>
      </tp>
      <tp>
        <v>3263</v>
        <stp/>
        <stp>##V3_BDHV12</stp>
        <stp>XOM US Equity</stp>
        <stp>BS_TAXES_PAYABLE</stp>
        <stp>FQ1 2018</stp>
        <stp>FQ1 2018</stp>
        <stp>[FA1_m42y3cpi.xlsx]Bal Sheet - Standardized!R44C41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4" s="3"/>
      </tp>
      <tp>
        <v>245897</v>
        <stp/>
        <stp>##V3_BDHV12</stp>
        <stp>XOM US Equity</stp>
        <stp>BS_NET_FIX_ASSET</stp>
        <stp>FQ1 2014</stp>
        <stp>FQ1 2014</stp>
        <stp>[FA1_m42y3cpi.xlsx]Bal Sheet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3"/>
      </tp>
      <tp>
        <v>9812</v>
        <stp/>
        <stp>##V3_BDHV12</stp>
        <stp>XOM US Equity</stp>
        <stp>BS_TAXES_PAYABLE</stp>
        <stp>FQ4 2010</stp>
        <stp>FQ4 2010</stp>
        <stp>[FA1_m42y3cpi.xlsx]Bal Sheet - Standardized!R44C12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4" s="3"/>
      </tp>
      <tp>
        <v>-509</v>
        <stp/>
        <stp>##V3_BDHV12</stp>
        <stp>XOM US Equity</stp>
        <stp>INC_DEC_IN_OT_OP_AST_LIAB_DETAIL</stp>
        <stp>FQ1 2015</stp>
        <stp>FQ1 2015</stp>
        <stp>[FA1_m42y3cpi.xlsx]Cash Flow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4"/>
      </tp>
      <tp>
        <v>233728</v>
        <stp/>
        <stp>##V3_BDHV12</stp>
        <stp>XOM US Equity</stp>
        <stp>BS_NET_FIX_ASSET</stp>
        <stp>FQ1 2013</stp>
        <stp>FQ1 2013</stp>
        <stp>[FA1_m42y3cpi.xlsx]Bal Sheet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3"/>
      </tp>
      <tp>
        <v>0</v>
        <stp/>
        <stp>##V3_BDHV12</stp>
        <stp>XOM US Equity</stp>
        <stp>CF_NET_CASH_DISCONTINUED_OPS_FIN</stp>
        <stp>FQ2 2017</stp>
        <stp>FQ2 2017</stp>
        <stp>[FA1_m42y3cpi.xlsx]Cash Flow - Standardized!R48C38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8" s="4"/>
      </tp>
      <tp>
        <v>188069</v>
        <stp/>
        <stp>##V3_BDHV12</stp>
        <stp>XOM US Equity</stp>
        <stp>BS_NET_FIX_ASSET</stp>
        <stp>FQ2 2010</stp>
        <stp>FQ2 2010</stp>
        <stp>[FA1_m42y3cpi.xlsx]Bal Sheet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3"/>
      </tp>
      <tp>
        <v>12727</v>
        <stp/>
        <stp>##V3_BDHV12</stp>
        <stp>XOM US Equity</stp>
        <stp>BS_TAXES_PAYABLE</stp>
        <stp>FQ4 2011</stp>
        <stp>FQ4 2011</stp>
        <stp>[FA1_m42y3cpi.xlsx]Bal Sheet - Standardized!R44C16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4" s="3"/>
      </tp>
      <tp>
        <v>327</v>
        <stp/>
        <stp>##V3_BDHV12</stp>
        <stp>XOM US Equity</stp>
        <stp>IS_OTHER_OPERATING_EXPENSES</stp>
        <stp>FQ3 2016</stp>
        <stp>FQ3 2016</stp>
        <stp>[FA1_m42y3cpi.xlsx]Income - Adjusted!R15C35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5" s="2"/>
      </tp>
      <tp>
        <v>319</v>
        <stp/>
        <stp>##V3_BDHV12</stp>
        <stp>XOM US Equity</stp>
        <stp>IS_OTHER_OPERATING_EXPENSES</stp>
        <stp>FQ3 2014</stp>
        <stp>FQ3 2014</stp>
        <stp>[FA1_m42y3cpi.xlsx]Income - Adjusted!R15C27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5" s="2"/>
      </tp>
      <tp>
        <v>209807</v>
        <stp/>
        <stp>##V3_BDHV12</stp>
        <stp>XOM US Equity</stp>
        <stp>BS_NET_FIX_ASSET</stp>
        <stp>FQ2 2011</stp>
        <stp>FQ2 2011</stp>
        <stp>[FA1_m42y3cpi.xlsx]Bal Sheet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3"/>
      </tp>
      <tp>
        <v>-2384</v>
        <stp/>
        <stp>##V3_BDHV12</stp>
        <stp>XOM US Equity</stp>
        <stp>INC_DEC_IN_OT_OP_AST_LIAB_DETAIL</stp>
        <stp>FQ2 2012</stp>
        <stp>FQ2 2012</stp>
        <stp>[FA1_m42y3cpi.xlsx]Cash Flow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4"/>
      </tp>
      <tp>
        <v>0</v>
        <stp/>
        <stp>##V3_BDHV12</stp>
        <stp>XOM US Equity</stp>
        <stp>CF_NT_CSH_RCVD_PD_FOR_ACQUIS_DIV</stp>
        <stp>FQ4 2015</stp>
        <stp>FQ4 2015</stp>
        <stp>[FA1_m42y3cpi.xlsx]Cash Flow - Standardized!R30C32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4"/>
      </tp>
      <tp>
        <v>174</v>
        <stp/>
        <stp>##V3_BDHV12</stp>
        <stp>XOM US Equity</stp>
        <stp>BS_LONG_TERM_INVESTMENTS</stp>
        <stp>FQ4 2017</stp>
        <stp>FQ4 2017</stp>
        <stp>[FA1_m42y3cpi.xlsx]Bal Sheet - Standardized!R27C40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3"/>
      </tp>
      <tp t="s">
        <v>—</v>
        <stp/>
        <stp>##V3_BDHV12</stp>
        <stp>XOM US Equity</stp>
        <stp>BS_LONG_TERM_INVESTMENTS</stp>
        <stp>FQ1 2011</stp>
        <stp>FQ1 2011</stp>
        <stp>[FA1_m42y3cpi.xlsx]Bal Sheet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3"/>
      </tp>
      <tp t="s">
        <v>—</v>
        <stp/>
        <stp>##V3_BDHV12</stp>
        <stp>XOM US Equity</stp>
        <stp>BS_LONG_TERM_INVESTMENTS</stp>
        <stp>FQ2 2013</stp>
        <stp>FQ2 2013</stp>
        <stp>[FA1_m42y3cpi.xlsx]Bal Sheet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3"/>
      </tp>
      <tp t="s">
        <v>—</v>
        <stp/>
        <stp>##V3_BDHV12</stp>
        <stp>XOM US Equity</stp>
        <stp>BS_LONG_TERM_INVESTMENTS</stp>
        <stp>FQ2 2014</stp>
        <stp>FQ2 2014</stp>
        <stp>[FA1_m42y3cpi.xlsx]Bal Sheet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3"/>
      </tp>
      <tp t="s">
        <v>—</v>
        <stp/>
        <stp>##V3_BDHV12</stp>
        <stp>XOM US Equity</stp>
        <stp>BS_LONG_TERM_INVESTMENTS</stp>
        <stp>FQ3 2016</stp>
        <stp>FQ3 2016</stp>
        <stp>[FA1_m42y3cpi.xlsx]Bal Sheet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3"/>
      </tp>
      <tp t="s">
        <v>—</v>
        <stp/>
        <stp>##V3_BDHV12</stp>
        <stp>XOM US Equity</stp>
        <stp>BS_LONG_TERM_INVESTMENTS</stp>
        <stp>FQ3 2015</stp>
        <stp>FQ3 2015</stp>
        <stp>[FA1_m42y3cpi.xlsx]Bal Sheet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3"/>
      </tp>
      <tp>
        <v>0</v>
        <stp/>
        <stp>##V3_BDHV12</stp>
        <stp>XOM US Equity</stp>
        <stp>CF_NT_CSH_RCVD_PD_FOR_ACQUIS_DIV</stp>
        <stp>FQ4 2016</stp>
        <stp>FQ4 2016</stp>
        <stp>[FA1_m42y3cpi.xlsx]Cash Flow - Standardized!R30C36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4"/>
      </tp>
      <tp t="s">
        <v>—</v>
        <stp/>
        <stp>##V3_BDHV12</stp>
        <stp>XOM US Equity</stp>
        <stp>BS_LONG_TERM_INVESTMENTS</stp>
        <stp>FQ1 2012</stp>
        <stp>FQ1 2012</stp>
        <stp>[FA1_m42y3cpi.xlsx]Bal Sheet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3"/>
      </tp>
      <tp t="s">
        <v>—</v>
        <stp/>
        <stp>##V3_BDHV12</stp>
        <stp>XOM US Equity</stp>
        <stp>BS_LONG_TERM_INVESTMENTS</stp>
        <stp>FQ3 2017</stp>
        <stp>FQ3 2017</stp>
        <stp>[FA1_m42y3cpi.xlsx]Bal Sheet - Standardized!R27C39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3"/>
      </tp>
      <tp>
        <v>2.13</v>
        <stp/>
        <stp>##V3_BDHV12</stp>
        <stp>XOM US Equity</stp>
        <stp>IS_DIL_EPS_BEF_XO</stp>
        <stp>FQ3 2011</stp>
        <stp>FQ3 2011</stp>
        <stp>[FA1_m42y3cpi.xlsx]Income - Adjusted!R56C15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6" s="2"/>
      </tp>
      <tp>
        <v>1.01</v>
        <stp/>
        <stp>##V3_BDHV12</stp>
        <stp>XOM US Equity</stp>
        <stp>IS_DIL_EPS_BEF_XO</stp>
        <stp>FQ3 2015</stp>
        <stp>FQ3 2015</stp>
        <stp>[FA1_m42y3cpi.xlsx]Income - Adjusted!R56C31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6" s="2"/>
      </tp>
      <tp>
        <v>8894</v>
        <stp/>
        <stp>##V3_BDHV12</stp>
        <stp>XOM US Equity</stp>
        <stp>IS_OPER_INC</stp>
        <stp>FQ4 2008</stp>
        <stp>FQ4 2008</stp>
        <stp>[FA1_m42y3cpi.xlsx]Income - Adjusted!R16C4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6" s="2"/>
      </tp>
      <tp>
        <v>21359</v>
        <stp/>
        <stp>##V3_BDHV12</stp>
        <stp>XOM US Equity</stp>
        <stp>IS_OPER_INC</stp>
        <stp>FQ3 2008</stp>
        <stp>FQ3 2008</stp>
        <stp>[FA1_m42y3cpi.xlsx]Income - Adjusted!R16C3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6" s="2"/>
      </tp>
      <tp>
        <v>68.19</v>
        <stp/>
        <stp>##V3_BDHV12</stp>
        <stp>XOM US Equity</stp>
        <stp>PX_LAST</stp>
        <stp>FQ4 2009</stp>
        <stp>FQ4 2009</stp>
        <stp>[FA1_m42y3cpi.xlsx]Stock Value!R6C8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6"/>
      </tp>
      <tp>
        <v>1.6865999999999999</v>
        <stp/>
        <stp>##V3_BDHV12</stp>
        <stp>XOM US Equity</stp>
        <stp>IS_DIL_EPS_CONT_OPS</stp>
        <stp>FQ2 2010</stp>
        <stp>FQ2 2010</stp>
        <stp>[FA1_m42y3cpi.xlsx]Per Share!R19C10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9" s="5"/>
      </tp>
      <tp>
        <v>1.79</v>
        <stp/>
        <stp>##V3_BDHV12</stp>
        <stp>XOM US Equity</stp>
        <stp>IS_DIL_EPS_CONT_OPS</stp>
        <stp>FQ3 2013</stp>
        <stp>FQ3 2013</stp>
        <stp>[FA1_m42y3cpi.xlsx]Per Share!R19C23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9" s="5"/>
      </tp>
      <tp>
        <v>0.95</v>
        <stp/>
        <stp>##V3_BDHV12</stp>
        <stp>XOM US Equity</stp>
        <stp>IS_DIL_EPS_CONT_OPS</stp>
        <stp>FQ1 2017</stp>
        <stp>FQ1 2017</stp>
        <stp>[FA1_m42y3cpi.xlsx]Per Share!R19C37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9" s="5"/>
      </tp>
      <tp>
        <v>0.88770000000000004</v>
        <stp/>
        <stp>##V3_BDHV12</stp>
        <stp>XOM US Equity</stp>
        <stp>IS_DIL_EPS_CONT_OPS</stp>
        <stp>FQ4 2016</stp>
        <stp>FQ4 2016</stp>
        <stp>[FA1_m42y3cpi.xlsx]Per Share!R19C36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9" s="5"/>
      </tp>
      <tp t="s">
        <v>—</v>
        <stp/>
        <stp>##V3_BDHV12</stp>
        <stp>XOM US Equity</stp>
        <stp>CF_STOCK_BASED_COMPENSATION</stp>
        <stp>FQ2 2010</stp>
        <stp>FQ2 2010</stp>
        <stp>[FA1_m42y3cpi.xlsx]Cash Flow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4"/>
      </tp>
      <tp>
        <v>0</v>
        <stp/>
        <stp>##V3_BDHV12</stp>
        <stp>XOM US Equity</stp>
        <stp>CF_STOCK_BASED_COMPENSATION</stp>
        <stp>FQ1 2013</stp>
        <stp>FQ1 2013</stp>
        <stp>[FA1_m42y3cpi.xlsx]Cash Flow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4"/>
      </tp>
      <tp>
        <v>0</v>
        <stp/>
        <stp>##V3_BDHV12</stp>
        <stp>XOM US Equity</stp>
        <stp>CF_STOCK_BASED_COMPENSATION</stp>
        <stp>FQ1 2014</stp>
        <stp>FQ1 2014</stp>
        <stp>[FA1_m42y3cpi.xlsx]Cash Flow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4"/>
      </tp>
      <tp>
        <v>8718</v>
        <stp/>
        <stp>##V3_BDHV12</stp>
        <stp>XOM US Equity</stp>
        <stp>INVTRY_FINISHED_GOODS</stp>
        <stp>FQ4 2009</stp>
        <stp>FQ4 2009</stp>
        <stp>[FA1_m42y3cpi.xlsx]Bal Sheet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3"/>
      </tp>
      <tp t="s">
        <v>—</v>
        <stp/>
        <stp>##V3_BDHV12</stp>
        <stp>XOM US Equity</stp>
        <stp>CF_STOCK_BASED_COMPENSATION</stp>
        <stp>FQ2 2011</stp>
        <stp>FQ2 2011</stp>
        <stp>[FA1_m42y3cpi.xlsx]Cash Flow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4"/>
      </tp>
      <tp>
        <v>10631</v>
        <stp/>
        <stp>##V3_BDHV12</stp>
        <stp>XOM US Equity</stp>
        <stp>INVTRY_FINISHED_GOODS</stp>
        <stp>FQ1 2010</stp>
        <stp>FQ1 2010</stp>
        <stp>[FA1_m42y3cpi.xlsx]Bal Sheet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3"/>
      </tp>
      <tp t="s">
        <v>—</v>
        <stp/>
        <stp>##V3_BDHV12</stp>
        <stp>XOM US Equity</stp>
        <stp>CF_STOCK_BASED_COMPENSATION</stp>
        <stp>FQ2 2012</stp>
        <stp>FQ2 2012</stp>
        <stp>[FA1_m42y3cpi.xlsx]Cash Flow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4"/>
      </tp>
      <tp>
        <v>70.599999999999994</v>
        <stp/>
        <stp>##V3_BDHV12</stp>
        <stp>XOM US Equity</stp>
        <stp>PX_HIGH</stp>
        <stp>FQ1 2010</stp>
        <stp>FQ1 2010</stp>
        <stp>[FA1_m42y3cpi.xlsx]Stock Value!R9C9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9" s="6"/>
      </tp>
      <tp>
        <v>10296</v>
        <stp/>
        <stp>##V3_BDHV12</stp>
        <stp>XOM US Equity</stp>
        <stp>INVTRY_FINISHED_GOODS</stp>
        <stp>FQ1 2009</stp>
        <stp>FQ1 2009</stp>
        <stp>[FA1_m42y3cpi.xlsx]Bal Sheet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3"/>
      </tp>
      <tp>
        <v>9860</v>
        <stp/>
        <stp>##V3_BDHV12</stp>
        <stp>XOM US Equity</stp>
        <stp>INVTRY_FINISHED_GOODS</stp>
        <stp>FQ3 2009</stp>
        <stp>FQ3 2009</stp>
        <stp>[FA1_m42y3cpi.xlsx]Bal Sheet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3"/>
      </tp>
      <tp>
        <v>9855</v>
        <stp/>
        <stp>##V3_BDHV12</stp>
        <stp>XOM US Equity</stp>
        <stp>INVTRY_FINISHED_GOODS</stp>
        <stp>FQ2 2009</stp>
        <stp>FQ2 2009</stp>
        <stp>[FA1_m42y3cpi.xlsx]Bal Sheet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3"/>
      </tp>
      <tp>
        <v>9331</v>
        <stp/>
        <stp>##V3_BDHV12</stp>
        <stp>XOM US Equity</stp>
        <stp>INVTRY_FINISHED_GOODS</stp>
        <stp>FQ4 2008</stp>
        <stp>FQ4 2008</stp>
        <stp>[FA1_m42y3cpi.xlsx]Bal Sheet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13510</v>
        <stp/>
        <stp>##V3_BDHV12</stp>
        <stp>XOM US Equity</stp>
        <stp>INVTRY_FINISHED_GOODS</stp>
        <stp>FQ3 2008</stp>
        <stp>FQ3 2008</stp>
        <stp>[FA1_m42y3cpi.xlsx]Bal Sheet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3"/>
      </tp>
      <tp t="s">
        <v>—</v>
        <stp/>
        <stp>##V3_BDHV12</stp>
        <stp>XOM US Equity</stp>
        <stp>CF_STOCK_BASED_COMPENSATION</stp>
        <stp>FQ1 2015</stp>
        <stp>FQ1 2015</stp>
        <stp>[FA1_m42y3cpi.xlsx]Cash Flow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4"/>
      </tp>
      <tp>
        <v>-8426</v>
        <stp/>
        <stp>##V3_BDHV12</stp>
        <stp>XOM US Equity</stp>
        <stp>ACQUIS_FXD_&amp;_INTANG_DETAILED</stp>
        <stp>FQ4 2013</stp>
        <stp>FQ4 2013</stp>
        <stp>[FA1_m42y3cpi.xlsx]Cash Flow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4"/>
      </tp>
      <tp>
        <v>1.56</v>
        <stp/>
        <stp>##V3_BDHV12</stp>
        <stp>XOM US Equity</stp>
        <stp>IS_EARN_BEF_XO_ITEMS_PER_SH</stp>
        <stp>FQ4 2014</stp>
        <stp>FQ4 2014</stp>
        <stp>[FA1_m42y3cpi.xlsx]Income - Adjusted!R51C28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1" s="2"/>
      </tp>
      <tp>
        <v>1.17</v>
        <stp/>
        <stp>##V3_BDHV12</stp>
        <stp>XOM US Equity</stp>
        <stp>IS_EARN_BEF_XO_ITEMS_PER_SH</stp>
        <stp>FQ1 2015</stp>
        <stp>FQ1 2015</stp>
        <stp>[FA1_m42y3cpi.xlsx]Income - Adjusted!R51C29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1" s="2"/>
      </tp>
      <tp>
        <v>9167</v>
        <stp/>
        <stp>##V3_BDHV12</stp>
        <stp>XOM US Equity</stp>
        <stp>GROSS_PROFIT</stp>
        <stp>FQ4 2014</stp>
        <stp>FQ4 2014</stp>
        <stp>[FA1_m42y3cpi.xlsx]Income - Adjusted!R11C28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1" s="2"/>
      </tp>
      <tp>
        <v>6887</v>
        <stp/>
        <stp>##V3_BDHV12</stp>
        <stp>XOM US Equity</stp>
        <stp>GROSS_PROFIT</stp>
        <stp>FQ1 2015</stp>
        <stp>FQ1 2015</stp>
        <stp>[FA1_m42y3cpi.xlsx]Income - Adjusted!R11C29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1" s="2"/>
      </tp>
      <tp>
        <v>-10057</v>
        <stp/>
        <stp>##V3_BDHV12</stp>
        <stp>XOM US Equity</stp>
        <stp>ACQUIS_FXD_&amp;_INTANG_DETAILED</stp>
        <stp>FQ4 2012</stp>
        <stp>FQ4 2012</stp>
        <stp>[FA1_m42y3cpi.xlsx]Cash Flow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4"/>
      </tp>
      <tp>
        <v>-4927</v>
        <stp/>
        <stp>##V3_BDHV12</stp>
        <stp>XOM US Equity</stp>
        <stp>ACQUIS_FXD_&amp;_INTANG_DETAILED</stp>
        <stp>FQ2 2018</stp>
        <stp>FQ2 2018</stp>
        <stp>[FA1_m42y3cpi.xlsx]Cash Flow - Standardized!R24C42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4" s="4"/>
      </tp>
      <tp>
        <v>-8884</v>
        <stp/>
        <stp>##V3_BDHV12</stp>
        <stp>XOM US Equity</stp>
        <stp>ACQUIS_FXD_&amp;_INTANG_DETAILED</stp>
        <stp>FQ4 2014</stp>
        <stp>FQ4 2014</stp>
        <stp>[FA1_m42y3cpi.xlsx]Cash Flow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4"/>
      </tp>
      <tp t="s">
        <v>—</v>
        <stp/>
        <stp>##V3_BDHV12</stp>
        <stp>XOM US Equity</stp>
        <stp>IS_FOREIGN_EXCH_LOSS</stp>
        <stp>FQ4 2015</stp>
        <stp>FQ4 2015</stp>
        <stp>[FA1_m42y3cpi.xlsx]Income - Adjusted!R21C32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1" s="2"/>
      </tp>
      <tp t="s">
        <v>—</v>
        <stp/>
        <stp>##V3_BDHV12</stp>
        <stp>XOM US Equity</stp>
        <stp>IS_FOREIGN_EXCH_LOSS</stp>
        <stp>FQ4 2017</stp>
        <stp>FQ4 2017</stp>
        <stp>[FA1_m42y3cpi.xlsx]Income - Adjusted!R21C40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21" s="2"/>
      </tp>
      <tp t="s">
        <v>—</v>
        <stp/>
        <stp>##V3_BDHV12</stp>
        <stp>XOM US Equity</stp>
        <stp>IS_FOREIGN_EXCH_LOSS</stp>
        <stp>FQ4 2013</stp>
        <stp>FQ4 2013</stp>
        <stp>[FA1_m42y3cpi.xlsx]Income - Adjusted!R21C24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1" s="2"/>
      </tp>
      <tp t="s">
        <v>—</v>
        <stp/>
        <stp>##V3_BDHV12</stp>
        <stp>XOM US Equity</stp>
        <stp>IS_FOREIGN_EXCH_LOSS</stp>
        <stp>FQ4 2011</stp>
        <stp>FQ4 2011</stp>
        <stp>[FA1_m42y3cpi.xlsx]Income - Adjusted!R21C16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1" s="2"/>
      </tp>
      <tp>
        <v>3728</v>
        <stp/>
        <stp>##V3_BDHV12</stp>
        <stp>XOM US Equity</stp>
        <stp>FREE_CASH_FLOW_EQUITY</stp>
        <stp>FQ2 2018</stp>
        <stp>FQ2 2018</stp>
        <stp>[FA1_m42y3cpi.xlsx]Cash Flow - Standardized!R65C42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5" s="4"/>
      </tp>
      <tp>
        <v>6162</v>
        <stp/>
        <stp>##V3_BDHV12</stp>
        <stp>XOM US Equity</stp>
        <stp>FREE_CASH_FLOW_EQUITY</stp>
        <stp>FQ4 2014</stp>
        <stp>FQ4 2014</stp>
        <stp>[FA1_m42y3cpi.xlsx]Cash Flow - Standardized!R65C28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5" s="4"/>
      </tp>
      <tp>
        <v>4879.71</v>
        <stp/>
        <stp>##V3_BDHV12</stp>
        <stp>XOM US Equity</stp>
        <stp>EQY_SH_OUT</stp>
        <stp>FQ2 2009</stp>
        <stp>FQ2 2009</stp>
        <stp>[FA1_m42y3cpi.xlsx]Stock Value!R13C6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3" s="6"/>
      </tp>
      <tp>
        <v>-1</v>
        <stp/>
        <stp>##V3_BDHV12</stp>
        <stp>XOM US Equity</stp>
        <stp>PROC_FR_REPURCH_EQTY_DETAILED</stp>
        <stp>FQ3 2017</stp>
        <stp>FQ3 2017</stp>
        <stp>[FA1_m42y3cpi.xlsx]Cash Flow - Standardized!R44C39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4" s="4"/>
      </tp>
      <tp>
        <v>-232</v>
        <stp/>
        <stp>##V3_BDHV12</stp>
        <stp>XOM US Equity</stp>
        <stp>PROC_FR_REPURCH_EQTY_DETAILED</stp>
        <stp>FQ4 2017</stp>
        <stp>FQ4 2017</stp>
        <stp>[FA1_m42y3cpi.xlsx]Cash Flow - Standardized!R44C40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4" s="4"/>
      </tp>
      <tp>
        <v>-4017</v>
        <stp/>
        <stp>##V3_BDHV12</stp>
        <stp>XOM US Equity</stp>
        <stp>PROC_FR_REPURCH_EQTY_DETAILED</stp>
        <stp>FQ2 2013</stp>
        <stp>FQ2 2013</stp>
        <stp>[FA1_m42y3cpi.xlsx]Cash Flow - Standardized!R44C22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4" s="4"/>
      </tp>
      <tp>
        <v>-5269</v>
        <stp/>
        <stp>##V3_BDHV12</stp>
        <stp>XOM US Equity</stp>
        <stp>PROC_FR_REPURCH_EQTY_DETAILED</stp>
        <stp>FQ1 2011</stp>
        <stp>FQ1 2011</stp>
        <stp>[FA1_m42y3cpi.xlsx]Cash Flow - Standardized!R44C13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4" s="4"/>
      </tp>
      <tp>
        <v>5533</v>
        <stp/>
        <stp>##V3_BDHV12</stp>
        <stp>XOM US Equity</stp>
        <stp>FREE_CASH_FLOW_EQUITY</stp>
        <stp>FQ4 2013</stp>
        <stp>FQ4 2013</stp>
        <stp>[FA1_m42y3cpi.xlsx]Cash Flow - Standardized!R65C24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5" s="4"/>
      </tp>
      <tp>
        <v>-1</v>
        <stp/>
        <stp>##V3_BDHV12</stp>
        <stp>XOM US Equity</stp>
        <stp>PROC_FR_REPURCH_EQTY_DETAILED</stp>
        <stp>FQ3 2016</stp>
        <stp>FQ3 2016</stp>
        <stp>[FA1_m42y3cpi.xlsx]Cash Flow - Standardized!R44C35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4" s="4"/>
      </tp>
      <tp>
        <v>-2989</v>
        <stp/>
        <stp>##V3_BDHV12</stp>
        <stp>XOM US Equity</stp>
        <stp>PROC_FR_REPURCH_EQTY_DETAILED</stp>
        <stp>FQ2 2014</stp>
        <stp>FQ2 2014</stp>
        <stp>[FA1_m42y3cpi.xlsx]Cash Flow - Standardized!R44C26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4" s="4"/>
      </tp>
      <tp>
        <v>3988</v>
        <stp/>
        <stp>##V3_BDHV12</stp>
        <stp>XOM US Equity</stp>
        <stp>FREE_CASH_FLOW_EQUITY</stp>
        <stp>FQ4 2012</stp>
        <stp>FQ4 2012</stp>
        <stp>[FA1_m42y3cpi.xlsx]Cash Flow - Standardized!R65C20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5" s="4"/>
      </tp>
      <tp>
        <v>-501</v>
        <stp/>
        <stp>##V3_BDHV12</stp>
        <stp>XOM US Equity</stp>
        <stp>PROC_FR_REPURCH_EQTY_DETAILED</stp>
        <stp>FQ3 2015</stp>
        <stp>FQ3 2015</stp>
        <stp>[FA1_m42y3cpi.xlsx]Cash Flow - Standardized!R44C31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4" s="4"/>
      </tp>
      <tp>
        <v>-5622</v>
        <stp/>
        <stp>##V3_BDHV12</stp>
        <stp>XOM US Equity</stp>
        <stp>PROC_FR_REPURCH_EQTY_DETAILED</stp>
        <stp>FQ1 2012</stp>
        <stp>FQ1 2012</stp>
        <stp>[FA1_m42y3cpi.xlsx]Cash Flow - Standardized!R44C17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4" s="4"/>
      </tp>
      <tp>
        <v>11294</v>
        <stp/>
        <stp>##V3_BDHV12</stp>
        <stp>XOM US Equity</stp>
        <stp>EBIT</stp>
        <stp>FQ4 2010</stp>
        <stp>FQ4 2010</stp>
        <stp>[FA1_m42y3cpi.xlsx]Income - Adjusted!R64C12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4" s="2"/>
      </tp>
      <tp>
        <v>11349.9231</v>
        <stp/>
        <stp>##V3_BDHV12</stp>
        <stp>XOM US Equity</stp>
        <stp>EBIT</stp>
        <stp>FQ4 2012</stp>
        <stp>FQ4 2012</stp>
        <stp>[FA1_m42y3cpi.xlsx]Income - Adjusted!R64C20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4" s="2"/>
      </tp>
      <tp>
        <v>14193</v>
        <stp/>
        <stp>##V3_BDHV12</stp>
        <stp>XOM US Equity</stp>
        <stp>EBIT</stp>
        <stp>FQ1 2011</stp>
        <stp>FQ1 2011</stp>
        <stp>[FA1_m42y3cpi.xlsx]Income - Adjusted!R64C13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4" s="2"/>
      </tp>
      <tp>
        <v>11083</v>
        <stp/>
        <stp>##V3_BDHV12</stp>
        <stp>XOM US Equity</stp>
        <stp>EBIT</stp>
        <stp>FQ1 2013</stp>
        <stp>FQ1 2013</stp>
        <stp>[FA1_m42y3cpi.xlsx]Income - Adjusted!R64C21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4" s="2"/>
      </tp>
      <tp>
        <v>1137</v>
        <stp/>
        <stp>##V3_BDHV12</stp>
        <stp>XOM US Equity</stp>
        <stp>EBIT</stp>
        <stp>FQ2 2016</stp>
        <stp>FQ2 2016</stp>
        <stp>[FA1_m42y3cpi.xlsx]Income - Adjusted!R64C34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4" s="2"/>
      </tp>
      <tp>
        <v>8726</v>
        <stp/>
        <stp>##V3_BDHV12</stp>
        <stp>XOM US Equity</stp>
        <stp>EBIT</stp>
        <stp>FQ2 2014</stp>
        <stp>FQ2 2014</stp>
        <stp>[FA1_m42y3cpi.xlsx]Income - Adjusted!R64C26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4" s="2"/>
      </tp>
      <tp>
        <v>1.27</v>
        <stp/>
        <stp>##V3_BDHV12</stp>
        <stp>XOM US Equity</stp>
        <stp>IS_DIL_EPS_CONT_OPS</stp>
        <stp>FQ4 2009</stp>
        <stp>FQ4 2009</stp>
        <stp>[FA1_m42y3cpi.xlsx]Income - Adjusted!R57C8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7" s="2"/>
      </tp>
      <tp>
        <v>3488</v>
        <stp/>
        <stp>##V3_BDHV12</stp>
        <stp>XOM US Equity</stp>
        <stp>IS_OPERATING_EXPN</stp>
        <stp>FQ3 2014</stp>
        <stp>FQ3 2014</stp>
        <stp>[FA1_m42y3cpi.xlsx]Income - Adjusted!R13C27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3" s="2"/>
      </tp>
      <tp>
        <v>3063</v>
        <stp/>
        <stp>##V3_BDHV12</stp>
        <stp>XOM US Equity</stp>
        <stp>IS_OPERATING_EXPN</stp>
        <stp>FQ3 2016</stp>
        <stp>FQ3 2016</stp>
        <stp>[FA1_m42y3cpi.xlsx]Income - Adjusted!R13C35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3" s="2"/>
      </tp>
      <tp>
        <v>1076</v>
        <stp/>
        <stp>##V3_BDHV12</stp>
        <stp>XOM US Equity</stp>
        <stp>INC_DEC_IN_OT_OP_AST_LIAB_DETAIL</stp>
        <stp>FQ3 2011</stp>
        <stp>FQ3 2011</stp>
        <stp>[FA1_m42y3cpi.xlsx]Cash Flow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4"/>
      </tp>
      <tp>
        <v>0</v>
        <stp/>
        <stp>##V3_BDHV12</stp>
        <stp>XOM US Equity</stp>
        <stp>CF_NET_CASH_DISCONTINUED_OPS_FIN</stp>
        <stp>FQ3 2015</stp>
        <stp>FQ3 2015</stp>
        <stp>[FA1_m42y3cpi.xlsx]Cash Flow - Standardized!R48C31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8" s="4"/>
      </tp>
      <tp>
        <v>220330</v>
        <stp/>
        <stp>##V3_BDHV12</stp>
        <stp>XOM US Equity</stp>
        <stp>BS_NET_FIX_ASSET</stp>
        <stp>FQ3 2012</stp>
        <stp>FQ3 2012</stp>
        <stp>[FA1_m42y3cpi.xlsx]Bal Sheet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3"/>
      </tp>
      <tp>
        <v>0</v>
        <stp/>
        <stp>##V3_BDHV12</stp>
        <stp>XOM US Equity</stp>
        <stp>CF_NET_CASH_DISCONTINUED_OPS_FIN</stp>
        <stp>FQ1 2012</stp>
        <stp>FQ1 2012</stp>
        <stp>[FA1_m42y3cpi.xlsx]Cash Flow - Standardized!R48C17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8" s="4"/>
      </tp>
      <tp>
        <v>-399</v>
        <stp/>
        <stp>##V3_BDHV12</stp>
        <stp>XOM US Equity</stp>
        <stp>INC_DEC_IN_OT_OP_AST_LIAB_DETAIL</stp>
        <stp>FQ1 2016</stp>
        <stp>FQ1 2016</stp>
        <stp>[FA1_m42y3cpi.xlsx]Cash Flow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4"/>
      </tp>
      <tp>
        <v>1654</v>
        <stp/>
        <stp>##V3_BDHV12</stp>
        <stp>XOM US Equity</stp>
        <stp>INC_DEC_IN_OT_OP_AST_LIAB_DETAIL</stp>
        <stp>FQ3 2010</stp>
        <stp>FQ3 2010</stp>
        <stp>[FA1_m42y3cpi.xlsx]Cash Flow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4"/>
      </tp>
      <tp>
        <v>0</v>
        <stp/>
        <stp>##V3_BDHV12</stp>
        <stp>XOM US Equity</stp>
        <stp>CF_NET_CASH_DISCONTINUED_OPS_FIN</stp>
        <stp>FQ4 2017</stp>
        <stp>FQ4 2017</stp>
        <stp>[FA1_m42y3cpi.xlsx]Cash Flow - Standardized!R48C40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8" s="4"/>
      </tp>
      <tp>
        <v>0</v>
        <stp/>
        <stp>##V3_BDHV12</stp>
        <stp>XOM US Equity</stp>
        <stp>CF_NET_CASH_DISCONTINUED_OPS_FIN</stp>
        <stp>FQ2 2013</stp>
        <stp>FQ2 2013</stp>
        <stp>[FA1_m42y3cpi.xlsx]Cash Flow - Standardized!R48C22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8" s="4"/>
      </tp>
      <tp>
        <v>0</v>
        <stp/>
        <stp>##V3_BDHV12</stp>
        <stp>XOM US Equity</stp>
        <stp>CF_NET_CASH_DISCONTINUED_OPS_FIN</stp>
        <stp>FQ1 2011</stp>
        <stp>FQ1 2011</stp>
        <stp>[FA1_m42y3cpi.xlsx]Cash Flow - Standardized!R48C13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8" s="4"/>
      </tp>
      <tp>
        <v>793</v>
        <stp/>
        <stp>##V3_BDHV12</stp>
        <stp>XOM US Equity</stp>
        <stp>INC_DEC_IN_OT_OP_AST_LIAB_DETAIL</stp>
        <stp>FQ1 2017</stp>
        <stp>FQ1 2017</stp>
        <stp>[FA1_m42y3cpi.xlsx]Cash Flow - Standardized!R15C37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5" s="4"/>
      </tp>
      <tp>
        <v>0</v>
        <stp/>
        <stp>##V3_BDHV12</stp>
        <stp>XOM US Equity</stp>
        <stp>CF_NET_CASH_DISCONTINUED_OPS_FIN</stp>
        <stp>FQ3 2016</stp>
        <stp>FQ3 2016</stp>
        <stp>[FA1_m42y3cpi.xlsx]Cash Flow - Standardized!R48C35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8" s="4"/>
      </tp>
      <tp>
        <v>0</v>
        <stp/>
        <stp>##V3_BDHV12</stp>
        <stp>XOM US Equity</stp>
        <stp>CF_NET_CASH_DISCONTINUED_OPS_FIN</stp>
        <stp>FQ2 2014</stp>
        <stp>FQ2 2014</stp>
        <stp>[FA1_m42y3cpi.xlsx]Cash Flow - Standardized!R48C26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8" s="4"/>
      </tp>
      <tp>
        <v>253147</v>
        <stp/>
        <stp>##V3_BDHV12</stp>
        <stp>XOM US Equity</stp>
        <stp>BS_NET_FIX_ASSET</stp>
        <stp>FQ1 2017</stp>
        <stp>FQ1 2017</stp>
        <stp>[FA1_m42y3cpi.xlsx]Bal Sheet - Standardized!R23C37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3"/>
      </tp>
      <tp>
        <v>0</v>
        <stp/>
        <stp>##V3_BDHV12</stp>
        <stp>XOM US Equity</stp>
        <stp>CF_NET_CASH_DISCONTINUED_OPS_FIN</stp>
        <stp>FQ3 2017</stp>
        <stp>FQ3 2017</stp>
        <stp>[FA1_m42y3cpi.xlsx]Cash Flow - Standardized!R48C39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8" s="4"/>
      </tp>
      <tp>
        <v>195440</v>
        <stp/>
        <stp>##V3_BDHV12</stp>
        <stp>XOM US Equity</stp>
        <stp>BS_NET_FIX_ASSET</stp>
        <stp>FQ3 2010</stp>
        <stp>FQ3 2010</stp>
        <stp>[FA1_m42y3cpi.xlsx]Bal Sheet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3"/>
      </tp>
      <tp>
        <v>255257</v>
        <stp/>
        <stp>##V3_BDHV12</stp>
        <stp>XOM US Equity</stp>
        <stp>BS_NET_FIX_ASSET</stp>
        <stp>FQ1 2016</stp>
        <stp>FQ1 2016</stp>
        <stp>[FA1_m42y3cpi.xlsx]Bal Sheet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3"/>
      </tp>
      <tp>
        <v>1375.0769</v>
        <stp/>
        <stp>##V3_BDHV12</stp>
        <stp>XOM US Equity</stp>
        <stp>IS_OTHER_OPERATING_EXPENSES</stp>
        <stp>FQ4 2012</stp>
        <stp>FQ4 2012</stp>
        <stp>[FA1_m42y3cpi.xlsx]Income - Adjusted!R15C20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5" s="2"/>
      </tp>
      <tp>
        <v>550</v>
        <stp/>
        <stp>##V3_BDHV12</stp>
        <stp>XOM US Equity</stp>
        <stp>IS_OTHER_OPERATING_EXPENSES</stp>
        <stp>FQ4 2010</stp>
        <stp>FQ4 2010</stp>
        <stp>[FA1_m42y3cpi.xlsx]Income - Adjusted!R15C12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5" s="2"/>
      </tp>
      <tp>
        <v>445</v>
        <stp/>
        <stp>##V3_BDHV12</stp>
        <stp>XOM US Equity</stp>
        <stp>IS_OTHER_OPERATING_EXPENSES</stp>
        <stp>FQ1 2013</stp>
        <stp>FQ1 2013</stp>
        <stp>[FA1_m42y3cpi.xlsx]Income - Adjusted!R15C21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5" s="2"/>
      </tp>
      <tp>
        <v>334</v>
        <stp/>
        <stp>##V3_BDHV12</stp>
        <stp>XOM US Equity</stp>
        <stp>IS_OTHER_OPERATING_EXPENSES</stp>
        <stp>FQ1 2011</stp>
        <stp>FQ1 2011</stp>
        <stp>[FA1_m42y3cpi.xlsx]Income - Adjusted!R15C13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5" s="2"/>
      </tp>
      <tp>
        <v>445</v>
        <stp/>
        <stp>##V3_BDHV12</stp>
        <stp>XOM US Equity</stp>
        <stp>IS_OTHER_OPERATING_EXPENSES</stp>
        <stp>FQ2 2016</stp>
        <stp>FQ2 2016</stp>
        <stp>[FA1_m42y3cpi.xlsx]Income - Adjusted!R15C34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5" s="2"/>
      </tp>
      <tp>
        <v>496</v>
        <stp/>
        <stp>##V3_BDHV12</stp>
        <stp>XOM US Equity</stp>
        <stp>IS_OTHER_OPERATING_EXPENSES</stp>
        <stp>FQ2 2014</stp>
        <stp>FQ2 2014</stp>
        <stp>[FA1_m42y3cpi.xlsx]Income - Adjusted!R15C26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5" s="2"/>
      </tp>
      <tp>
        <v>209194</v>
        <stp/>
        <stp>##V3_BDHV12</stp>
        <stp>XOM US Equity</stp>
        <stp>BS_NET_FIX_ASSET</stp>
        <stp>FQ3 2011</stp>
        <stp>FQ3 2011</stp>
        <stp>[FA1_m42y3cpi.xlsx]Bal Sheet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3"/>
      </tp>
      <tp>
        <v>-289</v>
        <stp/>
        <stp>##V3_BDHV12</stp>
        <stp>XOM US Equity</stp>
        <stp>INC_DEC_IN_OT_OP_AST_LIAB_DETAIL</stp>
        <stp>FQ3 2012</stp>
        <stp>FQ3 2012</stp>
        <stp>[FA1_m42y3cpi.xlsx]Cash Flow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4"/>
      </tp>
      <tp>
        <v>0</v>
        <stp/>
        <stp>##V3_BDHV12</stp>
        <stp>XOM US Equity</stp>
        <stp>CF_NT_CSH_RCVD_PD_FOR_ACQUIS_DIV</stp>
        <stp>FQ4 2013</stp>
        <stp>FQ4 2013</stp>
        <stp>[FA1_m42y3cpi.xlsx]Cash Flow - Standardized!R30C24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4"/>
      </tp>
      <tp t="s">
        <v>—</v>
        <stp/>
        <stp>##V3_BDHV12</stp>
        <stp>XOM US Equity</stp>
        <stp>BS_LONG_TERM_INVESTMENTS</stp>
        <stp>FQ3 2013</stp>
        <stp>FQ3 2013</stp>
        <stp>[FA1_m42y3cpi.xlsx]Bal Sheet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3"/>
      </tp>
      <tp>
        <v>11416</v>
        <stp/>
        <stp>##V3_BDHV12</stp>
        <stp>XOM US Equity</stp>
        <stp>IS_OPER_INC</stp>
        <stp>FQ4 2011</stp>
        <stp>FQ4 2011</stp>
        <stp>[FA1_m42y3cpi.xlsx]Income - Adjusted!R16C16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6" s="2"/>
      </tp>
      <tp>
        <v>9722</v>
        <stp/>
        <stp>##V3_BDHV12</stp>
        <stp>XOM US Equity</stp>
        <stp>IS_OPER_INC</stp>
        <stp>FQ4 2013</stp>
        <stp>FQ4 2013</stp>
        <stp>[FA1_m42y3cpi.xlsx]Income - Adjusted!R16C24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6" s="2"/>
      </tp>
      <tp>
        <v>3990.7692000000002</v>
        <stp/>
        <stp>##V3_BDHV12</stp>
        <stp>XOM US Equity</stp>
        <stp>IS_OPER_INC</stp>
        <stp>FQ4 2017</stp>
        <stp>FQ4 2017</stp>
        <stp>[FA1_m42y3cpi.xlsx]Income - Adjusted!R16C40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6" s="2"/>
      </tp>
      <tp>
        <v>572</v>
        <stp/>
        <stp>##V3_BDHV12</stp>
        <stp>XOM US Equity</stp>
        <stp>IS_OPER_INC</stp>
        <stp>FQ4 2015</stp>
        <stp>FQ4 2015</stp>
        <stp>[FA1_m42y3cpi.xlsx]Income - Adjusted!R16C32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6" s="2"/>
      </tp>
      <tp t="s">
        <v>—</v>
        <stp/>
        <stp>##V3_BDHV12</stp>
        <stp>XOM US Equity</stp>
        <stp>BS_LONG_TERM_INVESTMENTS</stp>
        <stp>FQ3 2014</stp>
        <stp>FQ3 2014</stp>
        <stp>[FA1_m42y3cpi.xlsx]Bal Sheet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3"/>
      </tp>
      <tp t="s">
        <v>—</v>
        <stp/>
        <stp>##V3_BDHV12</stp>
        <stp>XOM US Equity</stp>
        <stp>BS_LONG_TERM_INVESTMENTS</stp>
        <stp>FQ2 2016</stp>
        <stp>FQ2 2016</stp>
        <stp>[FA1_m42y3cpi.xlsx]Bal Sheet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3"/>
      </tp>
      <tp>
        <v>0</v>
        <stp/>
        <stp>##V3_BDHV12</stp>
        <stp>XOM US Equity</stp>
        <stp>CF_NT_CSH_RCVD_PD_FOR_ACQUIS_DIV</stp>
        <stp>FQ4 2012</stp>
        <stp>FQ4 2012</stp>
        <stp>[FA1_m42y3cpi.xlsx]Cash Flow - Standardized!R30C20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4"/>
      </tp>
      <tp t="s">
        <v>—</v>
        <stp/>
        <stp>##V3_BDHV12</stp>
        <stp>XOM US Equity</stp>
        <stp>BS_LONG_TERM_INVESTMENTS</stp>
        <stp>FQ2 2015</stp>
        <stp>FQ2 2015</stp>
        <stp>[FA1_m42y3cpi.xlsx]Bal Sheet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3"/>
      </tp>
      <tp>
        <v>0</v>
        <stp/>
        <stp>##V3_BDHV12</stp>
        <stp>XOM US Equity</stp>
        <stp>CF_NT_CSH_RCVD_PD_FOR_ACQUIS_DIV</stp>
        <stp>FQ4 2014</stp>
        <stp>FQ4 2014</stp>
        <stp>[FA1_m42y3cpi.xlsx]Cash Flow - Standardized!R30C28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4"/>
      </tp>
      <tp>
        <v>0</v>
        <stp/>
        <stp>##V3_BDHV12</stp>
        <stp>XOM US Equity</stp>
        <stp>CF_NT_CSH_RCVD_PD_FOR_ACQUIS_DIV</stp>
        <stp>FQ2 2018</stp>
        <stp>FQ2 2018</stp>
        <stp>[FA1_m42y3cpi.xlsx]Cash Flow - Standardized!R30C42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0" s="4"/>
      </tp>
      <tp t="s">
        <v>—</v>
        <stp/>
        <stp>##V3_BDHV12</stp>
        <stp>XOM US Equity</stp>
        <stp>BS_LONG_TERM_INVESTMENTS</stp>
        <stp>FQ2 2017</stp>
        <stp>FQ2 2017</stp>
        <stp>[FA1_m42y3cpi.xlsx]Bal Sheet - Standardized!R27C38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3"/>
      </tp>
      <tp>
        <v>2.1800000000000002</v>
        <stp/>
        <stp>##V3_BDHV12</stp>
        <stp>XOM US Equity</stp>
        <stp>IS_DIL_EPS_BEF_XO</stp>
        <stp>FQ2 2011</stp>
        <stp>FQ2 2011</stp>
        <stp>[FA1_m42y3cpi.xlsx]Income - Adjusted!R56C14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6" s="2"/>
      </tp>
      <tp>
        <v>1</v>
        <stp/>
        <stp>##V3_BDHV12</stp>
        <stp>XOM US Equity</stp>
        <stp>IS_DIL_EPS_BEF_XO</stp>
        <stp>FQ2 2015</stp>
        <stp>FQ2 2015</stp>
        <stp>[FA1_m42y3cpi.xlsx]Income - Adjusted!R56C30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6" s="2"/>
      </tp>
      <tp>
        <v>2</v>
        <stp/>
        <stp>##V3_BDHV12</stp>
        <stp>XOM US Equity</stp>
        <stp>IS_DIL_EPS_BEF_XO</stp>
        <stp>FQ1 2012</stp>
        <stp>FQ1 2012</stp>
        <stp>[FA1_m42y3cpi.xlsx]Income - Adjusted!R56C17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6" s="2"/>
      </tp>
      <tp>
        <v>0.43</v>
        <stp/>
        <stp>##V3_BDHV12</stp>
        <stp>XOM US Equity</stp>
        <stp>IS_DIL_EPS_BEF_XO</stp>
        <stp>FQ1 2016</stp>
        <stp>FQ1 2016</stp>
        <stp>[FA1_m42y3cpi.xlsx]Income - Adjusted!R56C33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6" s="2"/>
      </tp>
      <tp>
        <v>8909</v>
        <stp/>
        <stp>##V3_BDHV12</stp>
        <stp>XOM US Equity</stp>
        <stp>IS_OPER_INC</stp>
        <stp>FQ1 2010</stp>
        <stp>FQ1 2010</stp>
        <stp>[FA1_m42y3cpi.xlsx]Income - Adjusted!R16C9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6" s="2"/>
      </tp>
      <tp>
        <v>1.55</v>
        <stp/>
        <stp>##V3_BDHV12</stp>
        <stp>XOM US Equity</stp>
        <stp>IS_DIL_EPS_CONT_OPS</stp>
        <stp>FQ2 2013</stp>
        <stp>FQ2 2013</stp>
        <stp>[FA1_m42y3cpi.xlsx]Per Share!R19C22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9" s="5"/>
      </tp>
      <tp>
        <v>1.4403000000000001</v>
        <stp/>
        <stp>##V3_BDHV12</stp>
        <stp>XOM US Equity</stp>
        <stp>IS_DIL_EPS_CONT_OPS</stp>
        <stp>FQ3 2010</stp>
        <stp>FQ3 2010</stp>
        <stp>[FA1_m42y3cpi.xlsx]Per Share!R19C11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9" s="5"/>
      </tp>
      <tp>
        <v>2.1</v>
        <stp/>
        <stp>##V3_BDHV12</stp>
        <stp>XOM US Equity</stp>
        <stp>IS_DIL_EPS_CONT_OPS</stp>
        <stp>FQ1 2014</stp>
        <stp>FQ1 2014</stp>
        <stp>[FA1_m42y3cpi.xlsx]Per Share!R19C25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9" s="5"/>
      </tp>
      <tp t="s">
        <v>—</v>
        <stp/>
        <stp>##V3_BDHV12</stp>
        <stp>XOM US Equity</stp>
        <stp>CF_STOCK_BASED_COMPENSATION</stp>
        <stp>FQ3 2010</stp>
        <stp>FQ3 2010</stp>
        <stp>[FA1_m42y3cpi.xlsx]Cash Flow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4"/>
      </tp>
      <tp t="s">
        <v>—</v>
        <stp/>
        <stp>##V3_BDHV12</stp>
        <stp>XOM US Equity</stp>
        <stp>CF_STOCK_BASED_COMPENSATION</stp>
        <stp>FQ1 2017</stp>
        <stp>FQ1 2017</stp>
        <stp>[FA1_m42y3cpi.xlsx]Cash Flow - Standardized!R10C37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0" s="4"/>
      </tp>
      <tp t="s">
        <v>—</v>
        <stp/>
        <stp>##V3_BDHV12</stp>
        <stp>XOM US Equity</stp>
        <stp>CF_STOCK_BASED_COMPENSATION</stp>
        <stp>FQ3 2011</stp>
        <stp>FQ3 2011</stp>
        <stp>[FA1_m42y3cpi.xlsx]Cash Flow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4"/>
      </tp>
      <tp t="s">
        <v>—</v>
        <stp/>
        <stp>##V3_BDHV12</stp>
        <stp>XOM US Equity</stp>
        <stp>CF_STOCK_BASED_COMPENSATION</stp>
        <stp>FQ1 2016</stp>
        <stp>FQ1 2016</stp>
        <stp>[FA1_m42y3cpi.xlsx]Cash Flow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4"/>
      </tp>
      <tp>
        <v>141</v>
        <stp/>
        <stp>##V3_BDHV12</stp>
        <stp>XOM US Equity</stp>
        <stp>MIN_NONCONTROL_INTEREST_CREDITS</stp>
        <stp>FQ3 2009</stp>
        <stp>FQ3 2009</stp>
        <stp>[FA1_m42y3cpi.xlsx]Income - Adjusted!R39C7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39" s="2"/>
      </tp>
      <tp>
        <v>-4</v>
        <stp/>
        <stp>##V3_BDHV12</stp>
        <stp>XOM US Equity</stp>
        <stp>MIN_NONCONTROL_INTEREST_CREDITS</stp>
        <stp>FQ2 2009</stp>
        <stp>FQ2 2009</stp>
        <stp>[FA1_m42y3cpi.xlsx]Income - Adjusted!R39C6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39" s="2"/>
      </tp>
      <tp>
        <v>152</v>
        <stp/>
        <stp>##V3_BDHV12</stp>
        <stp>XOM US Equity</stp>
        <stp>MIN_NONCONTROL_INTEREST_CREDITS</stp>
        <stp>FQ1 2009</stp>
        <stp>FQ1 2009</stp>
        <stp>[FA1_m42y3cpi.xlsx]Income - Adjusted!R39C5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39" s="2"/>
      </tp>
      <tp>
        <v>3946</v>
        <stp/>
        <stp>##V3_BDHV12</stp>
        <stp>XOM US Equity</stp>
        <stp>NI_INCLUDING_MINORITY_INT_RATIO</stp>
        <stp>FQ2 2009</stp>
        <stp>FQ2 2009</stp>
        <stp>[FA1_m42y3cpi.xlsx]Income - Adjusted!R38C6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38" s="2"/>
      </tp>
      <tp>
        <v>4871</v>
        <stp/>
        <stp>##V3_BDHV12</stp>
        <stp>XOM US Equity</stp>
        <stp>NI_INCLUDING_MINORITY_INT_RATIO</stp>
        <stp>FQ3 2009</stp>
        <stp>FQ3 2009</stp>
        <stp>[FA1_m42y3cpi.xlsx]Income - Adjusted!R38C7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38" s="2"/>
      </tp>
      <tp>
        <v>4702</v>
        <stp/>
        <stp>##V3_BDHV12</stp>
        <stp>XOM US Equity</stp>
        <stp>NI_INCLUDING_MINORITY_INT_RATIO</stp>
        <stp>FQ1 2009</stp>
        <stp>FQ1 2009</stp>
        <stp>[FA1_m42y3cpi.xlsx]Income - Adjusted!R38C5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38" s="2"/>
      </tp>
      <tp>
        <v>5231.0365000000002</v>
        <stp/>
        <stp>##V3_BDHV12</stp>
        <stp>XOM US Equity</stp>
        <stp>CF_FREE_CASH_FLOW_FIRM</stp>
        <stp>FQ4 2008</stp>
        <stp>FQ4 2008</stp>
        <stp>[FA1_m42y3cpi.xlsx]Cash Flow - Standardized!R64C4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64" s="4"/>
      </tp>
      <tp t="s">
        <v>—</v>
        <stp/>
        <stp>##V3_BDHV12</stp>
        <stp>XOM US Equity</stp>
        <stp>CF_STOCK_BASED_COMPENSATION</stp>
        <stp>FQ3 2012</stp>
        <stp>FQ3 2012</stp>
        <stp>[FA1_m42y3cpi.xlsx]Cash Flow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4"/>
      </tp>
      <tp>
        <v>9444.0588000000007</v>
        <stp/>
        <stp>##V3_BDHV12</stp>
        <stp>XOM US Equity</stp>
        <stp>CF_FREE_CASH_FLOW_FIRM</stp>
        <stp>FQ3 2008</stp>
        <stp>FQ3 2008</stp>
        <stp>[FA1_m42y3cpi.xlsx]Cash Flow - Standardized!R64C3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64" s="4"/>
      </tp>
      <tp>
        <v>-4271</v>
        <stp/>
        <stp>##V3_BDHV12</stp>
        <stp>XOM US Equity</stp>
        <stp>ACQUIS_FXD_&amp;_INTANG_DETAILED</stp>
        <stp>FQ2 2016</stp>
        <stp>FQ2 2016</stp>
        <stp>[FA1_m42y3cpi.xlsx]Cash Flow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4"/>
      </tp>
      <tp>
        <v>-8198</v>
        <stp/>
        <stp>##V3_BDHV12</stp>
        <stp>XOM US Equity</stp>
        <stp>ACQUIS_FXD_&amp;_INTANG_DETAILED</stp>
        <stp>FQ3 2014</stp>
        <stp>FQ3 2014</stp>
        <stp>[FA1_m42y3cpi.xlsx]Cash Flow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4"/>
      </tp>
      <tp>
        <v>-9098</v>
        <stp/>
        <stp>##V3_BDHV12</stp>
        <stp>XOM US Equity</stp>
        <stp>ACQUIS_FXD_&amp;_INTANG_DETAILED</stp>
        <stp>FQ3 2013</stp>
        <stp>FQ3 2013</stp>
        <stp>[FA1_m42y3cpi.xlsx]Cash Flow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4"/>
      </tp>
      <tp>
        <v>2.09</v>
        <stp/>
        <stp>##V3_BDHV12</stp>
        <stp>XOM US Equity</stp>
        <stp>IS_EARN_BEF_XO_ITEMS_PER_SH</stp>
        <stp>FQ3 2012</stp>
        <stp>FQ3 2012</stp>
        <stp>[FA1_m42y3cpi.xlsx]Income - Adjusted!R51C19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1" s="2"/>
      </tp>
      <tp>
        <v>17189</v>
        <stp/>
        <stp>##V3_BDHV12</stp>
        <stp>XOM US Equity</stp>
        <stp>GROSS_PROFIT</stp>
        <stp>FQ3 2012</stp>
        <stp>FQ3 2012</stp>
        <stp>[FA1_m42y3cpi.xlsx]Income - Adjusted!R11C19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1" s="2"/>
      </tp>
      <tp>
        <v>-7109</v>
        <stp/>
        <stp>##V3_BDHV12</stp>
        <stp>XOM US Equity</stp>
        <stp>ACQUIS_FXD_&amp;_INTANG_DETAILED</stp>
        <stp>FQ2 2015</stp>
        <stp>FQ2 2015</stp>
        <stp>[FA1_m42y3cpi.xlsx]Cash Flow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4"/>
      </tp>
      <tp t="s">
        <v>—</v>
        <stp/>
        <stp>##V3_BDHV12</stp>
        <stp>XOM US Equity</stp>
        <stp>IS_FOREIGN_EXCH_LOSS</stp>
        <stp>FQ4 2016</stp>
        <stp>FQ4 2016</stp>
        <stp>[FA1_m42y3cpi.xlsx]Income - Adjusted!R21C36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1" s="2"/>
      </tp>
      <tp t="s">
        <v>—</v>
        <stp/>
        <stp>##V3_BDHV12</stp>
        <stp>XOM US Equity</stp>
        <stp>IS_FOREIGN_EXCH_LOSS</stp>
        <stp>FQ3 2013</stp>
        <stp>FQ3 2013</stp>
        <stp>[FA1_m42y3cpi.xlsx]Income - Adjusted!R21C23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1" s="2"/>
      </tp>
      <tp>
        <v>-3098</v>
        <stp/>
        <stp>##V3_BDHV12</stp>
        <stp>XOM US Equity</stp>
        <stp>ACQUIS_FXD_&amp;_INTANG_DETAILED</stp>
        <stp>FQ2 2017</stp>
        <stp>FQ2 2017</stp>
        <stp>[FA1_m42y3cpi.xlsx]Cash Flow - Standardized!R24C38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4" s="4"/>
      </tp>
      <tp t="s">
        <v>—</v>
        <stp/>
        <stp>##V3_BDHV12</stp>
        <stp>XOM US Equity</stp>
        <stp>IS_FOREIGN_EXCH_LOSS</stp>
        <stp>FQ2 2010</stp>
        <stp>FQ2 2010</stp>
        <stp>[FA1_m42y3cpi.xlsx]Income - Adjusted!R21C10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1" s="2"/>
      </tp>
      <tp t="s">
        <v>—</v>
        <stp/>
        <stp>##V3_BDHV12</stp>
        <stp>XOM US Equity</stp>
        <stp>IS_FOREIGN_EXCH_LOSS</stp>
        <stp>FQ1 2017</stp>
        <stp>FQ1 2017</stp>
        <stp>[FA1_m42y3cpi.xlsx]Income - Adjusted!R21C37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21" s="2"/>
      </tp>
      <tp>
        <v>2322</v>
        <stp/>
        <stp>##V3_BDHV12</stp>
        <stp>XOM US Equity</stp>
        <stp>FREE_CASH_FLOW_EQUITY</stp>
        <stp>FQ2 2017</stp>
        <stp>FQ2 2017</stp>
        <stp>[FA1_m42y3cpi.xlsx]Cash Flow - Standardized!R65C38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5" s="4"/>
      </tp>
      <tp>
        <v>-747</v>
        <stp/>
        <stp>##V3_BDHV12</stp>
        <stp>XOM US Equity</stp>
        <stp>PROC_FR_REPURCH_EQTY_DETAILED</stp>
        <stp>FQ4 2015</stp>
        <stp>FQ4 2015</stp>
        <stp>[FA1_m42y3cpi.xlsx]Cash Flow - Standardized!R44C32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4" s="4"/>
      </tp>
      <tp>
        <v>6460</v>
        <stp/>
        <stp>##V3_BDHV12</stp>
        <stp>XOM US Equity</stp>
        <stp>FREE_CASH_FLOW_EQUITY</stp>
        <stp>FQ3 2013</stp>
        <stp>FQ3 2013</stp>
        <stp>[FA1_m42y3cpi.xlsx]Cash Flow - Standardized!R65C23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5" s="4"/>
      </tp>
      <tp>
        <v>2677</v>
        <stp/>
        <stp>##V3_BDHV12</stp>
        <stp>XOM US Equity</stp>
        <stp>FREE_CASH_FLOW_EQUITY</stp>
        <stp>FQ2 2016</stp>
        <stp>FQ2 2016</stp>
        <stp>[FA1_m42y3cpi.xlsx]Cash Flow - Standardized!R65C34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5" s="4"/>
      </tp>
      <tp>
        <v>4637</v>
        <stp/>
        <stp>##V3_BDHV12</stp>
        <stp>XOM US Equity</stp>
        <stp>FREE_CASH_FLOW_EQUITY</stp>
        <stp>FQ3 2014</stp>
        <stp>FQ3 2014</stp>
        <stp>[FA1_m42y3cpi.xlsx]Cash Flow - Standardized!R65C27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5" s="4"/>
      </tp>
      <tp>
        <v>3235</v>
        <stp/>
        <stp>##V3_BDHV12</stp>
        <stp>XOM US Equity</stp>
        <stp>FREE_CASH_FLOW_EQUITY</stp>
        <stp>FQ2 2015</stp>
        <stp>FQ2 2015</stp>
        <stp>[FA1_m42y3cpi.xlsx]Cash Flow - Standardized!R65C30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5" s="4"/>
      </tp>
      <tp>
        <v>-250</v>
        <stp/>
        <stp>##V3_BDHV12</stp>
        <stp>XOM US Equity</stp>
        <stp>PROC_FR_REPURCH_EQTY_DETAILED</stp>
        <stp>FQ4 2016</stp>
        <stp>FQ4 2016</stp>
        <stp>[FA1_m42y3cpi.xlsx]Cash Flow - Standardized!R44C36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4" s="4"/>
      </tp>
      <tp>
        <v>12758</v>
        <stp/>
        <stp>##V3_BDHV12</stp>
        <stp>XOM US Equity</stp>
        <stp>EBIT</stp>
        <stp>FQ1 2012</stp>
        <stp>FQ1 2012</stp>
        <stp>[FA1_m42y3cpi.xlsx]Income - Adjusted!R64C17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4" s="2"/>
      </tp>
      <tp>
        <v>205</v>
        <stp/>
        <stp>##V3_BDHV12</stp>
        <stp>XOM US Equity</stp>
        <stp>EBIT</stp>
        <stp>FQ1 2016</stp>
        <stp>FQ1 2016</stp>
        <stp>[FA1_m42y3cpi.xlsx]Income - Adjusted!R64C33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4" s="2"/>
      </tp>
      <tp>
        <v>14572</v>
        <stp/>
        <stp>##V3_BDHV12</stp>
        <stp>XOM US Equity</stp>
        <stp>EBIT</stp>
        <stp>FQ2 2011</stp>
        <stp>FQ2 2011</stp>
        <stp>[FA1_m42y3cpi.xlsx]Income - Adjusted!R64C14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4" s="2"/>
      </tp>
      <tp>
        <v>4286</v>
        <stp/>
        <stp>##V3_BDHV12</stp>
        <stp>XOM US Equity</stp>
        <stp>EBIT</stp>
        <stp>FQ2 2015</stp>
        <stp>FQ2 2015</stp>
        <stp>[FA1_m42y3cpi.xlsx]Income - Adjusted!R64C30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4" s="2"/>
      </tp>
      <tp>
        <v>3291</v>
        <stp/>
        <stp>##V3_BDHV12</stp>
        <stp>XOM US Equity</stp>
        <stp>IS_OPERATING_EXPN</stp>
        <stp>FQ3 2015</stp>
        <stp>FQ3 2015</stp>
        <stp>[FA1_m42y3cpi.xlsx]Income - Adjusted!R13C31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3" s="2"/>
      </tp>
      <tp>
        <v>4492</v>
        <stp/>
        <stp>##V3_BDHV12</stp>
        <stp>XOM US Equity</stp>
        <stp>IS_OPERATING_EXPN</stp>
        <stp>FQ3 2011</stp>
        <stp>FQ3 2011</stp>
        <stp>[FA1_m42y3cpi.xlsx]Income - Adjusted!R13C15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3" s="2"/>
      </tp>
      <tp>
        <v>123</v>
        <stp/>
        <stp>##V3_BDHV12</stp>
        <stp>XOM US Equity</stp>
        <stp>INC_DEC_IN_OT_OP_AST_LIAB_DETAIL</stp>
        <stp>FQ4 2010</stp>
        <stp>FQ4 2010</stp>
        <stp>[FA1_m42y3cpi.xlsx]Cash Flow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4"/>
      </tp>
      <tp>
        <v>250352</v>
        <stp/>
        <stp>##V3_BDHV12</stp>
        <stp>XOM US Equity</stp>
        <stp>BS_NET_FIX_ASSET</stp>
        <stp>FQ1 2018</stp>
        <stp>FQ1 2018</stp>
        <stp>[FA1_m42y3cpi.xlsx]Bal Sheet - Standardized!R23C41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3"/>
      </tp>
      <tp>
        <v>0</v>
        <stp/>
        <stp>##V3_BDHV12</stp>
        <stp>XOM US Equity</stp>
        <stp>CF_NET_CASH_DISCONTINUED_OPS_FIN</stp>
        <stp>FQ4 2016</stp>
        <stp>FQ4 2016</stp>
        <stp>[FA1_m42y3cpi.xlsx]Cash Flow - Standardized!R48C36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8" s="4"/>
      </tp>
      <tp>
        <v>4512</v>
        <stp/>
        <stp>##V3_BDHV12</stp>
        <stp>XOM US Equity</stp>
        <stp>BS_TAXES_PAYABLE</stp>
        <stp>FQ1 2015</stp>
        <stp>FQ1 2015</stp>
        <stp>[FA1_m42y3cpi.xlsx]Bal Sheet - Standardized!R44C29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4" s="3"/>
      </tp>
      <tp>
        <v>-3166</v>
        <stp/>
        <stp>##V3_BDHV12</stp>
        <stp>XOM US Equity</stp>
        <stp>INC_DEC_IN_OT_OP_AST_LIAB_DETAIL</stp>
        <stp>FQ4 2011</stp>
        <stp>FQ4 2011</stp>
        <stp>[FA1_m42y3cpi.xlsx]Cash Flow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4"/>
      </tp>
      <tp>
        <v>0</v>
        <stp/>
        <stp>##V3_BDHV12</stp>
        <stp>XOM US Equity</stp>
        <stp>CF_NET_CASH_DISCONTINUED_OPS_FIN</stp>
        <stp>FQ4 2015</stp>
        <stp>FQ4 2015</stp>
        <stp>[FA1_m42y3cpi.xlsx]Cash Flow - Standardized!R48C32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8" s="4"/>
      </tp>
      <tp>
        <v>12110</v>
        <stp/>
        <stp>##V3_BDHV12</stp>
        <stp>XOM US Equity</stp>
        <stp>BS_TAXES_PAYABLE</stp>
        <stp>FQ2 2012</stp>
        <stp>FQ2 2012</stp>
        <stp>[FA1_m42y3cpi.xlsx]Bal Sheet - Standardized!R44C18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4" s="3"/>
      </tp>
      <tp>
        <v>12315</v>
        <stp/>
        <stp>##V3_BDHV12</stp>
        <stp>XOM US Equity</stp>
        <stp>BS_TAXES_PAYABLE</stp>
        <stp>FQ2 2011</stp>
        <stp>FQ2 2011</stp>
        <stp>[FA1_m42y3cpi.xlsx]Bal Sheet - Standardized!R44C14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4" s="3"/>
      </tp>
      <tp>
        <v>214664</v>
        <stp/>
        <stp>##V3_BDHV12</stp>
        <stp>XOM US Equity</stp>
        <stp>BS_NET_FIX_ASSET</stp>
        <stp>FQ4 2011</stp>
        <stp>FQ4 2011</stp>
        <stp>[FA1_m42y3cpi.xlsx]Bal Sheet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3"/>
      </tp>
      <tp>
        <v>10169</v>
        <stp/>
        <stp>##V3_BDHV12</stp>
        <stp>XOM US Equity</stp>
        <stp>BS_TAXES_PAYABLE</stp>
        <stp>FQ1 2013</stp>
        <stp>FQ1 2013</stp>
        <stp>[FA1_m42y3cpi.xlsx]Bal Sheet - Standardized!R44C21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4" s="3"/>
      </tp>
      <tp>
        <v>9421</v>
        <stp/>
        <stp>##V3_BDHV12</stp>
        <stp>XOM US Equity</stp>
        <stp>BS_TAXES_PAYABLE</stp>
        <stp>FQ2 2010</stp>
        <stp>FQ2 2010</stp>
        <stp>[FA1_m42y3cpi.xlsx]Bal Sheet - Standardized!R44C10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4" s="3"/>
      </tp>
      <tp>
        <v>355</v>
        <stp/>
        <stp>##V3_BDHV12</stp>
        <stp>XOM US Equity</stp>
        <stp>IS_OTHER_OPERATING_EXPENSES</stp>
        <stp>FQ1 2016</stp>
        <stp>FQ1 2016</stp>
        <stp>[FA1_m42y3cpi.xlsx]Income - Adjusted!R15C33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5" s="2"/>
      </tp>
      <tp>
        <v>522</v>
        <stp/>
        <stp>##V3_BDHV12</stp>
        <stp>XOM US Equity</stp>
        <stp>IS_OTHER_OPERATING_EXPENSES</stp>
        <stp>FQ1 2012</stp>
        <stp>FQ1 2012</stp>
        <stp>[FA1_m42y3cpi.xlsx]Income - Adjusted!R15C17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5" s="2"/>
      </tp>
      <tp>
        <v>370</v>
        <stp/>
        <stp>##V3_BDHV12</stp>
        <stp>XOM US Equity</stp>
        <stp>IS_OTHER_OPERATING_EXPENSES</stp>
        <stp>FQ2 2015</stp>
        <stp>FQ2 2015</stp>
        <stp>[FA1_m42y3cpi.xlsx]Income - Adjusted!R15C30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5" s="2"/>
      </tp>
      <tp>
        <v>592</v>
        <stp/>
        <stp>##V3_BDHV12</stp>
        <stp>XOM US Equity</stp>
        <stp>IS_OTHER_OPERATING_EXPENSES</stp>
        <stp>FQ2 2011</stp>
        <stp>FQ2 2011</stp>
        <stp>[FA1_m42y3cpi.xlsx]Income - Adjusted!R15C14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5" s="2"/>
      </tp>
      <tp>
        <v>351</v>
        <stp/>
        <stp>##V3_BDHV12</stp>
        <stp>XOM US Equity</stp>
        <stp>INC_DEC_IN_OT_OP_AST_LIAB_DETAIL</stp>
        <stp>FQ1 2018</stp>
        <stp>FQ1 2018</stp>
        <stp>[FA1_m42y3cpi.xlsx]Cash Flow - Standardized!R15C41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5" s="4"/>
      </tp>
      <tp>
        <v>199548</v>
        <stp/>
        <stp>##V3_BDHV12</stp>
        <stp>XOM US Equity</stp>
        <stp>BS_NET_FIX_ASSET</stp>
        <stp>FQ4 2010</stp>
        <stp>FQ4 2010</stp>
        <stp>[FA1_m42y3cpi.xlsx]Bal Sheet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3"/>
      </tp>
      <tp>
        <v>8776</v>
        <stp/>
        <stp>##V3_BDHV12</stp>
        <stp>XOM US Equity</stp>
        <stp>BS_TAXES_PAYABLE</stp>
        <stp>FQ1 2014</stp>
        <stp>FQ1 2014</stp>
        <stp>[FA1_m42y3cpi.xlsx]Bal Sheet - Standardized!R44C25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4" s="3"/>
      </tp>
      <tp t="s">
        <v>—</v>
        <stp/>
        <stp>##V3_BDHV12</stp>
        <stp>XOM US Equity</stp>
        <stp>CF_DEF_INC_TAX</stp>
        <stp>FQ1 2009</stp>
        <stp>FQ1 2009</stp>
        <stp>[FA1_m42y3cpi.xlsx]Cash Flow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4"/>
      </tp>
      <tp t="s">
        <v>—</v>
        <stp/>
        <stp>##V3_BDHV12</stp>
        <stp>XOM US Equity</stp>
        <stp>CF_DEF_INC_TAX</stp>
        <stp>FQ2 2009</stp>
        <stp>FQ2 2009</stp>
        <stp>[FA1_m42y3cpi.xlsx]Cash Flow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4"/>
      </tp>
      <tp t="s">
        <v>—</v>
        <stp/>
        <stp>##V3_BDHV12</stp>
        <stp>XOM US Equity</stp>
        <stp>CF_DEF_INC_TAX</stp>
        <stp>FQ3 2009</stp>
        <stp>FQ3 2009</stp>
        <stp>[FA1_m42y3cpi.xlsx]Cash Flow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4"/>
      </tp>
      <tp>
        <v>0</v>
        <stp/>
        <stp>##V3_BDHV12</stp>
        <stp>XOM US Equity</stp>
        <stp>CF_NT_CSH_RCVD_PD_FOR_ACQUIS_DIV</stp>
        <stp>FQ3 2013</stp>
        <stp>FQ3 2013</stp>
        <stp>[FA1_m42y3cpi.xlsx]Cash Flow - Standardized!R30C23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4"/>
      </tp>
      <tp>
        <v>115</v>
        <stp/>
        <stp>##V3_BDHV12</stp>
        <stp>XOM US Equity</stp>
        <stp>BS_LONG_TERM_INVESTMENTS</stp>
        <stp>FQ4 2013</stp>
        <stp>FQ4 2013</stp>
        <stp>[FA1_m42y3cpi.xlsx]Bal Sheet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3"/>
      </tp>
      <tp>
        <v>0</v>
        <stp/>
        <stp>##V3_BDHV12</stp>
        <stp>XOM US Equity</stp>
        <stp>CF_NT_CSH_RCVD_PD_FOR_ACQUIS_DIV</stp>
        <stp>FQ2 2016</stp>
        <stp>FQ2 2016</stp>
        <stp>[FA1_m42y3cpi.xlsx]Cash Flow - Standardized!R30C34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4"/>
      </tp>
      <tp>
        <v>0</v>
        <stp/>
        <stp>##V3_BDHV12</stp>
        <stp>XOM US Equity</stp>
        <stp>CF_NT_CSH_RCVD_PD_FOR_ACQUIS_DIV</stp>
        <stp>FQ3 2014</stp>
        <stp>FQ3 2014</stp>
        <stp>[FA1_m42y3cpi.xlsx]Cash Flow - Standardized!R30C27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4"/>
      </tp>
      <tp>
        <v>199</v>
        <stp/>
        <stp>##V3_BDHV12</stp>
        <stp>XOM US Equity</stp>
        <stp>IS_OPER_INC</stp>
        <stp>FQ4 2016</stp>
        <stp>FQ4 2016</stp>
        <stp>[FA1_m42y3cpi.xlsx]Income - Adjusted!R16C36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6" s="2"/>
      </tp>
      <tp>
        <v>3867</v>
        <stp/>
        <stp>##V3_BDHV12</stp>
        <stp>XOM US Equity</stp>
        <stp>IS_OPER_INC</stp>
        <stp>FQ1 2017</stp>
        <stp>FQ1 2017</stp>
        <stp>[FA1_m42y3cpi.xlsx]Income - Adjusted!R16C37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6" s="2"/>
      </tp>
      <tp>
        <v>10259</v>
        <stp/>
        <stp>##V3_BDHV12</stp>
        <stp>XOM US Equity</stp>
        <stp>IS_OPER_INC</stp>
        <stp>FQ3 2013</stp>
        <stp>FQ3 2013</stp>
        <stp>[FA1_m42y3cpi.xlsx]Income - Adjusted!R16C23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6" s="2"/>
      </tp>
      <tp>
        <v>9968</v>
        <stp/>
        <stp>##V3_BDHV12</stp>
        <stp>XOM US Equity</stp>
        <stp>IS_OPER_INC</stp>
        <stp>FQ2 2010</stp>
        <stp>FQ2 2010</stp>
        <stp>[FA1_m42y3cpi.xlsx]Income - Adjusted!R16C10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6" s="2"/>
      </tp>
      <tp t="s">
        <v>—</v>
        <stp/>
        <stp>##V3_BDHV12</stp>
        <stp>XOM US Equity</stp>
        <stp>CF_DEF_INC_TAX</stp>
        <stp>FQ3 2008</stp>
        <stp>FQ3 2008</stp>
        <stp>[FA1_m42y3cpi.xlsx]Cash Flow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4"/>
      </tp>
      <tp>
        <v>1399</v>
        <stp/>
        <stp>##V3_BDHV12</stp>
        <stp>XOM US Equity</stp>
        <stp>CF_DEF_INC_TAX</stp>
        <stp>FQ4 2008</stp>
        <stp>FQ4 2008</stp>
        <stp>[FA1_m42y3cpi.xlsx]Cash Flow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4"/>
      </tp>
      <tp>
        <v>437</v>
        <stp/>
        <stp>##V3_BDHV12</stp>
        <stp>XOM US Equity</stp>
        <stp>BS_LONG_TERM_INVESTMENTS</stp>
        <stp>FQ4 2012</stp>
        <stp>FQ4 2012</stp>
        <stp>[FA1_m42y3cpi.xlsx]Bal Sheet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3"/>
      </tp>
      <tp>
        <v>0</v>
        <stp/>
        <stp>##V3_BDHV12</stp>
        <stp>XOM US Equity</stp>
        <stp>CF_NT_CSH_RCVD_PD_FOR_ACQUIS_DIV</stp>
        <stp>FQ2 2015</stp>
        <stp>FQ2 2015</stp>
        <stp>[FA1_m42y3cpi.xlsx]Cash Flow - Standardized!R30C30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4"/>
      </tp>
      <tp t="s">
        <v>—</v>
        <stp/>
        <stp>##V3_BDHV12</stp>
        <stp>XOM US Equity</stp>
        <stp>CF_DEF_INC_TAX</stp>
        <stp>FQ4 2009</stp>
        <stp>FQ4 2009</stp>
        <stp>[FA1_m42y3cpi.xlsx]Cash Flow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4"/>
      </tp>
      <tp t="s">
        <v>—</v>
        <stp/>
        <stp>##V3_BDHV12</stp>
        <stp>XOM US Equity</stp>
        <stp>BS_LONG_TERM_INVESTMENTS</stp>
        <stp>FQ2 2018</stp>
        <stp>FQ2 2018</stp>
        <stp>[FA1_m42y3cpi.xlsx]Bal Sheet - Standardized!R27C42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3"/>
      </tp>
      <tp>
        <v>526</v>
        <stp/>
        <stp>##V3_BDHV12</stp>
        <stp>XOM US Equity</stp>
        <stp>BS_LONG_TERM_INVESTMENTS</stp>
        <stp>FQ4 2014</stp>
        <stp>FQ4 2014</stp>
        <stp>[FA1_m42y3cpi.xlsx]Bal Sheet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3"/>
      </tp>
      <tp t="s">
        <v>—</v>
        <stp/>
        <stp>##V3_BDHV12</stp>
        <stp>XOM US Equity</stp>
        <stp>CF_DEF_INC_TAX</stp>
        <stp>FQ1 2010</stp>
        <stp>FQ1 2010</stp>
        <stp>[FA1_m42y3cpi.xlsx]Cash Flow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4"/>
      </tp>
      <tp>
        <v>0</v>
        <stp/>
        <stp>##V3_BDHV12</stp>
        <stp>XOM US Equity</stp>
        <stp>CF_NT_CSH_RCVD_PD_FOR_ACQUIS_DIV</stp>
        <stp>FQ2 2017</stp>
        <stp>FQ2 2017</stp>
        <stp>[FA1_m42y3cpi.xlsx]Cash Flow - Standardized!R30C38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0" s="4"/>
      </tp>
      <tp>
        <v>0.41</v>
        <stp/>
        <stp>##V3_BDHV12</stp>
        <stp>XOM US Equity</stp>
        <stp>IS_DIL_EPS_BEF_XO</stp>
        <stp>FQ2 2016</stp>
        <stp>FQ2 2016</stp>
        <stp>[FA1_m42y3cpi.xlsx]Income - Adjusted!R56C34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6" s="2"/>
      </tp>
      <tp>
        <v>2.0499999999999998</v>
        <stp/>
        <stp>##V3_BDHV12</stp>
        <stp>XOM US Equity</stp>
        <stp>IS_DIL_EPS_BEF_XO</stp>
        <stp>FQ2 2014</stp>
        <stp>FQ2 2014</stp>
        <stp>[FA1_m42y3cpi.xlsx]Income - Adjusted!R56C26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6" s="2"/>
      </tp>
      <tp>
        <v>2.14</v>
        <stp/>
        <stp>##V3_BDHV12</stp>
        <stp>XOM US Equity</stp>
        <stp>IS_DIL_EPS_BEF_XO</stp>
        <stp>FQ1 2011</stp>
        <stp>FQ1 2011</stp>
        <stp>[FA1_m42y3cpi.xlsx]Income - Adjusted!R56C13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6" s="2"/>
      </tp>
      <tp>
        <v>2.12</v>
        <stp/>
        <stp>##V3_BDHV12</stp>
        <stp>XOM US Equity</stp>
        <stp>IS_DIL_EPS_BEF_XO</stp>
        <stp>FQ1 2013</stp>
        <stp>FQ1 2013</stp>
        <stp>[FA1_m42y3cpi.xlsx]Income - Adjusted!R56C21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6" s="2"/>
      </tp>
      <tp>
        <v>1.85</v>
        <stp/>
        <stp>##V3_BDHV12</stp>
        <stp>XOM US Equity</stp>
        <stp>IS_DIL_EPS_BEF_XO</stp>
        <stp>FQ4 2010</stp>
        <stp>FQ4 2010</stp>
        <stp>[FA1_m42y3cpi.xlsx]Income - Adjusted!R56C12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6" s="2"/>
      </tp>
      <tp>
        <v>2.2000000000000002</v>
        <stp/>
        <stp>##V3_BDHV12</stp>
        <stp>XOM US Equity</stp>
        <stp>IS_DIL_EPS_BEF_XO</stp>
        <stp>FQ4 2012</stp>
        <stp>FQ4 2012</stp>
        <stp>[FA1_m42y3cpi.xlsx]Income - Adjusted!R56C20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6" s="2"/>
      </tp>
      <tp t="s">
        <v>—</v>
        <stp/>
        <stp>##V3_BDHV12</stp>
        <stp>XOM US Equity</stp>
        <stp>CF_STOCK_BASED_COMPENSATION</stp>
        <stp>FQ4 2011</stp>
        <stp>FQ4 2011</stp>
        <stp>[FA1_m42y3cpi.xlsx]Cash Flow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4"/>
      </tp>
      <tp t="s">
        <v>—</v>
        <stp/>
        <stp>##V3_BDHV12</stp>
        <stp>XOM US Equity</stp>
        <stp>CF_STOCK_BASED_COMPENSATION</stp>
        <stp>FQ4 2010</stp>
        <stp>FQ4 2010</stp>
        <stp>[FA1_m42y3cpi.xlsx]Cash Flow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4"/>
      </tp>
      <tp>
        <v>-18902</v>
        <stp/>
        <stp>##V3_BDHV12</stp>
        <stp>XOM US Equity</stp>
        <stp>OTHER_INS_RES_TO_SHRHLDR_EQY</stp>
        <stp>FQ2 2017</stp>
        <stp>FQ2 2017</stp>
        <stp>[FA1_m42y3cpi.xlsx]Bal Sheet - Standardized!R71C38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1" s="3"/>
      </tp>
      <tp>
        <v>-16651</v>
        <stp/>
        <stp>##V3_BDHV12</stp>
        <stp>XOM US Equity</stp>
        <stp>OTHER_INS_RES_TO_SHRHLDR_EQY</stp>
        <stp>FQ3 2017</stp>
        <stp>FQ3 2017</stp>
        <stp>[FA1_m42y3cpi.xlsx]Bal Sheet - Standardized!R71C39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1" s="3"/>
      </tp>
      <tp>
        <v>6050</v>
        <stp/>
        <stp>##V3_BDHV12</stp>
        <stp>XOM US Equity</stp>
        <stp>EARN_FOR_COMMON</stp>
        <stp>FQ4 2009</stp>
        <stp>FQ4 2009</stp>
        <stp>[FA1_m42y3cpi.xlsx]Income - Adjusted!R43C8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43" s="2"/>
      </tp>
      <tp t="s">
        <v>—</v>
        <stp/>
        <stp>##V3_BDHV12</stp>
        <stp>XOM US Equity</stp>
        <stp>CF_STOCK_BASED_COMPENSATION</stp>
        <stp>FQ1 2018</stp>
        <stp>FQ1 2018</stp>
        <stp>[FA1_m42y3cpi.xlsx]Cash Flow - Standardized!R10C41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0" s="4"/>
      </tp>
      <tp>
        <v>-22595</v>
        <stp/>
        <stp>##V3_BDHV12</stp>
        <stp>XOM US Equity</stp>
        <stp>OTHER_INS_RES_TO_SHRHLDR_EQY</stp>
        <stp>FQ1 2015</stp>
        <stp>FQ1 2015</stp>
        <stp>[FA1_m42y3cpi.xlsx]Bal Sheet - Standardized!R71C29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1" s="3"/>
      </tp>
      <tp>
        <v>74.83</v>
        <stp/>
        <stp>##V3_BDHV12</stp>
        <stp>XOM US Equity</stp>
        <stp>PX_HIGH</stp>
        <stp>FQ2 2009</stp>
        <stp>FQ2 2009</stp>
        <stp>[FA1_m42y3cpi.xlsx]Stock Value!R9C6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9" s="6"/>
      </tp>
      <tp>
        <v>-3404</v>
        <stp/>
        <stp>##V3_BDHV12</stp>
        <stp>XOM US Equity</stp>
        <stp>ACQUIS_FXD_&amp;_INTANG_DETAILED</stp>
        <stp>FQ3 2016</stp>
        <stp>FQ3 2016</stp>
        <stp>[FA1_m42y3cpi.xlsx]Cash Flow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4"/>
      </tp>
      <tp>
        <v>-8542</v>
        <stp/>
        <stp>##V3_BDHV12</stp>
        <stp>XOM US Equity</stp>
        <stp>ACQUIS_FXD_&amp;_INTANG_DETAILED</stp>
        <stp>FQ2 2014</stp>
        <stp>FQ2 2014</stp>
        <stp>[FA1_m42y3cpi.xlsx]Cash Flow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4"/>
      </tp>
      <tp>
        <v>-8651</v>
        <stp/>
        <stp>##V3_BDHV12</stp>
        <stp>XOM US Equity</stp>
        <stp>ACQUIS_FXD_&amp;_INTANG_DETAILED</stp>
        <stp>FQ2 2013</stp>
        <stp>FQ2 2013</stp>
        <stp>[FA1_m42y3cpi.xlsx]Cash Flow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4"/>
      </tp>
      <tp>
        <v>-7051</v>
        <stp/>
        <stp>##V3_BDHV12</stp>
        <stp>XOM US Equity</stp>
        <stp>ACQUIS_FXD_&amp;_INTANG_DETAILED</stp>
        <stp>FQ1 2011</stp>
        <stp>FQ1 2011</stp>
        <stp>[FA1_m42y3cpi.xlsx]Cash Flow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4"/>
      </tp>
      <tp>
        <v>-4501</v>
        <stp/>
        <stp>##V3_BDHV12</stp>
        <stp>XOM US Equity</stp>
        <stp>ACQUIS_FXD_&amp;_INTANG_DETAILED</stp>
        <stp>FQ4 2017</stp>
        <stp>FQ4 2017</stp>
        <stp>[FA1_m42y3cpi.xlsx]Cash Flow - Standardized!R24C40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4" s="4"/>
      </tp>
      <tp>
        <v>3.41</v>
        <stp/>
        <stp>##V3_BDHV12</stp>
        <stp>XOM US Equity</stp>
        <stp>IS_EARN_BEF_XO_ITEMS_PER_SH</stp>
        <stp>FQ2 2012</stp>
        <stp>FQ2 2012</stp>
        <stp>[FA1_m42y3cpi.xlsx]Income - Adjusted!R51C18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1" s="2"/>
      </tp>
      <tp>
        <v>0.92</v>
        <stp/>
        <stp>##V3_BDHV12</stp>
        <stp>XOM US Equity</stp>
        <stp>IS_EARN_BEF_XO_ITEMS_PER_SH</stp>
        <stp>FQ2 2018</stp>
        <stp>FQ2 2018</stp>
        <stp>[FA1_m42y3cpi.xlsx]Income - Adjusted!R51C42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1" s="2"/>
      </tp>
      <tp>
        <v>15481</v>
        <stp/>
        <stp>##V3_BDHV12</stp>
        <stp>XOM US Equity</stp>
        <stp>GROSS_PROFIT</stp>
        <stp>FQ2 2012</stp>
        <stp>FQ2 2012</stp>
        <stp>[FA1_m42y3cpi.xlsx]Income - Adjusted!R11C18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1" s="2"/>
      </tp>
      <tp>
        <v>8247</v>
        <stp/>
        <stp>##V3_BDHV12</stp>
        <stp>XOM US Equity</stp>
        <stp>GROSS_PROFIT</stp>
        <stp>FQ2 2018</stp>
        <stp>FQ2 2018</stp>
        <stp>[FA1_m42y3cpi.xlsx]Income - Adjusted!R11C42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1" s="2"/>
      </tp>
      <tp>
        <v>-7843</v>
        <stp/>
        <stp>##V3_BDHV12</stp>
        <stp>XOM US Equity</stp>
        <stp>ACQUIS_FXD_&amp;_INTANG_DETAILED</stp>
        <stp>FQ1 2012</stp>
        <stp>FQ1 2012</stp>
        <stp>[FA1_m42y3cpi.xlsx]Cash Flow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4"/>
      </tp>
      <tp>
        <v>-6401</v>
        <stp/>
        <stp>##V3_BDHV12</stp>
        <stp>XOM US Equity</stp>
        <stp>ACQUIS_FXD_&amp;_INTANG_DETAILED</stp>
        <stp>FQ3 2015</stp>
        <stp>FQ3 2015</stp>
        <stp>[FA1_m42y3cpi.xlsx]Cash Flow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4"/>
      </tp>
      <tp t="s">
        <v>—</v>
        <stp/>
        <stp>##V3_BDHV12</stp>
        <stp>XOM US Equity</stp>
        <stp>IS_FOREIGN_EXCH_LOSS</stp>
        <stp>FQ3 2010</stp>
        <stp>FQ3 2010</stp>
        <stp>[FA1_m42y3cpi.xlsx]Income - Adjusted!R21C11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1" s="2"/>
      </tp>
      <tp>
        <v>-4913</v>
        <stp/>
        <stp>##V3_BDHV12</stp>
        <stp>XOM US Equity</stp>
        <stp>ACQUIS_FXD_&amp;_INTANG_DETAILED</stp>
        <stp>FQ3 2017</stp>
        <stp>FQ3 2017</stp>
        <stp>[FA1_m42y3cpi.xlsx]Cash Flow - Standardized!R24C39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4" s="4"/>
      </tp>
      <tp t="s">
        <v>—</v>
        <stp/>
        <stp>##V3_BDHV12</stp>
        <stp>XOM US Equity</stp>
        <stp>IS_FOREIGN_EXCH_LOSS</stp>
        <stp>FQ2 2013</stp>
        <stp>FQ2 2013</stp>
        <stp>[FA1_m42y3cpi.xlsx]Income - Adjusted!R21C22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1" s="2"/>
      </tp>
      <tp t="s">
        <v>—</v>
        <stp/>
        <stp>##V3_BDHV12</stp>
        <stp>XOM US Equity</stp>
        <stp>IS_FOREIGN_EXCH_LOSS</stp>
        <stp>FQ1 2014</stp>
        <stp>FQ1 2014</stp>
        <stp>[FA1_m42y3cpi.xlsx]Income - Adjusted!R21C25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1" s="2"/>
      </tp>
      <tp>
        <v>-3193</v>
        <stp/>
        <stp>##V3_BDHV12</stp>
        <stp>XOM US Equity</stp>
        <stp>PROC_FR_REPURCH_EQTY_DETAILED</stp>
        <stp>FQ4 2014</stp>
        <stp>FQ4 2014</stp>
        <stp>[FA1_m42y3cpi.xlsx]Cash Flow - Standardized!R44C28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4" s="4"/>
      </tp>
      <tp>
        <v>-2</v>
        <stp/>
        <stp>##V3_BDHV12</stp>
        <stp>XOM US Equity</stp>
        <stp>PROC_FR_REPURCH_EQTY_DETAILED</stp>
        <stp>FQ2 2018</stp>
        <stp>FQ2 2018</stp>
        <stp>[FA1_m42y3cpi.xlsx]Cash Flow - Standardized!R44C42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4" s="4"/>
      </tp>
      <tp>
        <v>1887</v>
        <stp/>
        <stp>##V3_BDHV12</stp>
        <stp>XOM US Equity</stp>
        <stp>FREE_CASH_FLOW_EQUITY</stp>
        <stp>FQ3 2017</stp>
        <stp>FQ3 2017</stp>
        <stp>[FA1_m42y3cpi.xlsx]Cash Flow - Standardized!R65C39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5" s="4"/>
      </tp>
      <tp>
        <v>-3264</v>
        <stp/>
        <stp>##V3_BDHV12</stp>
        <stp>XOM US Equity</stp>
        <stp>PROC_FR_REPURCH_EQTY_DETAILED</stp>
        <stp>FQ4 2013</stp>
        <stp>FQ4 2013</stp>
        <stp>[FA1_m42y3cpi.xlsx]Cash Flow - Standardized!R44C24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4" s="4"/>
      </tp>
      <tp>
        <v>5513</v>
        <stp/>
        <stp>##V3_BDHV12</stp>
        <stp>XOM US Equity</stp>
        <stp>FREE_CASH_FLOW_EQUITY</stp>
        <stp>FQ2 2013</stp>
        <stp>FQ2 2013</stp>
        <stp>[FA1_m42y3cpi.xlsx]Cash Flow - Standardized!R65C22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5" s="4"/>
      </tp>
      <tp>
        <v>11958</v>
        <stp/>
        <stp>##V3_BDHV12</stp>
        <stp>XOM US Equity</stp>
        <stp>FREE_CASH_FLOW_EQUITY</stp>
        <stp>FQ1 2011</stp>
        <stp>FQ1 2011</stp>
        <stp>[FA1_m42y3cpi.xlsx]Cash Flow - Standardized!R65C13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5" s="4"/>
      </tp>
      <tp>
        <v>6107</v>
        <stp/>
        <stp>##V3_BDHV12</stp>
        <stp>XOM US Equity</stp>
        <stp>FREE_CASH_FLOW_EQUITY</stp>
        <stp>FQ4 2017</stp>
        <stp>FQ4 2017</stp>
        <stp>[FA1_m42y3cpi.xlsx]Cash Flow - Standardized!R65C40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5" s="4"/>
      </tp>
      <tp>
        <v>4802</v>
        <stp/>
        <stp>##V3_BDHV12</stp>
        <stp>XOM US Equity</stp>
        <stp>FREE_CASH_FLOW_EQUITY</stp>
        <stp>FQ3 2016</stp>
        <stp>FQ3 2016</stp>
        <stp>[FA1_m42y3cpi.xlsx]Cash Flow - Standardized!R65C35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5" s="4"/>
      </tp>
      <tp>
        <v>4648</v>
        <stp/>
        <stp>##V3_BDHV12</stp>
        <stp>XOM US Equity</stp>
        <stp>FREE_CASH_FLOW_EQUITY</stp>
        <stp>FQ2 2014</stp>
        <stp>FQ2 2014</stp>
        <stp>[FA1_m42y3cpi.xlsx]Cash Flow - Standardized!R65C26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5" s="4"/>
      </tp>
      <tp>
        <v>-5115</v>
        <stp/>
        <stp>##V3_BDHV12</stp>
        <stp>XOM US Equity</stp>
        <stp>PROC_FR_REPURCH_EQTY_DETAILED</stp>
        <stp>FQ4 2012</stp>
        <stp>FQ4 2012</stp>
        <stp>[FA1_m42y3cpi.xlsx]Cash Flow - Standardized!R44C20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4" s="4"/>
      </tp>
      <tp>
        <v>3462</v>
        <stp/>
        <stp>##V3_BDHV12</stp>
        <stp>XOM US Equity</stp>
        <stp>FREE_CASH_FLOW_EQUITY</stp>
        <stp>FQ3 2015</stp>
        <stp>FQ3 2015</stp>
        <stp>[FA1_m42y3cpi.xlsx]Cash Flow - Standardized!R65C31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5" s="4"/>
      </tp>
      <tp>
        <v>13554</v>
        <stp/>
        <stp>##V3_BDHV12</stp>
        <stp>XOM US Equity</stp>
        <stp>FREE_CASH_FLOW_EQUITY</stp>
        <stp>FQ1 2012</stp>
        <stp>FQ1 2012</stp>
        <stp>[FA1_m42y3cpi.xlsx]Cash Flow - Standardized!R65C17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5" s="4"/>
      </tp>
      <tp>
        <v>13923</v>
        <stp/>
        <stp>##V3_BDHV12</stp>
        <stp>XOM US Equity</stp>
        <stp>EBIT</stp>
        <stp>FQ3 2011</stp>
        <stp>FQ3 2011</stp>
        <stp>[FA1_m42y3cpi.xlsx]Income - Adjusted!R64C15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4" s="2"/>
      </tp>
      <tp>
        <v>4162</v>
        <stp/>
        <stp>##V3_BDHV12</stp>
        <stp>XOM US Equity</stp>
        <stp>EBIT</stp>
        <stp>FQ3 2015</stp>
        <stp>FQ3 2015</stp>
        <stp>[FA1_m42y3cpi.xlsx]Income - Adjusted!R64C31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4" s="2"/>
      </tp>
      <tp>
        <v>2948</v>
        <stp/>
        <stp>##V3_BDHV12</stp>
        <stp>XOM US Equity</stp>
        <stp>IS_OPERATING_EXPN</stp>
        <stp>FQ1 2016</stp>
        <stp>FQ1 2016</stp>
        <stp>[FA1_m42y3cpi.xlsx]Income - Adjusted!R13C33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3" s="2"/>
      </tp>
      <tp>
        <v>4123</v>
        <stp/>
        <stp>##V3_BDHV12</stp>
        <stp>XOM US Equity</stp>
        <stp>IS_OPERATING_EXPN</stp>
        <stp>FQ1 2012</stp>
        <stp>FQ1 2012</stp>
        <stp>[FA1_m42y3cpi.xlsx]Income - Adjusted!R13C17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3" s="2"/>
      </tp>
      <tp>
        <v>3201</v>
        <stp/>
        <stp>##V3_BDHV12</stp>
        <stp>XOM US Equity</stp>
        <stp>IS_OPERATING_EXPN</stp>
        <stp>FQ2 2015</stp>
        <stp>FQ2 2015</stp>
        <stp>[FA1_m42y3cpi.xlsx]Income - Adjusted!R13C30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3" s="2"/>
      </tp>
      <tp>
        <v>4273</v>
        <stp/>
        <stp>##V3_BDHV12</stp>
        <stp>XOM US Equity</stp>
        <stp>IS_OPERATING_EXPN</stp>
        <stp>FQ2 2011</stp>
        <stp>FQ2 2011</stp>
        <stp>[FA1_m42y3cpi.xlsx]Income - Adjusted!R13C14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3" s="2"/>
      </tp>
      <tp>
        <v>-5461</v>
        <stp/>
        <stp>##V3_BDHV12</stp>
        <stp>XOM US Equity</stp>
        <stp>OTHER_INS_RES_TO_SHRHLDR_EQY</stp>
        <stp>FQ4 2009</stp>
        <stp>FQ4 2009</stp>
        <stp>[FA1_m42y3cpi.xlsx]Bal Sheet - Standardized!R71C8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1" s="3"/>
      </tp>
      <tp>
        <v>0</v>
        <stp/>
        <stp>##V3_BDHV12</stp>
        <stp>XOM US Equity</stp>
        <stp>CF_NET_CASH_DISCONTINUED_OPS_FIN</stp>
        <stp>FQ4 2012</stp>
        <stp>FQ4 2012</stp>
        <stp>[FA1_m42y3cpi.xlsx]Cash Flow - Standardized!R48C20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8" s="4"/>
      </tp>
      <tp>
        <v>0</v>
        <stp/>
        <stp>##V3_BDHV12</stp>
        <stp>XOM US Equity</stp>
        <stp>CF_NET_CASH_DISCONTINUED_OPS_FIN</stp>
        <stp>FQ4 2013</stp>
        <stp>FQ4 2013</stp>
        <stp>[FA1_m42y3cpi.xlsx]Cash Flow - Standardized!R48C24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8" s="4"/>
      </tp>
      <tp>
        <v>13049</v>
        <stp/>
        <stp>##V3_BDHV12</stp>
        <stp>XOM US Equity</stp>
        <stp>BS_TAXES_PAYABLE</stp>
        <stp>FQ3 2012</stp>
        <stp>FQ3 2012</stp>
        <stp>[FA1_m42y3cpi.xlsx]Bal Sheet - Standardized!R44C19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4" s="3"/>
      </tp>
      <tp>
        <v>12968</v>
        <stp/>
        <stp>##V3_BDHV12</stp>
        <stp>XOM US Equity</stp>
        <stp>BS_TAXES_PAYABLE</stp>
        <stp>FQ3 2011</stp>
        <stp>FQ3 2011</stp>
        <stp>[FA1_m42y3cpi.xlsx]Bal Sheet - Standardized!R44C15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4" s="3"/>
      </tp>
      <tp>
        <v>2892</v>
        <stp/>
        <stp>##V3_BDHV12</stp>
        <stp>XOM US Equity</stp>
        <stp>BS_TAXES_PAYABLE</stp>
        <stp>FQ1 2016</stp>
        <stp>FQ1 2016</stp>
        <stp>[FA1_m42y3cpi.xlsx]Bal Sheet - Standardized!R44C33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4" s="3"/>
      </tp>
      <tp>
        <v>10443</v>
        <stp/>
        <stp>##V3_BDHV12</stp>
        <stp>XOM US Equity</stp>
        <stp>BS_TAXES_PAYABLE</stp>
        <stp>FQ3 2010</stp>
        <stp>FQ3 2010</stp>
        <stp>[FA1_m42y3cpi.xlsx]Bal Sheet - Standardized!R44C11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4" s="3"/>
      </tp>
      <tp>
        <v>0</v>
        <stp/>
        <stp>##V3_BDHV12</stp>
        <stp>XOM US Equity</stp>
        <stp>CF_NET_CASH_DISCONTINUED_OPS_FIN</stp>
        <stp>FQ4 2014</stp>
        <stp>FQ4 2014</stp>
        <stp>[FA1_m42y3cpi.xlsx]Cash Flow - Standardized!R48C28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8" s="4"/>
      </tp>
      <tp>
        <v>0</v>
        <stp/>
        <stp>##V3_BDHV12</stp>
        <stp>XOM US Equity</stp>
        <stp>CF_NET_CASH_DISCONTINUED_OPS_FIN</stp>
        <stp>FQ2 2018</stp>
        <stp>FQ2 2018</stp>
        <stp>[FA1_m42y3cpi.xlsx]Cash Flow - Standardized!R48C42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8" s="4"/>
      </tp>
      <tp>
        <v>324</v>
        <stp/>
        <stp>##V3_BDHV12</stp>
        <stp>XOM US Equity</stp>
        <stp>IS_OTHER_OPERATING_EXPENSES</stp>
        <stp>FQ3 2015</stp>
        <stp>FQ3 2015</stp>
        <stp>[FA1_m42y3cpi.xlsx]Income - Adjusted!R15C31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5" s="2"/>
      </tp>
      <tp>
        <v>728</v>
        <stp/>
        <stp>##V3_BDHV12</stp>
        <stp>XOM US Equity</stp>
        <stp>IS_OTHER_OPERATING_EXPENSES</stp>
        <stp>FQ3 2011</stp>
        <stp>FQ3 2011</stp>
        <stp>[FA1_m42y3cpi.xlsx]Income - Adjusted!R15C15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5" s="2"/>
      </tp>
      <tp>
        <v>2822</v>
        <stp/>
        <stp>##V3_BDHV12</stp>
        <stp>XOM US Equity</stp>
        <stp>BS_TAXES_PAYABLE</stp>
        <stp>FQ1 2017</stp>
        <stp>FQ1 2017</stp>
        <stp>[FA1_m42y3cpi.xlsx]Bal Sheet - Standardized!R44C37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4" s="3"/>
      </tp>
      <tp>
        <v>0</v>
        <stp/>
        <stp>##V3_BDHV12</stp>
        <stp>XOM US Equity</stp>
        <stp>CF_NT_CSH_RCVD_PD_FOR_ACQUIS_DIV</stp>
        <stp>FQ4 2017</stp>
        <stp>FQ4 2017</stp>
        <stp>[FA1_m42y3cpi.xlsx]Cash Flow - Standardized!R30C40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0" s="4"/>
      </tp>
      <tp>
        <v>0</v>
        <stp/>
        <stp>##V3_BDHV12</stp>
        <stp>XOM US Equity</stp>
        <stp>CF_NT_CSH_RCVD_PD_FOR_ACQUIS_DIV</stp>
        <stp>FQ2 2013</stp>
        <stp>FQ2 2013</stp>
        <stp>[FA1_m42y3cpi.xlsx]Cash Flow - Standardized!R30C22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4"/>
      </tp>
      <tp>
        <v>0</v>
        <stp/>
        <stp>##V3_BDHV12</stp>
        <stp>XOM US Equity</stp>
        <stp>CF_NT_CSH_RCVD_PD_FOR_ACQUIS_DIV</stp>
        <stp>FQ1 2011</stp>
        <stp>FQ1 2011</stp>
        <stp>[FA1_m42y3cpi.xlsx]Cash Flow - Standardized!R30C13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4"/>
      </tp>
      <tp>
        <v>274</v>
        <stp/>
        <stp>##V3_BDHV12</stp>
        <stp>XOM US Equity</stp>
        <stp>BS_LONG_TERM_INVESTMENTS</stp>
        <stp>FQ4 2015</stp>
        <stp>FQ4 2015</stp>
        <stp>[FA1_m42y3cpi.xlsx]Bal Sheet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3"/>
      </tp>
      <tp>
        <v>0</v>
        <stp/>
        <stp>##V3_BDHV12</stp>
        <stp>XOM US Equity</stp>
        <stp>CF_NT_CSH_RCVD_PD_FOR_ACQUIS_DIV</stp>
        <stp>FQ3 2016</stp>
        <stp>FQ3 2016</stp>
        <stp>[FA1_m42y3cpi.xlsx]Cash Flow - Standardized!R30C35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4"/>
      </tp>
      <tp>
        <v>0</v>
        <stp/>
        <stp>##V3_BDHV12</stp>
        <stp>XOM US Equity</stp>
        <stp>CF_NT_CSH_RCVD_PD_FOR_ACQUIS_DIV</stp>
        <stp>FQ2 2014</stp>
        <stp>FQ2 2014</stp>
        <stp>[FA1_m42y3cpi.xlsx]Cash Flow - Standardized!R30C26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4"/>
      </tp>
      <tp>
        <v>10280</v>
        <stp/>
        <stp>##V3_BDHV12</stp>
        <stp>XOM US Equity</stp>
        <stp>IS_OPER_INC</stp>
        <stp>FQ1 2014</stp>
        <stp>FQ1 2014</stp>
        <stp>[FA1_m42y3cpi.xlsx]Income - Adjusted!R16C25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6" s="2"/>
      </tp>
      <tp>
        <v>9969</v>
        <stp/>
        <stp>##V3_BDHV12</stp>
        <stp>XOM US Equity</stp>
        <stp>IS_OPER_INC</stp>
        <stp>FQ3 2010</stp>
        <stp>FQ3 2010</stp>
        <stp>[FA1_m42y3cpi.xlsx]Income - Adjusted!R16C11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6" s="2"/>
      </tp>
      <tp>
        <v>9237</v>
        <stp/>
        <stp>##V3_BDHV12</stp>
        <stp>XOM US Equity</stp>
        <stp>IS_OPER_INC</stp>
        <stp>FQ2 2013</stp>
        <stp>FQ2 2013</stp>
        <stp>[FA1_m42y3cpi.xlsx]Income - Adjusted!R16C22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6" s="2"/>
      </tp>
      <tp>
        <v>0</v>
        <stp/>
        <stp>##V3_BDHV12</stp>
        <stp>XOM US Equity</stp>
        <stp>CF_NT_CSH_RCVD_PD_FOR_ACQUIS_DIV</stp>
        <stp>FQ3 2015</stp>
        <stp>FQ3 2015</stp>
        <stp>[FA1_m42y3cpi.xlsx]Cash Flow - Standardized!R30C31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4"/>
      </tp>
      <tp>
        <v>0</v>
        <stp/>
        <stp>##V3_BDHV12</stp>
        <stp>XOM US Equity</stp>
        <stp>CF_NT_CSH_RCVD_PD_FOR_ACQUIS_DIV</stp>
        <stp>FQ1 2012</stp>
        <stp>FQ1 2012</stp>
        <stp>[FA1_m42y3cpi.xlsx]Cash Flow - Standardized!R30C17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4"/>
      </tp>
      <tp>
        <v>154</v>
        <stp/>
        <stp>##V3_BDHV12</stp>
        <stp>XOM US Equity</stp>
        <stp>BS_LONG_TERM_INVESTMENTS</stp>
        <stp>FQ4 2016</stp>
        <stp>FQ4 2016</stp>
        <stp>[FA1_m42y3cpi.xlsx]Bal Sheet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3"/>
      </tp>
      <tp>
        <v>0</v>
        <stp/>
        <stp>##V3_BDHV12</stp>
        <stp>XOM US Equity</stp>
        <stp>CF_NT_CSH_RCVD_PD_FOR_ACQUIS_DIV</stp>
        <stp>FQ3 2017</stp>
        <stp>FQ3 2017</stp>
        <stp>[FA1_m42y3cpi.xlsx]Cash Flow - Standardized!R30C39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0" s="4"/>
      </tp>
      <tp>
        <v>0.63</v>
        <stp/>
        <stp>##V3_BDHV12</stp>
        <stp>XOM US Equity</stp>
        <stp>IS_DIL_EPS_BEF_XO</stp>
        <stp>FQ3 2016</stp>
        <stp>FQ3 2016</stp>
        <stp>[FA1_m42y3cpi.xlsx]Income - Adjusted!R56C35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6" s="2"/>
      </tp>
      <tp>
        <v>1.8900000000000001</v>
        <stp/>
        <stp>##V3_BDHV12</stp>
        <stp>XOM US Equity</stp>
        <stp>IS_DIL_EPS_BEF_XO</stp>
        <stp>FQ3 2014</stp>
        <stp>FQ3 2014</stp>
        <stp>[FA1_m42y3cpi.xlsx]Income - Adjusted!R56C27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6" s="2"/>
      </tp>
      <tp>
        <v>0.874</v>
        <stp/>
        <stp>##V3_BDHV12</stp>
        <stp>XOM US Equity</stp>
        <stp>IS_DIL_EPS_CONT_OPS</stp>
        <stp>FQ4 2017</stp>
        <stp>FQ4 2017</stp>
        <stp>[FA1_m42y3cpi.xlsx]Per Share!R19C40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9" s="5"/>
      </tp>
      <tp>
        <v>1.97</v>
        <stp/>
        <stp>##V3_BDHV12</stp>
        <stp>XOM US Equity</stp>
        <stp>IS_DIL_EPS_CONT_OPS</stp>
        <stp>FQ4 2011</stp>
        <stp>FQ4 2011</stp>
        <stp>[FA1_m42y3cpi.xlsx]Per Share!R19C16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9" s="5"/>
      </tp>
      <tp>
        <v>1.9100000000000001</v>
        <stp/>
        <stp>##V3_BDHV12</stp>
        <stp>XOM US Equity</stp>
        <stp>IS_DIL_EPS_CONT_OPS</stp>
        <stp>FQ4 2013</stp>
        <stp>FQ4 2013</stp>
        <stp>[FA1_m42y3cpi.xlsx]Per Share!R19C24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9" s="5"/>
      </tp>
      <tp>
        <v>0.67</v>
        <stp/>
        <stp>##V3_BDHV12</stp>
        <stp>XOM US Equity</stp>
        <stp>IS_DIL_EPS_CONT_OPS</stp>
        <stp>FQ4 2015</stp>
        <stp>FQ4 2015</stp>
        <stp>[FA1_m42y3cpi.xlsx]Per Share!R19C32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9" s="5"/>
      </tp>
      <tp>
        <v>72.790000000000006</v>
        <stp/>
        <stp>##V3_BDHV12</stp>
        <stp>XOM US Equity</stp>
        <stp>PX_HIGH</stp>
        <stp>FQ3 2009</stp>
        <stp>FQ3 2009</stp>
        <stp>[FA1_m42y3cpi.xlsx]Stock Value!R9C7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9" s="6"/>
      </tp>
      <tp>
        <v>-7328</v>
        <stp/>
        <stp>##V3_BDHV12</stp>
        <stp>XOM US Equity</stp>
        <stp>ACQUIS_FXD_&amp;_INTANG_DETAILED</stp>
        <stp>FQ1 2014</stp>
        <stp>FQ1 2014</stp>
        <stp>[FA1_m42y3cpi.xlsx]Cash Flow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4"/>
      </tp>
      <tp>
        <v>-7494</v>
        <stp/>
        <stp>##V3_BDHV12</stp>
        <stp>XOM US Equity</stp>
        <stp>ACQUIS_FXD_&amp;_INTANG_DETAILED</stp>
        <stp>FQ1 2013</stp>
        <stp>FQ1 2013</stp>
        <stp>[FA1_m42y3cpi.xlsx]Cash Flow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4"/>
      </tp>
      <tp>
        <v>-5644</v>
        <stp/>
        <stp>##V3_BDHV12</stp>
        <stp>XOM US Equity</stp>
        <stp>ACQUIS_FXD_&amp;_INTANG_DETAILED</stp>
        <stp>FQ2 2010</stp>
        <stp>FQ2 2010</stp>
        <stp>[FA1_m42y3cpi.xlsx]Cash Flow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4"/>
      </tp>
      <tp>
        <v>1.0900000000000001</v>
        <stp/>
        <stp>##V3_BDHV12</stp>
        <stp>XOM US Equity</stp>
        <stp>IS_EARN_BEF_XO_ITEMS_PER_SH</stp>
        <stp>FQ1 2018</stp>
        <stp>FQ1 2018</stp>
        <stp>[FA1_m42y3cpi.xlsx]Income - Adjusted!R51C41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1" s="2"/>
      </tp>
      <tp>
        <v>8040</v>
        <stp/>
        <stp>##V3_BDHV12</stp>
        <stp>XOM US Equity</stp>
        <stp>GROSS_PROFIT</stp>
        <stp>FQ1 2018</stp>
        <stp>FQ1 2018</stp>
        <stp>[FA1_m42y3cpi.xlsx]Income - Adjusted!R11C41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1" s="2"/>
      </tp>
      <tp>
        <v>-7812</v>
        <stp/>
        <stp>##V3_BDHV12</stp>
        <stp>XOM US Equity</stp>
        <stp>ACQUIS_FXD_&amp;_INTANG_DETAILED</stp>
        <stp>FQ2 2011</stp>
        <stp>FQ2 2011</stp>
        <stp>[FA1_m42y3cpi.xlsx]Cash Flow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4"/>
      </tp>
      <tp>
        <v>-8345</v>
        <stp/>
        <stp>##V3_BDHV12</stp>
        <stp>XOM US Equity</stp>
        <stp>ACQUIS_FXD_&amp;_INTANG_DETAILED</stp>
        <stp>FQ2 2012</stp>
        <stp>FQ2 2012</stp>
        <stp>[FA1_m42y3cpi.xlsx]Cash Flow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4"/>
      </tp>
      <tp t="s">
        <v>—</v>
        <stp/>
        <stp>##V3_BDHV12</stp>
        <stp>XOM US Equity</stp>
        <stp>IS_FOREIGN_EXCH_LOSS</stp>
        <stp>FQ4 2010</stp>
        <stp>FQ4 2010</stp>
        <stp>[FA1_m42y3cpi.xlsx]Income - Adjusted!R21C12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1" s="2"/>
      </tp>
      <tp t="s">
        <v>—</v>
        <stp/>
        <stp>##V3_BDHV12</stp>
        <stp>XOM US Equity</stp>
        <stp>IS_FOREIGN_EXCH_LOSS</stp>
        <stp>FQ4 2012</stp>
        <stp>FQ4 2012</stp>
        <stp>[FA1_m42y3cpi.xlsx]Income - Adjusted!R21C20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1" s="2"/>
      </tp>
      <tp t="s">
        <v>—</v>
        <stp/>
        <stp>##V3_BDHV12</stp>
        <stp>XOM US Equity</stp>
        <stp>IS_FOREIGN_EXCH_LOSS</stp>
        <stp>FQ2 2016</stp>
        <stp>FQ2 2016</stp>
        <stp>[FA1_m42y3cpi.xlsx]Income - Adjusted!R21C34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1" s="2"/>
      </tp>
      <tp t="s">
        <v>—</v>
        <stp/>
        <stp>##V3_BDHV12</stp>
        <stp>XOM US Equity</stp>
        <stp>IS_FOREIGN_EXCH_LOSS</stp>
        <stp>FQ2 2014</stp>
        <stp>FQ2 2014</stp>
        <stp>[FA1_m42y3cpi.xlsx]Income - Adjusted!R21C26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1" s="2"/>
      </tp>
      <tp t="s">
        <v>—</v>
        <stp/>
        <stp>##V3_BDHV12</stp>
        <stp>XOM US Equity</stp>
        <stp>IS_FOREIGN_EXCH_LOSS</stp>
        <stp>FQ1 2011</stp>
        <stp>FQ1 2011</stp>
        <stp>[FA1_m42y3cpi.xlsx]Income - Adjusted!R21C13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1" s="2"/>
      </tp>
      <tp t="s">
        <v>—</v>
        <stp/>
        <stp>##V3_BDHV12</stp>
        <stp>XOM US Equity</stp>
        <stp>IS_FOREIGN_EXCH_LOSS</stp>
        <stp>FQ1 2013</stp>
        <stp>FQ1 2013</stp>
        <stp>[FA1_m42y3cpi.xlsx]Income - Adjusted!R21C21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1" s="2"/>
      </tp>
      <tp>
        <v>-6844</v>
        <stp/>
        <stp>##V3_BDHV12</stp>
        <stp>XOM US Equity</stp>
        <stp>ACQUIS_FXD_&amp;_INTANG_DETAILED</stp>
        <stp>FQ1 2015</stp>
        <stp>FQ1 2015</stp>
        <stp>[FA1_m42y3cpi.xlsx]Cash Flow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4"/>
      </tp>
      <tp>
        <v>6169</v>
        <stp/>
        <stp>##V3_BDHV12</stp>
        <stp>XOM US Equity</stp>
        <stp>FREE_CASH_FLOW_EQUITY</stp>
        <stp>FQ2 2012</stp>
        <stp>FQ2 2012</stp>
        <stp>[FA1_m42y3cpi.xlsx]Cash Flow - Standardized!R65C18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5" s="4"/>
      </tp>
      <tp>
        <v>-427</v>
        <stp/>
        <stp>##V3_BDHV12</stp>
        <stp>XOM US Equity</stp>
        <stp>PROC_FR_REPURCH_EQTY_DETAILED</stp>
        <stp>FQ1 2018</stp>
        <stp>FQ1 2018</stp>
        <stp>[FA1_m42y3cpi.xlsx]Cash Flow - Standardized!R44C41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4" s="4"/>
      </tp>
      <tp>
        <v>0</v>
        <stp/>
        <stp>##V3_BDHV12</stp>
        <stp>XOM US Equity</stp>
        <stp>CF_ACQUISITION_OF_INTANG_ASSETS</stp>
        <stp>FQ1 2009</stp>
        <stp>FQ1 2009</stp>
        <stp>[FA1_m42y3cpi.xlsx]Cash Flow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4"/>
      </tp>
      <tp>
        <v>0</v>
        <stp/>
        <stp>##V3_BDHV12</stp>
        <stp>XOM US Equity</stp>
        <stp>CF_ACQUISITION_OF_INTANG_ASSETS</stp>
        <stp>FQ3 2009</stp>
        <stp>FQ3 2009</stp>
        <stp>[FA1_m42y3cpi.xlsx]Cash Flow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4"/>
      </tp>
      <tp>
        <v>0</v>
        <stp/>
        <stp>##V3_BDHV12</stp>
        <stp>XOM US Equity</stp>
        <stp>CF_ACQUISITION_OF_INTANG_ASSETS</stp>
        <stp>FQ2 2009</stp>
        <stp>FQ2 2009</stp>
        <stp>[FA1_m42y3cpi.xlsx]Cash Flow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4"/>
      </tp>
      <tp>
        <v>5194.0029999999997</v>
        <stp/>
        <stp>##V3_BDHV12</stp>
        <stp>XOM US Equity</stp>
        <stp>EQY_SH_OUT</stp>
        <stp>FQ3 2008</stp>
        <stp>FQ3 2008</stp>
        <stp>[FA1_m42y3cpi.xlsx]Stock Value!R13C3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3" s="6"/>
      </tp>
      <tp t="s">
        <v>—</v>
        <stp/>
        <stp>##V3_BDHV12</stp>
        <stp>XOM US Equity</stp>
        <stp>CF_ACQUISITION_OF_INTANG_ASSETS</stp>
        <stp>FQ3 2008</stp>
        <stp>FQ3 2008</stp>
        <stp>[FA1_m42y3cpi.xlsx]Cash Flow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4"/>
      </tp>
      <tp t="s">
        <v>—</v>
        <stp/>
        <stp>##V3_BDHV12</stp>
        <stp>XOM US Equity</stp>
        <stp>CF_ACQUISITION_OF_INTANG_ASSETS</stp>
        <stp>FQ4 2008</stp>
        <stp>FQ4 2008</stp>
        <stp>[FA1_m42y3cpi.xlsx]Cash Flow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4"/>
      </tp>
      <tp>
        <v>5515</v>
        <stp/>
        <stp>##V3_BDHV12</stp>
        <stp>XOM US Equity</stp>
        <stp>FREE_CASH_FLOW_EQUITY</stp>
        <stp>FQ1 2015</stp>
        <stp>FQ1 2015</stp>
        <stp>[FA1_m42y3cpi.xlsx]Cash Flow - Standardized!R65C29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5" s="4"/>
      </tp>
      <tp>
        <v>3436</v>
        <stp/>
        <stp>##V3_BDHV12</stp>
        <stp>XOM US Equity</stp>
        <stp>FREE_CASH_FLOW_EQUITY</stp>
        <stp>FQ2 2010</stp>
        <stp>FQ2 2010</stp>
        <stp>[FA1_m42y3cpi.xlsx]Cash Flow - Standardized!R65C10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5" s="4"/>
      </tp>
      <tp>
        <v>-5074</v>
        <stp/>
        <stp>##V3_BDHV12</stp>
        <stp>XOM US Equity</stp>
        <stp>PROC_FR_REPURCH_EQTY_DETAILED</stp>
        <stp>FQ4 2011</stp>
        <stp>FQ4 2011</stp>
        <stp>[FA1_m42y3cpi.xlsx]Cash Flow - Standardized!R44C16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4" s="4"/>
      </tp>
      <tp>
        <v>8050</v>
        <stp/>
        <stp>##V3_BDHV12</stp>
        <stp>XOM US Equity</stp>
        <stp>FREE_CASH_FLOW_EQUITY</stp>
        <stp>FQ1 2013</stp>
        <stp>FQ1 2013</stp>
        <stp>[FA1_m42y3cpi.xlsx]Cash Flow - Standardized!R65C21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5" s="4"/>
      </tp>
      <tp>
        <v>7718</v>
        <stp/>
        <stp>##V3_BDHV12</stp>
        <stp>XOM US Equity</stp>
        <stp>FREE_CASH_FLOW_EQUITY</stp>
        <stp>FQ1 2014</stp>
        <stp>FQ1 2014</stp>
        <stp>[FA1_m42y3cpi.xlsx]Cash Flow - Standardized!R65C25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5" s="4"/>
      </tp>
      <tp>
        <v>0</v>
        <stp/>
        <stp>##V3_BDHV12</stp>
        <stp>XOM US Equity</stp>
        <stp>CF_ACQUISITION_OF_INTANG_ASSETS</stp>
        <stp>FQ4 2009</stp>
        <stp>FQ4 2009</stp>
        <stp>[FA1_m42y3cpi.xlsx]Cash Flow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4"/>
      </tp>
      <tp>
        <v>-4909</v>
        <stp/>
        <stp>##V3_BDHV12</stp>
        <stp>XOM US Equity</stp>
        <stp>PROC_FR_REPURCH_EQTY_DETAILED</stp>
        <stp>FQ4 2010</stp>
        <stp>FQ4 2010</stp>
        <stp>[FA1_m42y3cpi.xlsx]Cash Flow - Standardized!R44C12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4" s="4"/>
      </tp>
      <tp>
        <v>7150</v>
        <stp/>
        <stp>##V3_BDHV12</stp>
        <stp>XOM US Equity</stp>
        <stp>FREE_CASH_FLOW_EQUITY</stp>
        <stp>FQ2 2011</stp>
        <stp>FQ2 2011</stp>
        <stp>[FA1_m42y3cpi.xlsx]Cash Flow - Standardized!R65C14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5" s="4"/>
      </tp>
      <tp>
        <v>572</v>
        <stp/>
        <stp>##V3_BDHV12</stp>
        <stp>XOM US Equity</stp>
        <stp>EBIT</stp>
        <stp>FQ4 2015</stp>
        <stp>FQ4 2015</stp>
        <stp>[FA1_m42y3cpi.xlsx]Income - Adjusted!R64C32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4" s="2"/>
      </tp>
      <tp>
        <v>3990.7692000000002</v>
        <stp/>
        <stp>##V3_BDHV12</stp>
        <stp>XOM US Equity</stp>
        <stp>EBIT</stp>
        <stp>FQ4 2017</stp>
        <stp>FQ4 2017</stp>
        <stp>[FA1_m42y3cpi.xlsx]Income - Adjusted!R64C40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64" s="2"/>
      </tp>
      <tp>
        <v>9722</v>
        <stp/>
        <stp>##V3_BDHV12</stp>
        <stp>XOM US Equity</stp>
        <stp>EBIT</stp>
        <stp>FQ4 2013</stp>
        <stp>FQ4 2013</stp>
        <stp>[FA1_m42y3cpi.xlsx]Income - Adjusted!R64C24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4" s="2"/>
      </tp>
      <tp>
        <v>11416</v>
        <stp/>
        <stp>##V3_BDHV12</stp>
        <stp>XOM US Equity</stp>
        <stp>EBIT</stp>
        <stp>FQ4 2011</stp>
        <stp>FQ4 2011</stp>
        <stp>[FA1_m42y3cpi.xlsx]Income - Adjusted!R64C16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4" s="2"/>
      </tp>
      <tp>
        <v>0</v>
        <stp/>
        <stp>##V3_BDHV12</stp>
        <stp>XOM US Equity</stp>
        <stp>CF_ACQUISITION_OF_INTANG_ASSETS</stp>
        <stp>FQ1 2010</stp>
        <stp>FQ1 2010</stp>
        <stp>[FA1_m42y3cpi.xlsx]Cash Flow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4"/>
      </tp>
      <tp>
        <v>0</v>
        <stp/>
        <stp>##V3_BDHV12</stp>
        <stp>XOM US Equity</stp>
        <stp>CF_NET_CASH_DISCONTINUED_OPS_FIN</stp>
        <stp>FQ4 2010</stp>
        <stp>FQ4 2010</stp>
        <stp>[FA1_m42y3cpi.xlsx]Cash Flow - Standardized!R48C12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8" s="4"/>
      </tp>
      <tp>
        <v>2664</v>
        <stp/>
        <stp>##V3_BDHV12</stp>
        <stp>XOM US Equity</stp>
        <stp>BS_TAXES_PAYABLE</stp>
        <stp>FQ2 2017</stp>
        <stp>FQ2 2017</stp>
        <stp>[FA1_m42y3cpi.xlsx]Bal Sheet - Standardized!R44C38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4" s="3"/>
      </tp>
      <tp>
        <v>994</v>
        <stp/>
        <stp>##V3_BDHV12</stp>
        <stp>XOM US Equity</stp>
        <stp>INC_DEC_IN_OT_OP_AST_LIAB_DETAIL</stp>
        <stp>FQ4 2016</stp>
        <stp>FQ4 2016</stp>
        <stp>[FA1_m42y3cpi.xlsx]Cash Flow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4"/>
      </tp>
      <tp>
        <v>-2076</v>
        <stp/>
        <stp>##V3_BDHV12</stp>
        <stp>XOM US Equity</stp>
        <stp>INC_DEC_IN_OT_OP_AST_LIAB_DETAIL</stp>
        <stp>FQ4 2015</stp>
        <stp>FQ4 2015</stp>
        <stp>[FA1_m42y3cpi.xlsx]Cash Flow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4"/>
      </tp>
      <tp>
        <v>0</v>
        <stp/>
        <stp>##V3_BDHV12</stp>
        <stp>XOM US Equity</stp>
        <stp>CF_NET_CASH_DISCONTINUED_OPS_FIN</stp>
        <stp>FQ4 2011</stp>
        <stp>FQ4 2011</stp>
        <stp>[FA1_m42y3cpi.xlsx]Cash Flow - Standardized!R48C16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8" s="4"/>
      </tp>
      <tp>
        <v>4049</v>
        <stp/>
        <stp>##V3_BDHV12</stp>
        <stp>XOM US Equity</stp>
        <stp>BS_TAXES_PAYABLE</stp>
        <stp>FQ2 2015</stp>
        <stp>FQ2 2015</stp>
        <stp>[FA1_m42y3cpi.xlsx]Bal Sheet - Standardized!R44C30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4" s="3"/>
      </tp>
      <tp>
        <v>251605</v>
        <stp/>
        <stp>##V3_BDHV12</stp>
        <stp>XOM US Equity</stp>
        <stp>BS_NET_FIX_ASSET</stp>
        <stp>FQ4 2015</stp>
        <stp>FQ4 2015</stp>
        <stp>[FA1_m42y3cpi.xlsx]Bal Sheet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3"/>
      </tp>
      <tp>
        <v>7600</v>
        <stp/>
        <stp>##V3_BDHV12</stp>
        <stp>XOM US Equity</stp>
        <stp>BS_TAXES_PAYABLE</stp>
        <stp>FQ3 2013</stp>
        <stp>FQ3 2013</stp>
        <stp>[FA1_m42y3cpi.xlsx]Bal Sheet - Standardized!R44C23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4" s="3"/>
      </tp>
      <tp>
        <v>244224</v>
        <stp/>
        <stp>##V3_BDHV12</stp>
        <stp>XOM US Equity</stp>
        <stp>BS_NET_FIX_ASSET</stp>
        <stp>FQ4 2016</stp>
        <stp>FQ4 2016</stp>
        <stp>[FA1_m42y3cpi.xlsx]Bal Sheet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3"/>
      </tp>
      <tp>
        <v>0</v>
        <stp/>
        <stp>##V3_BDHV12</stp>
        <stp>XOM US Equity</stp>
        <stp>CF_NET_CASH_DISCONTINUED_OPS_FIN</stp>
        <stp>FQ1 2018</stp>
        <stp>FQ1 2018</stp>
        <stp>[FA1_m42y3cpi.xlsx]Cash Flow - Standardized!R48C41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8" s="4"/>
      </tp>
      <tp>
        <v>-1287.7692</v>
        <stp/>
        <stp>##V3_BDHV12</stp>
        <stp>XOM US Equity</stp>
        <stp>IS_OTHER_OPERATING_EXPENSES</stp>
        <stp>FQ4 2017</stp>
        <stp>FQ4 2017</stp>
        <stp>[FA1_m42y3cpi.xlsx]Income - Adjusted!R15C40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5" s="2"/>
      </tp>
      <tp>
        <v>427</v>
        <stp/>
        <stp>##V3_BDHV12</stp>
        <stp>XOM US Equity</stp>
        <stp>IS_OTHER_OPERATING_EXPENSES</stp>
        <stp>FQ4 2011</stp>
        <stp>FQ4 2011</stp>
        <stp>[FA1_m42y3cpi.xlsx]Income - Adjusted!R15C16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5" s="2"/>
      </tp>
      <tp>
        <v>591</v>
        <stp/>
        <stp>##V3_BDHV12</stp>
        <stp>XOM US Equity</stp>
        <stp>IS_OTHER_OPERATING_EXPENSES</stp>
        <stp>FQ4 2013</stp>
        <stp>FQ4 2013</stp>
        <stp>[FA1_m42y3cpi.xlsx]Income - Adjusted!R15C24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5" s="2"/>
      </tp>
      <tp>
        <v>518</v>
        <stp/>
        <stp>##V3_BDHV12</stp>
        <stp>XOM US Equity</stp>
        <stp>IS_OTHER_OPERATING_EXPENSES</stp>
        <stp>FQ4 2015</stp>
        <stp>FQ4 2015</stp>
        <stp>[FA1_m42y3cpi.xlsx]Income - Adjusted!R15C32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5" s="2"/>
      </tp>
      <tp>
        <v>2731</v>
        <stp/>
        <stp>##V3_BDHV12</stp>
        <stp>XOM US Equity</stp>
        <stp>BS_TAXES_PAYABLE</stp>
        <stp>FQ2 2016</stp>
        <stp>FQ2 2016</stp>
        <stp>[FA1_m42y3cpi.xlsx]Bal Sheet - Standardized!R44C34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4" s="3"/>
      </tp>
      <tp>
        <v>6469</v>
        <stp/>
        <stp>##V3_BDHV12</stp>
        <stp>XOM US Equity</stp>
        <stp>BS_TAXES_PAYABLE</stp>
        <stp>FQ3 2014</stp>
        <stp>FQ3 2014</stp>
        <stp>[FA1_m42y3cpi.xlsx]Bal Sheet - Standardized!R44C27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4" s="3"/>
      </tp>
      <tp>
        <v>0</v>
        <stp/>
        <stp>##V3_BDHV12</stp>
        <stp>XOM US Equity</stp>
        <stp>CF_NT_CSH_RCVD_PD_FOR_ACQUIS_DIV</stp>
        <stp>FQ2 2010</stp>
        <stp>FQ2 2010</stp>
        <stp>[FA1_m42y3cpi.xlsx]Cash Flow - Standardized!R30C10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4"/>
      </tp>
      <tp>
        <v>0</v>
        <stp/>
        <stp>##V3_BDHV12</stp>
        <stp>XOM US Equity</stp>
        <stp>CF_NT_CSH_RCVD_PD_FOR_ACQUIS_DIV</stp>
        <stp>FQ1 2013</stp>
        <stp>FQ1 2013</stp>
        <stp>[FA1_m42y3cpi.xlsx]Cash Flow - Standardized!R30C21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4"/>
      </tp>
      <tp>
        <v>0</v>
        <stp/>
        <stp>##V3_BDHV12</stp>
        <stp>XOM US Equity</stp>
        <stp>CF_NT_CSH_RCVD_PD_FOR_ACQUIS_DIV</stp>
        <stp>FQ1 2014</stp>
        <stp>FQ1 2014</stp>
        <stp>[FA1_m42y3cpi.xlsx]Cash Flow - Standardized!R30C25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4"/>
      </tp>
      <tp>
        <v>11349.9231</v>
        <stp/>
        <stp>##V3_BDHV12</stp>
        <stp>XOM US Equity</stp>
        <stp>IS_OPER_INC</stp>
        <stp>FQ4 2012</stp>
        <stp>FQ4 2012</stp>
        <stp>[FA1_m42y3cpi.xlsx]Income - Adjusted!R16C20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6" s="2"/>
      </tp>
      <tp>
        <v>11294</v>
        <stp/>
        <stp>##V3_BDHV12</stp>
        <stp>XOM US Equity</stp>
        <stp>IS_OPER_INC</stp>
        <stp>FQ4 2010</stp>
        <stp>FQ4 2010</stp>
        <stp>[FA1_m42y3cpi.xlsx]Income - Adjusted!R16C12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6" s="2"/>
      </tp>
      <tp>
        <v>11083</v>
        <stp/>
        <stp>##V3_BDHV12</stp>
        <stp>XOM US Equity</stp>
        <stp>IS_OPER_INC</stp>
        <stp>FQ1 2013</stp>
        <stp>FQ1 2013</stp>
        <stp>[FA1_m42y3cpi.xlsx]Income - Adjusted!R16C21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6" s="2"/>
      </tp>
      <tp>
        <v>14193</v>
        <stp/>
        <stp>##V3_BDHV12</stp>
        <stp>XOM US Equity</stp>
        <stp>IS_OPER_INC</stp>
        <stp>FQ1 2011</stp>
        <stp>FQ1 2011</stp>
        <stp>[FA1_m42y3cpi.xlsx]Income - Adjusted!R16C13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6" s="2"/>
      </tp>
      <tp>
        <v>8726</v>
        <stp/>
        <stp>##V3_BDHV12</stp>
        <stp>XOM US Equity</stp>
        <stp>IS_OPER_INC</stp>
        <stp>FQ2 2014</stp>
        <stp>FQ2 2014</stp>
        <stp>[FA1_m42y3cpi.xlsx]Income - Adjusted!R16C26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6" s="2"/>
      </tp>
      <tp>
        <v>1137</v>
        <stp/>
        <stp>##V3_BDHV12</stp>
        <stp>XOM US Equity</stp>
        <stp>IS_OPER_INC</stp>
        <stp>FQ2 2016</stp>
        <stp>FQ2 2016</stp>
        <stp>[FA1_m42y3cpi.xlsx]Income - Adjusted!R16C34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6" s="2"/>
      </tp>
      <tp>
        <v>0</v>
        <stp/>
        <stp>##V3_BDHV12</stp>
        <stp>XOM US Equity</stp>
        <stp>CF_NT_CSH_RCVD_PD_FOR_ACQUIS_DIV</stp>
        <stp>FQ2 2011</stp>
        <stp>FQ2 2011</stp>
        <stp>[FA1_m42y3cpi.xlsx]Cash Flow - Standardized!R30C14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4"/>
      </tp>
      <tp>
        <v>0</v>
        <stp/>
        <stp>##V3_BDHV12</stp>
        <stp>XOM US Equity</stp>
        <stp>CF_NT_CSH_RCVD_PD_FOR_ACQUIS_DIV</stp>
        <stp>FQ2 2012</stp>
        <stp>FQ2 2012</stp>
        <stp>[FA1_m42y3cpi.xlsx]Cash Flow - Standardized!R30C18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4"/>
      </tp>
      <tp>
        <v>0</v>
        <stp/>
        <stp>##V3_BDHV12</stp>
        <stp>XOM US Equity</stp>
        <stp>CF_NT_CSH_RCVD_PD_FOR_ACQUIS_DIV</stp>
        <stp>FQ1 2015</stp>
        <stp>FQ1 2015</stp>
        <stp>[FA1_m42y3cpi.xlsx]Cash Flow - Standardized!R30C29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4"/>
      </tp>
      <tp>
        <v>1.79</v>
        <stp/>
        <stp>##V3_BDHV12</stp>
        <stp>XOM US Equity</stp>
        <stp>IS_DIL_EPS_BEF_XO</stp>
        <stp>FQ3 2013</stp>
        <stp>FQ3 2013</stp>
        <stp>[FA1_m42y3cpi.xlsx]Income - Adjusted!R56C23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6" s="2"/>
      </tp>
      <tp>
        <v>1.6</v>
        <stp/>
        <stp>##V3_BDHV12</stp>
        <stp>XOM US Equity</stp>
        <stp>IS_DIL_EPS_BEF_XO</stp>
        <stp>FQ2 2010</stp>
        <stp>FQ2 2010</stp>
        <stp>[FA1_m42y3cpi.xlsx]Income - Adjusted!R56C10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6" s="2"/>
      </tp>
      <tp>
        <v>0.95</v>
        <stp/>
        <stp>##V3_BDHV12</stp>
        <stp>XOM US Equity</stp>
        <stp>IS_DIL_EPS_BEF_XO</stp>
        <stp>FQ1 2017</stp>
        <stp>FQ1 2017</stp>
        <stp>[FA1_m42y3cpi.xlsx]Income - Adjusted!R56C37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6" s="2"/>
      </tp>
      <tp>
        <v>0.41</v>
        <stp/>
        <stp>##V3_BDHV12</stp>
        <stp>XOM US Equity</stp>
        <stp>IS_DIL_EPS_BEF_XO</stp>
        <stp>FQ4 2016</stp>
        <stp>FQ4 2016</stp>
        <stp>[FA1_m42y3cpi.xlsx]Income - Adjusted!R56C36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6" s="2"/>
      </tp>
      <tp>
        <v>1.01</v>
        <stp/>
        <stp>##V3_BDHV12</stp>
        <stp>XOM US Equity</stp>
        <stp>IS_DIL_EPS_CONT_OPS</stp>
        <stp>FQ3 2015</stp>
        <stp>FQ3 2015</stp>
        <stp>[FA1_m42y3cpi.xlsx]Per Share!R19C31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9" s="5"/>
      </tp>
      <tp>
        <v>2.13</v>
        <stp/>
        <stp>##V3_BDHV12</stp>
        <stp>XOM US Equity</stp>
        <stp>IS_DIL_EPS_CONT_OPS</stp>
        <stp>FQ3 2011</stp>
        <stp>FQ3 2011</stp>
        <stp>[FA1_m42y3cpi.xlsx]Per Share!R19C15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9" s="5"/>
      </tp>
      <tp t="s">
        <v>—</v>
        <stp/>
        <stp>##V3_BDHV12</stp>
        <stp>XOM US Equity</stp>
        <stp>CF_STOCK_BASED_COMPENSATION</stp>
        <stp>FQ4 2015</stp>
        <stp>FQ4 2015</stp>
        <stp>[FA1_m42y3cpi.xlsx]Cash Flow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4"/>
      </tp>
      <tp>
        <v>604</v>
        <stp/>
        <stp>##V3_BDHV12</stp>
        <stp>XOM US Equity</stp>
        <stp>MIN_NONCONTROL_INTEREST_CREDITS</stp>
        <stp>FQ4 2008</stp>
        <stp>FQ4 2008</stp>
        <stp>[FA1_m42y3cpi.xlsx]Income - Adjusted!R39C4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39" s="2"/>
      </tp>
      <tp>
        <v>536</v>
        <stp/>
        <stp>##V3_BDHV12</stp>
        <stp>XOM US Equity</stp>
        <stp>MIN_NONCONTROL_INTEREST_CREDITS</stp>
        <stp>FQ3 2008</stp>
        <stp>FQ3 2008</stp>
        <stp>[FA1_m42y3cpi.xlsx]Income - Adjusted!R39C3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39" s="2"/>
      </tp>
      <tp t="s">
        <v>—</v>
        <stp/>
        <stp>##V3_BDHV12</stp>
        <stp>XOM US Equity</stp>
        <stp>CF_STOCK_BASED_COMPENSATION</stp>
        <stp>FQ4 2016</stp>
        <stp>FQ4 2016</stp>
        <stp>[FA1_m42y3cpi.xlsx]Cash Flow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4"/>
      </tp>
      <tp>
        <v>15366</v>
        <stp/>
        <stp>##V3_BDHV12</stp>
        <stp>XOM US Equity</stp>
        <stp>NI_INCLUDING_MINORITY_INT_RATIO</stp>
        <stp>FQ3 2008</stp>
        <stp>FQ3 2008</stp>
        <stp>[FA1_m42y3cpi.xlsx]Income - Adjusted!R38C3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38" s="2"/>
      </tp>
      <tp>
        <v>8424</v>
        <stp/>
        <stp>##V3_BDHV12</stp>
        <stp>XOM US Equity</stp>
        <stp>NI_INCLUDING_MINORITY_INT_RATIO</stp>
        <stp>FQ4 2008</stp>
        <stp>FQ4 2008</stp>
        <stp>[FA1_m42y3cpi.xlsx]Income - Adjusted!R38C4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38" s="2"/>
      </tp>
      <tp>
        <v>-2890</v>
        <stp/>
        <stp>##V3_BDHV12</stp>
        <stp>XOM US Equity</stp>
        <stp>ACQUIS_FXD_&amp;_INTANG_DETAILED</stp>
        <stp>FQ1 2017</stp>
        <stp>FQ1 2017</stp>
        <stp>[FA1_m42y3cpi.xlsx]Cash Flow - Standardized!R24C37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4" s="4"/>
      </tp>
      <tp>
        <v>-7801</v>
        <stp/>
        <stp>##V3_BDHV12</stp>
        <stp>XOM US Equity</stp>
        <stp>ACQUIS_FXD_&amp;_INTANG_DETAILED</stp>
        <stp>FQ3 2010</stp>
        <stp>FQ3 2010</stp>
        <stp>[FA1_m42y3cpi.xlsx]Cash Flow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4"/>
      </tp>
      <tp>
        <v>-4601</v>
        <stp/>
        <stp>##V3_BDHV12</stp>
        <stp>XOM US Equity</stp>
        <stp>ACQUIS_FXD_&amp;_INTANG_DETAILED</stp>
        <stp>FQ1 2016</stp>
        <stp>FQ1 2016</stp>
        <stp>[FA1_m42y3cpi.xlsx]Cash Flow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4"/>
      </tp>
      <tp>
        <v>-7478</v>
        <stp/>
        <stp>##V3_BDHV12</stp>
        <stp>XOM US Equity</stp>
        <stp>ACQUIS_FXD_&amp;_INTANG_DETAILED</stp>
        <stp>FQ3 2011</stp>
        <stp>FQ3 2011</stp>
        <stp>[FA1_m42y3cpi.xlsx]Cash Flow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4"/>
      </tp>
      <tp>
        <v>-8026</v>
        <stp/>
        <stp>##V3_BDHV12</stp>
        <stp>XOM US Equity</stp>
        <stp>ACQUIS_FXD_&amp;_INTANG_DETAILED</stp>
        <stp>FQ3 2012</stp>
        <stp>FQ3 2012</stp>
        <stp>[FA1_m42y3cpi.xlsx]Cash Flow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4"/>
      </tp>
      <tp t="s">
        <v>—</v>
        <stp/>
        <stp>##V3_BDHV12</stp>
        <stp>XOM US Equity</stp>
        <stp>IS_FOREIGN_EXCH_LOSS</stp>
        <stp>FQ3 2016</stp>
        <stp>FQ3 2016</stp>
        <stp>[FA1_m42y3cpi.xlsx]Income - Adjusted!R21C35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1" s="2"/>
      </tp>
      <tp t="s">
        <v>—</v>
        <stp/>
        <stp>##V3_BDHV12</stp>
        <stp>XOM US Equity</stp>
        <stp>IS_FOREIGN_EXCH_LOSS</stp>
        <stp>FQ3 2014</stp>
        <stp>FQ3 2014</stp>
        <stp>[FA1_m42y3cpi.xlsx]Income - Adjusted!R21C27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1" s="2"/>
      </tp>
      <tp>
        <v>2935</v>
        <stp/>
        <stp>##V3_BDHV12</stp>
        <stp>XOM US Equity</stp>
        <stp>FREE_CASH_FLOW_EQUITY</stp>
        <stp>FQ3 2012</stp>
        <stp>FQ3 2012</stp>
        <stp>[FA1_m42y3cpi.xlsx]Cash Flow - Standardized!R65C19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5" s="4"/>
      </tp>
      <tp>
        <v>3769</v>
        <stp/>
        <stp>##V3_BDHV12</stp>
        <stp>XOM US Equity</stp>
        <stp>FREE_CASH_FLOW_EQUITY</stp>
        <stp>FQ3 2010</stp>
        <stp>FQ3 2010</stp>
        <stp>[FA1_m42y3cpi.xlsx]Cash Flow - Standardized!R65C11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5" s="4"/>
      </tp>
      <tp>
        <v>6403</v>
        <stp/>
        <stp>##V3_BDHV12</stp>
        <stp>XOM US Equity</stp>
        <stp>FREE_CASH_FLOW_EQUITY</stp>
        <stp>FQ1 2017</stp>
        <stp>FQ1 2017</stp>
        <stp>[FA1_m42y3cpi.xlsx]Cash Flow - Standardized!R65C37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5" s="4"/>
      </tp>
      <tp>
        <v>9026</v>
        <stp/>
        <stp>##V3_BDHV12</stp>
        <stp>XOM US Equity</stp>
        <stp>FREE_CASH_FLOW_EQUITY</stp>
        <stp>FQ3 2011</stp>
        <stp>FQ3 2011</stp>
        <stp>[FA1_m42y3cpi.xlsx]Cash Flow - Standardized!R65C15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5" s="4"/>
      </tp>
      <tp>
        <v>4729</v>
        <stp/>
        <stp>##V3_BDHV12</stp>
        <stp>XOM US Equity</stp>
        <stp>FREE_CASH_FLOW_EQUITY</stp>
        <stp>FQ1 2016</stp>
        <stp>FQ1 2016</stp>
        <stp>[FA1_m42y3cpi.xlsx]Cash Flow - Standardized!R65C33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5" s="4"/>
      </tp>
      <tp>
        <v>4338</v>
        <stp/>
        <stp>##V3_BDHV12</stp>
        <stp>XOM US Equity</stp>
        <stp>IS_OPERATING_EXPN</stp>
        <stp>FQ4 2011</stp>
        <stp>FQ4 2011</stp>
        <stp>[FA1_m42y3cpi.xlsx]Income - Adjusted!R13C16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3" s="2"/>
      </tp>
      <tp>
        <v>3932</v>
        <stp/>
        <stp>##V3_BDHV12</stp>
        <stp>XOM US Equity</stp>
        <stp>IS_OPERATING_EXPN</stp>
        <stp>FQ4 2013</stp>
        <stp>FQ4 2013</stp>
        <stp>[FA1_m42y3cpi.xlsx]Income - Adjusted!R13C24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3" s="2"/>
      </tp>
      <tp>
        <v>1716.2308</v>
        <stp/>
        <stp>##V3_BDHV12</stp>
        <stp>XOM US Equity</stp>
        <stp>IS_OPERATING_EXPN</stp>
        <stp>FQ4 2017</stp>
        <stp>FQ4 2017</stp>
        <stp>[FA1_m42y3cpi.xlsx]Income - Adjusted!R13C40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3" s="2"/>
      </tp>
      <tp>
        <v>3508</v>
        <stp/>
        <stp>##V3_BDHV12</stp>
        <stp>XOM US Equity</stp>
        <stp>IS_OPERATING_EXPN</stp>
        <stp>FQ4 2015</stp>
        <stp>FQ4 2015</stp>
        <stp>[FA1_m42y3cpi.xlsx]Income - Adjusted!R13C32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3" s="2"/>
      </tp>
      <tp>
        <v>-2492</v>
        <stp/>
        <stp>##V3_BDHV12</stp>
        <stp>XOM US Equity</stp>
        <stp>INC_DEC_IN_OT_OP_AST_LIAB_DETAIL</stp>
        <stp>FQ4 2012</stp>
        <stp>FQ4 2012</stp>
        <stp>[FA1_m42y3cpi.xlsx]Cash Flow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4"/>
      </tp>
      <tp>
        <v>248209</v>
        <stp/>
        <stp>##V3_BDHV12</stp>
        <stp>XOM US Equity</stp>
        <stp>BS_NET_FIX_ASSET</stp>
        <stp>FQ2 2018</stp>
        <stp>FQ2 2018</stp>
        <stp>[FA1_m42y3cpi.xlsx]Bal Sheet - Standardized!R23C42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3"/>
      </tp>
      <tp>
        <v>252668</v>
        <stp/>
        <stp>##V3_BDHV12</stp>
        <stp>XOM US Equity</stp>
        <stp>BS_NET_FIX_ASSET</stp>
        <stp>FQ4 2014</stp>
        <stp>FQ4 2014</stp>
        <stp>[FA1_m42y3cpi.xlsx]Bal Sheet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3"/>
      </tp>
      <tp>
        <v>3338</v>
        <stp/>
        <stp>##V3_BDHV12</stp>
        <stp>XOM US Equity</stp>
        <stp>BS_TAXES_PAYABLE</stp>
        <stp>FQ3 2017</stp>
        <stp>FQ3 2017</stp>
        <stp>[FA1_m42y3cpi.xlsx]Bal Sheet - Standardized!R44C39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4" s="3"/>
      </tp>
      <tp>
        <v>-2044</v>
        <stp/>
        <stp>##V3_BDHV12</stp>
        <stp>XOM US Equity</stp>
        <stp>INC_DEC_IN_OT_OP_AST_LIAB_DETAIL</stp>
        <stp>FQ4 2013</stp>
        <stp>FQ4 2013</stp>
        <stp>[FA1_m42y3cpi.xlsx]Cash Flow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4"/>
      </tp>
      <tp>
        <v>3674</v>
        <stp/>
        <stp>##V3_BDHV12</stp>
        <stp>XOM US Equity</stp>
        <stp>BS_TAXES_PAYABLE</stp>
        <stp>FQ3 2015</stp>
        <stp>FQ3 2015</stp>
        <stp>[FA1_m42y3cpi.xlsx]Bal Sheet - Standardized!R44C31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4" s="3"/>
      </tp>
      <tp>
        <v>243650</v>
        <stp/>
        <stp>##V3_BDHV12</stp>
        <stp>XOM US Equity</stp>
        <stp>BS_NET_FIX_ASSET</stp>
        <stp>FQ4 2013</stp>
        <stp>FQ4 2013</stp>
        <stp>[FA1_m42y3cpi.xlsx]Bal Sheet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3"/>
      </tp>
      <tp>
        <v>14491</v>
        <stp/>
        <stp>##V3_BDHV12</stp>
        <stp>XOM US Equity</stp>
        <stp>BS_TAXES_PAYABLE</stp>
        <stp>FQ1 2012</stp>
        <stp>FQ1 2012</stp>
        <stp>[FA1_m42y3cpi.xlsx]Bal Sheet - Standardized!R44C17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4" s="3"/>
      </tp>
      <tp>
        <v>8208</v>
        <stp/>
        <stp>##V3_BDHV12</stp>
        <stp>XOM US Equity</stp>
        <stp>BS_TAXES_PAYABLE</stp>
        <stp>FQ2 2013</stp>
        <stp>FQ2 2013</stp>
        <stp>[FA1_m42y3cpi.xlsx]Bal Sheet - Standardized!R44C22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4" s="3"/>
      </tp>
      <tp>
        <v>12316</v>
        <stp/>
        <stp>##V3_BDHV12</stp>
        <stp>XOM US Equity</stp>
        <stp>BS_TAXES_PAYABLE</stp>
        <stp>FQ1 2011</stp>
        <stp>FQ1 2011</stp>
        <stp>[FA1_m42y3cpi.xlsx]Bal Sheet - Standardized!R44C13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4" s="3"/>
      </tp>
      <tp>
        <v>6356</v>
        <stp/>
        <stp>##V3_BDHV12</stp>
        <stp>XOM US Equity</stp>
        <stp>BS_TAXES_PAYABLE</stp>
        <stp>FQ4 2017</stp>
        <stp>FQ4 2017</stp>
        <stp>[FA1_m42y3cpi.xlsx]Bal Sheet - Standardized!R44C40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4" s="3"/>
      </tp>
      <tp>
        <v>-1333</v>
        <stp/>
        <stp>##V3_BDHV12</stp>
        <stp>XOM US Equity</stp>
        <stp>INC_DEC_IN_OT_OP_AST_LIAB_DETAIL</stp>
        <stp>FQ2 2018</stp>
        <stp>FQ2 2018</stp>
        <stp>[FA1_m42y3cpi.xlsx]Cash Flow - Standardized!R15C42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5" s="4"/>
      </tp>
      <tp>
        <v>-4472</v>
        <stp/>
        <stp>##V3_BDHV12</stp>
        <stp>XOM US Equity</stp>
        <stp>INC_DEC_IN_OT_OP_AST_LIAB_DETAIL</stp>
        <stp>FQ4 2014</stp>
        <stp>FQ4 2014</stp>
        <stp>[FA1_m42y3cpi.xlsx]Cash Flow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4"/>
      </tp>
      <tp>
        <v>226949</v>
        <stp/>
        <stp>##V3_BDHV12</stp>
        <stp>XOM US Equity</stp>
        <stp>BS_NET_FIX_ASSET</stp>
        <stp>FQ4 2012</stp>
        <stp>FQ4 2012</stp>
        <stp>[FA1_m42y3cpi.xlsx]Bal Sheet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3"/>
      </tp>
      <tp>
        <v>2755</v>
        <stp/>
        <stp>##V3_BDHV12</stp>
        <stp>XOM US Equity</stp>
        <stp>BS_TAXES_PAYABLE</stp>
        <stp>FQ3 2016</stp>
        <stp>FQ3 2016</stp>
        <stp>[FA1_m42y3cpi.xlsx]Bal Sheet - Standardized!R44C35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4" s="3"/>
      </tp>
      <tp>
        <v>7218</v>
        <stp/>
        <stp>##V3_BDHV12</stp>
        <stp>XOM US Equity</stp>
        <stp>BS_TAXES_PAYABLE</stp>
        <stp>FQ2 2014</stp>
        <stp>FQ2 2014</stp>
        <stp>[FA1_m42y3cpi.xlsx]Bal Sheet - Standardized!R44C26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4" s="3"/>
      </tp>
      <tp>
        <v>0</v>
        <stp/>
        <stp>##V3_BDHV12</stp>
        <stp>XOM US Equity</stp>
        <stp>CF_NT_CSH_RCVD_PD_FOR_ACQUIS_DIV</stp>
        <stp>FQ3 2010</stp>
        <stp>FQ3 2010</stp>
        <stp>[FA1_m42y3cpi.xlsx]Cash Flow - Standardized!R30C11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4"/>
      </tp>
      <tp>
        <v>1544</v>
        <stp/>
        <stp>##V3_BDHV12</stp>
        <stp>XOM US Equity</stp>
        <stp>BS_LONG_TERM_INVESTMENTS</stp>
        <stp>FQ4 2011</stp>
        <stp>FQ4 2011</stp>
        <stp>[FA1_m42y3cpi.xlsx]Bal Sheet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3"/>
      </tp>
      <tp>
        <v>9574</v>
        <stp/>
        <stp>##V3_BDHV12</stp>
        <stp>XOM US Equity</stp>
        <stp>IS_OPER_INC</stp>
        <stp>FQ3 2014</stp>
        <stp>FQ3 2014</stp>
        <stp>[FA1_m42y3cpi.xlsx]Income - Adjusted!R16C27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6" s="2"/>
      </tp>
      <tp>
        <v>1422</v>
        <stp/>
        <stp>##V3_BDHV12</stp>
        <stp>XOM US Equity</stp>
        <stp>IS_OPER_INC</stp>
        <stp>FQ3 2016</stp>
        <stp>FQ3 2016</stp>
        <stp>[FA1_m42y3cpi.xlsx]Income - Adjusted!R16C35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6" s="2"/>
      </tp>
      <tp>
        <v>0</v>
        <stp/>
        <stp>##V3_BDHV12</stp>
        <stp>XOM US Equity</stp>
        <stp>CF_NT_CSH_RCVD_PD_FOR_ACQUIS_DIV</stp>
        <stp>FQ1 2017</stp>
        <stp>FQ1 2017</stp>
        <stp>[FA1_m42y3cpi.xlsx]Cash Flow - Standardized!R30C37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0" s="4"/>
      </tp>
      <tp>
        <v>1557</v>
        <stp/>
        <stp>##V3_BDHV12</stp>
        <stp>XOM US Equity</stp>
        <stp>BS_LONG_TERM_INVESTMENTS</stp>
        <stp>FQ4 2010</stp>
        <stp>FQ4 2010</stp>
        <stp>[FA1_m42y3cpi.xlsx]Bal Sheet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3"/>
      </tp>
      <tp>
        <v>0</v>
        <stp/>
        <stp>##V3_BDHV12</stp>
        <stp>XOM US Equity</stp>
        <stp>CF_NT_CSH_RCVD_PD_FOR_ACQUIS_DIV</stp>
        <stp>FQ3 2011</stp>
        <stp>FQ3 2011</stp>
        <stp>[FA1_m42y3cpi.xlsx]Cash Flow - Standardized!R30C15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4"/>
      </tp>
      <tp>
        <v>0</v>
        <stp/>
        <stp>##V3_BDHV12</stp>
        <stp>XOM US Equity</stp>
        <stp>CF_NT_CSH_RCVD_PD_FOR_ACQUIS_DIV</stp>
        <stp>FQ1 2016</stp>
        <stp>FQ1 2016</stp>
        <stp>[FA1_m42y3cpi.xlsx]Cash Flow - Standardized!R30C33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4"/>
      </tp>
      <tp>
        <v>0</v>
        <stp/>
        <stp>##V3_BDHV12</stp>
        <stp>XOM US Equity</stp>
        <stp>CF_NT_CSH_RCVD_PD_FOR_ACQUIS_DIV</stp>
        <stp>FQ3 2012</stp>
        <stp>FQ3 2012</stp>
        <stp>[FA1_m42y3cpi.xlsx]Cash Flow - Standardized!R30C19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4"/>
      </tp>
      <tp t="s">
        <v>—</v>
        <stp/>
        <stp>##V3_BDHV12</stp>
        <stp>XOM US Equity</stp>
        <stp>BS_LONG_TERM_INVESTMENTS</stp>
        <stp>FQ1 2018</stp>
        <stp>FQ1 2018</stp>
        <stp>[FA1_m42y3cpi.xlsx]Bal Sheet - Standardized!R27C41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3"/>
      </tp>
      <tp>
        <v>1.44</v>
        <stp/>
        <stp>##V3_BDHV12</stp>
        <stp>XOM US Equity</stp>
        <stp>IS_DIL_EPS_BEF_XO</stp>
        <stp>FQ3 2010</stp>
        <stp>FQ3 2010</stp>
        <stp>[FA1_m42y3cpi.xlsx]Income - Adjusted!R56C11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6" s="2"/>
      </tp>
      <tp>
        <v>1.55</v>
        <stp/>
        <stp>##V3_BDHV12</stp>
        <stp>XOM US Equity</stp>
        <stp>IS_DIL_EPS_BEF_XO</stp>
        <stp>FQ2 2013</stp>
        <stp>FQ2 2013</stp>
        <stp>[FA1_m42y3cpi.xlsx]Income - Adjusted!R56C22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6" s="2"/>
      </tp>
      <tp>
        <v>2.1</v>
        <stp/>
        <stp>##V3_BDHV12</stp>
        <stp>XOM US Equity</stp>
        <stp>IS_DIL_EPS_BEF_XO</stp>
        <stp>FQ1 2014</stp>
        <stp>FQ1 2014</stp>
        <stp>[FA1_m42y3cpi.xlsx]Income - Adjusted!R56C25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6" s="2"/>
      </tp>
      <tp>
        <v>6057</v>
        <stp/>
        <stp>##V3_BDHV12</stp>
        <stp>XOM US Equity</stp>
        <stp>IS_OPER_INC</stp>
        <stp>FQ1 2009</stp>
        <stp>FQ1 2009</stp>
        <stp>[FA1_m42y3cpi.xlsx]Income - Adjusted!R16C5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6" s="2"/>
      </tp>
      <tp>
        <v>5570</v>
        <stp/>
        <stp>##V3_BDHV12</stp>
        <stp>XOM US Equity</stp>
        <stp>IS_OPER_INC</stp>
        <stp>FQ2 2009</stp>
        <stp>FQ2 2009</stp>
        <stp>[FA1_m42y3cpi.xlsx]Income - Adjusted!R16C6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6" s="2"/>
      </tp>
      <tp>
        <v>7096</v>
        <stp/>
        <stp>##V3_BDHV12</stp>
        <stp>XOM US Equity</stp>
        <stp>IS_OPER_INC</stp>
        <stp>FQ3 2009</stp>
        <stp>FQ3 2009</stp>
        <stp>[FA1_m42y3cpi.xlsx]Income - Adjusted!R16C7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6" s="2"/>
      </tp>
      <tp>
        <v>1</v>
        <stp/>
        <stp>##V3_BDHV12</stp>
        <stp>XOM US Equity</stp>
        <stp>IS_DIL_EPS_CONT_OPS</stp>
        <stp>FQ2 2015</stp>
        <stp>FQ2 2015</stp>
        <stp>[FA1_m42y3cpi.xlsx]Per Share!R19C30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9" s="5"/>
      </tp>
      <tp>
        <v>2.1800000000000002</v>
        <stp/>
        <stp>##V3_BDHV12</stp>
        <stp>XOM US Equity</stp>
        <stp>IS_DIL_EPS_CONT_OPS</stp>
        <stp>FQ2 2011</stp>
        <stp>FQ2 2011</stp>
        <stp>[FA1_m42y3cpi.xlsx]Per Share!R19C14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9" s="5"/>
      </tp>
      <tp>
        <v>0.43</v>
        <stp/>
        <stp>##V3_BDHV12</stp>
        <stp>XOM US Equity</stp>
        <stp>IS_DIL_EPS_CONT_OPS</stp>
        <stp>FQ1 2016</stp>
        <stp>FQ1 2016</stp>
        <stp>[FA1_m42y3cpi.xlsx]Per Share!R19C33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9" s="5"/>
      </tp>
      <tp>
        <v>2</v>
        <stp/>
        <stp>##V3_BDHV12</stp>
        <stp>XOM US Equity</stp>
        <stp>IS_DIL_EPS_CONT_OPS</stp>
        <stp>FQ1 2012</stp>
        <stp>FQ1 2012</stp>
        <stp>[FA1_m42y3cpi.xlsx]Per Share!R19C17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9" s="5"/>
      </tp>
      <tp>
        <v>6575</v>
        <stp/>
        <stp>##V3_BDHV12</stp>
        <stp>XOM US Equity</stp>
        <stp>NI_INCLUDING_MINORITY_INT_RATIO</stp>
        <stp>FQ1 2010</stp>
        <stp>FQ1 2010</stp>
        <stp>[FA1_m42y3cpi.xlsx]Income - Adjusted!R38C9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38" s="2"/>
      </tp>
      <tp t="s">
        <v>—</v>
        <stp/>
        <stp>##V3_BDHV12</stp>
        <stp>XOM US Equity</stp>
        <stp>CF_STOCK_BASED_COMPENSATION</stp>
        <stp>FQ4 2013</stp>
        <stp>FQ4 2013</stp>
        <stp>[FA1_m42y3cpi.xlsx]Cash Flow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4"/>
      </tp>
      <tp t="s">
        <v>—</v>
        <stp/>
        <stp>##V3_BDHV12</stp>
        <stp>XOM US Equity</stp>
        <stp>CF_STOCK_BASED_COMPENSATION</stp>
        <stp>FQ4 2012</stp>
        <stp>FQ4 2012</stp>
        <stp>[FA1_m42y3cpi.xlsx]Cash Flow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4"/>
      </tp>
      <tp t="s">
        <v>—</v>
        <stp/>
        <stp>##V3_BDHV12</stp>
        <stp>XOM US Equity</stp>
        <stp>CF_STOCK_BASED_COMPENSATION</stp>
        <stp>FQ4 2014</stp>
        <stp>FQ4 2014</stp>
        <stp>[FA1_m42y3cpi.xlsx]Cash Flow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4"/>
      </tp>
      <tp t="s">
        <v>—</v>
        <stp/>
        <stp>##V3_BDHV12</stp>
        <stp>XOM US Equity</stp>
        <stp>CF_STOCK_BASED_COMPENSATION</stp>
        <stp>FQ2 2018</stp>
        <stp>FQ2 2018</stp>
        <stp>[FA1_m42y3cpi.xlsx]Cash Flow - Standardized!R10C42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0" s="4"/>
      </tp>
      <tp>
        <v>82.73</v>
        <stp/>
        <stp>##V3_BDHV12</stp>
        <stp>XOM US Equity</stp>
        <stp>PX_HIGH</stp>
        <stp>FQ1 2009</stp>
        <stp>FQ1 2009</stp>
        <stp>[FA1_m42y3cpi.xlsx]Stock Value!R9C5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9" s="6"/>
      </tp>
      <tp>
        <v>83.64</v>
        <stp/>
        <stp>##V3_BDHV12</stp>
        <stp>XOM US Equity</stp>
        <stp>PX_HIGH</stp>
        <stp>FQ4 2008</stp>
        <stp>FQ4 2008</stp>
        <stp>[FA1_m42y3cpi.xlsx]Stock Value!R9C4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9" s="6"/>
      </tp>
      <tp>
        <v>4301.0910000000003</v>
        <stp/>
        <stp>##V3_BDHV12</stp>
        <stp>XOM US Equity</stp>
        <stp>CF_FREE_CASH_FLOW_FIRM</stp>
        <stp>FQ1 2009</stp>
        <stp>FQ1 2009</stp>
        <stp>[FA1_m42y3cpi.xlsx]Cash Flow - Standardized!R64C5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64" s="4"/>
      </tp>
      <tp>
        <v>275</v>
        <stp/>
        <stp>##V3_BDHV12</stp>
        <stp>XOM US Equity</stp>
        <stp>MIN_NONCONTROL_INTEREST_CREDITS</stp>
        <stp>FQ1 2010</stp>
        <stp>FQ1 2010</stp>
        <stp>[FA1_m42y3cpi.xlsx]Income - Adjusted!R39C9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39" s="2"/>
      </tp>
      <tp>
        <v>-3187.9443999999999</v>
        <stp/>
        <stp>##V3_BDHV12</stp>
        <stp>XOM US Equity</stp>
        <stp>CF_FREE_CASH_FLOW_FIRM</stp>
        <stp>FQ2 2009</stp>
        <stp>FQ2 2009</stp>
        <stp>[FA1_m42y3cpi.xlsx]Cash Flow - Standardized!R64C6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64" s="4"/>
      </tp>
      <tp>
        <v>3369.8119999999999</v>
        <stp/>
        <stp>##V3_BDHV12</stp>
        <stp>XOM US Equity</stp>
        <stp>CF_FREE_CASH_FLOW_FIRM</stp>
        <stp>FQ3 2009</stp>
        <stp>FQ3 2009</stp>
        <stp>[FA1_m42y3cpi.xlsx]Cash Flow - Standardized!R64C7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64" s="4"/>
      </tp>
      <tp>
        <v>2942.9787999999999</v>
        <stp/>
        <stp>##V3_BDHV12</stp>
        <stp>XOM US Equity</stp>
        <stp>CF_FREE_CASH_FLOW_FIRM</stp>
        <stp>FQ2 2018</stp>
        <stp>FQ2 2018</stp>
        <stp>[FA1_m42y3cpi.xlsx]Cash Flow - Standardized!R64C42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64" s="4"/>
      </tp>
      <tp>
        <v>5304.7695999999996</v>
        <stp/>
        <stp>##V3_BDHV12</stp>
        <stp>XOM US Equity</stp>
        <stp>CF_FREE_CASH_FLOW_FIRM</stp>
        <stp>FQ1 2018</stp>
        <stp>FQ1 2018</stp>
        <stp>[FA1_m42y3cpi.xlsx]Cash Flow - Standardized!R64C41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64" s="4"/>
      </tp>
      <tp t="s">
        <v>—</v>
        <stp/>
        <stp>##V3_BDHV12</stp>
        <stp>XOM US Equity</stp>
        <stp>BS_OPTIONS_GRANTED</stp>
        <stp>FQ4 2013</stp>
        <stp>FQ4 2013</stp>
        <stp>[FA1_m42y3cpi.xlsx]Bal Sheet - Standardized!R84C24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4" s="3"/>
      </tp>
      <tp t="s">
        <v>—</v>
        <stp/>
        <stp>##V3_BDHV12</stp>
        <stp>XOM US Equity</stp>
        <stp>BS_OPTIONS_GRANTED</stp>
        <stp>FQ3 2013</stp>
        <stp>FQ3 2013</stp>
        <stp>[FA1_m42y3cpi.xlsx]Bal Sheet - Standardized!R84C23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4" s="3"/>
      </tp>
      <tp t="s">
        <v>—</v>
        <stp/>
        <stp>##V3_BDHV12</stp>
        <stp>XOM US Equity</stp>
        <stp>BS_OPTIONS_GRANTED</stp>
        <stp>FQ2 2013</stp>
        <stp>FQ2 2013</stp>
        <stp>[FA1_m42y3cpi.xlsx]Bal Sheet - Standardized!R84C22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4" s="3"/>
      </tp>
      <tp t="s">
        <v>—</v>
        <stp/>
        <stp>##V3_BDHV12</stp>
        <stp>XOM US Equity</stp>
        <stp>BS_OPTIONS_GRANTED</stp>
        <stp>FQ1 2013</stp>
        <stp>FQ1 2013</stp>
        <stp>[FA1_m42y3cpi.xlsx]Bal Sheet - Standardized!R84C21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4" s="3"/>
      </tp>
      <tp t="s">
        <v>—</v>
        <stp/>
        <stp>##V3_BDHV12</stp>
        <stp>XOM US Equity</stp>
        <stp>BS_OPTIONS_GRANTED</stp>
        <stp>FQ4 2011</stp>
        <stp>FQ4 2011</stp>
        <stp>[FA1_m42y3cpi.xlsx]Bal Sheet - Standardized!R84C16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4" s="3"/>
      </tp>
      <tp t="s">
        <v>—</v>
        <stp/>
        <stp>##V3_BDHV12</stp>
        <stp>XOM US Equity</stp>
        <stp>BS_OPTIONS_GRANTED</stp>
        <stp>FQ1 2011</stp>
        <stp>FQ1 2011</stp>
        <stp>[FA1_m42y3cpi.xlsx]Bal Sheet - Standardized!R84C13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4" s="3"/>
      </tp>
      <tp>
        <v>-1416.8425999999999</v>
        <stp/>
        <stp>##V3_BDHV12</stp>
        <stp>XOM US Equity</stp>
        <stp>CF_FREE_CASH_FLOW_FIRM</stp>
        <stp>FQ4 2014</stp>
        <stp>FQ4 2014</stp>
        <stp>[FA1_m42y3cpi.xlsx]Cash Flow - Standardized!R64C28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64" s="4"/>
      </tp>
      <tp t="s">
        <v>—</v>
        <stp/>
        <stp>##V3_BDHV12</stp>
        <stp>XOM US Equity</stp>
        <stp>BS_OPTIONS_GRANTED</stp>
        <stp>FQ4 2017</stp>
        <stp>FQ4 2017</stp>
        <stp>[FA1_m42y3cpi.xlsx]Bal Sheet - Standardized!R84C40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4" s="3"/>
      </tp>
      <tp>
        <v>5449.8126000000002</v>
        <stp/>
        <stp>##V3_BDHV12</stp>
        <stp>XOM US Equity</stp>
        <stp>CF_FREE_CASH_FLOW_FIRM</stp>
        <stp>FQ3 2012</stp>
        <stp>FQ3 2012</stp>
        <stp>[FA1_m42y3cpi.xlsx]Cash Flow - Standardized!R64C19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64" s="4"/>
      </tp>
      <tp>
        <v>1905.7023999999999</v>
        <stp/>
        <stp>##V3_BDHV12</stp>
        <stp>XOM US Equity</stp>
        <stp>CF_FREE_CASH_FLOW_FIRM</stp>
        <stp>FQ2 2012</stp>
        <stp>FQ2 2012</stp>
        <stp>[FA1_m42y3cpi.xlsx]Cash Flow - Standardized!R64C18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64" s="4"/>
      </tp>
      <tp t="s">
        <v>—</v>
        <stp/>
        <stp>##V3_BDHV12</stp>
        <stp>XOM US Equity</stp>
        <stp>BS_OPTIONS_GRANTED</stp>
        <stp>FQ4 2015</stp>
        <stp>FQ4 2015</stp>
        <stp>[FA1_m42y3cpi.xlsx]Bal Sheet - Standardized!R84C32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4" s="3"/>
      </tp>
      <tp>
        <v>27</v>
        <stp/>
        <stp>##V3_BDHV12</stp>
        <stp>XOM US Equity</stp>
        <stp>CF_PROC_LT_DEBT_&amp;_CAPITAL_LEASE</stp>
        <stp>FQ1 2010</stp>
        <stp>FQ1 2010</stp>
        <stp>[FA1_m42y3cpi.xlsx]Cash Flow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4"/>
      </tp>
      <tp>
        <v>33</v>
        <stp/>
        <stp>##V3_BDHV12</stp>
        <stp>XOM US Equity</stp>
        <stp>CF_PROC_LT_DEBT_&amp;_CAPITAL_LEASE</stp>
        <stp>FQ4 2009</stp>
        <stp>FQ4 2009</stp>
        <stp>[FA1_m42y3cpi.xlsx]Cash Flow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4"/>
      </tp>
      <tp>
        <v>8386</v>
        <stp/>
        <stp>##V3_BDHV12</stp>
        <stp>XOM US Equity</stp>
        <stp>EBITDA</stp>
        <stp>FQ1 2017</stp>
        <stp>FQ1 2017</stp>
        <stp>[FA1_m42y3cpi.xlsx]Cash Flow - Standardized!R59C37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59" s="4"/>
      </tp>
      <tp>
        <v>2.1800000000000002</v>
        <stp/>
        <stp>##V3_BDHV12</stp>
        <stp>XOM US Equity</stp>
        <stp>IS_DIL_EPS_BEF_XO</stp>
        <stp>FQ2 2011</stp>
        <stp>FQ2 2011</stp>
        <stp>[FA1_m42y3cpi.xlsx]Per Share!R18C14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8" s="5"/>
      </tp>
      <tp>
        <v>1</v>
        <stp/>
        <stp>##V3_BDHV12</stp>
        <stp>XOM US Equity</stp>
        <stp>IS_DIL_EPS_BEF_XO</stp>
        <stp>FQ2 2015</stp>
        <stp>FQ2 2015</stp>
        <stp>[FA1_m42y3cpi.xlsx]Per Share!R18C30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8" s="5"/>
      </tp>
      <tp>
        <v>2</v>
        <stp/>
        <stp>##V3_BDHV12</stp>
        <stp>XOM US Equity</stp>
        <stp>IS_DIL_EPS_BEF_XO</stp>
        <stp>FQ1 2012</stp>
        <stp>FQ1 2012</stp>
        <stp>[FA1_m42y3cpi.xlsx]Per Share!R18C17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8" s="5"/>
      </tp>
      <tp>
        <v>0.43</v>
        <stp/>
        <stp>##V3_BDHV12</stp>
        <stp>XOM US Equity</stp>
        <stp>IS_DIL_EPS_BEF_XO</stp>
        <stp>FQ1 2016</stp>
        <stp>FQ1 2016</stp>
        <stp>[FA1_m42y3cpi.xlsx]Per Share!R18C33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8" s="5"/>
      </tp>
      <tp t="s">
        <v>—</v>
        <stp/>
        <stp>##V3_BDHV12</stp>
        <stp>XOM US Equity</stp>
        <stp>CF_PROC_LT_DEBT_&amp;_CAPITAL_LEASE</stp>
        <stp>FQ3 2008</stp>
        <stp>FQ3 2008</stp>
        <stp>[FA1_m42y3cpi.xlsx]Cash Flow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4"/>
      </tp>
      <tp t="s">
        <v>—</v>
        <stp/>
        <stp>##V3_BDHV12</stp>
        <stp>XOM US Equity</stp>
        <stp>CF_PROC_LT_DEBT_&amp;_CAPITAL_LEASE</stp>
        <stp>FQ4 2008</stp>
        <stp>FQ4 2008</stp>
        <stp>[FA1_m42y3cpi.xlsx]Cash Flow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4"/>
      </tp>
      <tp>
        <v>1.55</v>
        <stp/>
        <stp>##V3_BDHV12</stp>
        <stp>XOM US Equity</stp>
        <stp>IS_DIL_EPS_CONT_OPS</stp>
        <stp>FQ2 2013</stp>
        <stp>FQ2 2013</stp>
        <stp>[FA1_m42y3cpi.xlsx]Income - Adjusted!R57C22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7" s="2"/>
      </tp>
      <tp>
        <v>1.4403000000000001</v>
        <stp/>
        <stp>##V3_BDHV12</stp>
        <stp>XOM US Equity</stp>
        <stp>IS_DIL_EPS_CONT_OPS</stp>
        <stp>FQ3 2010</stp>
        <stp>FQ3 2010</stp>
        <stp>[FA1_m42y3cpi.xlsx]Income - Adjusted!R57C11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7" s="2"/>
      </tp>
      <tp>
        <v>2.1</v>
        <stp/>
        <stp>##V3_BDHV12</stp>
        <stp>XOM US Equity</stp>
        <stp>IS_DIL_EPS_CONT_OPS</stp>
        <stp>FQ1 2014</stp>
        <stp>FQ1 2014</stp>
        <stp>[FA1_m42y3cpi.xlsx]Income - Adjusted!R57C25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7" s="2"/>
      </tp>
      <tp>
        <v>-14568</v>
        <stp/>
        <stp>##V3_BDHV12</stp>
        <stp>XOM US Equity</stp>
        <stp>IS_NONOP_INCOME_LOSS</stp>
        <stp>FQ2 2012</stp>
        <stp>FQ2 2012</stp>
        <stp>[FA1_m42y3cpi.xlsx]Income - Adjusted!R17C18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7" s="2"/>
      </tp>
      <tp>
        <v>-1898</v>
        <stp/>
        <stp>##V3_BDHV12</stp>
        <stp>XOM US Equity</stp>
        <stp>IS_NONOP_INCOME_LOSS</stp>
        <stp>FQ2 2018</stp>
        <stp>FQ2 2018</stp>
        <stp>[FA1_m42y3cpi.xlsx]Income - Adjusted!R17C42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7" s="2"/>
      </tp>
      <tp>
        <v>123</v>
        <stp/>
        <stp>##V3_BDHV12</stp>
        <stp>XOM US Equity</stp>
        <stp>CF_PROC_LT_DEBT_&amp;_CAPITAL_LEASE</stp>
        <stp>FQ2 2009</stp>
        <stp>FQ2 2009</stp>
        <stp>[FA1_m42y3cpi.xlsx]Cash Flow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4"/>
      </tp>
      <tp>
        <v>47</v>
        <stp/>
        <stp>##V3_BDHV12</stp>
        <stp>XOM US Equity</stp>
        <stp>CF_PROC_LT_DEBT_&amp;_CAPITAL_LEASE</stp>
        <stp>FQ3 2009</stp>
        <stp>FQ3 2009</stp>
        <stp>[FA1_m42y3cpi.xlsx]Cash Flow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4"/>
      </tp>
      <tp>
        <v>22</v>
        <stp/>
        <stp>##V3_BDHV12</stp>
        <stp>XOM US Equity</stp>
        <stp>CF_PROC_LT_DEBT_&amp;_CAPITAL_LEASE</stp>
        <stp>FQ1 2009</stp>
        <stp>FQ1 2009</stp>
        <stp>[FA1_m42y3cpi.xlsx]Cash Flow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4"/>
      </tp>
      <tp>
        <v>0</v>
        <stp/>
        <stp>##V3_BDHV12</stp>
        <stp>XOM US Equity</stp>
        <stp>IS_OTHER_OPER_INC</stp>
        <stp>FQ4 2016</stp>
        <stp>FQ4 2016</stp>
        <stp>[FA1_m42y3cpi.xlsx]Income - Adjusted!R12C36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2" s="2"/>
      </tp>
      <tp>
        <v>0</v>
        <stp/>
        <stp>##V3_BDHV12</stp>
        <stp>XOM US Equity</stp>
        <stp>IS_OTHER_OPER_INC</stp>
        <stp>FQ3 2013</stp>
        <stp>FQ3 2013</stp>
        <stp>[FA1_m42y3cpi.xlsx]Income - Adjusted!R12C23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2" s="2"/>
      </tp>
      <tp>
        <v>0</v>
        <stp/>
        <stp>##V3_BDHV12</stp>
        <stp>XOM US Equity</stp>
        <stp>IS_OTHER_OPER_INC</stp>
        <stp>FQ2 2010</stp>
        <stp>FQ2 2010</stp>
        <stp>[FA1_m42y3cpi.xlsx]Income - Adjusted!R12C10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>
        <v>0</v>
        <stp/>
        <stp>##V3_BDHV12</stp>
        <stp>XOM US Equity</stp>
        <stp>IS_OTHER_OPER_INC</stp>
        <stp>FQ1 2017</stp>
        <stp>FQ1 2017</stp>
        <stp>[FA1_m42y3cpi.xlsx]Income - Adjusted!R12C37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2" s="2"/>
      </tp>
      <tp t="s">
        <v>—</v>
        <stp/>
        <stp>##V3_BDHV12</stp>
        <stp>XOM US Equity</stp>
        <stp>TANG_BOOK_VAL_PER_SH</stp>
        <stp>FQ1 2016</stp>
        <stp>FQ1 2016</stp>
        <stp>[FA1_m42y3cpi.xlsx]Per Share!R27C33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7" s="5"/>
      </tp>
      <tp t="s">
        <v>—</v>
        <stp/>
        <stp>##V3_BDHV12</stp>
        <stp>XOM US Equity</stp>
        <stp>TANG_BOOK_VAL_PER_SH</stp>
        <stp>FQ1 2012</stp>
        <stp>FQ1 2012</stp>
        <stp>[FA1_m42y3cpi.xlsx]Per Share!R27C17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7" s="5"/>
      </tp>
      <tp t="s">
        <v>—</v>
        <stp/>
        <stp>##V3_BDHV12</stp>
        <stp>XOM US Equity</stp>
        <stp>TANG_BOOK_VAL_PER_SH</stp>
        <stp>FQ2 2015</stp>
        <stp>FQ2 2015</stp>
        <stp>[FA1_m42y3cpi.xlsx]Per Share!R27C30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7" s="5"/>
      </tp>
      <tp t="s">
        <v>—</v>
        <stp/>
        <stp>##V3_BDHV12</stp>
        <stp>XOM US Equity</stp>
        <stp>TANG_BOOK_VAL_PER_SH</stp>
        <stp>FQ2 2011</stp>
        <stp>FQ2 2011</stp>
        <stp>[FA1_m42y3cpi.xlsx]Per Share!R27C14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7" s="5"/>
      </tp>
      <tp>
        <v>0</v>
        <stp/>
        <stp>##V3_BDHV12</stp>
        <stp>XOM US Equity</stp>
        <stp>IS_EXTRAORD_ITEMS_&amp;_ACCTG_CHNG</stp>
        <stp>FQ1 2017</stp>
        <stp>FQ1 2017</stp>
        <stp>[FA1_m42y3cpi.xlsx]Income - Adjusted!R37C37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7" s="2"/>
      </tp>
      <tp>
        <v>0</v>
        <stp/>
        <stp>##V3_BDHV12</stp>
        <stp>XOM US Equity</stp>
        <stp>IS_EXTRAORD_ITEMS_&amp;_ACCTG_CHNG</stp>
        <stp>FQ4 2010</stp>
        <stp>FQ4 2010</stp>
        <stp>[FA1_m42y3cpi.xlsx]Income - Adjusted!R37C12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7" s="2"/>
      </tp>
      <tp>
        <v>0</v>
        <stp/>
        <stp>##V3_BDHV12</stp>
        <stp>XOM US Equity</stp>
        <stp>IS_EXTRAORD_ITEMS_&amp;_ACCTG_CHNG</stp>
        <stp>FQ3 2014</stp>
        <stp>FQ3 2014</stp>
        <stp>[FA1_m42y3cpi.xlsx]Income - Adjusted!R37C27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7" s="2"/>
      </tp>
      <tp>
        <v>0</v>
        <stp/>
        <stp>##V3_BDHV12</stp>
        <stp>XOM US Equity</stp>
        <stp>IS_EXTRAORD_ITEMS_&amp;_ACCTG_CHNG</stp>
        <stp>FQ3 2015</stp>
        <stp>FQ3 2015</stp>
        <stp>[FA1_m42y3cpi.xlsx]Income - Adjusted!R37C31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7" s="2"/>
      </tp>
      <tp>
        <v>0</v>
        <stp/>
        <stp>##V3_BDHV12</stp>
        <stp>XOM US Equity</stp>
        <stp>IS_EXTRAORD_ITEMS_&amp;_ACCTG_CHNG</stp>
        <stp>FQ4 2013</stp>
        <stp>FQ4 2013</stp>
        <stp>[FA1_m42y3cpi.xlsx]Income - Adjusted!R37C24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7" s="2"/>
      </tp>
      <tp>
        <v>0</v>
        <stp/>
        <stp>##V3_BDHV12</stp>
        <stp>XOM US Equity</stp>
        <stp>CF_CASH_FOR_JOINT_VENTURES_ASSOC</stp>
        <stp>FQ1 2017</stp>
        <stp>FQ1 2017</stp>
        <stp>[FA1_m42y3cpi.xlsx]Cash Flow - Standardized!R33C37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3" s="4"/>
      </tp>
      <tp>
        <v>247</v>
        <stp/>
        <stp>##V3_BDHV12</stp>
        <stp>XOM US Equity</stp>
        <stp>PROC_FR_REPAYMNTS_BOR_DETAILED</stp>
        <stp>FQ3 2011</stp>
        <stp>FQ3 2011</stp>
        <stp>[FA1_m42y3cpi.xlsx]Cash Flow - Standardized!R40C15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0" s="4"/>
      </tp>
      <tp>
        <v>0</v>
        <stp/>
        <stp>##V3_BDHV12</stp>
        <stp>XOM US Equity</stp>
        <stp>CF_NET_CASH_DISCONTINUED_OPS_INV</stp>
        <stp>FQ1 2014</stp>
        <stp>FQ1 2014</stp>
        <stp>[FA1_m42y3cpi.xlsx]Cash Flow - Standardized!R35C25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4"/>
      </tp>
      <tp>
        <v>3350</v>
        <stp/>
        <stp>##V3_BDHV12</stp>
        <stp>XOM US Equity</stp>
        <stp>EARN_FOR_COMMON</stp>
        <stp>FQ2 2017</stp>
        <stp>FQ2 2017</stp>
        <stp>[FA1_m42y3cpi.xlsx]Income - Adjusted!R43C38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43" s="2"/>
      </tp>
      <tp>
        <v>0</v>
        <stp/>
        <stp>##V3_BDHV12</stp>
        <stp>XOM US Equity</stp>
        <stp>CF_NET_CASH_DISCONTINUED_OPS_INV</stp>
        <stp>FQ1 2013</stp>
        <stp>FQ1 2013</stp>
        <stp>[FA1_m42y3cpi.xlsx]Cash Flow - Standardized!R35C21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4"/>
      </tp>
      <tp>
        <v>0</v>
        <stp/>
        <stp>##V3_BDHV12</stp>
        <stp>XOM US Equity</stp>
        <stp>CF_NET_CASH_DISCONTINUED_OPS_INV</stp>
        <stp>FQ2 2010</stp>
        <stp>FQ2 2010</stp>
        <stp>[FA1_m42y3cpi.xlsx]Cash Flow - Standardized!R35C10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4"/>
      </tp>
      <tp>
        <v>0</v>
        <stp/>
        <stp>##V3_BDHV12</stp>
        <stp>XOM US Equity</stp>
        <stp>CF_CASH_FOR_JOINT_VENTURES_ASSOC</stp>
        <stp>FQ3 2010</stp>
        <stp>FQ3 2010</stp>
        <stp>[FA1_m42y3cpi.xlsx]Cash Flow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4"/>
      </tp>
      <tp>
        <v>0</v>
        <stp/>
        <stp>##V3_BDHV12</stp>
        <stp>XOM US Equity</stp>
        <stp>CF_DISPOSAL_OF_INTANGIBLE_ASSETS</stp>
        <stp>FQ1 2018</stp>
        <stp>FQ1 2018</stp>
        <stp>[FA1_m42y3cpi.xlsx]Cash Flow - Standardized!R23C41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4"/>
      </tp>
      <tp>
        <v>4341</v>
        <stp/>
        <stp>##V3_BDHV12</stp>
        <stp>XOM US Equity</stp>
        <stp>PROC_FR_REPAYMNTS_BOR_DETAILED</stp>
        <stp>FQ1 2016</stp>
        <stp>FQ1 2016</stp>
        <stp>[FA1_m42y3cpi.xlsx]Cash Flow - Standardized!R40C33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0" s="4"/>
      </tp>
      <tp>
        <v>574</v>
        <stp/>
        <stp>##V3_BDHV12</stp>
        <stp>XOM US Equity</stp>
        <stp>OTHER_NON_CASH_ADJ_LESS_DETAILED</stp>
        <stp>FQ2 2018</stp>
        <stp>FQ2 2018</stp>
        <stp>[FA1_m42y3cpi.xlsx]Cash Flow - Standardized!R12C42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4"/>
      </tp>
      <tp>
        <v>-19</v>
        <stp/>
        <stp>##V3_BDHV12</stp>
        <stp>XOM US Equity</stp>
        <stp>MIN_NONCONTROL_INTEREST_CREDITS</stp>
        <stp>FQ2 2016</stp>
        <stp>FQ2 2016</stp>
        <stp>[FA1_m42y3cpi.xlsx]Income - Adjusted!R39C34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39" s="2"/>
      </tp>
      <tp>
        <v>337</v>
        <stp/>
        <stp>##V3_BDHV12</stp>
        <stp>XOM US Equity</stp>
        <stp>MIN_NONCONTROL_INTEREST_CREDITS</stp>
        <stp>FQ2 2014</stp>
        <stp>FQ2 2014</stp>
        <stp>[FA1_m42y3cpi.xlsx]Income - Adjusted!R39C26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39" s="2"/>
      </tp>
      <tp>
        <v>263</v>
        <stp/>
        <stp>##V3_BDHV12</stp>
        <stp>XOM US Equity</stp>
        <stp>MIN_NONCONTROL_INTEREST_CREDITS</stp>
        <stp>FQ1 2011</stp>
        <stp>FQ1 2011</stp>
        <stp>[FA1_m42y3cpi.xlsx]Income - Adjusted!R39C13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39" s="2"/>
      </tp>
      <tp>
        <v>261</v>
        <stp/>
        <stp>##V3_BDHV12</stp>
        <stp>XOM US Equity</stp>
        <stp>MIN_NONCONTROL_INTEREST_CREDITS</stp>
        <stp>FQ1 2013</stp>
        <stp>FQ1 2013</stp>
        <stp>[FA1_m42y3cpi.xlsx]Income - Adjusted!R39C21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39" s="2"/>
      </tp>
      <tp>
        <v>859</v>
        <stp/>
        <stp>##V3_BDHV12</stp>
        <stp>XOM US Equity</stp>
        <stp>OTHER_NON_CASH_ADJ_LESS_DETAILED</stp>
        <stp>FQ4 2014</stp>
        <stp>FQ4 2014</stp>
        <stp>[FA1_m42y3cpi.xlsx]Cash Flow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4"/>
      </tp>
      <tp>
        <v>266</v>
        <stp/>
        <stp>##V3_BDHV12</stp>
        <stp>XOM US Equity</stp>
        <stp>MIN_NONCONTROL_INTEREST_CREDITS</stp>
        <stp>FQ4 2010</stp>
        <stp>FQ4 2010</stp>
        <stp>[FA1_m42y3cpi.xlsx]Income - Adjusted!R39C12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39" s="2"/>
      </tp>
      <tp>
        <v>352</v>
        <stp/>
        <stp>##V3_BDHV12</stp>
        <stp>XOM US Equity</stp>
        <stp>MIN_NONCONTROL_INTEREST_CREDITS</stp>
        <stp>FQ4 2012</stp>
        <stp>FQ4 2012</stp>
        <stp>[FA1_m42y3cpi.xlsx]Income - Adjusted!R39C20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39" s="2"/>
      </tp>
      <tp>
        <v>0</v>
        <stp/>
        <stp>##V3_BDHV12</stp>
        <stp>XOM US Equity</stp>
        <stp>CF_CASH_FOR_JOINT_VENTURES_ASSOC</stp>
        <stp>FQ1 2016</stp>
        <stp>FQ1 2016</stp>
        <stp>[FA1_m42y3cpi.xlsx]Cash Flow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4"/>
      </tp>
      <tp>
        <v>-2262</v>
        <stp/>
        <stp>##V3_BDHV12</stp>
        <stp>XOM US Equity</stp>
        <stp>PROC_FR_REPAYMNTS_BOR_DETAILED</stp>
        <stp>FQ3 2010</stp>
        <stp>FQ3 2010</stp>
        <stp>[FA1_m42y3cpi.xlsx]Cash Flow - Standardized!R40C11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0" s="4"/>
      </tp>
      <tp>
        <v>0</v>
        <stp/>
        <stp>##V3_BDHV12</stp>
        <stp>XOM US Equity</stp>
        <stp>CF_NET_CASH_DISCONTINUED_OPS_INV</stp>
        <stp>FQ2 2011</stp>
        <stp>FQ2 2011</stp>
        <stp>[FA1_m42y3cpi.xlsx]Cash Flow - Standardized!R35C14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4"/>
      </tp>
      <tp>
        <v>0</v>
        <stp/>
        <stp>##V3_BDHV12</stp>
        <stp>XOM US Equity</stp>
        <stp>CF_CASH_FOR_JOINT_VENTURES_ASSOC</stp>
        <stp>FQ3 2011</stp>
        <stp>FQ3 2011</stp>
        <stp>[FA1_m42y3cpi.xlsx]Cash Flow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4"/>
      </tp>
      <tp>
        <v>433</v>
        <stp/>
        <stp>##V3_BDHV12</stp>
        <stp>XOM US Equity</stp>
        <stp>PROC_FR_REPAYMNTS_BOR_DETAILED</stp>
        <stp>FQ1 2017</stp>
        <stp>FQ1 2017</stp>
        <stp>[FA1_m42y3cpi.xlsx]Cash Flow - Standardized!R40C37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0" s="4"/>
      </tp>
      <tp>
        <v>19836</v>
        <stp/>
        <stp>##V3_BDHV12</stp>
        <stp>XOM US Equity</stp>
        <stp>SHORT_TERM_DEBT_DETAILED</stp>
        <stp>FQ1 2018</stp>
        <stp>FQ1 2018</stp>
        <stp>[FA1_m42y3cpi.xlsx]Bal Sheet - Standardized!R48C41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8" s="3"/>
      </tp>
      <tp>
        <v>0</v>
        <stp/>
        <stp>##V3_BDHV12</stp>
        <stp>XOM US Equity</stp>
        <stp>CF_DISPOSAL_OF_INTANGIBLE_ASSETS</stp>
        <stp>FQ4 2011</stp>
        <stp>FQ4 2011</stp>
        <stp>[FA1_m42y3cpi.xlsx]Cash Flow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4"/>
      </tp>
      <tp>
        <v>0</v>
        <stp/>
        <stp>##V3_BDHV12</stp>
        <stp>XOM US Equity</stp>
        <stp>BS_PFD_EQTY_&amp;_HYBRID_CPTL</stp>
        <stp>FQ4 2016</stp>
        <stp>FQ4 2016</stp>
        <stp>[FA1_m42y3cpi.xlsx]Bal Sheet - Standardized!R67C36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7" s="3"/>
      </tp>
      <tp>
        <v>0</v>
        <stp/>
        <stp>##V3_BDHV12</stp>
        <stp>XOM US Equity</stp>
        <stp>CF_NET_CASH_DISCONTINUED_OPS_INV</stp>
        <stp>FQ2 2012</stp>
        <stp>FQ2 2012</stp>
        <stp>[FA1_m42y3cpi.xlsx]Cash Flow - Standardized!R35C18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4"/>
      </tp>
      <tp>
        <v>0</v>
        <stp/>
        <stp>##V3_BDHV12</stp>
        <stp>XOM US Equity</stp>
        <stp>CF_CASH_FOR_JOINT_VENTURES_ASSOC</stp>
        <stp>FQ3 2012</stp>
        <stp>FQ3 2012</stp>
        <stp>[FA1_m42y3cpi.xlsx]Cash Flow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4"/>
      </tp>
      <tp>
        <v>2442</v>
        <stp/>
        <stp>##V3_BDHV12</stp>
        <stp>XOM US Equity</stp>
        <stp>SHORT_TERM_DEBT_DETAILED</stp>
        <stp>FQ4 2010</stp>
        <stp>FQ4 2010</stp>
        <stp>[FA1_m42y3cpi.xlsx]Bal Sheet - Standardized!R48C12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8" s="3"/>
      </tp>
      <tp>
        <v>1656</v>
        <stp/>
        <stp>##V3_BDHV12</stp>
        <stp>XOM US Equity</stp>
        <stp>OTHER_NON_CASH_ADJ_LESS_DETAILED</stp>
        <stp>FQ4 2012</stp>
        <stp>FQ4 2012</stp>
        <stp>[FA1_m42y3cpi.xlsx]Cash Flow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4"/>
      </tp>
      <tp>
        <v>0</v>
        <stp/>
        <stp>##V3_BDHV12</stp>
        <stp>XOM US Equity</stp>
        <stp>CF_NET_CASH_DISCONTINUED_OPS_INV</stp>
        <stp>FQ1 2015</stp>
        <stp>FQ1 2015</stp>
        <stp>[FA1_m42y3cpi.xlsx]Cash Flow - Standardized!R35C29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4"/>
      </tp>
      <tp>
        <v>-1328</v>
        <stp/>
        <stp>##V3_BDHV12</stp>
        <stp>XOM US Equity</stp>
        <stp>INCOME_LOSS_FROM_AFFILIATES</stp>
        <stp>FQ4 2016</stp>
        <stp>FQ4 2016</stp>
        <stp>[FA1_m42y3cpi.xlsx]Income - Adjusted!R22C36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2" s="2"/>
      </tp>
      <tp>
        <v>-3444</v>
        <stp/>
        <stp>##V3_BDHV12</stp>
        <stp>XOM US Equity</stp>
        <stp>INCOME_LOSS_FROM_AFFILIATES</stp>
        <stp>FQ3 2013</stp>
        <stp>FQ3 2013</stp>
        <stp>[FA1_m42y3cpi.xlsx]Income - Adjusted!R22C23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2" s="2"/>
      </tp>
      <tp>
        <v>-2244</v>
        <stp/>
        <stp>##V3_BDHV12</stp>
        <stp>XOM US Equity</stp>
        <stp>INCOME_LOSS_FROM_AFFILIATES</stp>
        <stp>FQ2 2010</stp>
        <stp>FQ2 2010</stp>
        <stp>[FA1_m42y3cpi.xlsx]Income - Adjusted!R22C10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2" s="2"/>
      </tp>
      <tp>
        <v>-1710</v>
        <stp/>
        <stp>##V3_BDHV12</stp>
        <stp>XOM US Equity</stp>
        <stp>INCOME_LOSS_FROM_AFFILIATES</stp>
        <stp>FQ1 2017</stp>
        <stp>FQ1 2017</stp>
        <stp>[FA1_m42y3cpi.xlsx]Income - Adjusted!R22C37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22" s="2"/>
      </tp>
      <tp>
        <v>4280</v>
        <stp/>
        <stp>##V3_BDHV12</stp>
        <stp>XOM US Equity</stp>
        <stp>SHORT_TERM_DEBT_DETAILED</stp>
        <stp>FQ4 2011</stp>
        <stp>FQ4 2011</stp>
        <stp>[FA1_m42y3cpi.xlsx]Bal Sheet - Standardized!R48C16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8" s="3"/>
      </tp>
      <tp>
        <v>0</v>
        <stp/>
        <stp>##V3_BDHV12</stp>
        <stp>XOM US Equity</stp>
        <stp>CF_DISPOSAL_OF_INTANGIBLE_ASSETS</stp>
        <stp>FQ4 2010</stp>
        <stp>FQ4 2010</stp>
        <stp>[FA1_m42y3cpi.xlsx]Cash Flow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4"/>
      </tp>
      <tp>
        <v>-478</v>
        <stp/>
        <stp>##V3_BDHV12</stp>
        <stp>XOM US Equity</stp>
        <stp>OTHER_NON_CASH_ADJ_LESS_DETAILED</stp>
        <stp>FQ4 2013</stp>
        <stp>FQ4 2013</stp>
        <stp>[FA1_m42y3cpi.xlsx]Cash Flow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4"/>
      </tp>
      <tp>
        <v>0</v>
        <stp/>
        <stp>##V3_BDHV12</stp>
        <stp>XOM US Equity</stp>
        <stp>BS_PFD_EQTY_&amp;_HYBRID_CPTL</stp>
        <stp>FQ4 2015</stp>
        <stp>FQ4 2015</stp>
        <stp>[FA1_m42y3cpi.xlsx]Bal Sheet - Standardized!R67C32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7" s="3"/>
      </tp>
      <tp>
        <v>-3088</v>
        <stp/>
        <stp>##V3_BDHV12</stp>
        <stp>XOM US Equity</stp>
        <stp>PROC_FR_REPAYMNTS_BOR_DETAILED</stp>
        <stp>FQ3 2012</stp>
        <stp>FQ3 2012</stp>
        <stp>[FA1_m42y3cpi.xlsx]Cash Flow - Standardized!R40C19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0" s="4"/>
      </tp>
      <tp t="s">
        <v>—</v>
        <stp/>
        <stp>##V3_BDHV12</stp>
        <stp>XOM US Equity</stp>
        <stp>IS_OTHER_ONE_TIME_ITEMS</stp>
        <stp>FQ3 2017</stp>
        <stp>FQ3 2017</stp>
        <stp>[FA1_m42y3cpi.xlsx]Income - Adjusted!R31C39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2"/>
      </tp>
      <tp t="s">
        <v>—</v>
        <stp/>
        <stp>##V3_BDHV12</stp>
        <stp>XOM US Equity</stp>
        <stp>CF_DEF_INC_TAX</stp>
        <stp>FQ3 2016</stp>
        <stp>FQ3 2016</stp>
        <stp>[FA1_m42y3cpi.xlsx]Cash Flow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4"/>
      </tp>
      <tp t="s">
        <v>—</v>
        <stp/>
        <stp>##V3_BDHV12</stp>
        <stp>XOM US Equity</stp>
        <stp>CF_DEF_INC_TAX</stp>
        <stp>FQ2 2014</stp>
        <stp>FQ2 2014</stp>
        <stp>[FA1_m42y3cpi.xlsx]Cash Flow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4"/>
      </tp>
      <tp>
        <v>1497</v>
        <stp/>
        <stp>##V3_BDHV12</stp>
        <stp>XOM US Equity</stp>
        <stp>CF_DISPOSAL_OF_FIXED_PROD_ASSETS</stp>
        <stp>FQ2 2011</stp>
        <stp>FQ2 2011</stp>
        <stp>[FA1_m42y3cpi.xlsx]Cash Flow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4"/>
      </tp>
      <tp t="s">
        <v>—</v>
        <stp/>
        <stp>##V3_BDHV12</stp>
        <stp>XOM US Equity</stp>
        <stp>CF_DEF_INC_TAX</stp>
        <stp>FQ2 2013</stp>
        <stp>FQ2 2013</stp>
        <stp>[FA1_m42y3cpi.xlsx]Cash Flow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4"/>
      </tp>
      <tp t="s">
        <v>—</v>
        <stp/>
        <stp>##V3_BDHV12</stp>
        <stp>XOM US Equity</stp>
        <stp>CF_DEF_INC_TAX</stp>
        <stp>FQ1 2011</stp>
        <stp>FQ1 2011</stp>
        <stp>[FA1_m42y3cpi.xlsx]Cash Flow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4"/>
      </tp>
      <tp t="s">
        <v>—</v>
        <stp/>
        <stp>##V3_BDHV12</stp>
        <stp>XOM US Equity</stp>
        <stp>CF_DEF_INC_TAX</stp>
        <stp>FQ4 2017</stp>
        <stp>FQ4 2017</stp>
        <stp>[FA1_m42y3cpi.xlsx]Cash Flow - Standardized!R11C40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1" s="4"/>
      </tp>
      <tp>
        <v>1111</v>
        <stp/>
        <stp>##V3_BDHV12</stp>
        <stp>XOM US Equity</stp>
        <stp>CF_DISPOSAL_OF_FIXED_PROD_ASSETS</stp>
        <stp>FQ1 2014</stp>
        <stp>FQ1 2014</stp>
        <stp>[FA1_m42y3cpi.xlsx]Cash Flow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4"/>
      </tp>
      <tp t="s">
        <v>—</v>
        <stp/>
        <stp>##V3_BDHV12</stp>
        <stp>XOM US Equity</stp>
        <stp>CF_DEF_INC_TAX</stp>
        <stp>FQ1 2012</stp>
        <stp>FQ1 2012</stp>
        <stp>[FA1_m42y3cpi.xlsx]Cash Flow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4"/>
      </tp>
      <tp>
        <v>360</v>
        <stp/>
        <stp>##V3_BDHV12</stp>
        <stp>XOM US Equity</stp>
        <stp>CF_DISPOSAL_OF_FIXED_PROD_ASSETS</stp>
        <stp>FQ1 2013</stp>
        <stp>FQ1 2013</stp>
        <stp>[FA1_m42y3cpi.xlsx]Cash Flow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4"/>
      </tp>
      <tp t="s">
        <v>—</v>
        <stp/>
        <stp>##V3_BDHV12</stp>
        <stp>XOM US Equity</stp>
        <stp>CF_DEF_INC_TAX</stp>
        <stp>FQ3 2015</stp>
        <stp>FQ3 2015</stp>
        <stp>[FA1_m42y3cpi.xlsx]Cash Flow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4"/>
      </tp>
      <tp>
        <v>428</v>
        <stp/>
        <stp>##V3_BDHV12</stp>
        <stp>XOM US Equity</stp>
        <stp>CF_DISPOSAL_OF_FIXED_PROD_ASSETS</stp>
        <stp>FQ2 2010</stp>
        <stp>FQ2 2010</stp>
        <stp>[FA1_m42y3cpi.xlsx]Cash Flow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4"/>
      </tp>
      <tp>
        <v>484</v>
        <stp/>
        <stp>##V3_BDHV12</stp>
        <stp>XOM US Equity</stp>
        <stp>CF_DISPOSAL_OF_FIXED_PROD_ASSETS</stp>
        <stp>FQ1 2015</stp>
        <stp>FQ1 2015</stp>
        <stp>[FA1_m42y3cpi.xlsx]Cash Flow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4"/>
      </tp>
      <tp t="s">
        <v>—</v>
        <stp/>
        <stp>##V3_BDHV12</stp>
        <stp>XOM US Equity</stp>
        <stp>IS_OTHER_ONE_TIME_ITEMS</stp>
        <stp>FQ4 2017</stp>
        <stp>FQ4 2017</stp>
        <stp>[FA1_m42y3cpi.xlsx]Income - Adjusted!R31C40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2"/>
      </tp>
      <tp t="s">
        <v>—</v>
        <stp/>
        <stp>##V3_BDHV12</stp>
        <stp>XOM US Equity</stp>
        <stp>CF_DEF_INC_TAX</stp>
        <stp>FQ3 2017</stp>
        <stp>FQ3 2017</stp>
        <stp>[FA1_m42y3cpi.xlsx]Cash Flow - Standardized!R11C39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1" s="4"/>
      </tp>
      <tp>
        <v>3730</v>
        <stp/>
        <stp>##V3_BDHV12</stp>
        <stp>XOM US Equity</stp>
        <stp>CF_DISPOSAL_OF_FIXED_PROD_ASSETS</stp>
        <stp>FQ2 2012</stp>
        <stp>FQ2 2012</stp>
        <stp>[FA1_m42y3cpi.xlsx]Cash Flow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4"/>
      </tp>
      <tp t="s">
        <v>—</v>
        <stp/>
        <stp>##V3_BDHV12</stp>
        <stp>XOM US Equity</stp>
        <stp>IS_OTHER_ONE_TIME_ITEMS</stp>
        <stp>FQ2 2016</stp>
        <stp>FQ2 2016</stp>
        <stp>[FA1_m42y3cpi.xlsx]Income - Adjusted!R31C34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2"/>
      </tp>
      <tp t="s">
        <v>—</v>
        <stp/>
        <stp>##V3_BDHV12</stp>
        <stp>XOM US Equity</stp>
        <stp>IS_OTHER_ONE_TIME_ITEMS</stp>
        <stp>FQ1 2014</stp>
        <stp>FQ1 2014</stp>
        <stp>[FA1_m42y3cpi.xlsx]Income - Adjusted!R31C25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2"/>
      </tp>
      <tp>
        <v>-3289</v>
        <stp/>
        <stp>##V3_BDHV12</stp>
        <stp>XOM US Equity</stp>
        <stp>CF_DVD_PAID</stp>
        <stp>FQ3 2017</stp>
        <stp>FQ3 2017</stp>
        <stp>[FA1_m42y3cpi.xlsx]Cash Flow - Standardized!R39C39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9" s="4"/>
      </tp>
      <tp t="s">
        <v>—</v>
        <stp/>
        <stp>##V3_BDHV12</stp>
        <stp>XOM US Equity</stp>
        <stp>IS_OTHER_OPERATING_EXPENSES</stp>
        <stp>FQ4 2008</stp>
        <stp>FQ4 2008</stp>
        <stp>[FA1_m42y3cpi.xlsx]Income - Adjusted!R15C4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5" s="2"/>
      </tp>
      <tp t="s">
        <v>—</v>
        <stp/>
        <stp>##V3_BDHV12</stp>
        <stp>XOM US Equity</stp>
        <stp>IS_OTHER_OPERATING_EXPENSES</stp>
        <stp>FQ3 2008</stp>
        <stp>FQ3 2008</stp>
        <stp>[FA1_m42y3cpi.xlsx]Income - Adjusted!R15C3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5" s="2"/>
      </tp>
      <tp>
        <v>-2221</v>
        <stp/>
        <stp>##V3_BDHV12</stp>
        <stp>XOM US Equity</stp>
        <stp>CF_DVD_PAID</stp>
        <stp>FQ1 2012</stp>
        <stp>FQ1 2012</stp>
        <stp>[FA1_m42y3cpi.xlsx]Cash Flow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4"/>
      </tp>
      <tp>
        <v>-3060</v>
        <stp/>
        <stp>##V3_BDHV12</stp>
        <stp>XOM US Equity</stp>
        <stp>CF_DVD_PAID</stp>
        <stp>FQ3 2015</stp>
        <stp>FQ3 2015</stp>
        <stp>[FA1_m42y3cpi.xlsx]Cash Flow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4"/>
      </tp>
      <tp>
        <v>-2966</v>
        <stp/>
        <stp>##V3_BDHV12</stp>
        <stp>XOM US Equity</stp>
        <stp>CF_DVD_PAID</stp>
        <stp>FQ2 2014</stp>
        <stp>FQ2 2014</stp>
        <stp>[FA1_m42y3cpi.xlsx]Cash Flow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4"/>
      </tp>
      <tp>
        <v>-3133</v>
        <stp/>
        <stp>##V3_BDHV12</stp>
        <stp>XOM US Equity</stp>
        <stp>CF_DVD_PAID</stp>
        <stp>FQ3 2016</stp>
        <stp>FQ3 2016</stp>
        <stp>[FA1_m42y3cpi.xlsx]Cash Flow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4"/>
      </tp>
      <tp>
        <v>0.4</v>
        <stp/>
        <stp>##V3_BDHV12</stp>
        <stp>XOM US Equity</stp>
        <stp>EQY_DPS</stp>
        <stp>FQ3 2008</stp>
        <stp>FQ3 2008</stp>
        <stp>[FA1_m42y3cpi.xlsx]Per Share!R20C3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0" s="5"/>
      </tp>
      <tp>
        <v>0.4</v>
        <stp/>
        <stp>##V3_BDHV12</stp>
        <stp>XOM US Equity</stp>
        <stp>EQY_DPS</stp>
        <stp>FQ4 2008</stp>
        <stp>FQ4 2008</stp>
        <stp>[FA1_m42y3cpi.xlsx]Per Share!R20C4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0" s="5"/>
      </tp>
      <tp>
        <v>-2188</v>
        <stp/>
        <stp>##V3_BDHV12</stp>
        <stp>XOM US Equity</stp>
        <stp>CF_DVD_PAID</stp>
        <stp>FQ1 2011</stp>
        <stp>FQ1 2011</stp>
        <stp>[FA1_m42y3cpi.xlsx]Cash Flow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4"/>
      </tp>
      <tp>
        <v>-2794</v>
        <stp/>
        <stp>##V3_BDHV12</stp>
        <stp>XOM US Equity</stp>
        <stp>CF_DVD_PAID</stp>
        <stp>FQ2 2013</stp>
        <stp>FQ2 2013</stp>
        <stp>[FA1_m42y3cpi.xlsx]Cash Flow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4"/>
      </tp>
      <tp>
        <v>-3289</v>
        <stp/>
        <stp>##V3_BDHV12</stp>
        <stp>XOM US Equity</stp>
        <stp>CF_DVD_PAID</stp>
        <stp>FQ4 2017</stp>
        <stp>FQ4 2017</stp>
        <stp>[FA1_m42y3cpi.xlsx]Cash Flow - Standardized!R39C40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9" s="4"/>
      </tp>
      <tp>
        <v>30</v>
        <stp/>
        <stp>##V3_BDHV12</stp>
        <stp>XOM US Equity</stp>
        <stp>CF_EFFECT_FOREIGN_EXCHANGES</stp>
        <stp>FQ4 2012</stp>
        <stp>FQ4 2012</stp>
        <stp>[FA1_m42y3cpi.xlsx]Cash Flow - Standardized!R51C20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1" s="4"/>
      </tp>
      <tp>
        <v>-0.34689999999999999</v>
        <stp/>
        <stp>##V3_BDHV12</stp>
        <stp>XOM US Equity</stp>
        <stp>FREE_CASH_FLOW_PER_SH</stp>
        <stp>FQ4 2014</stp>
        <stp>FQ4 2014</stp>
        <stp>[FA1_m42y3cpi.xlsx]Cash Flow - Standardized!R66C28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6" s="4"/>
      </tp>
      <tp>
        <v>16</v>
        <stp/>
        <stp>##V3_BDHV12</stp>
        <stp>XOM US Equity</stp>
        <stp>CF_EFFECT_FOREIGN_EXCHANGES</stp>
        <stp>FQ4 2013</stp>
        <stp>FQ4 2013</stp>
        <stp>[FA1_m42y3cpi.xlsx]Cash Flow - Standardized!R51C24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1" s="4"/>
      </tp>
      <tp>
        <v>0.40210000000000001</v>
        <stp/>
        <stp>##V3_BDHV12</stp>
        <stp>XOM US Equity</stp>
        <stp>FREE_CASH_FLOW_PER_SH</stp>
        <stp>FQ2 2012</stp>
        <stp>FQ2 2012</stp>
        <stp>[FA1_m42y3cpi.xlsx]Cash Flow - Standardized!R66C18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6" s="4"/>
      </tp>
      <tp>
        <v>1.1781999999999999</v>
        <stp/>
        <stp>##V3_BDHV12</stp>
        <stp>XOM US Equity</stp>
        <stp>FREE_CASH_FLOW_PER_SH</stp>
        <stp>FQ3 2012</stp>
        <stp>FQ3 2012</stp>
        <stp>[FA1_m42y3cpi.xlsx]Cash Flow - Standardized!R66C19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6" s="4"/>
      </tp>
      <tp>
        <v>1.17</v>
        <stp/>
        <stp>##V3_BDHV12</stp>
        <stp>XOM US Equity</stp>
        <stp>IS_EARN_BEF_XO_ITEMS_PER_SH</stp>
        <stp>FQ1 2015</stp>
        <stp>FQ1 2015</stp>
        <stp>[FA1_m42y3cpi.xlsx]Per Share!R15C29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5" s="5"/>
      </tp>
      <tp>
        <v>1.56</v>
        <stp/>
        <stp>##V3_BDHV12</stp>
        <stp>XOM US Equity</stp>
        <stp>IS_EARN_BEF_XO_ITEMS_PER_SH</stp>
        <stp>FQ4 2014</stp>
        <stp>FQ4 2014</stp>
        <stp>[FA1_m42y3cpi.xlsx]Per Share!R15C28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5" s="5"/>
      </tp>
      <tp>
        <v>1.2107999999999999</v>
        <stp/>
        <stp>##V3_BDHV12</stp>
        <stp>XOM US Equity</stp>
        <stp>FREE_CASH_FLOW_PER_SH</stp>
        <stp>FQ1 2018</stp>
        <stp>FQ1 2018</stp>
        <stp>[FA1_m42y3cpi.xlsx]Cash Flow - Standardized!R66C41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6" s="4"/>
      </tp>
      <tp>
        <v>0.66800000000000004</v>
        <stp/>
        <stp>##V3_BDHV12</stp>
        <stp>XOM US Equity</stp>
        <stp>FREE_CASH_FLOW_PER_SH</stp>
        <stp>FQ2 2018</stp>
        <stp>FQ2 2018</stp>
        <stp>[FA1_m42y3cpi.xlsx]Cash Flow - Standardized!R66C42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6" s="4"/>
      </tp>
      <tp>
        <v>-135</v>
        <stp/>
        <stp>##V3_BDHV12</stp>
        <stp>XOM US Equity</stp>
        <stp>CF_EFFECT_FOREIGN_EXCHANGES</stp>
        <stp>FQ2 2018</stp>
        <stp>FQ2 2018</stp>
        <stp>[FA1_m42y3cpi.xlsx]Cash Flow - Standardized!R51C42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1" s="4"/>
      </tp>
      <tp>
        <v>-111</v>
        <stp/>
        <stp>##V3_BDHV12</stp>
        <stp>XOM US Equity</stp>
        <stp>CF_EFFECT_FOREIGN_EXCHANGES</stp>
        <stp>FQ4 2014</stp>
        <stp>FQ4 2014</stp>
        <stp>[FA1_m42y3cpi.xlsx]Cash Flow - Standardized!R51C28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1" s="4"/>
      </tp>
      <tp>
        <v>12.393000000000001</v>
        <stp/>
        <stp>##V3_BDHV12</stp>
        <stp>XOM US Equity</stp>
        <stp>BS_OPTIONS_GRANTED</stp>
        <stp>FQ2 2010</stp>
        <stp>FQ2 2010</stp>
        <stp>[FA1_m42y3cpi.xlsx]Bal Sheet - Standardized!R84C10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4" s="3"/>
      </tp>
      <tp t="s">
        <v>—</v>
        <stp/>
        <stp>##V3_BDHV12</stp>
        <stp>XOM US Equity</stp>
        <stp>BS_OPTIONS_GRANTED</stp>
        <stp>FQ3 2010</stp>
        <stp>FQ3 2010</stp>
        <stp>[FA1_m42y3cpi.xlsx]Bal Sheet - Standardized!R84C11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4" s="3"/>
      </tp>
      <tp>
        <v>0</v>
        <stp/>
        <stp>##V3_BDHV12</stp>
        <stp>XOM US Equity</stp>
        <stp>CF_CASH_FOR_ACQUIS_SUBSIDIARIES</stp>
        <stp>FQ1 2010</stp>
        <stp>FQ1 2010</stp>
        <stp>[FA1_m42y3cpi.xlsx]Cash Flow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4"/>
      </tp>
      <tp>
        <v>14472</v>
        <stp/>
        <stp>##V3_BDHV12</stp>
        <stp>XOM US Equity</stp>
        <stp>EBITDA</stp>
        <stp>FQ1 2014</stp>
        <stp>FQ1 2014</stp>
        <stp>[FA1_m42y3cpi.xlsx]Cash Flow - Standardized!R59C25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59" s="4"/>
      </tp>
      <tp>
        <v>13936</v>
        <stp/>
        <stp>##V3_BDHV12</stp>
        <stp>XOM US Equity</stp>
        <stp>EBITDA</stp>
        <stp>FQ3 2014</stp>
        <stp>FQ3 2014</stp>
        <stp>[FA1_m42y3cpi.xlsx]Cash Flow - Standardized!R59C27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59" s="4"/>
      </tp>
      <tp>
        <v>13011</v>
        <stp/>
        <stp>##V3_BDHV12</stp>
        <stp>XOM US Equity</stp>
        <stp>EBITDA</stp>
        <stp>FQ2 2014</stp>
        <stp>FQ2 2014</stp>
        <stp>[FA1_m42y3cpi.xlsx]Cash Flow - Standardized!R59C26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59" s="4"/>
      </tp>
      <tp>
        <v>0</v>
        <stp/>
        <stp>##V3_BDHV12</stp>
        <stp>XOM US Equity</stp>
        <stp>CF_CASH_FOR_ACQUIS_SUBSIDIARIES</stp>
        <stp>FQ4 2009</stp>
        <stp>FQ4 2009</stp>
        <stp>[FA1_m42y3cpi.xlsx]Cash Flow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4"/>
      </tp>
      <tp>
        <v>5958</v>
        <stp/>
        <stp>##V3_BDHV12</stp>
        <stp>XOM US Equity</stp>
        <stp>EBITDA</stp>
        <stp>FQ2 2016</stp>
        <stp>FQ2 2016</stp>
        <stp>[FA1_m42y3cpi.xlsx]Cash Flow - Standardized!R59C34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59" s="4"/>
      </tp>
      <tp>
        <v>6027</v>
        <stp/>
        <stp>##V3_BDHV12</stp>
        <stp>XOM US Equity</stp>
        <stp>EBITDA</stp>
        <stp>FQ3 2016</stp>
        <stp>FQ3 2016</stp>
        <stp>[FA1_m42y3cpi.xlsx]Cash Flow - Standardized!R59C35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59" s="4"/>
      </tp>
      <tp>
        <v>2.13</v>
        <stp/>
        <stp>##V3_BDHV12</stp>
        <stp>XOM US Equity</stp>
        <stp>IS_DIL_EPS_BEF_XO</stp>
        <stp>FQ3 2011</stp>
        <stp>FQ3 2011</stp>
        <stp>[FA1_m42y3cpi.xlsx]Per Share!R18C15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8" s="5"/>
      </tp>
      <tp>
        <v>1.01</v>
        <stp/>
        <stp>##V3_BDHV12</stp>
        <stp>XOM US Equity</stp>
        <stp>IS_DIL_EPS_BEF_XO</stp>
        <stp>FQ3 2015</stp>
        <stp>FQ3 2015</stp>
        <stp>[FA1_m42y3cpi.xlsx]Per Share!R18C31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8" s="5"/>
      </tp>
      <tp>
        <v>0.88770000000000004</v>
        <stp/>
        <stp>##V3_BDHV12</stp>
        <stp>XOM US Equity</stp>
        <stp>IS_DIL_EPS_CONT_OPS</stp>
        <stp>FQ4 2016</stp>
        <stp>FQ4 2016</stp>
        <stp>[FA1_m42y3cpi.xlsx]Income - Adjusted!R57C36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7" s="2"/>
      </tp>
      <tp>
        <v>1.6865999999999999</v>
        <stp/>
        <stp>##V3_BDHV12</stp>
        <stp>XOM US Equity</stp>
        <stp>IS_DIL_EPS_CONT_OPS</stp>
        <stp>FQ2 2010</stp>
        <stp>FQ2 2010</stp>
        <stp>[FA1_m42y3cpi.xlsx]Income - Adjusted!R57C10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7" s="2"/>
      </tp>
      <tp>
        <v>1.79</v>
        <stp/>
        <stp>##V3_BDHV12</stp>
        <stp>XOM US Equity</stp>
        <stp>IS_DIL_EPS_CONT_OPS</stp>
        <stp>FQ3 2013</stp>
        <stp>FQ3 2013</stp>
        <stp>[FA1_m42y3cpi.xlsx]Income - Adjusted!R57C23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7" s="2"/>
      </tp>
      <tp>
        <v>0.95</v>
        <stp/>
        <stp>##V3_BDHV12</stp>
        <stp>XOM US Equity</stp>
        <stp>IS_DIL_EPS_CONT_OPS</stp>
        <stp>FQ1 2017</stp>
        <stp>FQ1 2017</stp>
        <stp>[FA1_m42y3cpi.xlsx]Income - Adjusted!R57C37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7" s="2"/>
      </tp>
      <tp t="s">
        <v>—</v>
        <stp/>
        <stp>##V3_BDHV12</stp>
        <stp>XOM US Equity</stp>
        <stp>CF_CASH_FOR_ACQUIS_SUBSIDIARIES</stp>
        <stp>FQ3 2008</stp>
        <stp>FQ3 2008</stp>
        <stp>[FA1_m42y3cpi.xlsx]Cash Flow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4"/>
      </tp>
      <tp t="s">
        <v>—</v>
        <stp/>
        <stp>##V3_BDHV12</stp>
        <stp>XOM US Equity</stp>
        <stp>CF_CASH_FOR_ACQUIS_SUBSIDIARIES</stp>
        <stp>FQ4 2008</stp>
        <stp>FQ4 2008</stp>
        <stp>[FA1_m42y3cpi.xlsx]Cash Flow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4"/>
      </tp>
      <tp>
        <v>-4093</v>
        <stp/>
        <stp>##V3_BDHV12</stp>
        <stp>XOM US Equity</stp>
        <stp>IS_NONOP_INCOME_LOSS</stp>
        <stp>FQ3 2012</stp>
        <stp>FQ3 2012</stp>
        <stp>[FA1_m42y3cpi.xlsx]Income - Adjusted!R17C19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7" s="2"/>
      </tp>
      <tp>
        <v>0</v>
        <stp/>
        <stp>##V3_BDHV12</stp>
        <stp>XOM US Equity</stp>
        <stp>CF_CASH_FOR_ACQUIS_SUBSIDIARIES</stp>
        <stp>FQ2 2009</stp>
        <stp>FQ2 2009</stp>
        <stp>[FA1_m42y3cpi.xlsx]Cash Flow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4"/>
      </tp>
      <tp>
        <v>0</v>
        <stp/>
        <stp>##V3_BDHV12</stp>
        <stp>XOM US Equity</stp>
        <stp>CF_CASH_FOR_ACQUIS_SUBSIDIARIES</stp>
        <stp>FQ3 2009</stp>
        <stp>FQ3 2009</stp>
        <stp>[FA1_m42y3cpi.xlsx]Cash Flow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4"/>
      </tp>
      <tp>
        <v>0</v>
        <stp/>
        <stp>##V3_BDHV12</stp>
        <stp>XOM US Equity</stp>
        <stp>CF_CASH_FOR_ACQUIS_SUBSIDIARIES</stp>
        <stp>FQ1 2009</stp>
        <stp>FQ1 2009</stp>
        <stp>[FA1_m42y3cpi.xlsx]Cash Flow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4"/>
      </tp>
      <tp>
        <v>0</v>
        <stp/>
        <stp>##V3_BDHV12</stp>
        <stp>XOM US Equity</stp>
        <stp>IS_OTHER_OPER_INC</stp>
        <stp>FQ3 2010</stp>
        <stp>FQ3 2010</stp>
        <stp>[FA1_m42y3cpi.xlsx]Income - Adjusted!R12C11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>
        <v>0</v>
        <stp/>
        <stp>##V3_BDHV12</stp>
        <stp>XOM US Equity</stp>
        <stp>IS_OTHER_OPER_INC</stp>
        <stp>FQ2 2013</stp>
        <stp>FQ2 2013</stp>
        <stp>[FA1_m42y3cpi.xlsx]Income - Adjusted!R12C22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2" s="2"/>
      </tp>
      <tp>
        <v>0</v>
        <stp/>
        <stp>##V3_BDHV12</stp>
        <stp>XOM US Equity</stp>
        <stp>IS_OTHER_OPER_INC</stp>
        <stp>FQ1 2014</stp>
        <stp>FQ1 2014</stp>
        <stp>[FA1_m42y3cpi.xlsx]Income - Adjusted!R12C25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2" s="2"/>
      </tp>
      <tp t="s">
        <v>—</v>
        <stp/>
        <stp>##V3_BDHV12</stp>
        <stp>XOM US Equity</stp>
        <stp>TANG_BOOK_VAL_PER_SH</stp>
        <stp>FQ3 2015</stp>
        <stp>FQ3 2015</stp>
        <stp>[FA1_m42y3cpi.xlsx]Per Share!R27C31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7" s="5"/>
      </tp>
      <tp t="s">
        <v>—</v>
        <stp/>
        <stp>##V3_BDHV12</stp>
        <stp>XOM US Equity</stp>
        <stp>TANG_BOOK_VAL_PER_SH</stp>
        <stp>FQ3 2011</stp>
        <stp>FQ3 2011</stp>
        <stp>[FA1_m42y3cpi.xlsx]Per Share!R27C15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7" s="5"/>
      </tp>
      <tp>
        <v>0</v>
        <stp/>
        <stp>##V3_BDHV12</stp>
        <stp>XOM US Equity</stp>
        <stp>IS_EXTRAORD_ITEMS_&amp;_ACCTG_CHNG</stp>
        <stp>FQ2 2014</stp>
        <stp>FQ2 2014</stp>
        <stp>[FA1_m42y3cpi.xlsx]Income - Adjusted!R37C26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7" s="2"/>
      </tp>
      <tp>
        <v>0</v>
        <stp/>
        <stp>##V3_BDHV12</stp>
        <stp>XOM US Equity</stp>
        <stp>IS_EXTRAORD_ITEMS_&amp;_ACCTG_CHNG</stp>
        <stp>FQ4 2012</stp>
        <stp>FQ4 2012</stp>
        <stp>[FA1_m42y3cpi.xlsx]Income - Adjusted!R37C20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7" s="2"/>
      </tp>
      <tp>
        <v>0</v>
        <stp/>
        <stp>##V3_BDHV12</stp>
        <stp>XOM US Equity</stp>
        <stp>IS_EXTRAORD_ITEMS_&amp;_ACCTG_CHNG</stp>
        <stp>FQ1 2016</stp>
        <stp>FQ1 2016</stp>
        <stp>[FA1_m42y3cpi.xlsx]Income - Adjusted!R37C33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7" s="2"/>
      </tp>
      <tp>
        <v>0</v>
        <stp/>
        <stp>##V3_BDHV12</stp>
        <stp>XOM US Equity</stp>
        <stp>IS_EXTRAORD_ITEMS_&amp;_ACCTG_CHNG</stp>
        <stp>FQ2 2015</stp>
        <stp>FQ2 2015</stp>
        <stp>[FA1_m42y3cpi.xlsx]Income - Adjusted!R37C30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7" s="2"/>
      </tp>
      <tp>
        <v>0</v>
        <stp/>
        <stp>##V3_BDHV12</stp>
        <stp>XOM US Equity</stp>
        <stp>IS_EXTRAORD_ITEMS_&amp;_ACCTG_CHNG</stp>
        <stp>FQ4 2011</stp>
        <stp>FQ4 2011</stp>
        <stp>[FA1_m42y3cpi.xlsx]Income - Adjusted!R37C16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7" s="2"/>
      </tp>
      <tp>
        <v>0</v>
        <stp/>
        <stp>##V3_BDHV12</stp>
        <stp>XOM US Equity</stp>
        <stp>CF_NET_CASH_DISCONTINUED_OPS_INV</stp>
        <stp>FQ1 2017</stp>
        <stp>FQ1 2017</stp>
        <stp>[FA1_m42y3cpi.xlsx]Cash Flow - Standardized!R35C37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5" s="4"/>
      </tp>
      <tp>
        <v>576</v>
        <stp/>
        <stp>##V3_BDHV12</stp>
        <stp>XOM US Equity</stp>
        <stp>PROC_FR_REPAYMNTS_BOR_DETAILED</stp>
        <stp>FQ2 2011</stp>
        <stp>FQ2 2011</stp>
        <stp>[FA1_m42y3cpi.xlsx]Cash Flow - Standardized!R40C14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0" s="4"/>
      </tp>
      <tp>
        <v>3970</v>
        <stp/>
        <stp>##V3_BDHV12</stp>
        <stp>XOM US Equity</stp>
        <stp>EARN_FOR_COMMON</stp>
        <stp>FQ3 2017</stp>
        <stp>FQ3 2017</stp>
        <stp>[FA1_m42y3cpi.xlsx]Income - Adjusted!R43C39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43" s="2"/>
      </tp>
      <tp>
        <v>0</v>
        <stp/>
        <stp>##V3_BDHV12</stp>
        <stp>XOM US Equity</stp>
        <stp>CF_CASH_FOR_JOINT_VENTURES_ASSOC</stp>
        <stp>FQ1 2014</stp>
        <stp>FQ1 2014</stp>
        <stp>[FA1_m42y3cpi.xlsx]Cash Flow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4"/>
      </tp>
      <tp>
        <v>348826</v>
        <stp/>
        <stp>##V3_BDHV12</stp>
        <stp>XOM US Equity</stp>
        <stp>TOT_LIAB_AND_EQY</stp>
        <stp>FQ1 2018</stp>
        <stp>FQ1 2018</stp>
        <stp>[FA1_m42y3cpi.xlsx]Bal Sheet - Standardized!R75C41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5" s="3"/>
      </tp>
      <tp>
        <v>0</v>
        <stp/>
        <stp>##V3_BDHV12</stp>
        <stp>XOM US Equity</stp>
        <stp>CF_CASH_FOR_JOINT_VENTURES_ASSOC</stp>
        <stp>FQ1 2013</stp>
        <stp>FQ1 2013</stp>
        <stp>[FA1_m42y3cpi.xlsx]Cash Flow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4"/>
      </tp>
      <tp>
        <v>0</v>
        <stp/>
        <stp>##V3_BDHV12</stp>
        <stp>XOM US Equity</stp>
        <stp>CF_NET_CASH_DISCONTINUED_OPS_INV</stp>
        <stp>FQ3 2010</stp>
        <stp>FQ3 2010</stp>
        <stp>[FA1_m42y3cpi.xlsx]Cash Flow - Standardized!R35C11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4"/>
      </tp>
      <tp>
        <v>0</v>
        <stp/>
        <stp>##V3_BDHV12</stp>
        <stp>XOM US Equity</stp>
        <stp>CF_CASH_FOR_JOINT_VENTURES_ASSOC</stp>
        <stp>FQ2 2010</stp>
        <stp>FQ2 2010</stp>
        <stp>[FA1_m42y3cpi.xlsx]Cash Flow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4"/>
      </tp>
      <tp>
        <v>1592</v>
        <stp/>
        <stp>##V3_BDHV12</stp>
        <stp>XOM US Equity</stp>
        <stp>PROC_FR_REPAYMNTS_BOR_DETAILED</stp>
        <stp>FQ1 2013</stp>
        <stp>FQ1 2013</stp>
        <stp>[FA1_m42y3cpi.xlsx]Cash Flow - Standardized!R40C21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0" s="4"/>
      </tp>
      <tp>
        <v>239</v>
        <stp/>
        <stp>##V3_BDHV12</stp>
        <stp>XOM US Equity</stp>
        <stp>MIN_NONCONTROL_INTEREST_CREDITS</stp>
        <stp>FQ3 2016</stp>
        <stp>FQ3 2016</stp>
        <stp>[FA1_m42y3cpi.xlsx]Income - Adjusted!R39C35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39" s="2"/>
      </tp>
      <tp>
        <v>276</v>
        <stp/>
        <stp>##V3_BDHV12</stp>
        <stp>XOM US Equity</stp>
        <stp>MIN_NONCONTROL_INTEREST_CREDITS</stp>
        <stp>FQ3 2014</stp>
        <stp>FQ3 2014</stp>
        <stp>[FA1_m42y3cpi.xlsx]Income - Adjusted!R39C27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39" s="2"/>
      </tp>
      <tp>
        <v>0</v>
        <stp/>
        <stp>##V3_BDHV12</stp>
        <stp>XOM US Equity</stp>
        <stp>CF_NET_CASH_DISCONTINUED_OPS_INV</stp>
        <stp>FQ1 2016</stp>
        <stp>FQ1 2016</stp>
        <stp>[FA1_m42y3cpi.xlsx]Cash Flow - Standardized!R35C33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4"/>
      </tp>
      <tp>
        <v>0</v>
        <stp/>
        <stp>##V3_BDHV12</stp>
        <stp>XOM US Equity</stp>
        <stp>BS_PFD_EQTY_&amp;_HYBRID_CPTL</stp>
        <stp>FQ4 2014</stp>
        <stp>FQ4 2014</stp>
        <stp>[FA1_m42y3cpi.xlsx]Bal Sheet - Standardized!R67C28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7" s="3"/>
      </tp>
      <tp>
        <v>0</v>
        <stp/>
        <stp>##V3_BDHV12</stp>
        <stp>XOM US Equity</stp>
        <stp>BS_PFD_EQTY_&amp;_HYBRID_CPTL</stp>
        <stp>FQ2 2018</stp>
        <stp>FQ2 2018</stp>
        <stp>[FA1_m42y3cpi.xlsx]Bal Sheet - Standardized!R67C42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7" s="3"/>
      </tp>
      <tp>
        <v>-583</v>
        <stp/>
        <stp>##V3_BDHV12</stp>
        <stp>XOM US Equity</stp>
        <stp>PROC_FR_REPAYMNTS_BOR_DETAILED</stp>
        <stp>FQ2 2010</stp>
        <stp>FQ2 2010</stp>
        <stp>[FA1_m42y3cpi.xlsx]Cash Flow - Standardized!R40C10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0" s="4"/>
      </tp>
      <tp>
        <v>0</v>
        <stp/>
        <stp>##V3_BDHV12</stp>
        <stp>XOM US Equity</stp>
        <stp>CF_NET_CASH_DISCONTINUED_OPS_INV</stp>
        <stp>FQ3 2011</stp>
        <stp>FQ3 2011</stp>
        <stp>[FA1_m42y3cpi.xlsx]Cash Flow - Standardized!R35C15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4"/>
      </tp>
      <tp>
        <v>0</v>
        <stp/>
        <stp>##V3_BDHV12</stp>
        <stp>XOM US Equity</stp>
        <stp>CF_CASH_FOR_JOINT_VENTURES_ASSOC</stp>
        <stp>FQ2 2011</stp>
        <stp>FQ2 2011</stp>
        <stp>[FA1_m42y3cpi.xlsx]Cash Flow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4"/>
      </tp>
      <tp>
        <v>-1168</v>
        <stp/>
        <stp>##V3_BDHV12</stp>
        <stp>XOM US Equity</stp>
        <stp>PROC_FR_REPAYMNTS_BOR_DETAILED</stp>
        <stp>FQ1 2014</stp>
        <stp>FQ1 2014</stp>
        <stp>[FA1_m42y3cpi.xlsx]Cash Flow - Standardized!R40C25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0" s="4"/>
      </tp>
      <tp>
        <v>-3395</v>
        <stp/>
        <stp>##V3_BDHV12</stp>
        <stp>XOM US Equity</stp>
        <stp>OTHER_NON_CASH_ADJ_LESS_DETAILED</stp>
        <stp>FQ4 2016</stp>
        <stp>FQ4 2016</stp>
        <stp>[FA1_m42y3cpi.xlsx]Cash Flow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4"/>
      </tp>
      <tp>
        <v>0</v>
        <stp/>
        <stp>##V3_BDHV12</stp>
        <stp>XOM US Equity</stp>
        <stp>CF_NET_CASH_DISCONTINUED_OPS_INV</stp>
        <stp>FQ3 2012</stp>
        <stp>FQ3 2012</stp>
        <stp>[FA1_m42y3cpi.xlsx]Cash Flow - Standardized!R35C19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4"/>
      </tp>
      <tp>
        <v>0</v>
        <stp/>
        <stp>##V3_BDHV12</stp>
        <stp>XOM US Equity</stp>
        <stp>CF_CASH_FOR_JOINT_VENTURES_ASSOC</stp>
        <stp>FQ2 2012</stp>
        <stp>FQ2 2012</stp>
        <stp>[FA1_m42y3cpi.xlsx]Cash Flow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4"/>
      </tp>
      <tp>
        <v>331052</v>
        <stp/>
        <stp>##V3_BDHV12</stp>
        <stp>XOM US Equity</stp>
        <stp>TOT_LIAB_AND_EQY</stp>
        <stp>FQ4 2011</stp>
        <stp>FQ4 2011</stp>
        <stp>[FA1_m42y3cpi.xlsx]Bal Sheet - Standardized!R75C16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5" s="3"/>
      </tp>
      <tp>
        <v>3877</v>
        <stp/>
        <stp>##V3_BDHV12</stp>
        <stp>XOM US Equity</stp>
        <stp>PROC_FR_REPAYMNTS_BOR_DETAILED</stp>
        <stp>FQ1 2015</stp>
        <stp>FQ1 2015</stp>
        <stp>[FA1_m42y3cpi.xlsx]Cash Flow - Standardized!R40C29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0" s="4"/>
      </tp>
      <tp>
        <v>0</v>
        <stp/>
        <stp>##V3_BDHV12</stp>
        <stp>XOM US Equity</stp>
        <stp>BS_PFD_EQTY_&amp;_HYBRID_CPTL</stp>
        <stp>FQ4 2012</stp>
        <stp>FQ4 2012</stp>
        <stp>[FA1_m42y3cpi.xlsx]Bal Sheet - Standardized!R67C20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7" s="3"/>
      </tp>
      <tp>
        <v>0</v>
        <stp/>
        <stp>##V3_BDHV12</stp>
        <stp>XOM US Equity</stp>
        <stp>CF_CASH_FOR_JOINT_VENTURES_ASSOC</stp>
        <stp>FQ1 2015</stp>
        <stp>FQ1 2015</stp>
        <stp>[FA1_m42y3cpi.xlsx]Cash Flow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4"/>
      </tp>
      <tp>
        <v>-2443</v>
        <stp/>
        <stp>##V3_BDHV12</stp>
        <stp>XOM US Equity</stp>
        <stp>INCOME_LOSS_FROM_AFFILIATES</stp>
        <stp>FQ3 2010</stp>
        <stp>FQ3 2010</stp>
        <stp>[FA1_m42y3cpi.xlsx]Income - Adjusted!R22C11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2" s="2"/>
      </tp>
      <tp>
        <v>-3098</v>
        <stp/>
        <stp>##V3_BDHV12</stp>
        <stp>XOM US Equity</stp>
        <stp>INCOME_LOSS_FROM_AFFILIATES</stp>
        <stp>FQ2 2013</stp>
        <stp>FQ2 2013</stp>
        <stp>[FA1_m42y3cpi.xlsx]Income - Adjusted!R22C22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2" s="2"/>
      </tp>
      <tp>
        <v>-4108</v>
        <stp/>
        <stp>##V3_BDHV12</stp>
        <stp>XOM US Equity</stp>
        <stp>INCOME_LOSS_FROM_AFFILIATES</stp>
        <stp>FQ1 2014</stp>
        <stp>FQ1 2014</stp>
        <stp>[FA1_m42y3cpi.xlsx]Income - Adjusted!R22C25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2" s="2"/>
      </tp>
      <tp>
        <v>-1079</v>
        <stp/>
        <stp>##V3_BDHV12</stp>
        <stp>XOM US Equity</stp>
        <stp>OTHER_NON_CASH_ADJ_LESS_DETAILED</stp>
        <stp>FQ4 2015</stp>
        <stp>FQ4 2015</stp>
        <stp>[FA1_m42y3cpi.xlsx]Cash Flow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4"/>
      </tp>
      <tp>
        <v>0</v>
        <stp/>
        <stp>##V3_BDHV12</stp>
        <stp>XOM US Equity</stp>
        <stp>BS_PFD_EQTY_&amp;_HYBRID_CPTL</stp>
        <stp>FQ4 2013</stp>
        <stp>FQ4 2013</stp>
        <stp>[FA1_m42y3cpi.xlsx]Bal Sheet - Standardized!R67C24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7" s="3"/>
      </tp>
      <tp>
        <v>302510</v>
        <stp/>
        <stp>##V3_BDHV12</stp>
        <stp>XOM US Equity</stp>
        <stp>TOT_LIAB_AND_EQY</stp>
        <stp>FQ4 2010</stp>
        <stp>FQ4 2010</stp>
        <stp>[FA1_m42y3cpi.xlsx]Bal Sheet - Standardized!R75C12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5" s="3"/>
      </tp>
      <tp>
        <v>567</v>
        <stp/>
        <stp>##V3_BDHV12</stp>
        <stp>XOM US Equity</stp>
        <stp>PROC_FR_REPAYMNTS_BOR_DETAILED</stp>
        <stp>FQ2 2012</stp>
        <stp>FQ2 2012</stp>
        <stp>[FA1_m42y3cpi.xlsx]Cash Flow - Standardized!R40C18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0" s="4"/>
      </tp>
      <tp t="s">
        <v>—</v>
        <stp/>
        <stp>##V3_BDHV12</stp>
        <stp>XOM US Equity</stp>
        <stp>IS_OTHER_ONE_TIME_ITEMS</stp>
        <stp>FQ2 2017</stp>
        <stp>FQ2 2017</stp>
        <stp>[FA1_m42y3cpi.xlsx]Income - Adjusted!R31C38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2"/>
      </tp>
      <tp>
        <v>-15</v>
        <stp/>
        <stp>##V3_BDHV12</stp>
        <stp>XOM US Equity</stp>
        <stp>CF_INCR_INVEST</stp>
        <stp>FQ4 2010</stp>
        <stp>FQ4 2010</stp>
        <stp>[FA1_m42y3cpi.xlsx]Cash Flow - Standardized!R29C12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4"/>
      </tp>
      <tp>
        <v>155</v>
        <stp/>
        <stp>##V3_BDHV12</stp>
        <stp>XOM US Equity</stp>
        <stp>CF_DECR_INVEST</stp>
        <stp>FQ4 2010</stp>
        <stp>FQ4 2010</stp>
        <stp>[FA1_m42y3cpi.xlsx]Cash Flow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4"/>
      </tp>
      <tp>
        <v>177</v>
        <stp/>
        <stp>##V3_BDHV12</stp>
        <stp>XOM US Equity</stp>
        <stp>CF_DISPOSAL_OF_FIXED_PROD_ASSETS</stp>
        <stp>FQ1 2016</stp>
        <stp>FQ1 2016</stp>
        <stp>[FA1_m42y3cpi.xlsx]Cash Flow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4"/>
      </tp>
      <tp t="s">
        <v>—</v>
        <stp/>
        <stp>##V3_BDHV12</stp>
        <stp>XOM US Equity</stp>
        <stp>CF_DEF_INC_TAX</stp>
        <stp>FQ2 2016</stp>
        <stp>FQ2 2016</stp>
        <stp>[FA1_m42y3cpi.xlsx]Cash Flow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4"/>
      </tp>
      <tp t="s">
        <v>—</v>
        <stp/>
        <stp>##V3_BDHV12</stp>
        <stp>XOM US Equity</stp>
        <stp>CF_DEF_INC_TAX</stp>
        <stp>FQ3 2014</stp>
        <stp>FQ3 2014</stp>
        <stp>[FA1_m42y3cpi.xlsx]Cash Flow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4"/>
      </tp>
      <tp>
        <v>1408</v>
        <stp/>
        <stp>##V3_BDHV12</stp>
        <stp>XOM US Equity</stp>
        <stp>CF_DISPOSAL_OF_FIXED_PROD_ASSETS</stp>
        <stp>FQ3 2011</stp>
        <stp>FQ3 2011</stp>
        <stp>[FA1_m42y3cpi.xlsx]Cash Flow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4"/>
      </tp>
      <tp>
        <v>-33</v>
        <stp/>
        <stp>##V3_BDHV12</stp>
        <stp>XOM US Equity</stp>
        <stp>PROC_FR_REPAYMNTS_BOR_DETAILED</stp>
        <stp>FQ2 2009</stp>
        <stp>FQ2 2009</stp>
        <stp>[FA1_m42y3cpi.xlsx]Cash Flow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4"/>
      </tp>
      <tp>
        <v>188</v>
        <stp/>
        <stp>##V3_BDHV12</stp>
        <stp>XOM US Equity</stp>
        <stp>PROC_FR_REPAYMNTS_BOR_DETAILED</stp>
        <stp>FQ3 2009</stp>
        <stp>FQ3 2009</stp>
        <stp>[FA1_m42y3cpi.xlsx]Cash Flow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4"/>
      </tp>
      <tp>
        <v>-192</v>
        <stp/>
        <stp>##V3_BDHV12</stp>
        <stp>XOM US Equity</stp>
        <stp>PROC_FR_REPAYMNTS_BOR_DETAILED</stp>
        <stp>FQ1 2009</stp>
        <stp>FQ1 2009</stp>
        <stp>[FA1_m42y3cpi.xlsx]Cash Flow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4"/>
      </tp>
      <tp t="s">
        <v>—</v>
        <stp/>
        <stp>##V3_BDHV12</stp>
        <stp>XOM US Equity</stp>
        <stp>CF_DEF_INC_TAX</stp>
        <stp>FQ3 2013</stp>
        <stp>FQ3 2013</stp>
        <stp>[FA1_m42y3cpi.xlsx]Cash Flow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4"/>
      </tp>
      <tp t="s">
        <v>—</v>
        <stp/>
        <stp>##V3_BDHV12</stp>
        <stp>XOM US Equity</stp>
        <stp>IS_OTHER_ONE_TIME_ITEMS</stp>
        <stp>FQ1 2015</stp>
        <stp>FQ1 2015</stp>
        <stp>[FA1_m42y3cpi.xlsx]Income - Adjusted!R31C29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2"/>
      </tp>
      <tp>
        <v>687</v>
        <stp/>
        <stp>##V3_BDHV12</stp>
        <stp>XOM US Equity</stp>
        <stp>CF_DISPOSAL_OF_FIXED_PROD_ASSETS</stp>
        <stp>FQ1 2017</stp>
        <stp>FQ1 2017</stp>
        <stp>[FA1_m42y3cpi.xlsx]Cash Flow - Standardized!R22C37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4"/>
      </tp>
      <tp>
        <v>6782</v>
        <stp/>
        <stp>##V3_BDHV12</stp>
        <stp>XOM US Equity</stp>
        <stp>NI_INCLUDING_MINORITY_INT_RATIO</stp>
        <stp>FQ4 2014</stp>
        <stp>FQ4 2014</stp>
        <stp>[FA1_m42y3cpi.xlsx]Income - Adjusted!R38C28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38" s="2"/>
      </tp>
      <tp>
        <v>5075</v>
        <stp/>
        <stp>##V3_BDHV12</stp>
        <stp>XOM US Equity</stp>
        <stp>NI_INCLUDING_MINORITY_INT_RATIO</stp>
        <stp>FQ1 2015</stp>
        <stp>FQ1 2015</stp>
        <stp>[FA1_m42y3cpi.xlsx]Income - Adjusted!R38C29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38" s="2"/>
      </tp>
      <tp>
        <v>0</v>
        <stp/>
        <stp>##V3_BDHV12</stp>
        <stp>XOM US Equity</stp>
        <stp>CF_INCR_INVEST</stp>
        <stp>FQ4 2011</stp>
        <stp>FQ4 2011</stp>
        <stp>[FA1_m42y3cpi.xlsx]Cash Flow - Standardized!R29C16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4"/>
      </tp>
      <tp>
        <v>0</v>
        <stp/>
        <stp>##V3_BDHV12</stp>
        <stp>XOM US Equity</stp>
        <stp>CF_DECR_INVEST</stp>
        <stp>FQ4 2011</stp>
        <stp>FQ4 2011</stp>
        <stp>[FA1_m42y3cpi.xlsx]Cash Flow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4"/>
      </tp>
      <tp>
        <v>-846</v>
        <stp/>
        <stp>##V3_BDHV12</stp>
        <stp>XOM US Equity</stp>
        <stp>PROC_FR_REPAYMNTS_BOR_DETAILED</stp>
        <stp>FQ4 2008</stp>
        <stp>FQ4 2008</stp>
        <stp>[FA1_m42y3cpi.xlsx]Cash Flow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4"/>
      </tp>
      <tp>
        <v>551</v>
        <stp/>
        <stp>##V3_BDHV12</stp>
        <stp>XOM US Equity</stp>
        <stp>PROC_FR_REPAYMNTS_BOR_DETAILED</stp>
        <stp>FQ3 2008</stp>
        <stp>FQ3 2008</stp>
        <stp>[FA1_m42y3cpi.xlsx]Cash Flow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4"/>
      </tp>
      <tp t="s">
        <v>—</v>
        <stp/>
        <stp>##V3_BDHV12</stp>
        <stp>XOM US Equity</stp>
        <stp>CF_DEF_INC_TAX</stp>
        <stp>FQ2 2015</stp>
        <stp>FQ2 2015</stp>
        <stp>[FA1_m42y3cpi.xlsx]Cash Flow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4"/>
      </tp>
      <tp>
        <v>755</v>
        <stp/>
        <stp>##V3_BDHV12</stp>
        <stp>XOM US Equity</stp>
        <stp>CF_DISPOSAL_OF_FIXED_PROD_ASSETS</stp>
        <stp>FQ3 2010</stp>
        <stp>FQ3 2010</stp>
        <stp>[FA1_m42y3cpi.xlsx]Cash Flow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4"/>
      </tp>
      <tp>
        <v>-116</v>
        <stp/>
        <stp>##V3_BDHV12</stp>
        <stp>XOM US Equity</stp>
        <stp>PROC_FR_REPAYMNTS_BOR_DETAILED</stp>
        <stp>FQ4 2009</stp>
        <stp>FQ4 2009</stp>
        <stp>[FA1_m42y3cpi.xlsx]Cash Flow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4"/>
      </tp>
      <tp t="s">
        <v>—</v>
        <stp/>
        <stp>##V3_BDHV12</stp>
        <stp>XOM US Equity</stp>
        <stp>IS_OTHER_ONE_TIME_ITEMS</stp>
        <stp>FQ3 2016</stp>
        <stp>FQ3 2016</stp>
        <stp>[FA1_m42y3cpi.xlsx]Income - Adjusted!R31C35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2"/>
      </tp>
      <tp t="s">
        <v>—</v>
        <stp/>
        <stp>##V3_BDHV12</stp>
        <stp>XOM US Equity</stp>
        <stp>CF_DEF_INC_TAX</stp>
        <stp>FQ2 2017</stp>
        <stp>FQ2 2017</stp>
        <stp>[FA1_m42y3cpi.xlsx]Cash Flow - Standardized!R11C38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1" s="4"/>
      </tp>
      <tp>
        <v>607</v>
        <stp/>
        <stp>##V3_BDHV12</stp>
        <stp>XOM US Equity</stp>
        <stp>CF_DISPOSAL_OF_FIXED_PROD_ASSETS</stp>
        <stp>FQ3 2012</stp>
        <stp>FQ3 2012</stp>
        <stp>[FA1_m42y3cpi.xlsx]Cash Flow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4"/>
      </tp>
      <tp>
        <v>0</v>
        <stp/>
        <stp>##V3_BDHV12</stp>
        <stp>XOM US Equity</stp>
        <stp>CF_DECR_INVEST</stp>
        <stp>FQ1 2018</stp>
        <stp>FQ1 2018</stp>
        <stp>[FA1_m42y3cpi.xlsx]Cash Flow - Standardized!R28C41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4"/>
      </tp>
      <tp>
        <v>0</v>
        <stp/>
        <stp>##V3_BDHV12</stp>
        <stp>XOM US Equity</stp>
        <stp>CF_INCR_INVEST</stp>
        <stp>FQ1 2018</stp>
        <stp>FQ1 2018</stp>
        <stp>[FA1_m42y3cpi.xlsx]Cash Flow - Standardized!R29C41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9" s="4"/>
      </tp>
      <tp>
        <v>-97</v>
        <stp/>
        <stp>##V3_BDHV12</stp>
        <stp>XOM US Equity</stp>
        <stp>PROC_FR_REPAYMNTS_BOR_DETAILED</stp>
        <stp>FQ1 2010</stp>
        <stp>FQ1 2010</stp>
        <stp>[FA1_m42y3cpi.xlsx]Cash Flow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4"/>
      </tp>
      <tp>
        <v>-3289</v>
        <stp/>
        <stp>##V3_BDHV12</stp>
        <stp>XOM US Equity</stp>
        <stp>CF_DVD_PAID</stp>
        <stp>FQ2 2017</stp>
        <stp>FQ2 2017</stp>
        <stp>[FA1_m42y3cpi.xlsx]Cash Flow - Standardized!R39C38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9" s="4"/>
      </tp>
      <tp>
        <v>0.42</v>
        <stp/>
        <stp>##V3_BDHV12</stp>
        <stp>XOM US Equity</stp>
        <stp>EQY_DPS</stp>
        <stp>FQ1 2010</stp>
        <stp>FQ1 2010</stp>
        <stp>[FA1_m42y3cpi.xlsx]Per Share!R20C9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0" s="5"/>
      </tp>
      <tp>
        <v>-3066</v>
        <stp/>
        <stp>##V3_BDHV12</stp>
        <stp>XOM US Equity</stp>
        <stp>CF_DVD_PAID</stp>
        <stp>FQ2 2015</stp>
        <stp>FQ2 2015</stp>
        <stp>[FA1_m42y3cpi.xlsx]Cash Flow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4"/>
      </tp>
      <tp>
        <v>-2946</v>
        <stp/>
        <stp>##V3_BDHV12</stp>
        <stp>XOM US Equity</stp>
        <stp>CF_DVD_PAID</stp>
        <stp>FQ3 2014</stp>
        <stp>FQ3 2014</stp>
        <stp>[FA1_m42y3cpi.xlsx]Cash Flow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4"/>
      </tp>
      <tp>
        <v>-3133</v>
        <stp/>
        <stp>##V3_BDHV12</stp>
        <stp>XOM US Equity</stp>
        <stp>CF_DVD_PAID</stp>
        <stp>FQ2 2016</stp>
        <stp>FQ2 2016</stp>
        <stp>[FA1_m42y3cpi.xlsx]Cash Flow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4"/>
      </tp>
      <tp>
        <v>686</v>
        <stp/>
        <stp>##V3_BDHV12</stp>
        <stp>XOM US Equity</stp>
        <stp>IS_OTHER_OPERATING_EXPENSES</stp>
        <stp>FQ1 2010</stp>
        <stp>FQ1 2010</stp>
        <stp>[FA1_m42y3cpi.xlsx]Income - Adjusted!R15C9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5" s="2"/>
      </tp>
      <tp>
        <v>-2770</v>
        <stp/>
        <stp>##V3_BDHV12</stp>
        <stp>XOM US Equity</stp>
        <stp>CF_DVD_PAID</stp>
        <stp>FQ3 2013</stp>
        <stp>FQ3 2013</stp>
        <stp>[FA1_m42y3cpi.xlsx]Cash Flow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4"/>
      </tp>
      <tp>
        <v>-414</v>
        <stp/>
        <stp>##V3_BDHV12</stp>
        <stp>XOM US Equity</stp>
        <stp>CF_EFFECT_FOREIGN_EXCHANGES</stp>
        <stp>FQ4 2016</stp>
        <stp>FQ4 2016</stp>
        <stp>[FA1_m42y3cpi.xlsx]Cash Flow - Standardized!R51C36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1" s="4"/>
      </tp>
      <tp>
        <v>-60</v>
        <stp/>
        <stp>##V3_BDHV12</stp>
        <stp>XOM US Equity</stp>
        <stp>CF_EFFECT_FOREIGN_EXCHANGES</stp>
        <stp>FQ4 2015</stp>
        <stp>FQ4 2015</stp>
        <stp>[FA1_m42y3cpi.xlsx]Cash Flow - Standardized!R51C32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1" s="4"/>
      </tp>
      <tp>
        <v>87.87</v>
        <stp/>
        <stp>##V3_BDHV12</stp>
        <stp>XOM US Equity</stp>
        <stp>PX_OPEN</stp>
        <stp>FQ3 2008</stp>
        <stp>FQ3 2008</stp>
        <stp>[FA1_m42y3cpi.xlsx]Stock Value!R8C3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6"/>
      </tp>
      <tp>
        <v>-2415</v>
        <stp/>
        <stp>##V3_BDHV12</stp>
        <stp>XOM US Equity</stp>
        <stp>INCOME_LOSS_FROM_AFFILIATES</stp>
        <stp>FQ4 2009</stp>
        <stp>FQ4 2009</stp>
        <stp>[FA1_m42y3cpi.xlsx]Income - Adjusted!R22C8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2" s="2"/>
      </tp>
      <tp>
        <v>-41</v>
        <stp/>
        <stp>##V3_BDHV12</stp>
        <stp>XOM US Equity</stp>
        <stp>CF_PYMT_LT_DEBT_&amp;_CAPITAL_LEASE</stp>
        <stp>FQ4 2009</stp>
        <stp>FQ4 2009</stp>
        <stp>[FA1_m42y3cpi.xlsx]Cash Flow - Standardized!R43C8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3" s="4"/>
      </tp>
      <tp>
        <v>-3</v>
        <stp/>
        <stp>##V3_BDHV12</stp>
        <stp>XOM US Equity</stp>
        <stp>CF_PYMT_LT_DEBT_&amp;_CAPITAL_LEASE</stp>
        <stp>FQ1 2010</stp>
        <stp>FQ1 2010</stp>
        <stp>[FA1_m42y3cpi.xlsx]Cash Flow - Standardized!R43C9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3" s="4"/>
      </tp>
      <tp>
        <v>-9</v>
        <stp/>
        <stp>##V3_BDHV12</stp>
        <stp>XOM US Equity</stp>
        <stp>CF_PYMT_LT_DEBT_&amp;_CAPITAL_LEASE</stp>
        <stp>FQ2 2009</stp>
        <stp>FQ2 2009</stp>
        <stp>[FA1_m42y3cpi.xlsx]Cash Flow - Standardized!R43C6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3" s="4"/>
      </tp>
      <tp>
        <v>-7</v>
        <stp/>
        <stp>##V3_BDHV12</stp>
        <stp>XOM US Equity</stp>
        <stp>CF_PYMT_LT_DEBT_&amp;_CAPITAL_LEASE</stp>
        <stp>FQ3 2009</stp>
        <stp>FQ3 2009</stp>
        <stp>[FA1_m42y3cpi.xlsx]Cash Flow - Standardized!R43C7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3" s="4"/>
      </tp>
      <tp>
        <v>-11</v>
        <stp/>
        <stp>##V3_BDHV12</stp>
        <stp>XOM US Equity</stp>
        <stp>CF_PYMT_LT_DEBT_&amp;_CAPITAL_LEASE</stp>
        <stp>FQ1 2009</stp>
        <stp>FQ1 2009</stp>
        <stp>[FA1_m42y3cpi.xlsx]Cash Flow - Standardized!R43C5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3" s="4"/>
      </tp>
      <tp t="s">
        <v>—</v>
        <stp/>
        <stp>##V3_BDHV12</stp>
        <stp>XOM US Equity</stp>
        <stp>BS_OPTIONS_GRANTED</stp>
        <stp>FQ1 2017</stp>
        <stp>FQ1 2017</stp>
        <stp>[FA1_m42y3cpi.xlsx]Bal Sheet - Standardized!R84C37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4" s="3"/>
      </tp>
      <tp t="s">
        <v>—</v>
        <stp/>
        <stp>##V3_BDHV12</stp>
        <stp>XOM US Equity</stp>
        <stp>CF_PYMT_LT_DEBT_&amp;_CAPITAL_LEASE</stp>
        <stp>FQ3 2008</stp>
        <stp>FQ3 2008</stp>
        <stp>[FA1_m42y3cpi.xlsx]Cash Flow - Standardized!R43C3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3" s="4"/>
      </tp>
      <tp t="s">
        <v>—</v>
        <stp/>
        <stp>##V3_BDHV12</stp>
        <stp>XOM US Equity</stp>
        <stp>CF_PYMT_LT_DEBT_&amp;_CAPITAL_LEASE</stp>
        <stp>FQ4 2008</stp>
        <stp>FQ4 2008</stp>
        <stp>[FA1_m42y3cpi.xlsx]Cash Flow - Standardized!R43C4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3" s="4"/>
      </tp>
      <tp>
        <v>15491</v>
        <stp/>
        <stp>##V3_BDHV12</stp>
        <stp>XOM US Equity</stp>
        <stp>EBITDA</stp>
        <stp>FQ4 2011</stp>
        <stp>FQ4 2011</stp>
        <stp>[FA1_m42y3cpi.xlsx]Cash Flow - Standardized!R59C16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59" s="4"/>
      </tp>
      <tp>
        <v>17954</v>
        <stp/>
        <stp>##V3_BDHV12</stp>
        <stp>XOM US Equity</stp>
        <stp>EBITDA</stp>
        <stp>FQ1 2011</stp>
        <stp>FQ1 2011</stp>
        <stp>[FA1_m42y3cpi.xlsx]Cash Flow - Standardized!R59C13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59" s="4"/>
      </tp>
      <tp>
        <v>14102</v>
        <stp/>
        <stp>##V3_BDHV12</stp>
        <stp>XOM US Equity</stp>
        <stp>EBITDA</stp>
        <stp>FQ4 2013</stp>
        <stp>FQ4 2013</stp>
        <stp>[FA1_m42y3cpi.xlsx]Cash Flow - Standardized!R59C24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59" s="4"/>
      </tp>
      <tp>
        <v>15193</v>
        <stp/>
        <stp>##V3_BDHV12</stp>
        <stp>XOM US Equity</stp>
        <stp>EBITDA</stp>
        <stp>FQ1 2013</stp>
        <stp>FQ1 2013</stp>
        <stp>[FA1_m42y3cpi.xlsx]Cash Flow - Standardized!R59C21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59" s="4"/>
      </tp>
      <tp>
        <v>14546</v>
        <stp/>
        <stp>##V3_BDHV12</stp>
        <stp>XOM US Equity</stp>
        <stp>EBITDA</stp>
        <stp>FQ3 2013</stp>
        <stp>FQ3 2013</stp>
        <stp>[FA1_m42y3cpi.xlsx]Cash Flow - Standardized!R59C23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59" s="4"/>
      </tp>
      <tp>
        <v>13642</v>
        <stp/>
        <stp>##V3_BDHV12</stp>
        <stp>XOM US Equity</stp>
        <stp>EBITDA</stp>
        <stp>FQ2 2013</stp>
        <stp>FQ2 2013</stp>
        <stp>[FA1_m42y3cpi.xlsx]Cash Flow - Standardized!R59C22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59" s="4"/>
      </tp>
      <tp>
        <v>5327</v>
        <stp/>
        <stp>##V3_BDHV12</stp>
        <stp>XOM US Equity</stp>
        <stp>EBITDA</stp>
        <stp>FQ4 2015</stp>
        <stp>FQ4 2015</stp>
        <stp>[FA1_m42y3cpi.xlsx]Cash Flow - Standardized!R59C32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59" s="4"/>
      </tp>
      <tp>
        <v>7842</v>
        <stp/>
        <stp>##V3_BDHV12</stp>
        <stp>XOM US Equity</stp>
        <stp>EBITDA</stp>
        <stp>FQ4 2017</stp>
        <stp>FQ4 2017</stp>
        <stp>[FA1_m42y3cpi.xlsx]Cash Flow - Standardized!R59C40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59" s="4"/>
      </tp>
      <tp>
        <v>0.67</v>
        <stp/>
        <stp>##V3_BDHV12</stp>
        <stp>XOM US Equity</stp>
        <stp>IS_DIL_EPS_BEF_XO</stp>
        <stp>FQ4 2015</stp>
        <stp>FQ4 2015</stp>
        <stp>[FA1_m42y3cpi.xlsx]Per Share!R18C32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8" s="5"/>
      </tp>
      <tp>
        <v>1.97</v>
        <stp/>
        <stp>##V3_BDHV12</stp>
        <stp>XOM US Equity</stp>
        <stp>IS_DIL_EPS_BEF_XO</stp>
        <stp>FQ4 2017</stp>
        <stp>FQ4 2017</stp>
        <stp>[FA1_m42y3cpi.xlsx]Per Share!R18C40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8" s="5"/>
      </tp>
      <tp>
        <v>1.9100000000000001</v>
        <stp/>
        <stp>##V3_BDHV12</stp>
        <stp>XOM US Equity</stp>
        <stp>IS_DIL_EPS_BEF_XO</stp>
        <stp>FQ4 2013</stp>
        <stp>FQ4 2013</stp>
        <stp>[FA1_m42y3cpi.xlsx]Per Share!R18C24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8" s="5"/>
      </tp>
      <tp>
        <v>1.97</v>
        <stp/>
        <stp>##V3_BDHV12</stp>
        <stp>XOM US Equity</stp>
        <stp>IS_DIL_EPS_BEF_XO</stp>
        <stp>FQ4 2011</stp>
        <stp>FQ4 2011</stp>
        <stp>[FA1_m42y3cpi.xlsx]Per Share!R18C16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8" s="5"/>
      </tp>
      <tp>
        <v>0.63</v>
        <stp/>
        <stp>##V3_BDHV12</stp>
        <stp>XOM US Equity</stp>
        <stp>IS_DIL_EPS_CONT_OPS</stp>
        <stp>FQ3 2016</stp>
        <stp>FQ3 2016</stp>
        <stp>[FA1_m42y3cpi.xlsx]Income - Adjusted!R57C35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7" s="2"/>
      </tp>
      <tp>
        <v>1.8900000000000001</v>
        <stp/>
        <stp>##V3_BDHV12</stp>
        <stp>XOM US Equity</stp>
        <stp>IS_DIL_EPS_CONT_OPS</stp>
        <stp>FQ3 2014</stp>
        <stp>FQ3 2014</stp>
        <stp>[FA1_m42y3cpi.xlsx]Income - Adjusted!R57C27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7" s="2"/>
      </tp>
      <tp>
        <v>0</v>
        <stp/>
        <stp>##V3_BDHV12</stp>
        <stp>XOM US Equity</stp>
        <stp>IS_OTHER_OPER_INC</stp>
        <stp>FQ4 2010</stp>
        <stp>FQ4 2010</stp>
        <stp>[FA1_m42y3cpi.xlsx]Income - Adjusted!R12C12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2" s="2"/>
      </tp>
      <tp>
        <v>0</v>
        <stp/>
        <stp>##V3_BDHV12</stp>
        <stp>XOM US Equity</stp>
        <stp>IS_OTHER_OPER_INC</stp>
        <stp>FQ4 2012</stp>
        <stp>FQ4 2012</stp>
        <stp>[FA1_m42y3cpi.xlsx]Income - Adjusted!R12C20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2" s="2"/>
      </tp>
      <tp>
        <v>0</v>
        <stp/>
        <stp>##V3_BDHV12</stp>
        <stp>XOM US Equity</stp>
        <stp>IS_OTHER_OPER_INC</stp>
        <stp>FQ2 2014</stp>
        <stp>FQ2 2014</stp>
        <stp>[FA1_m42y3cpi.xlsx]Income - Adjusted!R12C26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2" s="2"/>
      </tp>
      <tp>
        <v>0</v>
        <stp/>
        <stp>##V3_BDHV12</stp>
        <stp>XOM US Equity</stp>
        <stp>IS_OTHER_OPER_INC</stp>
        <stp>FQ2 2016</stp>
        <stp>FQ2 2016</stp>
        <stp>[FA1_m42y3cpi.xlsx]Income - Adjusted!R12C34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2" s="2"/>
      </tp>
      <tp>
        <v>0</v>
        <stp/>
        <stp>##V3_BDHV12</stp>
        <stp>XOM US Equity</stp>
        <stp>IS_OTHER_OPER_INC</stp>
        <stp>FQ1 2011</stp>
        <stp>FQ1 2011</stp>
        <stp>[FA1_m42y3cpi.xlsx]Income - Adjusted!R12C13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2" s="2"/>
      </tp>
      <tp>
        <v>0</v>
        <stp/>
        <stp>##V3_BDHV12</stp>
        <stp>XOM US Equity</stp>
        <stp>IS_OTHER_OPER_INC</stp>
        <stp>FQ1 2013</stp>
        <stp>FQ1 2013</stp>
        <stp>[FA1_m42y3cpi.xlsx]Income - Adjusted!R12C21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2" s="2"/>
      </tp>
      <tp>
        <v>0</v>
        <stp/>
        <stp>##V3_BDHV12</stp>
        <stp>XOM US Equity</stp>
        <stp>IS_EXTRAORD_ITEMS_&amp;_ACCTG_CHNG</stp>
        <stp>FQ3 2017</stp>
        <stp>FQ3 2017</stp>
        <stp>[FA1_m42y3cpi.xlsx]Income - Adjusted!R37C39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7" s="2"/>
      </tp>
      <tp>
        <v>44.276499999999999</v>
        <stp/>
        <stp>##V3_BDHV12</stp>
        <stp>XOM US Equity</stp>
        <stp>TANG_BOOK_VAL_PER_SH</stp>
        <stp>FQ4 2017</stp>
        <stp>FQ4 2017</stp>
        <stp>[FA1_m42y3cpi.xlsx]Per Share!R27C40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7" s="5"/>
      </tp>
      <tp>
        <v>40.139099999999999</v>
        <stp/>
        <stp>##V3_BDHV12</stp>
        <stp>XOM US Equity</stp>
        <stp>TANG_BOOK_VAL_PER_SH</stp>
        <stp>FQ4 2013</stp>
        <stp>FQ4 2013</stp>
        <stp>[FA1_m42y3cpi.xlsx]Per Share!R27C24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7" s="5"/>
      </tp>
      <tp>
        <v>32.6143</v>
        <stp/>
        <stp>##V3_BDHV12</stp>
        <stp>XOM US Equity</stp>
        <stp>TANG_BOOK_VAL_PER_SH</stp>
        <stp>FQ4 2011</stp>
        <stp>FQ4 2011</stp>
        <stp>[FA1_m42y3cpi.xlsx]Per Share!R27C16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7" s="5"/>
      </tp>
      <tp>
        <v>41.099899999999998</v>
        <stp/>
        <stp>##V3_BDHV12</stp>
        <stp>XOM US Equity</stp>
        <stp>TANG_BOOK_VAL_PER_SH</stp>
        <stp>FQ4 2015</stp>
        <stp>FQ4 2015</stp>
        <stp>[FA1_m42y3cpi.xlsx]Per Share!R27C32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7" s="5"/>
      </tp>
      <tp>
        <v>0</v>
        <stp/>
        <stp>##V3_BDHV12</stp>
        <stp>XOM US Equity</stp>
        <stp>IS_EXTRAORD_ITEMS_&amp;_ACCTG_CHNG</stp>
        <stp>FQ1 2014</stp>
        <stp>FQ1 2014</stp>
        <stp>[FA1_m42y3cpi.xlsx]Income - Adjusted!R37C25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7" s="2"/>
      </tp>
      <tp>
        <v>0</v>
        <stp/>
        <stp>##V3_BDHV12</stp>
        <stp>XOM US Equity</stp>
        <stp>IS_EXTRAORD_ITEMS_&amp;_ACCTG_CHNG</stp>
        <stp>FQ2 2016</stp>
        <stp>FQ2 2016</stp>
        <stp>[FA1_m42y3cpi.xlsx]Income - Adjusted!R37C34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7" s="2"/>
      </tp>
      <tp>
        <v>0</v>
        <stp/>
        <stp>##V3_BDHV12</stp>
        <stp>XOM US Equity</stp>
        <stp>IS_EXTRAORD_ITEMS_&amp;_ACCTG_CHNG</stp>
        <stp>FQ4 2017</stp>
        <stp>FQ4 2017</stp>
        <stp>[FA1_m42y3cpi.xlsx]Income - Adjusted!R37C40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7" s="2"/>
      </tp>
      <tp>
        <v>198</v>
        <stp/>
        <stp>##V3_BDHV12</stp>
        <stp>XOM US Equity</stp>
        <stp>PROC_FR_REPAYMNTS_BOR_DETAILED</stp>
        <stp>FQ3 2015</stp>
        <stp>FQ3 2015</stp>
        <stp>[FA1_m42y3cpi.xlsx]Cash Flow - Standardized!R40C31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0" s="4"/>
      </tp>
      <tp>
        <v>0</v>
        <stp/>
        <stp>##V3_BDHV12</stp>
        <stp>XOM US Equity</stp>
        <stp>CF_NET_CASH_DISCONTINUED_OPS_INV</stp>
        <stp>FQ3 2014</stp>
        <stp>FQ3 2014</stp>
        <stp>[FA1_m42y3cpi.xlsx]Cash Flow - Standardized!R35C27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4"/>
      </tp>
      <tp>
        <v>0</v>
        <stp/>
        <stp>##V3_BDHV12</stp>
        <stp>XOM US Equity</stp>
        <stp>CF_NET_CASH_DISCONTINUED_OPS_INV</stp>
        <stp>FQ2 2016</stp>
        <stp>FQ2 2016</stp>
        <stp>[FA1_m42y3cpi.xlsx]Cash Flow - Standardized!R35C34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4"/>
      </tp>
      <tp>
        <v>0</v>
        <stp/>
        <stp>##V3_BDHV12</stp>
        <stp>XOM US Equity</stp>
        <stp>CF_CASH_FOR_JOINT_VENTURES_ASSOC</stp>
        <stp>FQ2 2014</stp>
        <stp>FQ2 2014</stp>
        <stp>[FA1_m42y3cpi.xlsx]Cash Flow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4"/>
      </tp>
      <tp>
        <v>0</v>
        <stp/>
        <stp>##V3_BDHV12</stp>
        <stp>XOM US Equity</stp>
        <stp>CF_CASH_FOR_JOINT_VENTURES_ASSOC</stp>
        <stp>FQ3 2016</stp>
        <stp>FQ3 2016</stp>
        <stp>[FA1_m42y3cpi.xlsx]Cash Flow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4"/>
      </tp>
      <tp>
        <v>349493</v>
        <stp/>
        <stp>##V3_BDHV12</stp>
        <stp>XOM US Equity</stp>
        <stp>TOT_LIAB_AND_EQY</stp>
        <stp>FQ4 2014</stp>
        <stp>FQ4 2014</stp>
        <stp>[FA1_m42y3cpi.xlsx]Bal Sheet - Standardized!R75C28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5" s="3"/>
      </tp>
      <tp>
        <v>348790</v>
        <stp/>
        <stp>##V3_BDHV12</stp>
        <stp>XOM US Equity</stp>
        <stp>TOT_LIAB_AND_EQY</stp>
        <stp>FQ2 2018</stp>
        <stp>FQ2 2018</stp>
        <stp>[FA1_m42y3cpi.xlsx]Bal Sheet - Standardized!R75C42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5" s="3"/>
      </tp>
      <tp>
        <v>0</v>
        <stp/>
        <stp>##V3_BDHV12</stp>
        <stp>XOM US Equity</stp>
        <stp>CF_NET_CASH_DISCONTINUED_OPS_INV</stp>
        <stp>FQ3 2013</stp>
        <stp>FQ3 2013</stp>
        <stp>[FA1_m42y3cpi.xlsx]Cash Flow - Standardized!R35C23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4"/>
      </tp>
      <tp>
        <v>0</v>
        <stp/>
        <stp>##V3_BDHV12</stp>
        <stp>XOM US Equity</stp>
        <stp>CF_CASH_FOR_JOINT_VENTURES_ASSOC</stp>
        <stp>FQ1 2011</stp>
        <stp>FQ1 2011</stp>
        <stp>[FA1_m42y3cpi.xlsx]Cash Flow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4"/>
      </tp>
      <tp>
        <v>0</v>
        <stp/>
        <stp>##V3_BDHV12</stp>
        <stp>XOM US Equity</stp>
        <stp>CF_CASH_FOR_JOINT_VENTURES_ASSOC</stp>
        <stp>FQ2 2013</stp>
        <stp>FQ2 2013</stp>
        <stp>[FA1_m42y3cpi.xlsx]Cash Flow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4"/>
      </tp>
      <tp>
        <v>0</v>
        <stp/>
        <stp>##V3_BDHV12</stp>
        <stp>XOM US Equity</stp>
        <stp>CF_CASH_FOR_JOINT_VENTURES_ASSOC</stp>
        <stp>FQ4 2017</stp>
        <stp>FQ4 2017</stp>
        <stp>[FA1_m42y3cpi.xlsx]Cash Flow - Standardized!R33C40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3" s="4"/>
      </tp>
      <tp>
        <v>-403</v>
        <stp/>
        <stp>##V3_BDHV12</stp>
        <stp>XOM US Equity</stp>
        <stp>PROC_FR_REPAYMNTS_BOR_DETAILED</stp>
        <stp>FQ1 2012</stp>
        <stp>FQ1 2012</stp>
        <stp>[FA1_m42y3cpi.xlsx]Cash Flow - Standardized!R40C17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0" s="4"/>
      </tp>
      <tp>
        <v>1789</v>
        <stp/>
        <stp>##V3_BDHV12</stp>
        <stp>XOM US Equity</stp>
        <stp>PROC_FR_REPAYMNTS_BOR_DETAILED</stp>
        <stp>FQ4 2017</stp>
        <stp>FQ4 2017</stp>
        <stp>[FA1_m42y3cpi.xlsx]Cash Flow - Standardized!R40C40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0" s="4"/>
      </tp>
      <tp>
        <v>812</v>
        <stp/>
        <stp>##V3_BDHV12</stp>
        <stp>XOM US Equity</stp>
        <stp>PROC_FR_REPAYMNTS_BOR_DETAILED</stp>
        <stp>FQ1 2011</stp>
        <stp>FQ1 2011</stp>
        <stp>[FA1_m42y3cpi.xlsx]Cash Flow - Standardized!R40C13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0" s="4"/>
      </tp>
      <tp>
        <v>6176</v>
        <stp/>
        <stp>##V3_BDHV12</stp>
        <stp>XOM US Equity</stp>
        <stp>PROC_FR_REPAYMNTS_BOR_DETAILED</stp>
        <stp>FQ2 2013</stp>
        <stp>FQ2 2013</stp>
        <stp>[FA1_m42y3cpi.xlsx]Cash Flow - Standardized!R40C22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0" s="4"/>
      </tp>
      <tp>
        <v>186</v>
        <stp/>
        <stp>##V3_BDHV12</stp>
        <stp>XOM US Equity</stp>
        <stp>MIN_NONCONTROL_INTEREST_CREDITS</stp>
        <stp>FQ2 2010</stp>
        <stp>FQ2 2010</stp>
        <stp>[FA1_m42y3cpi.xlsx]Income - Adjusted!R39C10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39" s="2"/>
      </tp>
      <tp>
        <v>199</v>
        <stp/>
        <stp>##V3_BDHV12</stp>
        <stp>XOM US Equity</stp>
        <stp>MIN_NONCONTROL_INTEREST_CREDITS</stp>
        <stp>FQ3 2013</stp>
        <stp>FQ3 2013</stp>
        <stp>[FA1_m42y3cpi.xlsx]Income - Adjusted!R39C23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39" s="2"/>
      </tp>
      <tp>
        <v>80</v>
        <stp/>
        <stp>##V3_BDHV12</stp>
        <stp>XOM US Equity</stp>
        <stp>MIN_NONCONTROL_INTEREST_CREDITS</stp>
        <stp>FQ1 2017</stp>
        <stp>FQ1 2017</stp>
        <stp>[FA1_m42y3cpi.xlsx]Income - Adjusted!R39C37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39" s="2"/>
      </tp>
      <tp>
        <v>344</v>
        <stp/>
        <stp>##V3_BDHV12</stp>
        <stp>XOM US Equity</stp>
        <stp>MIN_NONCONTROL_INTEREST_CREDITS</stp>
        <stp>FQ4 2016</stp>
        <stp>FQ4 2016</stp>
        <stp>[FA1_m42y3cpi.xlsx]Income - Adjusted!R39C36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39" s="2"/>
      </tp>
      <tp>
        <v>0</v>
        <stp/>
        <stp>##V3_BDHV12</stp>
        <stp>XOM US Equity</stp>
        <stp>CF_CASH_FOR_JOINT_VENTURES_ASSOC</stp>
        <stp>FQ1 2012</stp>
        <stp>FQ1 2012</stp>
        <stp>[FA1_m42y3cpi.xlsx]Cash Flow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4"/>
      </tp>
      <tp>
        <v>0</v>
        <stp/>
        <stp>##V3_BDHV12</stp>
        <stp>XOM US Equity</stp>
        <stp>BS_PFD_EQTY_&amp;_HYBRID_CPTL</stp>
        <stp>FQ1 2018</stp>
        <stp>FQ1 2018</stp>
        <stp>[FA1_m42y3cpi.xlsx]Bal Sheet - Standardized!R67C41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7" s="3"/>
      </tp>
      <tp>
        <v>0</v>
        <stp/>
        <stp>##V3_BDHV12</stp>
        <stp>XOM US Equity</stp>
        <stp>CF_NET_CASH_DISCONTINUED_OPS_INV</stp>
        <stp>FQ2 2015</stp>
        <stp>FQ2 2015</stp>
        <stp>[FA1_m42y3cpi.xlsx]Cash Flow - Standardized!R35C30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4"/>
      </tp>
      <tp>
        <v>0</v>
        <stp/>
        <stp>##V3_BDHV12</stp>
        <stp>XOM US Equity</stp>
        <stp>CF_CASH_FOR_JOINT_VENTURES_ASSOC</stp>
        <stp>FQ3 2015</stp>
        <stp>FQ3 2015</stp>
        <stp>[FA1_m42y3cpi.xlsx]Cash Flow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4"/>
      </tp>
      <tp>
        <v>432</v>
        <stp/>
        <stp>##V3_BDHV12</stp>
        <stp>XOM US Equity</stp>
        <stp>PROC_FR_REPAYMNTS_BOR_DETAILED</stp>
        <stp>FQ2 2014</stp>
        <stp>FQ2 2014</stp>
        <stp>[FA1_m42y3cpi.xlsx]Cash Flow - Standardized!R40C26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0" s="4"/>
      </tp>
      <tp>
        <v>1875</v>
        <stp/>
        <stp>##V3_BDHV12</stp>
        <stp>XOM US Equity</stp>
        <stp>PROC_FR_REPAYMNTS_BOR_DETAILED</stp>
        <stp>FQ3 2016</stp>
        <stp>FQ3 2016</stp>
        <stp>[FA1_m42y3cpi.xlsx]Cash Flow - Standardized!R40C35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0" s="4"/>
      </tp>
      <tp>
        <v>0</v>
        <stp/>
        <stp>##V3_BDHV12</stp>
        <stp>XOM US Equity</stp>
        <stp>CF_DISPOSAL_OF_INTANGIBLE_ASSETS</stp>
        <stp>FQ4 2015</stp>
        <stp>FQ4 2015</stp>
        <stp>[FA1_m42y3cpi.xlsx]Cash Flow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4"/>
      </tp>
      <tp>
        <v>346808</v>
        <stp/>
        <stp>##V3_BDHV12</stp>
        <stp>XOM US Equity</stp>
        <stp>TOT_LIAB_AND_EQY</stp>
        <stp>FQ4 2013</stp>
        <stp>FQ4 2013</stp>
        <stp>[FA1_m42y3cpi.xlsx]Bal Sheet - Standardized!R75C24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5" s="3"/>
      </tp>
      <tp>
        <v>-1589</v>
        <stp/>
        <stp>##V3_BDHV12</stp>
        <stp>XOM US Equity</stp>
        <stp>PROC_FR_REPAYMNTS_BOR_DETAILED</stp>
        <stp>FQ3 2017</stp>
        <stp>FQ3 2017</stp>
        <stp>[FA1_m42y3cpi.xlsx]Cash Flow - Standardized!R40C39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0" s="4"/>
      </tp>
      <tp>
        <v>0</v>
        <stp/>
        <stp>##V3_BDHV12</stp>
        <stp>XOM US Equity</stp>
        <stp>BS_PFD_EQTY_&amp;_HYBRID_CPTL</stp>
        <stp>FQ4 2010</stp>
        <stp>FQ4 2010</stp>
        <stp>[FA1_m42y3cpi.xlsx]Bal Sheet - Standardized!R67C12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7" s="3"/>
      </tp>
      <tp>
        <v>10870</v>
        <stp/>
        <stp>##V3_BDHV12</stp>
        <stp>XOM US Equity</stp>
        <stp>SHORT_TERM_DEBT_DETAILED</stp>
        <stp>FQ4 2016</stp>
        <stp>FQ4 2016</stp>
        <stp>[FA1_m42y3cpi.xlsx]Bal Sheet - Standardized!R48C36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8" s="3"/>
      </tp>
      <tp>
        <v>0</v>
        <stp/>
        <stp>##V3_BDHV12</stp>
        <stp>XOM US Equity</stp>
        <stp>CF_NET_CASH_DISCONTINUED_OPS_INV</stp>
        <stp>FQ2 2017</stp>
        <stp>FQ2 2017</stp>
        <stp>[FA1_m42y3cpi.xlsx]Cash Flow - Standardized!R35C38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5" s="4"/>
      </tp>
      <tp>
        <v>0</v>
        <stp/>
        <stp>##V3_BDHV12</stp>
        <stp>XOM US Equity</stp>
        <stp>CF_CASH_FOR_JOINT_VENTURES_ASSOC</stp>
        <stp>FQ3 2017</stp>
        <stp>FQ3 2017</stp>
        <stp>[FA1_m42y3cpi.xlsx]Cash Flow - Standardized!R33C39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3" s="4"/>
      </tp>
      <tp>
        <v>-3763</v>
        <stp/>
        <stp>##V3_BDHV12</stp>
        <stp>XOM US Equity</stp>
        <stp>INCOME_LOSS_FROM_AFFILIATES</stp>
        <stp>FQ4 2012</stp>
        <stp>FQ4 2012</stp>
        <stp>[FA1_m42y3cpi.xlsx]Income - Adjusted!R22C20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2" s="2"/>
      </tp>
      <tp>
        <v>-3453</v>
        <stp/>
        <stp>##V3_BDHV12</stp>
        <stp>XOM US Equity</stp>
        <stp>INCOME_LOSS_FROM_AFFILIATES</stp>
        <stp>FQ4 2010</stp>
        <stp>FQ4 2010</stp>
        <stp>[FA1_m42y3cpi.xlsx]Income - Adjusted!R22C12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2" s="2"/>
      </tp>
      <tp>
        <v>-1124</v>
        <stp/>
        <stp>##V3_BDHV12</stp>
        <stp>XOM US Equity</stp>
        <stp>INCOME_LOSS_FROM_AFFILIATES</stp>
        <stp>FQ2 2016</stp>
        <stp>FQ2 2016</stp>
        <stp>[FA1_m42y3cpi.xlsx]Income - Adjusted!R22C34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2" s="2"/>
      </tp>
      <tp>
        <v>-3312</v>
        <stp/>
        <stp>##V3_BDHV12</stp>
        <stp>XOM US Equity</stp>
        <stp>INCOME_LOSS_FROM_AFFILIATES</stp>
        <stp>FQ2 2014</stp>
        <stp>FQ2 2014</stp>
        <stp>[FA1_m42y3cpi.xlsx]Income - Adjusted!R22C26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2" s="2"/>
      </tp>
      <tp>
        <v>-4418</v>
        <stp/>
        <stp>##V3_BDHV12</stp>
        <stp>XOM US Equity</stp>
        <stp>INCOME_LOSS_FROM_AFFILIATES</stp>
        <stp>FQ1 2013</stp>
        <stp>FQ1 2013</stp>
        <stp>[FA1_m42y3cpi.xlsx]Income - Adjusted!R22C21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2" s="2"/>
      </tp>
      <tp>
        <v>-3827</v>
        <stp/>
        <stp>##V3_BDHV12</stp>
        <stp>XOM US Equity</stp>
        <stp>INCOME_LOSS_FROM_AFFILIATES</stp>
        <stp>FQ1 2011</stp>
        <stp>FQ1 2011</stp>
        <stp>[FA1_m42y3cpi.xlsx]Income - Adjusted!R22C13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2" s="2"/>
      </tp>
      <tp>
        <v>18204</v>
        <stp/>
        <stp>##V3_BDHV12</stp>
        <stp>XOM US Equity</stp>
        <stp>SHORT_TERM_DEBT_DETAILED</stp>
        <stp>FQ4 2015</stp>
        <stp>FQ4 2015</stp>
        <stp>[FA1_m42y3cpi.xlsx]Bal Sheet - Standardized!R48C32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8" s="3"/>
      </tp>
      <tp>
        <v>0</v>
        <stp/>
        <stp>##V3_BDHV12</stp>
        <stp>XOM US Equity</stp>
        <stp>BS_PFD_EQTY_&amp;_HYBRID_CPTL</stp>
        <stp>FQ4 2011</stp>
        <stp>FQ4 2011</stp>
        <stp>[FA1_m42y3cpi.xlsx]Bal Sheet - Standardized!R67C16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7" s="3"/>
      </tp>
      <tp>
        <v>0</v>
        <stp/>
        <stp>##V3_BDHV12</stp>
        <stp>XOM US Equity</stp>
        <stp>CF_DISPOSAL_OF_INTANGIBLE_ASSETS</stp>
        <stp>FQ4 2016</stp>
        <stp>FQ4 2016</stp>
        <stp>[FA1_m42y3cpi.xlsx]Cash Flow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4"/>
      </tp>
      <tp>
        <v>333795</v>
        <stp/>
        <stp>##V3_BDHV12</stp>
        <stp>XOM US Equity</stp>
        <stp>TOT_LIAB_AND_EQY</stp>
        <stp>FQ4 2012</stp>
        <stp>FQ4 2012</stp>
        <stp>[FA1_m42y3cpi.xlsx]Bal Sheet - Standardized!R75C20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5" s="3"/>
      </tp>
      <tp>
        <v>-2113</v>
        <stp/>
        <stp>##V3_BDHV12</stp>
        <stp>XOM US Equity</stp>
        <stp>CF_INCR_INVEST</stp>
        <stp>FQ4 2008</stp>
        <stp>FQ4 2008</stp>
        <stp>[FA1_m42y3cpi.xlsx]Cash Flow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4"/>
      </tp>
      <tp>
        <v>0</v>
        <stp/>
        <stp>##V3_BDHV12</stp>
        <stp>XOM US Equity</stp>
        <stp>CF_INCR_INVEST</stp>
        <stp>FQ3 2008</stp>
        <stp>FQ3 2008</stp>
        <stp>[FA1_m42y3cpi.xlsx]Cash Flow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4"/>
      </tp>
      <tp>
        <v>0</v>
        <stp/>
        <stp>##V3_BDHV12</stp>
        <stp>XOM US Equity</stp>
        <stp>CF_INCR_INVEST</stp>
        <stp>FQ4 2012</stp>
        <stp>FQ4 2012</stp>
        <stp>[FA1_m42y3cpi.xlsx]Cash Flow - Standardized!R29C20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4"/>
      </tp>
      <tp t="s">
        <v>—</v>
        <stp/>
        <stp>##V3_BDHV12</stp>
        <stp>XOM US Equity</stp>
        <stp>CF_DEF_INC_TAX</stp>
        <stp>FQ1 2017</stp>
        <stp>FQ1 2017</stp>
        <stp>[FA1_m42y3cpi.xlsx]Cash Flow - Standardized!R11C37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1" s="4"/>
      </tp>
      <tp>
        <v>0</v>
        <stp/>
        <stp>##V3_BDHV12</stp>
        <stp>XOM US Equity</stp>
        <stp>CF_DECR_INVEST</stp>
        <stp>FQ4 2012</stp>
        <stp>FQ4 2012</stp>
        <stp>[FA1_m42y3cpi.xlsx]Cash Flow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4"/>
      </tp>
      <tp>
        <v>629</v>
        <stp/>
        <stp>##V3_BDHV12</stp>
        <stp>XOM US Equity</stp>
        <stp>CF_DISPOSAL_OF_FIXED_PROD_ASSETS</stp>
        <stp>FQ2 2015</stp>
        <stp>FQ2 2015</stp>
        <stp>[FA1_m42y3cpi.xlsx]Cash Flow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4"/>
      </tp>
      <tp t="s">
        <v>—</v>
        <stp/>
        <stp>##V3_BDHV12</stp>
        <stp>XOM US Equity</stp>
        <stp>CF_DEF_INC_TAX</stp>
        <stp>FQ3 2010</stp>
        <stp>FQ3 2010</stp>
        <stp>[FA1_m42y3cpi.xlsx]Cash Flow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4"/>
      </tp>
      <tp>
        <v>0</v>
        <stp/>
        <stp>##V3_BDHV12</stp>
        <stp>XOM US Equity</stp>
        <stp>CF_INCR_INVEST</stp>
        <stp>FQ3 2009</stp>
        <stp>FQ3 2009</stp>
        <stp>[FA1_m42y3cpi.xlsx]Cash Flow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4"/>
      </tp>
      <tp>
        <v>0</v>
        <stp/>
        <stp>##V3_BDHV12</stp>
        <stp>XOM US Equity</stp>
        <stp>CF_INCR_INVEST</stp>
        <stp>FQ2 2009</stp>
        <stp>FQ2 2009</stp>
        <stp>[FA1_m42y3cpi.xlsx]Cash Flow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4"/>
      </tp>
      <tp>
        <v>3264</v>
        <stp/>
        <stp>##V3_BDHV12</stp>
        <stp>XOM US Equity</stp>
        <stp>NI_INCLUDING_MINORITY_INT_RATIO</stp>
        <stp>FQ2 2017</stp>
        <stp>FQ2 2017</stp>
        <stp>[FA1_m42y3cpi.xlsx]Income - Adjusted!R38C38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38" s="2"/>
      </tp>
      <tp>
        <v>0</v>
        <stp/>
        <stp>##V3_BDHV12</stp>
        <stp>XOM US Equity</stp>
        <stp>CF_INCR_INVEST</stp>
        <stp>FQ1 2009</stp>
        <stp>FQ1 2009</stp>
        <stp>[FA1_m42y3cpi.xlsx]Cash Flow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4"/>
      </tp>
      <tp>
        <v>1029</v>
        <stp/>
        <stp>##V3_BDHV12</stp>
        <stp>XOM US Equity</stp>
        <stp>CF_DISPOSAL_OF_FIXED_PROD_ASSETS</stp>
        <stp>FQ2 2016</stp>
        <stp>FQ2 2016</stp>
        <stp>[FA1_m42y3cpi.xlsx]Cash Flow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4"/>
      </tp>
      <tp>
        <v>127</v>
        <stp/>
        <stp>##V3_BDHV12</stp>
        <stp>XOM US Equity</stp>
        <stp>CF_DISPOSAL_OF_FIXED_PROD_ASSETS</stp>
        <stp>FQ3 2014</stp>
        <stp>FQ3 2014</stp>
        <stp>[FA1_m42y3cpi.xlsx]Cash Flow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4"/>
      </tp>
      <tp>
        <v>0</v>
        <stp/>
        <stp>##V3_BDHV12</stp>
        <stp>XOM US Equity</stp>
        <stp>CF_INCR_INVEST</stp>
        <stp>FQ4 2013</stp>
        <stp>FQ4 2013</stp>
        <stp>[FA1_m42y3cpi.xlsx]Cash Flow - Standardized!R29C24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4"/>
      </tp>
      <tp t="s">
        <v>—</v>
        <stp/>
        <stp>##V3_BDHV12</stp>
        <stp>XOM US Equity</stp>
        <stp>CF_DEF_INC_TAX</stp>
        <stp>FQ1 2016</stp>
        <stp>FQ1 2016</stp>
        <stp>[FA1_m42y3cpi.xlsx]Cash Flow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4"/>
      </tp>
      <tp>
        <v>0</v>
        <stp/>
        <stp>##V3_BDHV12</stp>
        <stp>XOM US Equity</stp>
        <stp>CF_DECR_INVEST</stp>
        <stp>FQ4 2013</stp>
        <stp>FQ4 2013</stp>
        <stp>[FA1_m42y3cpi.xlsx]Cash Flow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4"/>
      </tp>
      <tp>
        <v>206</v>
        <stp/>
        <stp>##V3_BDHV12</stp>
        <stp>XOM US Equity</stp>
        <stp>CF_DISPOSAL_OF_FIXED_PROD_ASSETS</stp>
        <stp>FQ3 2013</stp>
        <stp>FQ3 2013</stp>
        <stp>[FA1_m42y3cpi.xlsx]Cash Flow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4"/>
      </tp>
      <tp t="s">
        <v>—</v>
        <stp/>
        <stp>##V3_BDHV12</stp>
        <stp>XOM US Equity</stp>
        <stp>CF_DEF_INC_TAX</stp>
        <stp>FQ3 2011</stp>
        <stp>FQ3 2011</stp>
        <stp>[FA1_m42y3cpi.xlsx]Cash Flow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4"/>
      </tp>
      <tp>
        <v>154</v>
        <stp/>
        <stp>##V3_BDHV12</stp>
        <stp>XOM US Equity</stp>
        <stp>CF_DISPOSAL_OF_FIXED_PROD_ASSETS</stp>
        <stp>FQ2 2017</stp>
        <stp>FQ2 2017</stp>
        <stp>[FA1_m42y3cpi.xlsx]Cash Flow - Standardized!R22C38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4"/>
      </tp>
      <tp t="s">
        <v>—</v>
        <stp/>
        <stp>##V3_BDHV12</stp>
        <stp>XOM US Equity</stp>
        <stp>IS_OTHER_ONE_TIME_ITEMS</stp>
        <stp>FQ4 2013</stp>
        <stp>FQ4 2013</stp>
        <stp>[FA1_m42y3cpi.xlsx]Income - Adjusted!R31C24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2"/>
      </tp>
      <tp>
        <v>0</v>
        <stp/>
        <stp>##V3_BDHV12</stp>
        <stp>XOM US Equity</stp>
        <stp>CF_INCR_INVEST</stp>
        <stp>FQ1 2010</stp>
        <stp>FQ1 2010</stp>
        <stp>[FA1_m42y3cpi.xlsx]Cash Flow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4"/>
      </tp>
      <tp t="s">
        <v>—</v>
        <stp/>
        <stp>##V3_BDHV12</stp>
        <stp>XOM US Equity</stp>
        <stp>CF_DEF_INC_TAX</stp>
        <stp>FQ3 2012</stp>
        <stp>FQ3 2012</stp>
        <stp>[FA1_m42y3cpi.xlsx]Cash Flow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4"/>
      </tp>
      <tp t="s">
        <v>—</v>
        <stp/>
        <stp>##V3_BDHV12</stp>
        <stp>XOM US Equity</stp>
        <stp>IS_OTHER_ONE_TIME_ITEMS</stp>
        <stp>FQ3 2015</stp>
        <stp>FQ3 2015</stp>
        <stp>[FA1_m42y3cpi.xlsx]Income - Adjusted!R31C31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2"/>
      </tp>
      <tp>
        <v>5087</v>
        <stp/>
        <stp>##V3_BDHV12</stp>
        <stp>XOM US Equity</stp>
        <stp>BS_SH_OUT</stp>
        <stp>FQ3 2008</stp>
        <stp>FQ3 2008</stp>
        <stp>[FA1_m42y3cpi.xlsx]Per Share!R6C3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5"/>
      </tp>
      <tp>
        <v>-16</v>
        <stp/>
        <stp>##V3_BDHV12</stp>
        <stp>XOM US Equity</stp>
        <stp>CF_INCR_INVEST</stp>
        <stp>FQ4 2009</stp>
        <stp>FQ4 2009</stp>
        <stp>[FA1_m42y3cpi.xlsx]Cash Flow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4"/>
      </tp>
      <tp t="s">
        <v>—</v>
        <stp/>
        <stp>##V3_BDHV12</stp>
        <stp>XOM US Equity</stp>
        <stp>IS_OTHER_ONE_TIME_ITEMS</stp>
        <stp>FQ3 2014</stp>
        <stp>FQ3 2014</stp>
        <stp>[FA1_m42y3cpi.xlsx]Income - Adjusted!R31C27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2"/>
      </tp>
      <tp>
        <v>4976</v>
        <stp/>
        <stp>##V3_BDHV12</stp>
        <stp>XOM US Equity</stp>
        <stp>BS_SH_OUT</stp>
        <stp>FQ4 2008</stp>
        <stp>FQ4 2008</stp>
        <stp>[FA1_m42y3cpi.xlsx]Per Share!R6C4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5"/>
      </tp>
      <tp t="s">
        <v>—</v>
        <stp/>
        <stp>##V3_BDHV12</stp>
        <stp>XOM US Equity</stp>
        <stp>IS_OTHER_ONE_TIME_ITEMS</stp>
        <stp>FQ4 2010</stp>
        <stp>FQ4 2010</stp>
        <stp>[FA1_m42y3cpi.xlsx]Income - Adjusted!R31C12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2"/>
      </tp>
      <tp>
        <v>0</v>
        <stp/>
        <stp>##V3_BDHV12</stp>
        <stp>XOM US Equity</stp>
        <stp>CF_DECR_INVEST</stp>
        <stp>FQ2 2018</stp>
        <stp>FQ2 2018</stp>
        <stp>[FA1_m42y3cpi.xlsx]Cash Flow - Standardized!R28C42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4"/>
      </tp>
      <tp>
        <v>0</v>
        <stp/>
        <stp>##V3_BDHV12</stp>
        <stp>XOM US Equity</stp>
        <stp>CF_INCR_INVEST</stp>
        <stp>FQ4 2014</stp>
        <stp>FQ4 2014</stp>
        <stp>[FA1_m42y3cpi.xlsx]Cash Flow - Standardized!R29C28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4"/>
      </tp>
      <tp>
        <v>0</v>
        <stp/>
        <stp>##V3_BDHV12</stp>
        <stp>XOM US Equity</stp>
        <stp>CF_DECR_INVEST</stp>
        <stp>FQ4 2014</stp>
        <stp>FQ4 2014</stp>
        <stp>[FA1_m42y3cpi.xlsx]Cash Flow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4"/>
      </tp>
      <tp>
        <v>0</v>
        <stp/>
        <stp>##V3_BDHV12</stp>
        <stp>XOM US Equity</stp>
        <stp>CF_INCR_INVEST</stp>
        <stp>FQ2 2018</stp>
        <stp>FQ2 2018</stp>
        <stp>[FA1_m42y3cpi.xlsx]Cash Flow - Standardized!R29C42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9" s="4"/>
      </tp>
      <tp t="s">
        <v>—</v>
        <stp/>
        <stp>##V3_BDHV12</stp>
        <stp>XOM US Equity</stp>
        <stp>IS_OTHER_ONE_TIME_ITEMS</stp>
        <stp>FQ1 2017</stp>
        <stp>FQ1 2017</stp>
        <stp>[FA1_m42y3cpi.xlsx]Income - Adjusted!R31C37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2"/>
      </tp>
      <tp>
        <v>-2622</v>
        <stp/>
        <stp>##V3_BDHV12</stp>
        <stp>XOM US Equity</stp>
        <stp>CF_DVD_PAID</stp>
        <stp>FQ3 2012</stp>
        <stp>FQ3 2012</stp>
        <stp>[FA1_m42y3cpi.xlsx]Cash Flow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4"/>
      </tp>
      <tp>
        <v>-3054</v>
        <stp/>
        <stp>##V3_BDHV12</stp>
        <stp>XOM US Equity</stp>
        <stp>CF_DVD_PAID</stp>
        <stp>FQ1 2016</stp>
        <stp>FQ1 2016</stp>
        <stp>[FA1_m42y3cpi.xlsx]Cash Flow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4"/>
      </tp>
      <tp>
        <v>-2277</v>
        <stp/>
        <stp>##V3_BDHV12</stp>
        <stp>XOM US Equity</stp>
        <stp>CF_DVD_PAID</stp>
        <stp>FQ3 2011</stp>
        <stp>FQ3 2011</stp>
        <stp>[FA1_m42y3cpi.xlsx]Cash Flow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4"/>
      </tp>
      <tp>
        <v>-3134</v>
        <stp/>
        <stp>##V3_BDHV12</stp>
        <stp>XOM US Equity</stp>
        <stp>CF_DVD_PAID</stp>
        <stp>FQ1 2017</stp>
        <stp>FQ1 2017</stp>
        <stp>[FA1_m42y3cpi.xlsx]Cash Flow - Standardized!R39C37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9" s="4"/>
      </tp>
      <tp>
        <v>-2234</v>
        <stp/>
        <stp>##V3_BDHV12</stp>
        <stp>XOM US Equity</stp>
        <stp>CF_DVD_PAID</stp>
        <stp>FQ3 2010</stp>
        <stp>FQ3 2010</stp>
        <stp>[FA1_m42y3cpi.xlsx]Cash Flow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4"/>
      </tp>
      <tp>
        <v>10709</v>
        <stp/>
        <stp>##V3_BDHV12</stp>
        <stp>XOM US Equity</stp>
        <stp>EBITDA</stp>
        <stp>FQ4 2009</stp>
        <stp>FQ4 2009</stp>
        <stp>[FA1_m42y3cpi.xlsx]Cash Flow - Standardized!R59C8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59" s="4"/>
      </tp>
      <tp>
        <v>24.628699999999998</v>
        <stp/>
        <stp>##V3_BDHV12</stp>
        <stp>XOM US Equity</stp>
        <stp>BOOK_VAL_PER_SH</stp>
        <stp>FQ3 2008</stp>
        <stp>FQ3 2008</stp>
        <stp>[FA1_m42y3cpi.xlsx]Per Share!R26C3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6" s="5"/>
      </tp>
      <tp>
        <v>22.701999999999998</v>
        <stp/>
        <stp>##V3_BDHV12</stp>
        <stp>XOM US Equity</stp>
        <stp>BOOK_VAL_PER_SH</stp>
        <stp>FQ4 2008</stp>
        <stp>FQ4 2008</stp>
        <stp>[FA1_m42y3cpi.xlsx]Per Share!R26C4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6" s="5"/>
      </tp>
      <tp>
        <v>0.93</v>
        <stp/>
        <stp>##V3_BDHV12</stp>
        <stp>XOM US Equity</stp>
        <stp>IS_EARN_BEF_XO_ITEMS_PER_SH</stp>
        <stp>FQ3 2017</stp>
        <stp>FQ3 2017</stp>
        <stp>[FA1_m42y3cpi.xlsx]Per Share!R15C39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5" s="5"/>
      </tp>
      <tp t="s">
        <v>—</v>
        <stp/>
        <stp>##V3_BDHV12</stp>
        <stp>XOM US Equity</stp>
        <stp>BS_OPTIONS_GRANTED</stp>
        <stp>FQ2 2016</stp>
        <stp>FQ2 2016</stp>
        <stp>[FA1_m42y3cpi.xlsx]Bal Sheet - Standardized!R84C34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4" s="3"/>
      </tp>
      <tp t="s">
        <v>—</v>
        <stp/>
        <stp>##V3_BDHV12</stp>
        <stp>XOM US Equity</stp>
        <stp>BS_OPTIONS_GRANTED</stp>
        <stp>FQ3 2016</stp>
        <stp>FQ3 2016</stp>
        <stp>[FA1_m42y3cpi.xlsx]Bal Sheet - Standardized!R84C35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4" s="3"/>
      </tp>
      <tp t="s">
        <v>—</v>
        <stp/>
        <stp>##V3_BDHV12</stp>
        <stp>XOM US Equity</stp>
        <stp>BS_OPTIONS_GRANTED</stp>
        <stp>FQ3 2014</stp>
        <stp>FQ3 2014</stp>
        <stp>[FA1_m42y3cpi.xlsx]Bal Sheet - Standardized!R84C27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4" s="3"/>
      </tp>
      <tp t="s">
        <v>—</v>
        <stp/>
        <stp>##V3_BDHV12</stp>
        <stp>XOM US Equity</stp>
        <stp>BS_OPTIONS_GRANTED</stp>
        <stp>FQ2 2014</stp>
        <stp>FQ2 2014</stp>
        <stp>[FA1_m42y3cpi.xlsx]Bal Sheet - Standardized!R84C26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4" s="3"/>
      </tp>
      <tp t="s">
        <v>—</v>
        <stp/>
        <stp>##V3_BDHV12</stp>
        <stp>XOM US Equity</stp>
        <stp>BS_OPTIONS_GRANTED</stp>
        <stp>FQ1 2014</stp>
        <stp>FQ1 2014</stp>
        <stp>[FA1_m42y3cpi.xlsx]Bal Sheet - Standardized!R84C25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4" s="3"/>
      </tp>
      <tp>
        <v>13319</v>
        <stp/>
        <stp>##V3_BDHV12</stp>
        <stp>XOM US Equity</stp>
        <stp>EBITDA</stp>
        <stp>FQ2 2010</stp>
        <stp>FQ2 2010</stp>
        <stp>[FA1_m42y3cpi.xlsx]Cash Flow - Standardized!R59C10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59" s="4"/>
      </tp>
      <tp>
        <v>13811</v>
        <stp/>
        <stp>##V3_BDHV12</stp>
        <stp>XOM US Equity</stp>
        <stp>EBITDA</stp>
        <stp>FQ3 2010</stp>
        <stp>FQ3 2010</stp>
        <stp>[FA1_m42y3cpi.xlsx]Cash Flow - Standardized!R59C11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59" s="4"/>
      </tp>
      <tp>
        <v>2.0672999999999999</v>
        <stp/>
        <stp>##V3_BDHV12</stp>
        <stp>XOM US Equity</stp>
        <stp>IS_DIL_EPS_CONT_OPS</stp>
        <stp>FQ4 2012</stp>
        <stp>FQ4 2012</stp>
        <stp>[FA1_m42y3cpi.xlsx]Income - Adjusted!R57C20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7" s="2"/>
      </tp>
      <tp>
        <v>1.8500999999999999</v>
        <stp/>
        <stp>##V3_BDHV12</stp>
        <stp>XOM US Equity</stp>
        <stp>IS_DIL_EPS_CONT_OPS</stp>
        <stp>FQ4 2010</stp>
        <stp>FQ4 2010</stp>
        <stp>[FA1_m42y3cpi.xlsx]Income - Adjusted!R57C12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7" s="2"/>
      </tp>
      <tp>
        <v>0.41</v>
        <stp/>
        <stp>##V3_BDHV12</stp>
        <stp>XOM US Equity</stp>
        <stp>IS_DIL_EPS_CONT_OPS</stp>
        <stp>FQ2 2016</stp>
        <stp>FQ2 2016</stp>
        <stp>[FA1_m42y3cpi.xlsx]Income - Adjusted!R57C34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7" s="2"/>
      </tp>
      <tp>
        <v>2.0499999999999998</v>
        <stp/>
        <stp>##V3_BDHV12</stp>
        <stp>XOM US Equity</stp>
        <stp>IS_DIL_EPS_CONT_OPS</stp>
        <stp>FQ2 2014</stp>
        <stp>FQ2 2014</stp>
        <stp>[FA1_m42y3cpi.xlsx]Income - Adjusted!R57C26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7" s="2"/>
      </tp>
      <tp>
        <v>2.12</v>
        <stp/>
        <stp>##V3_BDHV12</stp>
        <stp>XOM US Equity</stp>
        <stp>IS_DIL_EPS_CONT_OPS</stp>
        <stp>FQ1 2013</stp>
        <stp>FQ1 2013</stp>
        <stp>[FA1_m42y3cpi.xlsx]Income - Adjusted!R57C21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7" s="2"/>
      </tp>
      <tp>
        <v>2.14</v>
        <stp/>
        <stp>##V3_BDHV12</stp>
        <stp>XOM US Equity</stp>
        <stp>IS_DIL_EPS_CONT_OPS</stp>
        <stp>FQ1 2011</stp>
        <stp>FQ1 2011</stp>
        <stp>[FA1_m42y3cpi.xlsx]Income - Adjusted!R57C13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7" s="2"/>
      </tp>
      <tp>
        <v>-2234</v>
        <stp/>
        <stp>##V3_BDHV12</stp>
        <stp>XOM US Equity</stp>
        <stp>IS_NONOP_INCOME_LOSS</stp>
        <stp>FQ1 2018</stp>
        <stp>FQ1 2018</stp>
        <stp>[FA1_m42y3cpi.xlsx]Income - Adjusted!R17C41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7" s="2"/>
      </tp>
      <tp>
        <v>0</v>
        <stp/>
        <stp>##V3_BDHV12</stp>
        <stp>XOM US Equity</stp>
        <stp>IS_OTHER_OPER_INC</stp>
        <stp>FQ3 2014</stp>
        <stp>FQ3 2014</stp>
        <stp>[FA1_m42y3cpi.xlsx]Income - Adjusted!R12C27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2" s="2"/>
      </tp>
      <tp>
        <v>0</v>
        <stp/>
        <stp>##V3_BDHV12</stp>
        <stp>XOM US Equity</stp>
        <stp>IS_OTHER_OPER_INC</stp>
        <stp>FQ3 2016</stp>
        <stp>FQ3 2016</stp>
        <stp>[FA1_m42y3cpi.xlsx]Income - Adjusted!R12C35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2" s="2"/>
      </tp>
      <tp>
        <v>22.7319</v>
        <stp/>
        <stp>##V3_BDHV12</stp>
        <stp>XOM US Equity</stp>
        <stp>PX_TO_FREE_CASH_FLOW</stp>
        <stp>FQ3 2017</stp>
        <stp>FQ3 2017</stp>
        <stp>[FA1_m42y3cpi.xlsx]Cash Flow - Standardized!R67C39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7" s="4"/>
      </tp>
      <tp>
        <v>23.336099999999998</v>
        <stp/>
        <stp>##V3_BDHV12</stp>
        <stp>XOM US Equity</stp>
        <stp>PX_TO_FREE_CASH_FLOW</stp>
        <stp>FQ2 2017</stp>
        <stp>FQ2 2017</stp>
        <stp>[FA1_m42y3cpi.xlsx]Cash Flow - Standardized!R67C38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7" s="4"/>
      </tp>
      <tp t="s">
        <v>—</v>
        <stp/>
        <stp>##V3_BDHV12</stp>
        <stp>XOM US Equity</stp>
        <stp>CF_NET_CASH_DISCONT_OPS_OPER</stp>
        <stp>FQ4 2008</stp>
        <stp>FQ4 2008</stp>
        <stp>[FA1_m42y3cpi.xlsx]Cash Flow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4"/>
      </tp>
      <tp t="s">
        <v>—</v>
        <stp/>
        <stp>##V3_BDHV12</stp>
        <stp>XOM US Equity</stp>
        <stp>CF_NET_CASH_DISCONT_OPS_OPER</stp>
        <stp>FQ3 2008</stp>
        <stp>FQ3 2008</stp>
        <stp>[FA1_m42y3cpi.xlsx]Cash Flow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4"/>
      </tp>
      <tp>
        <v>65.519800000000004</v>
        <stp/>
        <stp>##V3_BDHV12</stp>
        <stp>XOM US Equity</stp>
        <stp>PX_TO_FREE_CASH_FLOW</stp>
        <stp>FQ1 2015</stp>
        <stp>FQ1 2015</stp>
        <stp>[FA1_m42y3cpi.xlsx]Cash Flow - Standardized!R67C29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7" s="4"/>
      </tp>
      <tp>
        <v>1.27</v>
        <stp/>
        <stp>##V3_BDHV12</stp>
        <stp>XOM US Equity</stp>
        <stp>IS_EARN_BEF_XO_ITEMS_PER_SH</stp>
        <stp>FQ4 2009</stp>
        <stp>FQ4 2009</stp>
        <stp>[FA1_m42y3cpi.xlsx]Income - Adjusted!R51C8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1" s="2"/>
      </tp>
      <tp>
        <v>0</v>
        <stp/>
        <stp>##V3_BDHV12</stp>
        <stp>XOM US Equity</stp>
        <stp>IS_EXTRAORD_ITEMS_&amp;_ACCTG_CHNG</stp>
        <stp>FQ1 2015</stp>
        <stp>FQ1 2015</stp>
        <stp>[FA1_m42y3cpi.xlsx]Income - Adjusted!R37C29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7" s="2"/>
      </tp>
      <tp>
        <v>0</v>
        <stp/>
        <stp>##V3_BDHV12</stp>
        <stp>XOM US Equity</stp>
        <stp>CF_NET_CASH_DISCONT_OPS_OPER</stp>
        <stp>FQ1 2009</stp>
        <stp>FQ1 2009</stp>
        <stp>[FA1_m42y3cpi.xlsx]Cash Flow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4"/>
      </tp>
      <tp>
        <v>0</v>
        <stp/>
        <stp>##V3_BDHV12</stp>
        <stp>XOM US Equity</stp>
        <stp>CF_NET_CASH_DISCONT_OPS_OPER</stp>
        <stp>FQ2 2009</stp>
        <stp>FQ2 2009</stp>
        <stp>[FA1_m42y3cpi.xlsx]Cash Flow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4"/>
      </tp>
      <tp>
        <v>0</v>
        <stp/>
        <stp>##V3_BDHV12</stp>
        <stp>XOM US Equity</stp>
        <stp>CF_NET_CASH_DISCONT_OPS_OPER</stp>
        <stp>FQ3 2009</stp>
        <stp>FQ3 2009</stp>
        <stp>[FA1_m42y3cpi.xlsx]Cash Flow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4"/>
      </tp>
      <tp>
        <v>0</v>
        <stp/>
        <stp>##V3_BDHV12</stp>
        <stp>XOM US Equity</stp>
        <stp>IS_EXTRAORD_ITEMS_&amp;_ACCTG_CHNG</stp>
        <stp>FQ2 2017</stp>
        <stp>FQ2 2017</stp>
        <stp>[FA1_m42y3cpi.xlsx]Income - Adjusted!R37C38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7" s="2"/>
      </tp>
      <tp>
        <v>0</v>
        <stp/>
        <stp>##V3_BDHV12</stp>
        <stp>XOM US Equity</stp>
        <stp>CF_NET_CASH_DISCONT_OPS_OPER</stp>
        <stp>FQ1 2010</stp>
        <stp>FQ1 2010</stp>
        <stp>[FA1_m42y3cpi.xlsx]Cash Flow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4"/>
      </tp>
      <tp>
        <v>0</v>
        <stp/>
        <stp>##V3_BDHV12</stp>
        <stp>XOM US Equity</stp>
        <stp>IS_EXTRAORD_ITEMS_&amp;_ACCTG_CHNG</stp>
        <stp>FQ3 2016</stp>
        <stp>FQ3 2016</stp>
        <stp>[FA1_m42y3cpi.xlsx]Income - Adjusted!R37C35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7" s="2"/>
      </tp>
      <tp>
        <v>0</v>
        <stp/>
        <stp>##V3_BDHV12</stp>
        <stp>XOM US Equity</stp>
        <stp>CF_NET_CASH_DISCONT_OPS_OPER</stp>
        <stp>FQ4 2009</stp>
        <stp>FQ4 2009</stp>
        <stp>[FA1_m42y3cpi.xlsx]Cash Flow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4"/>
      </tp>
      <tp>
        <v>923</v>
        <stp/>
        <stp>##V3_BDHV12</stp>
        <stp>XOM US Equity</stp>
        <stp>PROC_FR_REPAYMNTS_BOR_DETAILED</stp>
        <stp>FQ2 2015</stp>
        <stp>FQ2 2015</stp>
        <stp>[FA1_m42y3cpi.xlsx]Cash Flow - Standardized!R40C30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0" s="4"/>
      </tp>
      <tp>
        <v>0</v>
        <stp/>
        <stp>##V3_BDHV12</stp>
        <stp>XOM US Equity</stp>
        <stp>CF_NET_CASH_DISCONTINUED_OPS_INV</stp>
        <stp>FQ2 2014</stp>
        <stp>FQ2 2014</stp>
        <stp>[FA1_m42y3cpi.xlsx]Cash Flow - Standardized!R35C26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4"/>
      </tp>
      <tp>
        <v>0</v>
        <stp/>
        <stp>##V3_BDHV12</stp>
        <stp>XOM US Equity</stp>
        <stp>CF_NET_CASH_DISCONTINUED_OPS_INV</stp>
        <stp>FQ3 2016</stp>
        <stp>FQ3 2016</stp>
        <stp>[FA1_m42y3cpi.xlsx]Cash Flow - Standardized!R35C35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4"/>
      </tp>
      <tp>
        <v>4940</v>
        <stp/>
        <stp>##V3_BDHV12</stp>
        <stp>XOM US Equity</stp>
        <stp>EARN_FOR_COMMON</stp>
        <stp>FQ1 2015</stp>
        <stp>FQ1 2015</stp>
        <stp>[FA1_m42y3cpi.xlsx]Income - Adjusted!R43C29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43" s="2"/>
      </tp>
      <tp>
        <v>0</v>
        <stp/>
        <stp>##V3_BDHV12</stp>
        <stp>XOM US Equity</stp>
        <stp>CF_CASH_FOR_JOINT_VENTURES_ASSOC</stp>
        <stp>FQ3 2014</stp>
        <stp>FQ3 2014</stp>
        <stp>[FA1_m42y3cpi.xlsx]Cash Flow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4"/>
      </tp>
      <tp>
        <v>6570</v>
        <stp/>
        <stp>##V3_BDHV12</stp>
        <stp>XOM US Equity</stp>
        <stp>EARN_FOR_COMMON</stp>
        <stp>FQ4 2014</stp>
        <stp>FQ4 2014</stp>
        <stp>[FA1_m42y3cpi.xlsx]Income - Adjusted!R43C28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43" s="2"/>
      </tp>
      <tp>
        <v>0</v>
        <stp/>
        <stp>##V3_BDHV12</stp>
        <stp>XOM US Equity</stp>
        <stp>CF_CASH_FOR_JOINT_VENTURES_ASSOC</stp>
        <stp>FQ2 2016</stp>
        <stp>FQ2 2016</stp>
        <stp>[FA1_m42y3cpi.xlsx]Cash Flow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4"/>
      </tp>
      <tp>
        <v>0</v>
        <stp/>
        <stp>##V3_BDHV12</stp>
        <stp>XOM US Equity</stp>
        <stp>CF_NET_CASH_DISCONTINUED_OPS_INV</stp>
        <stp>FQ4 2017</stp>
        <stp>FQ4 2017</stp>
        <stp>[FA1_m42y3cpi.xlsx]Cash Flow - Standardized!R35C40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5" s="4"/>
      </tp>
      <tp>
        <v>0</v>
        <stp/>
        <stp>##V3_BDHV12</stp>
        <stp>XOM US Equity</stp>
        <stp>CF_NET_CASH_DISCONTINUED_OPS_INV</stp>
        <stp>FQ1 2011</stp>
        <stp>FQ1 2011</stp>
        <stp>[FA1_m42y3cpi.xlsx]Cash Flow - Standardized!R35C13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4"/>
      </tp>
      <tp>
        <v>0</v>
        <stp/>
        <stp>##V3_BDHV12</stp>
        <stp>XOM US Equity</stp>
        <stp>CF_NET_CASH_DISCONTINUED_OPS_INV</stp>
        <stp>FQ2 2013</stp>
        <stp>FQ2 2013</stp>
        <stp>[FA1_m42y3cpi.xlsx]Cash Flow - Standardized!R35C22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4"/>
      </tp>
      <tp>
        <v>0</v>
        <stp/>
        <stp>##V3_BDHV12</stp>
        <stp>XOM US Equity</stp>
        <stp>CF_CASH_FOR_JOINT_VENTURES_ASSOC</stp>
        <stp>FQ3 2013</stp>
        <stp>FQ3 2013</stp>
        <stp>[FA1_m42y3cpi.xlsx]Cash Flow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4"/>
      </tp>
      <tp>
        <v>0</v>
        <stp/>
        <stp>##V3_BDHV12</stp>
        <stp>XOM US Equity</stp>
        <stp>CF_DISPOSAL_OF_INTANGIBLE_ASSETS</stp>
        <stp>FQ4 2014</stp>
        <stp>FQ4 2014</stp>
        <stp>[FA1_m42y3cpi.xlsx]Cash Flow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4"/>
      </tp>
      <tp>
        <v>0</v>
        <stp/>
        <stp>##V3_BDHV12</stp>
        <stp>XOM US Equity</stp>
        <stp>CF_DISPOSAL_OF_INTANGIBLE_ASSETS</stp>
        <stp>FQ2 2018</stp>
        <stp>FQ2 2018</stp>
        <stp>[FA1_m42y3cpi.xlsx]Cash Flow - Standardized!R23C42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4"/>
      </tp>
      <tp>
        <v>1921</v>
        <stp/>
        <stp>##V3_BDHV12</stp>
        <stp>XOM US Equity</stp>
        <stp>PROC_FR_REPAYMNTS_BOR_DETAILED</stp>
        <stp>FQ3 2013</stp>
        <stp>FQ3 2013</stp>
        <stp>[FA1_m42y3cpi.xlsx]Cash Flow - Standardized!R40C23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0" s="4"/>
      </tp>
      <tp>
        <v>-952</v>
        <stp/>
        <stp>##V3_BDHV12</stp>
        <stp>XOM US Equity</stp>
        <stp>OTHER_NON_CASH_ADJ_LESS_DETAILED</stp>
        <stp>FQ1 2018</stp>
        <stp>FQ1 2018</stp>
        <stp>[FA1_m42y3cpi.xlsx]Cash Flow - Standardized!R12C41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4"/>
      </tp>
      <tp>
        <v>115</v>
        <stp/>
        <stp>##V3_BDHV12</stp>
        <stp>XOM US Equity</stp>
        <stp>MIN_NONCONTROL_INTEREST_CREDITS</stp>
        <stp>FQ2 2013</stp>
        <stp>FQ2 2013</stp>
        <stp>[FA1_m42y3cpi.xlsx]Income - Adjusted!R39C22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39" s="2"/>
      </tp>
      <tp>
        <v>211</v>
        <stp/>
        <stp>##V3_BDHV12</stp>
        <stp>XOM US Equity</stp>
        <stp>MIN_NONCONTROL_INTEREST_CREDITS</stp>
        <stp>FQ3 2010</stp>
        <stp>FQ3 2010</stp>
        <stp>[FA1_m42y3cpi.xlsx]Income - Adjusted!R39C11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39" s="2"/>
      </tp>
      <tp>
        <v>270</v>
        <stp/>
        <stp>##V3_BDHV12</stp>
        <stp>XOM US Equity</stp>
        <stp>MIN_NONCONTROL_INTEREST_CREDITS</stp>
        <stp>FQ1 2014</stp>
        <stp>FQ1 2014</stp>
        <stp>[FA1_m42y3cpi.xlsx]Income - Adjusted!R39C25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39" s="2"/>
      </tp>
      <tp>
        <v>0</v>
        <stp/>
        <stp>##V3_BDHV12</stp>
        <stp>XOM US Equity</stp>
        <stp>CF_NET_CASH_DISCONTINUED_OPS_INV</stp>
        <stp>FQ1 2012</stp>
        <stp>FQ1 2012</stp>
        <stp>[FA1_m42y3cpi.xlsx]Cash Flow - Standardized!R35C17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4"/>
      </tp>
      <tp>
        <v>0</v>
        <stp/>
        <stp>##V3_BDHV12</stp>
        <stp>XOM US Equity</stp>
        <stp>CF_NET_CASH_DISCONTINUED_OPS_INV</stp>
        <stp>FQ3 2015</stp>
        <stp>FQ3 2015</stp>
        <stp>[FA1_m42y3cpi.xlsx]Cash Flow - Standardized!R35C31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4"/>
      </tp>
      <tp>
        <v>0</v>
        <stp/>
        <stp>##V3_BDHV12</stp>
        <stp>XOM US Equity</stp>
        <stp>CF_CASH_FOR_JOINT_VENTURES_ASSOC</stp>
        <stp>FQ2 2015</stp>
        <stp>FQ2 2015</stp>
        <stp>[FA1_m42y3cpi.xlsx]Cash Flow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4"/>
      </tp>
      <tp>
        <v>20500</v>
        <stp/>
        <stp>##V3_BDHV12</stp>
        <stp>XOM US Equity</stp>
        <stp>SHORT_TERM_DEBT_DETAILED</stp>
        <stp>FQ2 2018</stp>
        <stp>FQ2 2018</stp>
        <stp>[FA1_m42y3cpi.xlsx]Bal Sheet - Standardized!R48C42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8" s="3"/>
      </tp>
      <tp>
        <v>16698</v>
        <stp/>
        <stp>##V3_BDHV12</stp>
        <stp>XOM US Equity</stp>
        <stp>SHORT_TERM_DEBT_DETAILED</stp>
        <stp>FQ4 2014</stp>
        <stp>FQ4 2014</stp>
        <stp>[FA1_m42y3cpi.xlsx]Bal Sheet - Standardized!R48C28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8" s="3"/>
      </tp>
      <tp>
        <v>312</v>
        <stp/>
        <stp>##V3_BDHV12</stp>
        <stp>XOM US Equity</stp>
        <stp>PROC_FR_REPAYMNTS_BOR_DETAILED</stp>
        <stp>FQ3 2014</stp>
        <stp>FQ3 2014</stp>
        <stp>[FA1_m42y3cpi.xlsx]Cash Flow - Standardized!R40C27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0" s="4"/>
      </tp>
      <tp>
        <v>1400</v>
        <stp/>
        <stp>##V3_BDHV12</stp>
        <stp>XOM US Equity</stp>
        <stp>PROC_FR_REPAYMNTS_BOR_DETAILED</stp>
        <stp>FQ2 2016</stp>
        <stp>FQ2 2016</stp>
        <stp>[FA1_m42y3cpi.xlsx]Cash Flow - Standardized!R40C34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0" s="4"/>
      </tp>
      <tp>
        <v>0</v>
        <stp/>
        <stp>##V3_BDHV12</stp>
        <stp>XOM US Equity</stp>
        <stp>CF_DISPOSAL_OF_INTANGIBLE_ASSETS</stp>
        <stp>FQ4 2013</stp>
        <stp>FQ4 2013</stp>
        <stp>[FA1_m42y3cpi.xlsx]Cash Flow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4"/>
      </tp>
      <tp>
        <v>2628</v>
        <stp/>
        <stp>##V3_BDHV12</stp>
        <stp>XOM US Equity</stp>
        <stp>SHORT_TERM_DEBT_DETAILED</stp>
        <stp>FQ4 2012</stp>
        <stp>FQ4 2012</stp>
        <stp>[FA1_m42y3cpi.xlsx]Bal Sheet - Standardized!R48C20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8" s="3"/>
      </tp>
      <tp>
        <v>336758</v>
        <stp/>
        <stp>##V3_BDHV12</stp>
        <stp>XOM US Equity</stp>
        <stp>TOT_LIAB_AND_EQY</stp>
        <stp>FQ4 2015</stp>
        <stp>FQ4 2015</stp>
        <stp>[FA1_m42y3cpi.xlsx]Bal Sheet - Standardized!R75C32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5" s="3"/>
      </tp>
      <tp>
        <v>-1681</v>
        <stp/>
        <stp>##V3_BDHV12</stp>
        <stp>XOM US Equity</stp>
        <stp>PROC_FR_REPAYMNTS_BOR_DETAILED</stp>
        <stp>FQ2 2017</stp>
        <stp>FQ2 2017</stp>
        <stp>[FA1_m42y3cpi.xlsx]Cash Flow - Standardized!R40C38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0" s="4"/>
      </tp>
      <tp>
        <v>-588</v>
        <stp/>
        <stp>##V3_BDHV12</stp>
        <stp>XOM US Equity</stp>
        <stp>OTHER_NON_CASH_ADJ_LESS_DETAILED</stp>
        <stp>FQ4 2010</stp>
        <stp>FQ4 2010</stp>
        <stp>[FA1_m42y3cpi.xlsx]Cash Flow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4"/>
      </tp>
      <tp>
        <v>0</v>
        <stp/>
        <stp>##V3_BDHV12</stp>
        <stp>XOM US Equity</stp>
        <stp>CF_NET_CASH_DISCONTINUED_OPS_INV</stp>
        <stp>FQ3 2017</stp>
        <stp>FQ3 2017</stp>
        <stp>[FA1_m42y3cpi.xlsx]Cash Flow - Standardized!R35C39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5" s="4"/>
      </tp>
      <tp>
        <v>0</v>
        <stp/>
        <stp>##V3_BDHV12</stp>
        <stp>XOM US Equity</stp>
        <stp>CF_CASH_FOR_JOINT_VENTURES_ASSOC</stp>
        <stp>FQ2 2017</stp>
        <stp>FQ2 2017</stp>
        <stp>[FA1_m42y3cpi.xlsx]Cash Flow - Standardized!R33C38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3" s="4"/>
      </tp>
      <tp>
        <v>-1103</v>
        <stp/>
        <stp>##V3_BDHV12</stp>
        <stp>XOM US Equity</stp>
        <stp>INCOME_LOSS_FROM_AFFILIATES</stp>
        <stp>FQ3 2016</stp>
        <stp>FQ3 2016</stp>
        <stp>[FA1_m42y3cpi.xlsx]Income - Adjusted!R22C35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2" s="2"/>
      </tp>
      <tp>
        <v>-3211</v>
        <stp/>
        <stp>##V3_BDHV12</stp>
        <stp>XOM US Equity</stp>
        <stp>INCOME_LOSS_FROM_AFFILIATES</stp>
        <stp>FQ3 2014</stp>
        <stp>FQ3 2014</stp>
        <stp>[FA1_m42y3cpi.xlsx]Income - Adjusted!R22C27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2" s="2"/>
      </tp>
      <tp>
        <v>14774</v>
        <stp/>
        <stp>##V3_BDHV12</stp>
        <stp>XOM US Equity</stp>
        <stp>SHORT_TERM_DEBT_DETAILED</stp>
        <stp>FQ4 2013</stp>
        <stp>FQ4 2013</stp>
        <stp>[FA1_m42y3cpi.xlsx]Bal Sheet - Standardized!R48C24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8" s="3"/>
      </tp>
      <tp>
        <v>0</v>
        <stp/>
        <stp>##V3_BDHV12</stp>
        <stp>XOM US Equity</stp>
        <stp>CF_DISPOSAL_OF_INTANGIBLE_ASSETS</stp>
        <stp>FQ4 2012</stp>
        <stp>FQ4 2012</stp>
        <stp>[FA1_m42y3cpi.xlsx]Cash Flow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4"/>
      </tp>
      <tp>
        <v>330314</v>
        <stp/>
        <stp>##V3_BDHV12</stp>
        <stp>XOM US Equity</stp>
        <stp>TOT_LIAB_AND_EQY</stp>
        <stp>FQ4 2016</stp>
        <stp>FQ4 2016</stp>
        <stp>[FA1_m42y3cpi.xlsx]Bal Sheet - Standardized!R75C36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5" s="3"/>
      </tp>
      <tp>
        <v>442</v>
        <stp/>
        <stp>##V3_BDHV12</stp>
        <stp>XOM US Equity</stp>
        <stp>OTHER_NON_CASH_ADJ_LESS_DETAILED</stp>
        <stp>FQ4 2011</stp>
        <stp>FQ4 2011</stp>
        <stp>[FA1_m42y3cpi.xlsx]Cash Flow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4"/>
      </tp>
      <tp>
        <v>2513</v>
        <stp/>
        <stp>##V3_BDHV12</stp>
        <stp>XOM US Equity</stp>
        <stp>CF_DISPOSAL_OF_FIXED_PROD_ASSETS</stp>
        <stp>FQ1 2012</stp>
        <stp>FQ1 2012</stp>
        <stp>[FA1_m42y3cpi.xlsx]Cash Flow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4"/>
      </tp>
      <tp t="s">
        <v>—</v>
        <stp/>
        <stp>##V3_BDHV12</stp>
        <stp>XOM US Equity</stp>
        <stp>CF_DEF_INC_TAX</stp>
        <stp>FQ1 2014</stp>
        <stp>FQ1 2014</stp>
        <stp>[FA1_m42y3cpi.xlsx]Cash Flow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4"/>
      </tp>
      <tp>
        <v>491</v>
        <stp/>
        <stp>##V3_BDHV12</stp>
        <stp>XOM US Equity</stp>
        <stp>CF_DISPOSAL_OF_FIXED_PROD_ASSETS</stp>
        <stp>FQ3 2015</stp>
        <stp>FQ3 2015</stp>
        <stp>[FA1_m42y3cpi.xlsx]Cash Flow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4"/>
      </tp>
      <tp t="s">
        <v>—</v>
        <stp/>
        <stp>##V3_BDHV12</stp>
        <stp>XOM US Equity</stp>
        <stp>CF_DEF_INC_TAX</stp>
        <stp>FQ1 2013</stp>
        <stp>FQ1 2013</stp>
        <stp>[FA1_m42y3cpi.xlsx]Cash Flow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4"/>
      </tp>
      <tp>
        <v>0</v>
        <stp/>
        <stp>##V3_BDHV12</stp>
        <stp>XOM US Equity</stp>
        <stp>CF_INCR_INVEST</stp>
        <stp>FQ4 2016</stp>
        <stp>FQ4 2016</stp>
        <stp>[FA1_m42y3cpi.xlsx]Cash Flow - Standardized!R29C36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4"/>
      </tp>
      <tp>
        <v>0</v>
        <stp/>
        <stp>##V3_BDHV12</stp>
        <stp>XOM US Equity</stp>
        <stp>CF_DECR_INVEST</stp>
        <stp>FQ4 2016</stp>
        <stp>FQ4 2016</stp>
        <stp>[FA1_m42y3cpi.xlsx]Cash Flow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4"/>
      </tp>
      <tp t="s">
        <v>—</v>
        <stp/>
        <stp>##V3_BDHV12</stp>
        <stp>XOM US Equity</stp>
        <stp>CF_DEF_INC_TAX</stp>
        <stp>FQ2 2010</stp>
        <stp>FQ2 2010</stp>
        <stp>[FA1_m42y3cpi.xlsx]Cash Flow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4"/>
      </tp>
      <tp>
        <v>4085</v>
        <stp/>
        <stp>##V3_BDHV12</stp>
        <stp>XOM US Equity</stp>
        <stp>NI_INCLUDING_MINORITY_INT_RATIO</stp>
        <stp>FQ3 2017</stp>
        <stp>FQ3 2017</stp>
        <stp>[FA1_m42y3cpi.xlsx]Income - Adjusted!R38C39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38" s="2"/>
      </tp>
      <tp>
        <v>976</v>
        <stp/>
        <stp>##V3_BDHV12</stp>
        <stp>XOM US Equity</stp>
        <stp>CF_DISPOSAL_OF_FIXED_PROD_ASSETS</stp>
        <stp>FQ3 2016</stp>
        <stp>FQ3 2016</stp>
        <stp>[FA1_m42y3cpi.xlsx]Cash Flow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4"/>
      </tp>
      <tp>
        <v>2556</v>
        <stp/>
        <stp>##V3_BDHV12</stp>
        <stp>XOM US Equity</stp>
        <stp>CF_DISPOSAL_OF_FIXED_PROD_ASSETS</stp>
        <stp>FQ2 2014</stp>
        <stp>FQ2 2014</stp>
        <stp>[FA1_m42y3cpi.xlsx]Cash Flow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4"/>
      </tp>
      <tp>
        <v>0</v>
        <stp/>
        <stp>##V3_BDHV12</stp>
        <stp>XOM US Equity</stp>
        <stp>CF_INCR_INVEST</stp>
        <stp>FQ4 2015</stp>
        <stp>FQ4 2015</stp>
        <stp>[FA1_m42y3cpi.xlsx]Cash Flow - Standardized!R29C32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4"/>
      </tp>
      <tp>
        <v>0</v>
        <stp/>
        <stp>##V3_BDHV12</stp>
        <stp>XOM US Equity</stp>
        <stp>CF_DECR_INVEST</stp>
        <stp>FQ4 2015</stp>
        <stp>FQ4 2015</stp>
        <stp>[FA1_m42y3cpi.xlsx]Cash Flow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4"/>
      </tp>
      <tp>
        <v>1408</v>
        <stp/>
        <stp>##V3_BDHV12</stp>
        <stp>XOM US Equity</stp>
        <stp>CF_DISPOSAL_OF_FIXED_PROD_ASSETS</stp>
        <stp>FQ4 2017</stp>
        <stp>FQ4 2017</stp>
        <stp>[FA1_m42y3cpi.xlsx]Cash Flow - Standardized!R22C40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4"/>
      </tp>
      <tp>
        <v>305</v>
        <stp/>
        <stp>##V3_BDHV12</stp>
        <stp>XOM US Equity</stp>
        <stp>CF_DISPOSAL_OF_FIXED_PROD_ASSETS</stp>
        <stp>FQ2 2013</stp>
        <stp>FQ2 2013</stp>
        <stp>[FA1_m42y3cpi.xlsx]Cash Flow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4"/>
      </tp>
      <tp>
        <v>1341</v>
        <stp/>
        <stp>##V3_BDHV12</stp>
        <stp>XOM US Equity</stp>
        <stp>CF_DISPOSAL_OF_FIXED_PROD_ASSETS</stp>
        <stp>FQ1 2011</stp>
        <stp>FQ1 2011</stp>
        <stp>[FA1_m42y3cpi.xlsx]Cash Flow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4"/>
      </tp>
      <tp t="s">
        <v>—</v>
        <stp/>
        <stp>##V3_BDHV12</stp>
        <stp>XOM US Equity</stp>
        <stp>CF_DEF_INC_TAX</stp>
        <stp>FQ2 2011</stp>
        <stp>FQ2 2011</stp>
        <stp>[FA1_m42y3cpi.xlsx]Cash Flow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4"/>
      </tp>
      <tp>
        <v>854</v>
        <stp/>
        <stp>##V3_BDHV12</stp>
        <stp>XOM US Equity</stp>
        <stp>CF_DISPOSAL_OF_FIXED_PROD_ASSETS</stp>
        <stp>FQ3 2017</stp>
        <stp>FQ3 2017</stp>
        <stp>[FA1_m42y3cpi.xlsx]Cash Flow - Standardized!R22C39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4"/>
      </tp>
      <tp t="s">
        <v>—</v>
        <stp/>
        <stp>##V3_BDHV12</stp>
        <stp>XOM US Equity</stp>
        <stp>IS_OTHER_ONE_TIME_ITEMS</stp>
        <stp>FQ4 2011</stp>
        <stp>FQ4 2011</stp>
        <stp>[FA1_m42y3cpi.xlsx]Income - Adjusted!R31C16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2"/>
      </tp>
      <tp t="s">
        <v>—</v>
        <stp/>
        <stp>##V3_BDHV12</stp>
        <stp>XOM US Equity</stp>
        <stp>CF_DEF_INC_TAX</stp>
        <stp>FQ2 2012</stp>
        <stp>FQ2 2012</stp>
        <stp>[FA1_m42y3cpi.xlsx]Cash Flow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4"/>
      </tp>
      <tp t="s">
        <v>—</v>
        <stp/>
        <stp>##V3_BDHV12</stp>
        <stp>XOM US Equity</stp>
        <stp>IS_OTHER_ONE_TIME_ITEMS</stp>
        <stp>FQ1 2016</stp>
        <stp>FQ1 2016</stp>
        <stp>[FA1_m42y3cpi.xlsx]Income - Adjusted!R31C33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2"/>
      </tp>
      <tp t="s">
        <v>—</v>
        <stp/>
        <stp>##V3_BDHV12</stp>
        <stp>XOM US Equity</stp>
        <stp>IS_OTHER_ONE_TIME_ITEMS</stp>
        <stp>FQ2 2015</stp>
        <stp>FQ2 2015</stp>
        <stp>[FA1_m42y3cpi.xlsx]Income - Adjusted!R31C30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2"/>
      </tp>
      <tp t="s">
        <v>—</v>
        <stp/>
        <stp>##V3_BDHV12</stp>
        <stp>XOM US Equity</stp>
        <stp>CF_DEF_INC_TAX</stp>
        <stp>FQ1 2015</stp>
        <stp>FQ1 2015</stp>
        <stp>[FA1_m42y3cpi.xlsx]Cash Flow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4"/>
      </tp>
      <tp t="s">
        <v>—</v>
        <stp/>
        <stp>##V3_BDHV12</stp>
        <stp>XOM US Equity</stp>
        <stp>IS_OTHER_ONE_TIME_ITEMS</stp>
        <stp>FQ4 2012</stp>
        <stp>FQ4 2012</stp>
        <stp>[FA1_m42y3cpi.xlsx]Income - Adjusted!R31C20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2"/>
      </tp>
      <tp t="s">
        <v>—</v>
        <stp/>
        <stp>##V3_BDHV12</stp>
        <stp>XOM US Equity</stp>
        <stp>IS_OTHER_ONE_TIME_ITEMS</stp>
        <stp>FQ2 2014</stp>
        <stp>FQ2 2014</stp>
        <stp>[FA1_m42y3cpi.xlsx]Income - Adjusted!R31C26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2"/>
      </tp>
      <tp>
        <v>-2910</v>
        <stp/>
        <stp>##V3_BDHV12</stp>
        <stp>XOM US Equity</stp>
        <stp>CF_DVD_PAID</stp>
        <stp>FQ1 2015</stp>
        <stp>FQ1 2015</stp>
        <stp>[FA1_m42y3cpi.xlsx]Cash Flow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4"/>
      </tp>
      <tp>
        <v>-2657</v>
        <stp/>
        <stp>##V3_BDHV12</stp>
        <stp>XOM US Equity</stp>
        <stp>CF_DVD_PAID</stp>
        <stp>FQ2 2012</stp>
        <stp>FQ2 2012</stp>
        <stp>[FA1_m42y3cpi.xlsx]Cash Flow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4"/>
      </tp>
      <tp>
        <v>-2308</v>
        <stp/>
        <stp>##V3_BDHV12</stp>
        <stp>XOM US Equity</stp>
        <stp>CF_DVD_PAID</stp>
        <stp>FQ2 2011</stp>
        <stp>FQ2 2011</stp>
        <stp>[FA1_m42y3cpi.xlsx]Cash Flow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4"/>
      </tp>
      <tp>
        <v>-2732</v>
        <stp/>
        <stp>##V3_BDHV12</stp>
        <stp>XOM US Equity</stp>
        <stp>CF_DVD_PAID</stp>
        <stp>FQ1 2014</stp>
        <stp>FQ1 2014</stp>
        <stp>[FA1_m42y3cpi.xlsx]Cash Flow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4"/>
      </tp>
      <tp>
        <v>-2561</v>
        <stp/>
        <stp>##V3_BDHV12</stp>
        <stp>XOM US Equity</stp>
        <stp>CF_DVD_PAID</stp>
        <stp>FQ1 2013</stp>
        <stp>FQ1 2013</stp>
        <stp>[FA1_m42y3cpi.xlsx]Cash Flow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4"/>
      </tp>
      <tp>
        <v>-2066</v>
        <stp/>
        <stp>##V3_BDHV12</stp>
        <stp>XOM US Equity</stp>
        <stp>CF_DVD_PAID</stp>
        <stp>FQ2 2010</stp>
        <stp>FQ2 2010</stp>
        <stp>[FA1_m42y3cpi.xlsx]Cash Flow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4"/>
      </tp>
      <tp>
        <v>36</v>
        <stp/>
        <stp>##V3_BDHV12</stp>
        <stp>XOM US Equity</stp>
        <stp>CF_EFFECT_FOREIGN_EXCHANGES</stp>
        <stp>FQ4 2010</stp>
        <stp>FQ4 2010</stp>
        <stp>[FA1_m42y3cpi.xlsx]Cash Flow - Standardized!R51C12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1" s="4"/>
      </tp>
      <tp>
        <v>-52</v>
        <stp/>
        <stp>##V3_BDHV12</stp>
        <stp>XOM US Equity</stp>
        <stp>CF_EFFECT_FOREIGN_EXCHANGES</stp>
        <stp>FQ4 2011</stp>
        <stp>FQ4 2011</stp>
        <stp>[FA1_m42y3cpi.xlsx]Cash Flow - Standardized!R51C16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1" s="4"/>
      </tp>
      <tp>
        <v>68.72</v>
        <stp/>
        <stp>##V3_BDHV12</stp>
        <stp>XOM US Equity</stp>
        <stp>PX_OPEN</stp>
        <stp>FQ1 2010</stp>
        <stp>FQ1 2010</stp>
        <stp>[FA1_m42y3cpi.xlsx]Stock Value!R8C9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6"/>
      </tp>
      <tp>
        <v>23.955100000000002</v>
        <stp/>
        <stp>##V3_BDHV12</stp>
        <stp>XOM US Equity</stp>
        <stp>BOOK_VAL_PER_SH</stp>
        <stp>FQ1 2010</stp>
        <stp>FQ1 2010</stp>
        <stp>[FA1_m42y3cpi.xlsx]Per Share!R26C9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6" s="5"/>
      </tp>
      <tp>
        <v>0.78</v>
        <stp/>
        <stp>##V3_BDHV12</stp>
        <stp>XOM US Equity</stp>
        <stp>IS_EARN_BEF_XO_ITEMS_PER_SH</stp>
        <stp>FQ2 2017</stp>
        <stp>FQ2 2017</stp>
        <stp>[FA1_m42y3cpi.xlsx]Per Share!R15C38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5" s="5"/>
      </tp>
      <tp>
        <v>30</v>
        <stp/>
        <stp>##V3_BDHV12</stp>
        <stp>XOM US Equity</stp>
        <stp>CF_EFFECT_FOREIGN_EXCHANGES</stp>
        <stp>FQ1 2018</stp>
        <stp>FQ1 2018</stp>
        <stp>[FA1_m42y3cpi.xlsx]Cash Flow - Standardized!R51C41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1" s="4"/>
      </tp>
      <tp t="s">
        <v>—</v>
        <stp/>
        <stp>##V3_BDHV12</stp>
        <stp>XOM US Equity</stp>
        <stp>BS_OPTIONS_GRANTED</stp>
        <stp>FQ2 2011</stp>
        <stp>FQ2 2011</stp>
        <stp>[FA1_m42y3cpi.xlsx]Bal Sheet - Standardized!R84C14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4" s="3"/>
      </tp>
      <tp t="s">
        <v>—</v>
        <stp/>
        <stp>##V3_BDHV12</stp>
        <stp>XOM US Equity</stp>
        <stp>BS_OPTIONS_GRANTED</stp>
        <stp>FQ3 2011</stp>
        <stp>FQ3 2011</stp>
        <stp>[FA1_m42y3cpi.xlsx]Bal Sheet - Standardized!R84C15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4" s="3"/>
      </tp>
      <tp t="s">
        <v>—</v>
        <stp/>
        <stp>##V3_BDHV12</stp>
        <stp>XOM US Equity</stp>
        <stp>BS_OPTIONS_GRANTED</stp>
        <stp>FQ2 2015</stp>
        <stp>FQ2 2015</stp>
        <stp>[FA1_m42y3cpi.xlsx]Bal Sheet - Standardized!R84C30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4" s="3"/>
      </tp>
      <tp t="s">
        <v>—</v>
        <stp/>
        <stp>##V3_BDHV12</stp>
        <stp>XOM US Equity</stp>
        <stp>BS_OPTIONS_GRANTED</stp>
        <stp>FQ3 2015</stp>
        <stp>FQ3 2015</stp>
        <stp>[FA1_m42y3cpi.xlsx]Bal Sheet - Standardized!R84C31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4" s="3"/>
      </tp>
      <tp>
        <v>1.44</v>
        <stp/>
        <stp>##V3_BDHV12</stp>
        <stp>XOM US Equity</stp>
        <stp>IS_DIL_EPS_BEF_XO</stp>
        <stp>FQ3 2010</stp>
        <stp>FQ3 2010</stp>
        <stp>[FA1_m42y3cpi.xlsx]Per Share!R18C11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8" s="5"/>
      </tp>
      <tp>
        <v>1.55</v>
        <stp/>
        <stp>##V3_BDHV12</stp>
        <stp>XOM US Equity</stp>
        <stp>IS_DIL_EPS_BEF_XO</stp>
        <stp>FQ2 2013</stp>
        <stp>FQ2 2013</stp>
        <stp>[FA1_m42y3cpi.xlsx]Per Share!R18C22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8" s="5"/>
      </tp>
      <tp>
        <v>2.1</v>
        <stp/>
        <stp>##V3_BDHV12</stp>
        <stp>XOM US Equity</stp>
        <stp>IS_DIL_EPS_BEF_XO</stp>
        <stp>FQ1 2014</stp>
        <stp>FQ1 2014</stp>
        <stp>[FA1_m42y3cpi.xlsx]Per Share!R18C25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8" s="5"/>
      </tp>
      <tp>
        <v>1</v>
        <stp/>
        <stp>##V3_BDHV12</stp>
        <stp>XOM US Equity</stp>
        <stp>IS_DIL_EPS_CONT_OPS</stp>
        <stp>FQ2 2015</stp>
        <stp>FQ2 2015</stp>
        <stp>[FA1_m42y3cpi.xlsx]Income - Adjusted!R57C30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7" s="2"/>
      </tp>
      <tp>
        <v>2.1800000000000002</v>
        <stp/>
        <stp>##V3_BDHV12</stp>
        <stp>XOM US Equity</stp>
        <stp>IS_DIL_EPS_CONT_OPS</stp>
        <stp>FQ2 2011</stp>
        <stp>FQ2 2011</stp>
        <stp>[FA1_m42y3cpi.xlsx]Income - Adjusted!R57C14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7" s="2"/>
      </tp>
      <tp>
        <v>0.43</v>
        <stp/>
        <stp>##V3_BDHV12</stp>
        <stp>XOM US Equity</stp>
        <stp>IS_DIL_EPS_CONT_OPS</stp>
        <stp>FQ1 2016</stp>
        <stp>FQ1 2016</stp>
        <stp>[FA1_m42y3cpi.xlsx]Income - Adjusted!R57C33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7" s="2"/>
      </tp>
      <tp>
        <v>2</v>
        <stp/>
        <stp>##V3_BDHV12</stp>
        <stp>XOM US Equity</stp>
        <stp>IS_DIL_EPS_CONT_OPS</stp>
        <stp>FQ1 2012</stp>
        <stp>FQ1 2012</stp>
        <stp>[FA1_m42y3cpi.xlsx]Income - Adjusted!R57C17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7" s="2"/>
      </tp>
      <tp>
        <v>-1639</v>
        <stp/>
        <stp>##V3_BDHV12</stp>
        <stp>XOM US Equity</stp>
        <stp>IS_NONOP_INCOME_LOSS</stp>
        <stp>FQ3 2017</stp>
        <stp>FQ3 2017</stp>
        <stp>[FA1_m42y3cpi.xlsx]Income - Adjusted!R17C39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7" s="2"/>
      </tp>
      <tp>
        <v>1.9100000000000001</v>
        <stp/>
        <stp>##V3_BDHV12</stp>
        <stp>XOM US Equity</stp>
        <stp>IS_EPS</stp>
        <stp>FQ4 2013</stp>
        <stp>FQ4 2013</stp>
        <stp>[FA1_m42y3cpi.xlsx]Income - Adjusted!R50C24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50" s="2"/>
      </tp>
      <tp>
        <v>1.8599999999999999</v>
        <stp/>
        <stp>##V3_BDHV12</stp>
        <stp>XOM US Equity</stp>
        <stp>IS_EPS</stp>
        <stp>FQ4 2010</stp>
        <stp>FQ4 2010</stp>
        <stp>[FA1_m42y3cpi.xlsx]Income - Adjusted!R50C12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50" s="2"/>
      </tp>
      <tp>
        <v>1.97</v>
        <stp/>
        <stp>##V3_BDHV12</stp>
        <stp>XOM US Equity</stp>
        <stp>IS_EPS</stp>
        <stp>FQ4 2011</stp>
        <stp>FQ4 2011</stp>
        <stp>[FA1_m42y3cpi.xlsx]Income - Adjusted!R50C16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50" s="2"/>
      </tp>
      <tp>
        <v>2.2000000000000002</v>
        <stp/>
        <stp>##V3_BDHV12</stp>
        <stp>XOM US Equity</stp>
        <stp>IS_EPS</stp>
        <stp>FQ4 2012</stp>
        <stp>FQ4 2012</stp>
        <stp>[FA1_m42y3cpi.xlsx]Income - Adjusted!R50C20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50" s="2"/>
      </tp>
      <tp>
        <v>1.97</v>
        <stp/>
        <stp>##V3_BDHV12</stp>
        <stp>XOM US Equity</stp>
        <stp>IS_EPS</stp>
        <stp>FQ4 2017</stp>
        <stp>FQ4 2017</stp>
        <stp>[FA1_m42y3cpi.xlsx]Income - Adjusted!R50C40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50" s="2"/>
      </tp>
      <tp>
        <v>0.41</v>
        <stp/>
        <stp>##V3_BDHV12</stp>
        <stp>XOM US Equity</stp>
        <stp>IS_EPS</stp>
        <stp>FQ4 2016</stp>
        <stp>FQ4 2016</stp>
        <stp>[FA1_m42y3cpi.xlsx]Income - Adjusted!R50C36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50" s="2"/>
      </tp>
      <tp>
        <v>1.56</v>
        <stp/>
        <stp>##V3_BDHV12</stp>
        <stp>XOM US Equity</stp>
        <stp>IS_EPS</stp>
        <stp>FQ4 2014</stp>
        <stp>FQ4 2014</stp>
        <stp>[FA1_m42y3cpi.xlsx]Income - Adjusted!R50C28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50" s="2"/>
      </tp>
      <tp>
        <v>0.67</v>
        <stp/>
        <stp>##V3_BDHV12</stp>
        <stp>XOM US Equity</stp>
        <stp>IS_EPS</stp>
        <stp>FQ4 2015</stp>
        <stp>FQ4 2015</stp>
        <stp>[FA1_m42y3cpi.xlsx]Income - Adjusted!R50C32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50" s="2"/>
      </tp>
      <tp>
        <v>0.92</v>
        <stp/>
        <stp>##V3_BDHV12</stp>
        <stp>XOM US Equity</stp>
        <stp>IS_EPS</stp>
        <stp>FQ2 2018</stp>
        <stp>FQ2 2018</stp>
        <stp>[FA1_m42y3cpi.xlsx]Income - Adjusted!R50C42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50" s="2"/>
      </tp>
      <tp>
        <v>1</v>
        <stp/>
        <stp>##V3_BDHV12</stp>
        <stp>XOM US Equity</stp>
        <stp>IS_EPS</stp>
        <stp>FQ2 2015</stp>
        <stp>FQ2 2015</stp>
        <stp>[FA1_m42y3cpi.xlsx]Income - Adjusted!R50C30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50" s="2"/>
      </tp>
      <tp>
        <v>2.0499999999999998</v>
        <stp/>
        <stp>##V3_BDHV12</stp>
        <stp>XOM US Equity</stp>
        <stp>IS_EPS</stp>
        <stp>FQ2 2014</stp>
        <stp>FQ2 2014</stp>
        <stp>[FA1_m42y3cpi.xlsx]Income - Adjusted!R50C26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50" s="2"/>
      </tp>
      <tp>
        <v>0.41</v>
        <stp/>
        <stp>##V3_BDHV12</stp>
        <stp>XOM US Equity</stp>
        <stp>IS_EPS</stp>
        <stp>FQ2 2016</stp>
        <stp>FQ2 2016</stp>
        <stp>[FA1_m42y3cpi.xlsx]Income - Adjusted!R50C34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50" s="2"/>
      </tp>
      <tp>
        <v>0.78</v>
        <stp/>
        <stp>##V3_BDHV12</stp>
        <stp>XOM US Equity</stp>
        <stp>IS_EPS</stp>
        <stp>FQ2 2017</stp>
        <stp>FQ2 2017</stp>
        <stp>[FA1_m42y3cpi.xlsx]Income - Adjusted!R50C38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50" s="2"/>
      </tp>
      <tp>
        <v>3.41</v>
        <stp/>
        <stp>##V3_BDHV12</stp>
        <stp>XOM US Equity</stp>
        <stp>IS_EPS</stp>
        <stp>FQ2 2012</stp>
        <stp>FQ2 2012</stp>
        <stp>[FA1_m42y3cpi.xlsx]Income - Adjusted!R50C18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50" s="2"/>
      </tp>
      <tp>
        <v>1.6099999999999999</v>
        <stp/>
        <stp>##V3_BDHV12</stp>
        <stp>XOM US Equity</stp>
        <stp>IS_EPS</stp>
        <stp>FQ2 2010</stp>
        <stp>FQ2 2010</stp>
        <stp>[FA1_m42y3cpi.xlsx]Income - Adjusted!R50C10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50" s="2"/>
      </tp>
      <tp>
        <v>1.55</v>
        <stp/>
        <stp>##V3_BDHV12</stp>
        <stp>XOM US Equity</stp>
        <stp>IS_EPS</stp>
        <stp>FQ2 2013</stp>
        <stp>FQ2 2013</stp>
        <stp>[FA1_m42y3cpi.xlsx]Income - Adjusted!R50C22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50" s="2"/>
      </tp>
      <tp>
        <v>2.19</v>
        <stp/>
        <stp>##V3_BDHV12</stp>
        <stp>XOM US Equity</stp>
        <stp>IS_EPS</stp>
        <stp>FQ2 2011</stp>
        <stp>FQ2 2011</stp>
        <stp>[FA1_m42y3cpi.xlsx]Income - Adjusted!R50C14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50" s="2"/>
      </tp>
      <tp>
        <v>1.01</v>
        <stp/>
        <stp>##V3_BDHV12</stp>
        <stp>XOM US Equity</stp>
        <stp>IS_EPS</stp>
        <stp>FQ3 2015</stp>
        <stp>FQ3 2015</stp>
        <stp>[FA1_m42y3cpi.xlsx]Income - Adjusted!R50C31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50" s="2"/>
      </tp>
      <tp>
        <v>1.8900000000000001</v>
        <stp/>
        <stp>##V3_BDHV12</stp>
        <stp>XOM US Equity</stp>
        <stp>IS_EPS</stp>
        <stp>FQ3 2014</stp>
        <stp>FQ3 2014</stp>
        <stp>[FA1_m42y3cpi.xlsx]Income - Adjusted!R50C27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50" s="2"/>
      </tp>
      <tp>
        <v>0.93</v>
        <stp/>
        <stp>##V3_BDHV12</stp>
        <stp>XOM US Equity</stp>
        <stp>IS_EPS</stp>
        <stp>FQ3 2017</stp>
        <stp>FQ3 2017</stp>
        <stp>[FA1_m42y3cpi.xlsx]Income - Adjusted!R50C39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50" s="2"/>
      </tp>
      <tp>
        <v>0.63</v>
        <stp/>
        <stp>##V3_BDHV12</stp>
        <stp>XOM US Equity</stp>
        <stp>IS_EPS</stp>
        <stp>FQ3 2016</stp>
        <stp>FQ3 2016</stp>
        <stp>[FA1_m42y3cpi.xlsx]Income - Adjusted!R50C35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50" s="2"/>
      </tp>
      <tp>
        <v>2.09</v>
        <stp/>
        <stp>##V3_BDHV12</stp>
        <stp>XOM US Equity</stp>
        <stp>IS_EPS</stp>
        <stp>FQ3 2012</stp>
        <stp>FQ3 2012</stp>
        <stp>[FA1_m42y3cpi.xlsx]Income - Adjusted!R50C19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50" s="2"/>
      </tp>
      <tp>
        <v>2.13</v>
        <stp/>
        <stp>##V3_BDHV12</stp>
        <stp>XOM US Equity</stp>
        <stp>IS_EPS</stp>
        <stp>FQ3 2011</stp>
        <stp>FQ3 2011</stp>
        <stp>[FA1_m42y3cpi.xlsx]Income - Adjusted!R50C15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50" s="2"/>
      </tp>
      <tp>
        <v>1.79</v>
        <stp/>
        <stp>##V3_BDHV12</stp>
        <stp>XOM US Equity</stp>
        <stp>IS_EPS</stp>
        <stp>FQ3 2013</stp>
        <stp>FQ3 2013</stp>
        <stp>[FA1_m42y3cpi.xlsx]Income - Adjusted!R50C23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50" s="2"/>
      </tp>
      <tp>
        <v>1.44</v>
        <stp/>
        <stp>##V3_BDHV12</stp>
        <stp>XOM US Equity</stp>
        <stp>IS_EPS</stp>
        <stp>FQ3 2010</stp>
        <stp>FQ3 2010</stp>
        <stp>[FA1_m42y3cpi.xlsx]Income - Adjusted!R50C11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50" s="2"/>
      </tp>
      <tp>
        <v>1.0900000000000001</v>
        <stp/>
        <stp>##V3_BDHV12</stp>
        <stp>XOM US Equity</stp>
        <stp>IS_EPS</stp>
        <stp>FQ1 2018</stp>
        <stp>FQ1 2018</stp>
        <stp>[FA1_m42y3cpi.xlsx]Income - Adjusted!R50C41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50" s="2"/>
      </tp>
      <tp>
        <v>0.95</v>
        <stp/>
        <stp>##V3_BDHV12</stp>
        <stp>XOM US Equity</stp>
        <stp>IS_EPS</stp>
        <stp>FQ1 2017</stp>
        <stp>FQ1 2017</stp>
        <stp>[FA1_m42y3cpi.xlsx]Income - Adjusted!R50C37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50" s="2"/>
      </tp>
      <tp>
        <v>0.43</v>
        <stp/>
        <stp>##V3_BDHV12</stp>
        <stp>XOM US Equity</stp>
        <stp>IS_EPS</stp>
        <stp>FQ1 2016</stp>
        <stp>FQ1 2016</stp>
        <stp>[FA1_m42y3cpi.xlsx]Income - Adjusted!R50C33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50" s="2"/>
      </tp>
      <tp>
        <v>2.1</v>
        <stp/>
        <stp>##V3_BDHV12</stp>
        <stp>XOM US Equity</stp>
        <stp>IS_EPS</stp>
        <stp>FQ1 2014</stp>
        <stp>FQ1 2014</stp>
        <stp>[FA1_m42y3cpi.xlsx]Income - Adjusted!R50C25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50" s="2"/>
      </tp>
      <tp>
        <v>1.17</v>
        <stp/>
        <stp>##V3_BDHV12</stp>
        <stp>XOM US Equity</stp>
        <stp>IS_EPS</stp>
        <stp>FQ1 2015</stp>
        <stp>FQ1 2015</stp>
        <stp>[FA1_m42y3cpi.xlsx]Income - Adjusted!R50C29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50" s="2"/>
      </tp>
      <tp>
        <v>2.14</v>
        <stp/>
        <stp>##V3_BDHV12</stp>
        <stp>XOM US Equity</stp>
        <stp>IS_EPS</stp>
        <stp>FQ1 2011</stp>
        <stp>FQ1 2011</stp>
        <stp>[FA1_m42y3cpi.xlsx]Income - Adjusted!R50C13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50" s="2"/>
      </tp>
      <tp>
        <v>2.12</v>
        <stp/>
        <stp>##V3_BDHV12</stp>
        <stp>XOM US Equity</stp>
        <stp>IS_EPS</stp>
        <stp>FQ1 2013</stp>
        <stp>FQ1 2013</stp>
        <stp>[FA1_m42y3cpi.xlsx]Income - Adjusted!R50C21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50" s="2"/>
      </tp>
      <tp>
        <v>2</v>
        <stp/>
        <stp>##V3_BDHV12</stp>
        <stp>XOM US Equity</stp>
        <stp>IS_EPS</stp>
        <stp>FQ1 2012</stp>
        <stp>FQ1 2012</stp>
        <stp>[FA1_m42y3cpi.xlsx]Income - Adjusted!R50C17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50" s="2"/>
      </tp>
      <tp>
        <v>0</v>
        <stp/>
        <stp>##V3_BDHV12</stp>
        <stp>XOM US Equity</stp>
        <stp>IS_OTHER_OPER_INC</stp>
        <stp>FQ3 2015</stp>
        <stp>FQ3 2015</stp>
        <stp>[FA1_m42y3cpi.xlsx]Income - Adjusted!R12C31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2" s="2"/>
      </tp>
      <tp>
        <v>0</v>
        <stp/>
        <stp>##V3_BDHV12</stp>
        <stp>XOM US Equity</stp>
        <stp>IS_OTHER_OPER_INC</stp>
        <stp>FQ3 2011</stp>
        <stp>FQ3 2011</stp>
        <stp>[FA1_m42y3cpi.xlsx]Income - Adjusted!R12C15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2" s="2"/>
      </tp>
      <tp>
        <v>0</v>
        <stp/>
        <stp>##V3_BDHV12</stp>
        <stp>XOM US Equity</stp>
        <stp>IS_EXTRAORD_ITEMS_&amp;_ACCTG_CHNG</stp>
        <stp>FQ2 2012</stp>
        <stp>FQ2 2012</stp>
        <stp>[FA1_m42y3cpi.xlsx]Income - Adjusted!R37C18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7" s="2"/>
      </tp>
      <tp t="s">
        <v>—</v>
        <stp/>
        <stp>##V3_BDHV12</stp>
        <stp>XOM US Equity</stp>
        <stp>TANG_BOOK_VAL_PER_SH</stp>
        <stp>FQ1 2014</stp>
        <stp>FQ1 2014</stp>
        <stp>[FA1_m42y3cpi.xlsx]Per Share!R27C25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7" s="5"/>
      </tp>
      <tp t="s">
        <v>—</v>
        <stp/>
        <stp>##V3_BDHV12</stp>
        <stp>XOM US Equity</stp>
        <stp>TANG_BOOK_VAL_PER_SH</stp>
        <stp>FQ2 2013</stp>
        <stp>FQ2 2013</stp>
        <stp>[FA1_m42y3cpi.xlsx]Per Share!R27C22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7" s="5"/>
      </tp>
      <tp t="s">
        <v>—</v>
        <stp/>
        <stp>##V3_BDHV12</stp>
        <stp>XOM US Equity</stp>
        <stp>TANG_BOOK_VAL_PER_SH</stp>
        <stp>FQ3 2010</stp>
        <stp>FQ3 2010</stp>
        <stp>[FA1_m42y3cpi.xlsx]Per Share!R27C11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7" s="5"/>
      </tp>
      <tp>
        <v>0</v>
        <stp/>
        <stp>##V3_BDHV12</stp>
        <stp>XOM US Equity</stp>
        <stp>IS_EXTRAORD_ITEMS_&amp;_ACCTG_CHNG</stp>
        <stp>FQ4 2016</stp>
        <stp>FQ4 2016</stp>
        <stp>[FA1_m42y3cpi.xlsx]Income - Adjusted!R37C36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7" s="2"/>
      </tp>
      <tp>
        <v>0</v>
        <stp/>
        <stp>##V3_BDHV12</stp>
        <stp>XOM US Equity</stp>
        <stp>IS_EXTRAORD_ITEMS_&amp;_ACCTG_CHNG</stp>
        <stp>FQ1 2011</stp>
        <stp>FQ1 2011</stp>
        <stp>[FA1_m42y3cpi.xlsx]Income - Adjusted!R37C13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7" s="2"/>
      </tp>
      <tp>
        <v>0</v>
        <stp/>
        <stp>##V3_BDHV12</stp>
        <stp>XOM US Equity</stp>
        <stp>BS_PFD_EQTY_&amp;_HYBRID_CPTL</stp>
        <stp>FQ1 2015</stp>
        <stp>FQ1 2015</stp>
        <stp>[FA1_m42y3cpi.xlsx]Bal Sheet - Standardized!R67C29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7" s="3"/>
      </tp>
      <tp>
        <v>9570</v>
        <stp/>
        <stp>##V3_BDHV12</stp>
        <stp>XOM US Equity</stp>
        <stp>EARN_FOR_COMMON</stp>
        <stp>FQ3 2012</stp>
        <stp>FQ3 2012</stp>
        <stp>[FA1_m42y3cpi.xlsx]Income - Adjusted!R43C19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43" s="2"/>
      </tp>
      <tp>
        <v>16</v>
        <stp/>
        <stp>##V3_BDHV12</stp>
        <stp>XOM US Equity</stp>
        <stp>PROC_FR_REPAYMNTS_BOR_DETAILED</stp>
        <stp>FQ4 2012</stp>
        <stp>FQ4 2012</stp>
        <stp>[FA1_m42y3cpi.xlsx]Cash Flow - Standardized!R40C20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0" s="4"/>
      </tp>
      <tp>
        <v>0</v>
        <stp/>
        <stp>##V3_BDHV12</stp>
        <stp>XOM US Equity</stp>
        <stp>CF_NET_CASH_DISCONTINUED_OPS_INV</stp>
        <stp>FQ4 2015</stp>
        <stp>FQ4 2015</stp>
        <stp>[FA1_m42y3cpi.xlsx]Cash Flow - Standardized!R35C32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4"/>
      </tp>
      <tp>
        <v>0</v>
        <stp/>
        <stp>##V3_BDHV12</stp>
        <stp>XOM US Equity</stp>
        <stp>CF_CASH_FOR_JOINT_VENTURES_ASSOC</stp>
        <stp>FQ4 2013</stp>
        <stp>FQ4 2013</stp>
        <stp>[FA1_m42y3cpi.xlsx]Cash Flow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4"/>
      </tp>
      <tp>
        <v>17185</v>
        <stp/>
        <stp>##V3_BDHV12</stp>
        <stp>XOM US Equity</stp>
        <stp>SHORT_TERM_DEBT_DETAILED</stp>
        <stp>FQ2 2017</stp>
        <stp>FQ2 2017</stp>
        <stp>[FA1_m42y3cpi.xlsx]Bal Sheet - Standardized!R48C38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8" s="3"/>
      </tp>
      <tp>
        <v>349427</v>
        <stp/>
        <stp>##V3_BDHV12</stp>
        <stp>XOM US Equity</stp>
        <stp>TOT_LIAB_AND_EQY</stp>
        <stp>FQ3 2017</stp>
        <stp>FQ3 2017</stp>
        <stp>[FA1_m42y3cpi.xlsx]Bal Sheet - Standardized!R75C39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5" s="3"/>
      </tp>
      <tp>
        <v>1915</v>
        <stp/>
        <stp>##V3_BDHV12</stp>
        <stp>XOM US Equity</stp>
        <stp>PROC_FR_REPAYMNTS_BOR_DETAILED</stp>
        <stp>FQ4 2013</stp>
        <stp>FQ4 2013</stp>
        <stp>[FA1_m42y3cpi.xlsx]Cash Flow - Standardized!R40C24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0" s="4"/>
      </tp>
      <tp>
        <v>124</v>
        <stp/>
        <stp>##V3_BDHV12</stp>
        <stp>XOM US Equity</stp>
        <stp>OTHER_NON_CASH_ADJ_LESS_DETAILED</stp>
        <stp>FQ3 2012</stp>
        <stp>FQ3 2012</stp>
        <stp>[FA1_m42y3cpi.xlsx]Cash Flow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4"/>
      </tp>
      <tp>
        <v>0</v>
        <stp/>
        <stp>##V3_BDHV12</stp>
        <stp>XOM US Equity</stp>
        <stp>CF_NET_CASH_DISCONTINUED_OPS_INV</stp>
        <stp>FQ4 2016</stp>
        <stp>FQ4 2016</stp>
        <stp>[FA1_m42y3cpi.xlsx]Cash Flow - Standardized!R35C36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4"/>
      </tp>
      <tp>
        <v>0</v>
        <stp/>
        <stp>##V3_BDHV12</stp>
        <stp>XOM US Equity</stp>
        <stp>BS_PFD_EQTY_&amp;_HYBRID_CPTL</stp>
        <stp>FQ2 2012</stp>
        <stp>FQ2 2012</stp>
        <stp>[FA1_m42y3cpi.xlsx]Bal Sheet - Standardized!R67C18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7" s="3"/>
      </tp>
      <tp>
        <v>0</v>
        <stp/>
        <stp>##V3_BDHV12</stp>
        <stp>XOM US Equity</stp>
        <stp>CF_DISPOSAL_OF_INTANGIBLE_ASSETS</stp>
        <stp>FQ2 2017</stp>
        <stp>FQ2 2017</stp>
        <stp>[FA1_m42y3cpi.xlsx]Cash Flow - Standardized!R23C38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4"/>
      </tp>
      <tp>
        <v>0</v>
        <stp/>
        <stp>##V3_BDHV12</stp>
        <stp>XOM US Equity</stp>
        <stp>CF_CASH_FOR_JOINT_VENTURES_ASSOC</stp>
        <stp>FQ4 2012</stp>
        <stp>FQ4 2012</stp>
        <stp>[FA1_m42y3cpi.xlsx]Cash Flow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4"/>
      </tp>
      <tp>
        <v>0</v>
        <stp/>
        <stp>##V3_BDHV12</stp>
        <stp>XOM US Equity</stp>
        <stp>CF_DISPOSAL_OF_INTANGIBLE_ASSETS</stp>
        <stp>FQ3 2013</stp>
        <stp>FQ3 2013</stp>
        <stp>[FA1_m42y3cpi.xlsx]Cash Flow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4"/>
      </tp>
      <tp>
        <v>14409</v>
        <stp/>
        <stp>##V3_BDHV12</stp>
        <stp>XOM US Equity</stp>
        <stp>SHORT_TERM_DEBT_DETAILED</stp>
        <stp>FQ2 2015</stp>
        <stp>FQ2 2015</stp>
        <stp>[FA1_m42y3cpi.xlsx]Bal Sheet - Standardized!R48C30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8" s="3"/>
      </tp>
      <tp>
        <v>-1364</v>
        <stp/>
        <stp>##V3_BDHV12</stp>
        <stp>XOM US Equity</stp>
        <stp>OTHER_NON_CASH_ADJ_LESS_DETAILED</stp>
        <stp>FQ1 2016</stp>
        <stp>FQ1 2016</stp>
        <stp>[FA1_m42y3cpi.xlsx]Cash Flow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4"/>
      </tp>
      <tp>
        <v>0</v>
        <stp/>
        <stp>##V3_BDHV12</stp>
        <stp>XOM US Equity</stp>
        <stp>CF_CASH_FOR_JOINT_VENTURES_ASSOC</stp>
        <stp>FQ2 2018</stp>
        <stp>FQ2 2018</stp>
        <stp>[FA1_m42y3cpi.xlsx]Cash Flow - Standardized!R33C42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3" s="4"/>
      </tp>
      <tp>
        <v>0</v>
        <stp/>
        <stp>##V3_BDHV12</stp>
        <stp>XOM US Equity</stp>
        <stp>CF_CASH_FOR_JOINT_VENTURES_ASSOC</stp>
        <stp>FQ4 2014</stp>
        <stp>FQ4 2014</stp>
        <stp>[FA1_m42y3cpi.xlsx]Cash Flow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4"/>
      </tp>
      <tp>
        <v>358586</v>
        <stp/>
        <stp>##V3_BDHV12</stp>
        <stp>XOM US Equity</stp>
        <stp>TOT_LIAB_AND_EQY</stp>
        <stp>FQ2 2014</stp>
        <stp>FQ2 2014</stp>
        <stp>[FA1_m42y3cpi.xlsx]Bal Sheet - Standardized!R75C26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5" s="3"/>
      </tp>
      <tp>
        <v>339386</v>
        <stp/>
        <stp>##V3_BDHV12</stp>
        <stp>XOM US Equity</stp>
        <stp>TOT_LIAB_AND_EQY</stp>
        <stp>FQ3 2016</stp>
        <stp>FQ3 2016</stp>
        <stp>[FA1_m42y3cpi.xlsx]Bal Sheet - Standardized!R75C35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5" s="3"/>
      </tp>
      <tp>
        <v>-423</v>
        <stp/>
        <stp>##V3_BDHV12</stp>
        <stp>XOM US Equity</stp>
        <stp>OTHER_NON_CASH_ADJ_LESS_DETAILED</stp>
        <stp>FQ3 2011</stp>
        <stp>FQ3 2011</stp>
        <stp>[FA1_m42y3cpi.xlsx]Cash Flow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4"/>
      </tp>
      <tp>
        <v>0</v>
        <stp/>
        <stp>##V3_BDHV12</stp>
        <stp>XOM US Equity</stp>
        <stp>BS_PFD_EQTY_&amp;_HYBRID_CPTL</stp>
        <stp>FQ2 2011</stp>
        <stp>FQ2 2011</stp>
        <stp>[FA1_m42y3cpi.xlsx]Bal Sheet - Standardized!R67C14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7" s="3"/>
      </tp>
      <tp>
        <v>319533</v>
        <stp/>
        <stp>##V3_BDHV12</stp>
        <stp>XOM US Equity</stp>
        <stp>TOT_LIAB_AND_EQY</stp>
        <stp>FQ1 2011</stp>
        <stp>FQ1 2011</stp>
        <stp>[FA1_m42y3cpi.xlsx]Bal Sheet - Standardized!R75C13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5" s="3"/>
      </tp>
      <tp>
        <v>341615</v>
        <stp/>
        <stp>##V3_BDHV12</stp>
        <stp>XOM US Equity</stp>
        <stp>TOT_LIAB_AND_EQY</stp>
        <stp>FQ2 2013</stp>
        <stp>FQ2 2013</stp>
        <stp>[FA1_m42y3cpi.xlsx]Bal Sheet - Standardized!R75C22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5" s="3"/>
      </tp>
      <tp>
        <v>348691</v>
        <stp/>
        <stp>##V3_BDHV12</stp>
        <stp>XOM US Equity</stp>
        <stp>TOT_LIAB_AND_EQY</stp>
        <stp>FQ4 2017</stp>
        <stp>FQ4 2017</stp>
        <stp>[FA1_m42y3cpi.xlsx]Bal Sheet - Standardized!R75C40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5" s="3"/>
      </tp>
      <tp>
        <v>0</v>
        <stp/>
        <stp>##V3_BDHV12</stp>
        <stp>XOM US Equity</stp>
        <stp>CF_DISPOSAL_OF_INTANGIBLE_ASSETS</stp>
        <stp>FQ2 2016</stp>
        <stp>FQ2 2016</stp>
        <stp>[FA1_m42y3cpi.xlsx]Cash Flow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4"/>
      </tp>
      <tp>
        <v>0</v>
        <stp/>
        <stp>##V3_BDHV12</stp>
        <stp>XOM US Equity</stp>
        <stp>CF_DISPOSAL_OF_INTANGIBLE_ASSETS</stp>
        <stp>FQ3 2014</stp>
        <stp>FQ3 2014</stp>
        <stp>[FA1_m42y3cpi.xlsx]Cash Flow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4"/>
      </tp>
      <tp>
        <v>-1149</v>
        <stp/>
        <stp>##V3_BDHV12</stp>
        <stp>XOM US Equity</stp>
        <stp>OTHER_NON_CASH_ADJ_LESS_DETAILED</stp>
        <stp>FQ1 2017</stp>
        <stp>FQ1 2017</stp>
        <stp>[FA1_m42y3cpi.xlsx]Cash Flow - Standardized!R12C37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4"/>
      </tp>
      <tp>
        <v>0</v>
        <stp/>
        <stp>##V3_BDHV12</stp>
        <stp>XOM US Equity</stp>
        <stp>CF_DISPOSAL_OF_INTANGIBLE_ASSETS</stp>
        <stp>FQ2 2015</stp>
        <stp>FQ2 2015</stp>
        <stp>[FA1_m42y3cpi.xlsx]Cash Flow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4"/>
      </tp>
      <tp>
        <v>-3915</v>
        <stp/>
        <stp>##V3_BDHV12</stp>
        <stp>XOM US Equity</stp>
        <stp>INCOME_LOSS_FROM_AFFILIATES</stp>
        <stp>FQ3 2011</stp>
        <stp>FQ3 2011</stp>
        <stp>[FA1_m42y3cpi.xlsx]Income - Adjusted!R22C15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2" s="2"/>
      </tp>
      <tp>
        <v>-1783</v>
        <stp/>
        <stp>##V3_BDHV12</stp>
        <stp>XOM US Equity</stp>
        <stp>INCOME_LOSS_FROM_AFFILIATES</stp>
        <stp>FQ3 2015</stp>
        <stp>FQ3 2015</stp>
        <stp>[FA1_m42y3cpi.xlsx]Income - Adjusted!R22C31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2" s="2"/>
      </tp>
      <tp>
        <v>13889</v>
        <stp/>
        <stp>##V3_BDHV12</stp>
        <stp>XOM US Equity</stp>
        <stp>SHORT_TERM_DEBT_DETAILED</stp>
        <stp>FQ3 2013</stp>
        <stp>FQ3 2013</stp>
        <stp>[FA1_m42y3cpi.xlsx]Bal Sheet - Standardized!R48C23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8" s="3"/>
      </tp>
      <tp>
        <v>0</v>
        <stp/>
        <stp>##V3_BDHV12</stp>
        <stp>XOM US Equity</stp>
        <stp>BS_PFD_EQTY_&amp;_HYBRID_CPTL</stp>
        <stp>FQ1 2014</stp>
        <stp>FQ1 2014</stp>
        <stp>[FA1_m42y3cpi.xlsx]Bal Sheet - Standardized!R67C25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7" s="3"/>
      </tp>
      <tp>
        <v>345152</v>
        <stp/>
        <stp>##V3_BDHV12</stp>
        <stp>XOM US Equity</stp>
        <stp>TOT_LIAB_AND_EQY</stp>
        <stp>FQ1 2012</stp>
        <stp>FQ1 2012</stp>
        <stp>[FA1_m42y3cpi.xlsx]Bal Sheet - Standardized!R75C17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5" s="3"/>
      </tp>
      <tp>
        <v>0</v>
        <stp/>
        <stp>##V3_BDHV12</stp>
        <stp>XOM US Equity</stp>
        <stp>BS_PFD_EQTY_&amp;_HYBRID_CPTL</stp>
        <stp>FQ1 2013</stp>
        <stp>FQ1 2013</stp>
        <stp>[FA1_m42y3cpi.xlsx]Bal Sheet - Standardized!R67C21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7" s="3"/>
      </tp>
      <tp>
        <v>340662</v>
        <stp/>
        <stp>##V3_BDHV12</stp>
        <stp>XOM US Equity</stp>
        <stp>TOT_LIAB_AND_EQY</stp>
        <stp>FQ3 2015</stp>
        <stp>FQ3 2015</stp>
        <stp>[FA1_m42y3cpi.xlsx]Bal Sheet - Standardized!R75C31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5" s="3"/>
      </tp>
      <tp>
        <v>229</v>
        <stp/>
        <stp>##V3_BDHV12</stp>
        <stp>XOM US Equity</stp>
        <stp>OTHER_NON_CASH_ADJ_LESS_DETAILED</stp>
        <stp>FQ3 2010</stp>
        <stp>FQ3 2010</stp>
        <stp>[FA1_m42y3cpi.xlsx]Cash Flow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4"/>
      </tp>
      <tp>
        <v>0</v>
        <stp/>
        <stp>##V3_BDHV12</stp>
        <stp>XOM US Equity</stp>
        <stp>BS_PFD_EQTY_&amp;_HYBRID_CPTL</stp>
        <stp>FQ2 2010</stp>
        <stp>FQ2 2010</stp>
        <stp>[FA1_m42y3cpi.xlsx]Bal Sheet - Standardized!R67C10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7" s="3"/>
      </tp>
      <tp>
        <v>14972</v>
        <stp/>
        <stp>##V3_BDHV12</stp>
        <stp>XOM US Equity</stp>
        <stp>SHORT_TERM_DEBT_DETAILED</stp>
        <stp>FQ2 2016</stp>
        <stp>FQ2 2016</stp>
        <stp>[FA1_m42y3cpi.xlsx]Bal Sheet - Standardized!R48C34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8" s="3"/>
      </tp>
      <tp>
        <v>10243</v>
        <stp/>
        <stp>##V3_BDHV12</stp>
        <stp>XOM US Equity</stp>
        <stp>SHORT_TERM_DEBT_DETAILED</stp>
        <stp>FQ3 2014</stp>
        <stp>FQ3 2014</stp>
        <stp>[FA1_m42y3cpi.xlsx]Bal Sheet - Standardized!R48C27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8" s="3"/>
      </tp>
      <tp>
        <v>7390</v>
        <stp/>
        <stp>##V3_BDHV12</stp>
        <stp>XOM US Equity</stp>
        <stp>PROC_FR_REPAYMNTS_BOR_DETAILED</stp>
        <stp>FQ4 2014</stp>
        <stp>FQ4 2014</stp>
        <stp>[FA1_m42y3cpi.xlsx]Cash Flow - Standardized!R40C28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0" s="4"/>
      </tp>
      <tp>
        <v>568</v>
        <stp/>
        <stp>##V3_BDHV12</stp>
        <stp>XOM US Equity</stp>
        <stp>PROC_FR_REPAYMNTS_BOR_DETAILED</stp>
        <stp>FQ2 2018</stp>
        <stp>FQ2 2018</stp>
        <stp>[FA1_m42y3cpi.xlsx]Cash Flow - Standardized!R40C42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0" s="4"/>
      </tp>
      <tp>
        <v>2093</v>
        <stp/>
        <stp>##V3_BDHV12</stp>
        <stp>XOM US Equity</stp>
        <stp>CF_DISPOSAL_OF_FIXED_PROD_ASSETS</stp>
        <stp>FQ4 2016</stp>
        <stp>FQ4 2016</stp>
        <stp>[FA1_m42y3cpi.xlsx]Cash Flow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4"/>
      </tp>
      <tp>
        <v>0</v>
        <stp/>
        <stp>##V3_BDHV12</stp>
        <stp>XOM US Equity</stp>
        <stp>CF_INCR_INVEST</stp>
        <stp>FQ3 2015</stp>
        <stp>FQ3 2015</stp>
        <stp>[FA1_m42y3cpi.xlsx]Cash Flow - Standardized!R29C31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4"/>
      </tp>
      <tp>
        <v>0</v>
        <stp/>
        <stp>##V3_BDHV12</stp>
        <stp>XOM US Equity</stp>
        <stp>CF_DECR_INVEST</stp>
        <stp>FQ3 2015</stp>
        <stp>FQ3 2015</stp>
        <stp>[FA1_m42y3cpi.xlsx]Cash Flow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4"/>
      </tp>
      <tp>
        <v>0</v>
        <stp/>
        <stp>##V3_BDHV12</stp>
        <stp>XOM US Equity</stp>
        <stp>CF_INCR_INVEST</stp>
        <stp>FQ1 2012</stp>
        <stp>FQ1 2012</stp>
        <stp>[FA1_m42y3cpi.xlsx]Cash Flow - Standardized!R29C17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4"/>
      </tp>
      <tp>
        <v>0</v>
        <stp/>
        <stp>##V3_BDHV12</stp>
        <stp>XOM US Equity</stp>
        <stp>CF_DECR_INVEST</stp>
        <stp>FQ1 2012</stp>
        <stp>FQ1 2012</stp>
        <stp>[FA1_m42y3cpi.xlsx]Cash Flow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4"/>
      </tp>
      <tp>
        <v>4783</v>
        <stp/>
        <stp>##V3_BDHV12</stp>
        <stp>XOM US Equity</stp>
        <stp>NI_INCLUDING_MINORITY_INT_RATIO</stp>
        <stp>FQ1 2018</stp>
        <stp>FQ1 2018</stp>
        <stp>[FA1_m42y3cpi.xlsx]Income - Adjusted!R38C41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38" s="2"/>
      </tp>
      <tp>
        <v>0</v>
        <stp/>
        <stp>##V3_BDHV12</stp>
        <stp>XOM US Equity</stp>
        <stp>CF_INCR_INVEST</stp>
        <stp>FQ1 2011</stp>
        <stp>FQ1 2011</stp>
        <stp>[FA1_m42y3cpi.xlsx]Cash Flow - Standardized!R29C13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4"/>
      </tp>
      <tp>
        <v>0</v>
        <stp/>
        <stp>##V3_BDHV12</stp>
        <stp>XOM US Equity</stp>
        <stp>CF_INCR_INVEST</stp>
        <stp>FQ2 2013</stp>
        <stp>FQ2 2013</stp>
        <stp>[FA1_m42y3cpi.xlsx]Cash Flow - Standardized!R29C22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4"/>
      </tp>
      <tp>
        <v>0</v>
        <stp/>
        <stp>##V3_BDHV12</stp>
        <stp>XOM US Equity</stp>
        <stp>CF_INCR_INVEST</stp>
        <stp>FQ4 2017</stp>
        <stp>FQ4 2017</stp>
        <stp>[FA1_m42y3cpi.xlsx]Cash Flow - Standardized!R29C40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9" s="4"/>
      </tp>
      <tp>
        <v>0</v>
        <stp/>
        <stp>##V3_BDHV12</stp>
        <stp>XOM US Equity</stp>
        <stp>CF_DECR_INVEST</stp>
        <stp>FQ4 2017</stp>
        <stp>FQ4 2017</stp>
        <stp>[FA1_m42y3cpi.xlsx]Cash Flow - Standardized!R28C40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4"/>
      </tp>
      <tp>
        <v>0</v>
        <stp/>
        <stp>##V3_BDHV12</stp>
        <stp>XOM US Equity</stp>
        <stp>CF_DECR_INVEST</stp>
        <stp>FQ1 2011</stp>
        <stp>FQ1 2011</stp>
        <stp>[FA1_m42y3cpi.xlsx]Cash Flow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4"/>
      </tp>
      <tp>
        <v>0</v>
        <stp/>
        <stp>##V3_BDHV12</stp>
        <stp>XOM US Equity</stp>
        <stp>CF_DECR_INVEST</stp>
        <stp>FQ2 2013</stp>
        <stp>FQ2 2013</stp>
        <stp>[FA1_m42y3cpi.xlsx]Cash Flow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4"/>
      </tp>
      <tp>
        <v>785</v>
        <stp/>
        <stp>##V3_BDHV12</stp>
        <stp>XOM US Equity</stp>
        <stp>CF_DISPOSAL_OF_FIXED_PROD_ASSETS</stp>
        <stp>FQ4 2015</stp>
        <stp>FQ4 2015</stp>
        <stp>[FA1_m42y3cpi.xlsx]Cash Flow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4"/>
      </tp>
      <tp>
        <v>0</v>
        <stp/>
        <stp>##V3_BDHV12</stp>
        <stp>XOM US Equity</stp>
        <stp>CF_INCR_INVEST</stp>
        <stp>FQ2 2014</stp>
        <stp>FQ2 2014</stp>
        <stp>[FA1_m42y3cpi.xlsx]Cash Flow - Standardized!R29C26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4"/>
      </tp>
      <tp>
        <v>0</v>
        <stp/>
        <stp>##V3_BDHV12</stp>
        <stp>XOM US Equity</stp>
        <stp>CF_INCR_INVEST</stp>
        <stp>FQ3 2016</stp>
        <stp>FQ3 2016</stp>
        <stp>[FA1_m42y3cpi.xlsx]Cash Flow - Standardized!R29C35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4"/>
      </tp>
      <tp>
        <v>0</v>
        <stp/>
        <stp>##V3_BDHV12</stp>
        <stp>XOM US Equity</stp>
        <stp>CF_DECR_INVEST</stp>
        <stp>FQ2 2014</stp>
        <stp>FQ2 2014</stp>
        <stp>[FA1_m42y3cpi.xlsx]Cash Flow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4"/>
      </tp>
      <tp>
        <v>0</v>
        <stp/>
        <stp>##V3_BDHV12</stp>
        <stp>XOM US Equity</stp>
        <stp>CF_DECR_INVEST</stp>
        <stp>FQ3 2016</stp>
        <stp>FQ3 2016</stp>
        <stp>[FA1_m42y3cpi.xlsx]Cash Flow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4"/>
      </tp>
      <tp t="s">
        <v>—</v>
        <stp/>
        <stp>##V3_BDHV12</stp>
        <stp>XOM US Equity</stp>
        <stp>IS_OTHER_ONE_TIME_ITEMS</stp>
        <stp>FQ3 2011</stp>
        <stp>FQ3 2011</stp>
        <stp>[FA1_m42y3cpi.xlsx]Income - Adjusted!R31C15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2"/>
      </tp>
      <tp>
        <v>0</v>
        <stp/>
        <stp>##V3_BDHV12</stp>
        <stp>XOM US Equity</stp>
        <stp>CF_INCR_INVEST</stp>
        <stp>FQ3 2017</stp>
        <stp>FQ3 2017</stp>
        <stp>[FA1_m42y3cpi.xlsx]Cash Flow - Standardized!R29C39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9" s="4"/>
      </tp>
      <tp>
        <v>0</v>
        <stp/>
        <stp>##V3_BDHV12</stp>
        <stp>XOM US Equity</stp>
        <stp>CF_DECR_INVEST</stp>
        <stp>FQ3 2017</stp>
        <stp>FQ3 2017</stp>
        <stp>[FA1_m42y3cpi.xlsx]Cash Flow - Standardized!R28C39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4"/>
      </tp>
      <tp t="s">
        <v>—</v>
        <stp/>
        <stp>##V3_BDHV12</stp>
        <stp>XOM US Equity</stp>
        <stp>IS_OTHER_ONE_TIME_ITEMS</stp>
        <stp>FQ2 2013</stp>
        <stp>FQ2 2013</stp>
        <stp>[FA1_m42y3cpi.xlsx]Income - Adjusted!R31C22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2"/>
      </tp>
      <tp t="s">
        <v>—</v>
        <stp/>
        <stp>##V3_BDHV12</stp>
        <stp>XOM US Equity</stp>
        <stp>IS_OTHER_ONE_TIME_ITEMS</stp>
        <stp>FQ2 2010</stp>
        <stp>FQ2 2010</stp>
        <stp>[FA1_m42y3cpi.xlsx]Income - Adjusted!R31C10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2"/>
      </tp>
      <tp>
        <v>-421</v>
        <stp/>
        <stp>##V3_BDHV12</stp>
        <stp>XOM US Equity</stp>
        <stp>CF_EFFECT_FOREIGN_EXCHANGES</stp>
        <stp>FQ3 2011</stp>
        <stp>FQ3 2011</stp>
        <stp>[FA1_m42y3cpi.xlsx]Cash Flow - Standardized!R51C15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1" s="4"/>
      </tp>
      <tp>
        <v>166790</v>
        <stp/>
        <stp>##V3_BDHV12</stp>
        <stp>XOM US Equity</stp>
        <stp>BS_ACCUM_DEPR</stp>
        <stp>FQ4 2009</stp>
        <stp>FQ4 2009</stp>
        <stp>[FA1_m42y3cpi.xlsx]Bal Sheet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3"/>
      </tp>
      <tp>
        <v>29105</v>
        <stp/>
        <stp>##V3_BDHV12</stp>
        <stp>XOM US Equity</stp>
        <stp>BS_INVEST_IN_ASSOC_CO</stp>
        <stp>FQ1 2009</stp>
        <stp>FQ1 2009</stp>
        <stp>[FA1_m42y3cpi.xlsx]Bal Sheet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3"/>
      </tp>
      <tp>
        <v>30358</v>
        <stp/>
        <stp>##V3_BDHV12</stp>
        <stp>XOM US Equity</stp>
        <stp>BS_INVEST_IN_ASSOC_CO</stp>
        <stp>FQ2 2009</stp>
        <stp>FQ2 2009</stp>
        <stp>[FA1_m42y3cpi.xlsx]Bal Sheet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3"/>
      </tp>
      <tp>
        <v>32064</v>
        <stp/>
        <stp>##V3_BDHV12</stp>
        <stp>XOM US Equity</stp>
        <stp>BS_INVEST_IN_ASSOC_CO</stp>
        <stp>FQ3 2009</stp>
        <stp>FQ3 2009</stp>
        <stp>[FA1_m42y3cpi.xlsx]Bal Sheet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3"/>
      </tp>
      <tp>
        <v>154</v>
        <stp/>
        <stp>##V3_BDHV12</stp>
        <stp>XOM US Equity</stp>
        <stp>CF_EFFECT_FOREIGN_EXCHANGES</stp>
        <stp>FQ1 2016</stp>
        <stp>FQ1 2016</stp>
        <stp>[FA1_m42y3cpi.xlsx]Cash Flow - Standardized!R51C33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1" s="4"/>
      </tp>
      <tp t="s">
        <v>—</v>
        <stp/>
        <stp>##V3_BDHV12</stp>
        <stp>XOM US Equity</stp>
        <stp>BS_ACCUM_DEPR</stp>
        <stp>FQ1 2010</stp>
        <stp>FQ1 2010</stp>
        <stp>[FA1_m42y3cpi.xlsx]Bal Sheet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3"/>
      </tp>
      <tp>
        <v>491</v>
        <stp/>
        <stp>##V3_BDHV12</stp>
        <stp>XOM US Equity</stp>
        <stp>CF_EFFECT_FOREIGN_EXCHANGES</stp>
        <stp>FQ3 2010</stp>
        <stp>FQ3 2010</stp>
        <stp>[FA1_m42y3cpi.xlsx]Cash Flow - Standardized!R51C11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1" s="4"/>
      </tp>
      <tp t="s">
        <v>—</v>
        <stp/>
        <stp>##V3_BDHV12</stp>
        <stp>XOM US Equity</stp>
        <stp>BS_INVEST_IN_ASSOC_CO</stp>
        <stp>FQ4 2008</stp>
        <stp>FQ4 2008</stp>
        <stp>[FA1_m42y3cpi.xlsx]Bal Sheet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3"/>
      </tp>
      <tp t="s">
        <v>—</v>
        <stp/>
        <stp>##V3_BDHV12</stp>
        <stp>XOM US Equity</stp>
        <stp>BS_INVEST_IN_ASSOC_CO</stp>
        <stp>FQ3 2008</stp>
        <stp>FQ3 2008</stp>
        <stp>[FA1_m42y3cpi.xlsx]Bal Sheet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3"/>
      </tp>
      <tp>
        <v>74</v>
        <stp/>
        <stp>##V3_BDHV12</stp>
        <stp>XOM US Equity</stp>
        <stp>CF_EFFECT_FOREIGN_EXCHANGES</stp>
        <stp>FQ1 2017</stp>
        <stp>FQ1 2017</stp>
        <stp>[FA1_m42y3cpi.xlsx]Cash Flow - Standardized!R51C37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1" s="4"/>
      </tp>
      <tp>
        <v>70.67</v>
        <stp/>
        <stp>##V3_BDHV12</stp>
        <stp>XOM US Equity</stp>
        <stp>PX_OPEN</stp>
        <stp>FQ3 2009</stp>
        <stp>FQ3 2009</stp>
        <stp>[FA1_m42y3cpi.xlsx]Stock Value!R8C7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6"/>
      </tp>
      <tp t="s">
        <v>—</v>
        <stp/>
        <stp>##V3_BDHV12</stp>
        <stp>XOM US Equity</stp>
        <stp>BS_ACCUM_DEPR</stp>
        <stp>FQ1 2009</stp>
        <stp>FQ1 2009</stp>
        <stp>[FA1_m42y3cpi.xlsx]Bal Sheet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3"/>
      </tp>
      <tp t="s">
        <v>—</v>
        <stp/>
        <stp>##V3_BDHV12</stp>
        <stp>XOM US Equity</stp>
        <stp>BS_ACCUM_DEPR</stp>
        <stp>FQ3 2009</stp>
        <stp>FQ3 2009</stp>
        <stp>[FA1_m42y3cpi.xlsx]Bal Sheet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3"/>
      </tp>
      <tp t="s">
        <v>—</v>
        <stp/>
        <stp>##V3_BDHV12</stp>
        <stp>XOM US Equity</stp>
        <stp>BS_ACCUM_DEPR</stp>
        <stp>FQ2 2009</stp>
        <stp>FQ2 2009</stp>
        <stp>[FA1_m42y3cpi.xlsx]Bal Sheet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3"/>
      </tp>
      <tp>
        <v>24411</v>
        <stp/>
        <stp>##V3_BDHV12</stp>
        <stp>XOM US Equity</stp>
        <stp>BS_INVEST_IN_ASSOC_CO</stp>
        <stp>FQ4 2009</stp>
        <stp>FQ4 2009</stp>
        <stp>[FA1_m42y3cpi.xlsx]Bal Sheet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3"/>
      </tp>
      <tp t="s">
        <v>—</v>
        <stp/>
        <stp>##V3_BDHV12</stp>
        <stp>XOM US Equity</stp>
        <stp>BS_ACCUM_DEPR</stp>
        <stp>FQ3 2008</stp>
        <stp>FQ3 2008</stp>
        <stp>[FA1_m42y3cpi.xlsx]Bal Sheet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3"/>
      </tp>
      <tp>
        <v>149499</v>
        <stp/>
        <stp>##V3_BDHV12</stp>
        <stp>XOM US Equity</stp>
        <stp>BS_ACCUM_DEPR</stp>
        <stp>FQ4 2008</stp>
        <stp>FQ4 2008</stp>
        <stp>[FA1_m42y3cpi.xlsx]Bal Sheet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3"/>
      </tp>
      <tp>
        <v>32541</v>
        <stp/>
        <stp>##V3_BDHV12</stp>
        <stp>XOM US Equity</stp>
        <stp>BS_INVEST_IN_ASSOC_CO</stp>
        <stp>FQ1 2010</stp>
        <stp>FQ1 2010</stp>
        <stp>[FA1_m42y3cpi.xlsx]Bal Sheet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3"/>
      </tp>
      <tp>
        <v>163</v>
        <stp/>
        <stp>##V3_BDHV12</stp>
        <stp>XOM US Equity</stp>
        <stp>CF_EFFECT_FOREIGN_EXCHANGES</stp>
        <stp>FQ3 2012</stp>
        <stp>FQ3 2012</stp>
        <stp>[FA1_m42y3cpi.xlsx]Cash Flow - Standardized!R51C19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1" s="4"/>
      </tp>
      <tp>
        <v>2703.2170999999998</v>
        <stp/>
        <stp>##V3_BDHV12</stp>
        <stp>XOM US Equity</stp>
        <stp>CF_FREE_CASH_FLOW_FIRM</stp>
        <stp>FQ3 2017</stp>
        <stp>FQ3 2017</stp>
        <stp>[FA1_m42y3cpi.xlsx]Cash Flow - Standardized!R64C39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64" s="4"/>
      </tp>
      <tp>
        <v>3973.0884999999998</v>
        <stp/>
        <stp>##V3_BDHV12</stp>
        <stp>XOM US Equity</stp>
        <stp>CF_FREE_CASH_FLOW_FIRM</stp>
        <stp>FQ2 2017</stp>
        <stp>FQ2 2017</stp>
        <stp>[FA1_m42y3cpi.xlsx]Cash Flow - Standardized!R64C38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64" s="4"/>
      </tp>
      <tp t="s">
        <v>—</v>
        <stp/>
        <stp>##V3_BDHV12</stp>
        <stp>XOM US Equity</stp>
        <stp>BS_OPTIONS_GRANTED</stp>
        <stp>FQ4 2012</stp>
        <stp>FQ4 2012</stp>
        <stp>[FA1_m42y3cpi.xlsx]Bal Sheet - Standardized!R84C20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4" s="3"/>
      </tp>
      <tp>
        <v>1221.3097</v>
        <stp/>
        <stp>##V3_BDHV12</stp>
        <stp>XOM US Equity</stp>
        <stp>CF_FREE_CASH_FLOW_FIRM</stp>
        <stp>FQ1 2015</stp>
        <stp>FQ1 2015</stp>
        <stp>[FA1_m42y3cpi.xlsx]Cash Flow - Standardized!R64C29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64" s="4"/>
      </tp>
      <tp t="s">
        <v>—</v>
        <stp/>
        <stp>##V3_BDHV12</stp>
        <stp>XOM US Equity</stp>
        <stp>BS_OPTIONS_GRANTED</stp>
        <stp>FQ4 2010</stp>
        <stp>FQ4 2010</stp>
        <stp>[FA1_m42y3cpi.xlsx]Bal Sheet - Standardized!R84C12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4" s="3"/>
      </tp>
      <tp>
        <v>16600</v>
        <stp/>
        <stp>##V3_BDHV12</stp>
        <stp>XOM US Equity</stp>
        <stp>EBITDA</stp>
        <stp>FQ1 2012</stp>
        <stp>FQ1 2012</stp>
        <stp>[FA1_m42y3cpi.xlsx]Cash Flow - Standardized!R59C17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59" s="4"/>
      </tp>
      <tp>
        <v>6289</v>
        <stp/>
        <stp>##V3_BDHV12</stp>
        <stp>XOM US Equity</stp>
        <stp>EBITDA</stp>
        <stp>FQ4 2016</stp>
        <stp>FQ4 2016</stp>
        <stp>[FA1_m42y3cpi.xlsx]Cash Flow - Standardized!R59C36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59" s="4"/>
      </tp>
      <tp>
        <v>4970</v>
        <stp/>
        <stp>##V3_BDHV12</stp>
        <stp>XOM US Equity</stp>
        <stp>EBITDA</stp>
        <stp>FQ1 2016</stp>
        <stp>FQ1 2016</stp>
        <stp>[FA1_m42y3cpi.xlsx]Cash Flow - Standardized!R59C33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59" s="4"/>
      </tp>
      <tp>
        <v>0.41</v>
        <stp/>
        <stp>##V3_BDHV12</stp>
        <stp>XOM US Equity</stp>
        <stp>IS_DIL_EPS_BEF_XO</stp>
        <stp>FQ4 2016</stp>
        <stp>FQ4 2016</stp>
        <stp>[FA1_m42y3cpi.xlsx]Per Share!R18C36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8" s="5"/>
      </tp>
      <tp>
        <v>1.79</v>
        <stp/>
        <stp>##V3_BDHV12</stp>
        <stp>XOM US Equity</stp>
        <stp>IS_DIL_EPS_BEF_XO</stp>
        <stp>FQ3 2013</stp>
        <stp>FQ3 2013</stp>
        <stp>[FA1_m42y3cpi.xlsx]Per Share!R18C23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8" s="5"/>
      </tp>
      <tp>
        <v>1.6</v>
        <stp/>
        <stp>##V3_BDHV12</stp>
        <stp>XOM US Equity</stp>
        <stp>IS_DIL_EPS_BEF_XO</stp>
        <stp>FQ2 2010</stp>
        <stp>FQ2 2010</stp>
        <stp>[FA1_m42y3cpi.xlsx]Per Share!R18C10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8" s="5"/>
      </tp>
      <tp>
        <v>0.95</v>
        <stp/>
        <stp>##V3_BDHV12</stp>
        <stp>XOM US Equity</stp>
        <stp>IS_DIL_EPS_BEF_XO</stp>
        <stp>FQ1 2017</stp>
        <stp>FQ1 2017</stp>
        <stp>[FA1_m42y3cpi.xlsx]Per Share!R18C37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8" s="5"/>
      </tp>
      <tp>
        <v>1.01</v>
        <stp/>
        <stp>##V3_BDHV12</stp>
        <stp>XOM US Equity</stp>
        <stp>IS_DIL_EPS_CONT_OPS</stp>
        <stp>FQ3 2015</stp>
        <stp>FQ3 2015</stp>
        <stp>[FA1_m42y3cpi.xlsx]Income - Adjusted!R57C31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7" s="2"/>
      </tp>
      <tp>
        <v>2.13</v>
        <stp/>
        <stp>##V3_BDHV12</stp>
        <stp>XOM US Equity</stp>
        <stp>IS_DIL_EPS_CONT_OPS</stp>
        <stp>FQ3 2011</stp>
        <stp>FQ3 2011</stp>
        <stp>[FA1_m42y3cpi.xlsx]Income - Adjusted!R57C15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7" s="2"/>
      </tp>
      <tp>
        <v>-1893</v>
        <stp/>
        <stp>##V3_BDHV12</stp>
        <stp>XOM US Equity</stp>
        <stp>IS_NONOP_INCOME_LOSS</stp>
        <stp>FQ2 2017</stp>
        <stp>FQ2 2017</stp>
        <stp>[FA1_m42y3cpi.xlsx]Income - Adjusted!R17C38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7" s="2"/>
      </tp>
      <tp>
        <v>0</v>
        <stp/>
        <stp>##V3_BDHV12</stp>
        <stp>XOM US Equity</stp>
        <stp>IS_OTHER_OPER_INC</stp>
        <stp>FQ2 2015</stp>
        <stp>FQ2 2015</stp>
        <stp>[FA1_m42y3cpi.xlsx]Income - Adjusted!R12C30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2" s="2"/>
      </tp>
      <tp>
        <v>0</v>
        <stp/>
        <stp>##V3_BDHV12</stp>
        <stp>XOM US Equity</stp>
        <stp>IS_OTHER_OPER_INC</stp>
        <stp>FQ2 2011</stp>
        <stp>FQ2 2011</stp>
        <stp>[FA1_m42y3cpi.xlsx]Income - Adjusted!R12C14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2" s="2"/>
      </tp>
      <tp>
        <v>0</v>
        <stp/>
        <stp>##V3_BDHV12</stp>
        <stp>XOM US Equity</stp>
        <stp>IS_OTHER_OPER_INC</stp>
        <stp>FQ1 2016</stp>
        <stp>FQ1 2016</stp>
        <stp>[FA1_m42y3cpi.xlsx]Income - Adjusted!R12C33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2" s="2"/>
      </tp>
      <tp>
        <v>0</v>
        <stp/>
        <stp>##V3_BDHV12</stp>
        <stp>XOM US Equity</stp>
        <stp>IS_OTHER_OPER_INC</stp>
        <stp>FQ1 2012</stp>
        <stp>FQ1 2012</stp>
        <stp>[FA1_m42y3cpi.xlsx]Income - Adjusted!R12C17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2" s="2"/>
      </tp>
      <tp>
        <v>0</v>
        <stp/>
        <stp>##V3_BDHV12</stp>
        <stp>XOM US Equity</stp>
        <stp>IS_EXTRAORD_ITEMS_&amp;_ACCTG_CHNG</stp>
        <stp>FQ3 2012</stp>
        <stp>FQ3 2012</stp>
        <stp>[FA1_m42y3cpi.xlsx]Income - Adjusted!R37C19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7" s="2"/>
      </tp>
      <tp>
        <v>40.338700000000003</v>
        <stp/>
        <stp>##V3_BDHV12</stp>
        <stp>XOM US Equity</stp>
        <stp>TANG_BOOK_VAL_PER_SH</stp>
        <stp>FQ4 2016</stp>
        <stp>FQ4 2016</stp>
        <stp>[FA1_m42y3cpi.xlsx]Per Share!R27C36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7" s="5"/>
      </tp>
      <tp t="s">
        <v>—</v>
        <stp/>
        <stp>##V3_BDHV12</stp>
        <stp>XOM US Equity</stp>
        <stp>TANG_BOOK_VAL_PER_SH</stp>
        <stp>FQ1 2017</stp>
        <stp>FQ1 2017</stp>
        <stp>[FA1_m42y3cpi.xlsx]Per Share!R27C37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7" s="5"/>
      </tp>
      <tp t="s">
        <v>—</v>
        <stp/>
        <stp>##V3_BDHV12</stp>
        <stp>XOM US Equity</stp>
        <stp>TANG_BOOK_VAL_PER_SH</stp>
        <stp>FQ2 2010</stp>
        <stp>FQ2 2010</stp>
        <stp>[FA1_m42y3cpi.xlsx]Per Share!R27C10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7" s="5"/>
      </tp>
      <tp t="s">
        <v>—</v>
        <stp/>
        <stp>##V3_BDHV12</stp>
        <stp>XOM US Equity</stp>
        <stp>TANG_BOOK_VAL_PER_SH</stp>
        <stp>FQ3 2013</stp>
        <stp>FQ3 2013</stp>
        <stp>[FA1_m42y3cpi.xlsx]Per Share!R27C23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7" s="5"/>
      </tp>
      <tp>
        <v>0</v>
        <stp/>
        <stp>##V3_BDHV12</stp>
        <stp>XOM US Equity</stp>
        <stp>IS_EXTRAORD_ITEMS_&amp;_ACCTG_CHNG</stp>
        <stp>FQ1 2013</stp>
        <stp>FQ1 2013</stp>
        <stp>[FA1_m42y3cpi.xlsx]Income - Adjusted!R37C21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7" s="2"/>
      </tp>
      <tp>
        <v>-733</v>
        <stp/>
        <stp>##V3_BDHV12</stp>
        <stp>XOM US Equity</stp>
        <stp>OTHER_NON_CASH_ADJ_LESS_DETAILED</stp>
        <stp>FQ1 2015</stp>
        <stp>FQ1 2015</stp>
        <stp>[FA1_m42y3cpi.xlsx]Cash Flow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4"/>
      </tp>
      <tp>
        <v>15910</v>
        <stp/>
        <stp>##V3_BDHV12</stp>
        <stp>XOM US Equity</stp>
        <stp>EARN_FOR_COMMON</stp>
        <stp>FQ2 2012</stp>
        <stp>FQ2 2012</stp>
        <stp>[FA1_m42y3cpi.xlsx]Income - Adjusted!R43C18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43" s="2"/>
      </tp>
      <tp>
        <v>3950</v>
        <stp/>
        <stp>##V3_BDHV12</stp>
        <stp>XOM US Equity</stp>
        <stp>EARN_FOR_COMMON</stp>
        <stp>FQ2 2018</stp>
        <stp>FQ2 2018</stp>
        <stp>[FA1_m42y3cpi.xlsx]Income - Adjusted!R43C42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43" s="2"/>
      </tp>
      <tp>
        <v>0</v>
        <stp/>
        <stp>##V3_BDHV12</stp>
        <stp>XOM US Equity</stp>
        <stp>CF_NET_CASH_DISCONTINUED_OPS_INV</stp>
        <stp>FQ4 2013</stp>
        <stp>FQ4 2013</stp>
        <stp>[FA1_m42y3cpi.xlsx]Cash Flow - Standardized!R35C24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4"/>
      </tp>
      <tp>
        <v>0</v>
        <stp/>
        <stp>##V3_BDHV12</stp>
        <stp>XOM US Equity</stp>
        <stp>CF_CASH_FOR_JOINT_VENTURES_ASSOC</stp>
        <stp>FQ4 2015</stp>
        <stp>FQ4 2015</stp>
        <stp>[FA1_m42y3cpi.xlsx]Cash Flow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4"/>
      </tp>
      <tp>
        <v>15741</v>
        <stp/>
        <stp>##V3_BDHV12</stp>
        <stp>XOM US Equity</stp>
        <stp>SHORT_TERM_DEBT_DETAILED</stp>
        <stp>FQ3 2017</stp>
        <stp>FQ3 2017</stp>
        <stp>[FA1_m42y3cpi.xlsx]Bal Sheet - Standardized!R48C39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8" s="3"/>
      </tp>
      <tp>
        <v>-3323</v>
        <stp/>
        <stp>##V3_BDHV12</stp>
        <stp>XOM US Equity</stp>
        <stp>PROC_FR_REPAYMNTS_BOR_DETAILED</stp>
        <stp>FQ4 2016</stp>
        <stp>FQ4 2016</stp>
        <stp>[FA1_m42y3cpi.xlsx]Cash Flow - Standardized!R40C36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0" s="4"/>
      </tp>
      <tp>
        <v>343012</v>
        <stp/>
        <stp>##V3_BDHV12</stp>
        <stp>XOM US Equity</stp>
        <stp>TOT_LIAB_AND_EQY</stp>
        <stp>FQ2 2017</stp>
        <stp>FQ2 2017</stp>
        <stp>[FA1_m42y3cpi.xlsx]Bal Sheet - Standardized!R75C38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5" s="3"/>
      </tp>
      <tp>
        <v>4257</v>
        <stp/>
        <stp>##V3_BDHV12</stp>
        <stp>XOM US Equity</stp>
        <stp>PROC_FR_REPAYMNTS_BOR_DETAILED</stp>
        <stp>FQ4 2015</stp>
        <stp>FQ4 2015</stp>
        <stp>[FA1_m42y3cpi.xlsx]Cash Flow - Standardized!R40C32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0" s="4"/>
      </tp>
      <tp>
        <v>-7208</v>
        <stp/>
        <stp>##V3_BDHV12</stp>
        <stp>XOM US Equity</stp>
        <stp>OTHER_NON_CASH_ADJ_LESS_DETAILED</stp>
        <stp>FQ2 2012</stp>
        <stp>FQ2 2012</stp>
        <stp>[FA1_m42y3cpi.xlsx]Cash Flow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4"/>
      </tp>
      <tp>
        <v>29</v>
        <stp/>
        <stp>##V3_BDHV12</stp>
        <stp>XOM US Equity</stp>
        <stp>MIN_NONCONTROL_INTEREST_CREDITS</stp>
        <stp>FQ4 2017</stp>
        <stp>FQ4 2017</stp>
        <stp>[FA1_m42y3cpi.xlsx]Income - Adjusted!R39C40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39" s="2"/>
      </tp>
      <tp>
        <v>293</v>
        <stp/>
        <stp>##V3_BDHV12</stp>
        <stp>XOM US Equity</stp>
        <stp>MIN_NONCONTROL_INTEREST_CREDITS</stp>
        <stp>FQ4 2013</stp>
        <stp>FQ4 2013</stp>
        <stp>[FA1_m42y3cpi.xlsx]Income - Adjusted!R39C24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39" s="2"/>
      </tp>
      <tp>
        <v>324</v>
        <stp/>
        <stp>##V3_BDHV12</stp>
        <stp>XOM US Equity</stp>
        <stp>MIN_NONCONTROL_INTEREST_CREDITS</stp>
        <stp>FQ4 2011</stp>
        <stp>FQ4 2011</stp>
        <stp>[FA1_m42y3cpi.xlsx]Income - Adjusted!R39C16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39" s="2"/>
      </tp>
      <tp>
        <v>50</v>
        <stp/>
        <stp>##V3_BDHV12</stp>
        <stp>XOM US Equity</stp>
        <stp>MIN_NONCONTROL_INTEREST_CREDITS</stp>
        <stp>FQ4 2015</stp>
        <stp>FQ4 2015</stp>
        <stp>[FA1_m42y3cpi.xlsx]Income - Adjusted!R39C32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39" s="2"/>
      </tp>
      <tp>
        <v>0</v>
        <stp/>
        <stp>##V3_BDHV12</stp>
        <stp>XOM US Equity</stp>
        <stp>BS_PFD_EQTY_&amp;_HYBRID_CPTL</stp>
        <stp>FQ3 2012</stp>
        <stp>FQ3 2012</stp>
        <stp>[FA1_m42y3cpi.xlsx]Bal Sheet - Standardized!R67C19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7" s="3"/>
      </tp>
      <tp>
        <v>0</v>
        <stp/>
        <stp>##V3_BDHV12</stp>
        <stp>XOM US Equity</stp>
        <stp>CF_CASH_FOR_JOINT_VENTURES_ASSOC</stp>
        <stp>FQ4 2016</stp>
        <stp>FQ4 2016</stp>
        <stp>[FA1_m42y3cpi.xlsx]Cash Flow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4"/>
      </tp>
      <tp>
        <v>0</v>
        <stp/>
        <stp>##V3_BDHV12</stp>
        <stp>XOM US Equity</stp>
        <stp>CF_DISPOSAL_OF_INTANGIBLE_ASSETS</stp>
        <stp>FQ3 2017</stp>
        <stp>FQ3 2017</stp>
        <stp>[FA1_m42y3cpi.xlsx]Cash Flow - Standardized!R23C39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4"/>
      </tp>
      <tp>
        <v>0</v>
        <stp/>
        <stp>##V3_BDHV12</stp>
        <stp>XOM US Equity</stp>
        <stp>CF_NET_CASH_DISCONTINUED_OPS_INV</stp>
        <stp>FQ4 2012</stp>
        <stp>FQ4 2012</stp>
        <stp>[FA1_m42y3cpi.xlsx]Cash Flow - Standardized!R35C20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4"/>
      </tp>
      <tp>
        <v>0</v>
        <stp/>
        <stp>##V3_BDHV12</stp>
        <stp>XOM US Equity</stp>
        <stp>CF_DISPOSAL_OF_INTANGIBLE_ASSETS</stp>
        <stp>FQ2 2013</stp>
        <stp>FQ2 2013</stp>
        <stp>[FA1_m42y3cpi.xlsx]Cash Flow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4"/>
      </tp>
      <tp>
        <v>0</v>
        <stp/>
        <stp>##V3_BDHV12</stp>
        <stp>XOM US Equity</stp>
        <stp>CF_DISPOSAL_OF_INTANGIBLE_ASSETS</stp>
        <stp>FQ1 2011</stp>
        <stp>FQ1 2011</stp>
        <stp>[FA1_m42y3cpi.xlsx]Cash Flow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4"/>
      </tp>
      <tp>
        <v>0</v>
        <stp/>
        <stp>##V3_BDHV12</stp>
        <stp>XOM US Equity</stp>
        <stp>CF_DISPOSAL_OF_INTANGIBLE_ASSETS</stp>
        <stp>FQ4 2017</stp>
        <stp>FQ4 2017</stp>
        <stp>[FA1_m42y3cpi.xlsx]Cash Flow - Standardized!R23C40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4"/>
      </tp>
      <tp>
        <v>14473</v>
        <stp/>
        <stp>##V3_BDHV12</stp>
        <stp>XOM US Equity</stp>
        <stp>SHORT_TERM_DEBT_DETAILED</stp>
        <stp>FQ3 2015</stp>
        <stp>FQ3 2015</stp>
        <stp>[FA1_m42y3cpi.xlsx]Bal Sheet - Standardized!R48C31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8" s="3"/>
      </tp>
      <tp>
        <v>0</v>
        <stp/>
        <stp>##V3_BDHV12</stp>
        <stp>XOM US Equity</stp>
        <stp>CF_NET_CASH_DISCONTINUED_OPS_INV</stp>
        <stp>FQ4 2014</stp>
        <stp>FQ4 2014</stp>
        <stp>[FA1_m42y3cpi.xlsx]Cash Flow - Standardized!R35C28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4"/>
      </tp>
      <tp>
        <v>0</v>
        <stp/>
        <stp>##V3_BDHV12</stp>
        <stp>XOM US Equity</stp>
        <stp>BS_PFD_EQTY_&amp;_HYBRID_CPTL</stp>
        <stp>FQ1 2016</stp>
        <stp>FQ1 2016</stp>
        <stp>[FA1_m42y3cpi.xlsx]Bal Sheet - Standardized!R67C33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7" s="3"/>
      </tp>
      <tp>
        <v>0</v>
        <stp/>
        <stp>##V3_BDHV12</stp>
        <stp>XOM US Equity</stp>
        <stp>CF_NET_CASH_DISCONTINUED_OPS_INV</stp>
        <stp>FQ2 2018</stp>
        <stp>FQ2 2018</stp>
        <stp>[FA1_m42y3cpi.xlsx]Cash Flow - Standardized!R35C42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5" s="4"/>
      </tp>
      <tp>
        <v>352764</v>
        <stp/>
        <stp>##V3_BDHV12</stp>
        <stp>XOM US Equity</stp>
        <stp>TOT_LIAB_AND_EQY</stp>
        <stp>FQ3 2014</stp>
        <stp>FQ3 2014</stp>
        <stp>[FA1_m42y3cpi.xlsx]Bal Sheet - Standardized!R75C27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5" s="3"/>
      </tp>
      <tp>
        <v>342473</v>
        <stp/>
        <stp>##V3_BDHV12</stp>
        <stp>XOM US Equity</stp>
        <stp>TOT_LIAB_AND_EQY</stp>
        <stp>FQ2 2016</stp>
        <stp>FQ2 2016</stp>
        <stp>[FA1_m42y3cpi.xlsx]Bal Sheet - Standardized!R75C34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5" s="3"/>
      </tp>
      <tp>
        <v>137</v>
        <stp/>
        <stp>##V3_BDHV12</stp>
        <stp>XOM US Equity</stp>
        <stp>OTHER_NON_CASH_ADJ_LESS_DETAILED</stp>
        <stp>FQ2 2011</stp>
        <stp>FQ2 2011</stp>
        <stp>[FA1_m42y3cpi.xlsx]Cash Flow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4"/>
      </tp>
      <tp>
        <v>0</v>
        <stp/>
        <stp>##V3_BDHV12</stp>
        <stp>XOM US Equity</stp>
        <stp>BS_PFD_EQTY_&amp;_HYBRID_CPTL</stp>
        <stp>FQ3 2011</stp>
        <stp>FQ3 2011</stp>
        <stp>[FA1_m42y3cpi.xlsx]Bal Sheet - Standardized!R67C15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7" s="3"/>
      </tp>
      <tp>
        <v>347564</v>
        <stp/>
        <stp>##V3_BDHV12</stp>
        <stp>XOM US Equity</stp>
        <stp>TOT_LIAB_AND_EQY</stp>
        <stp>FQ3 2013</stp>
        <stp>FQ3 2013</stp>
        <stp>[FA1_m42y3cpi.xlsx]Bal Sheet - Standardized!R75C23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5" s="3"/>
      </tp>
      <tp>
        <v>0</v>
        <stp/>
        <stp>##V3_BDHV12</stp>
        <stp>XOM US Equity</stp>
        <stp>CF_DISPOSAL_OF_INTANGIBLE_ASSETS</stp>
        <stp>FQ3 2016</stp>
        <stp>FQ3 2016</stp>
        <stp>[FA1_m42y3cpi.xlsx]Cash Flow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4"/>
      </tp>
      <tp>
        <v>0</v>
        <stp/>
        <stp>##V3_BDHV12</stp>
        <stp>XOM US Equity</stp>
        <stp>CF_DISPOSAL_OF_INTANGIBLE_ASSETS</stp>
        <stp>FQ2 2014</stp>
        <stp>FQ2 2014</stp>
        <stp>[FA1_m42y3cpi.xlsx]Cash Flow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4"/>
      </tp>
      <tp>
        <v>6419</v>
        <stp/>
        <stp>##V3_BDHV12</stp>
        <stp>XOM US Equity</stp>
        <stp>SHORT_TERM_DEBT_DETAILED</stp>
        <stp>FQ1 2012</stp>
        <stp>FQ1 2012</stp>
        <stp>[FA1_m42y3cpi.xlsx]Bal Sheet - Standardized!R48C17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8" s="3"/>
      </tp>
      <tp>
        <v>0</v>
        <stp/>
        <stp>##V3_BDHV12</stp>
        <stp>XOM US Equity</stp>
        <stp>BS_PFD_EQTY_&amp;_HYBRID_CPTL</stp>
        <stp>FQ1 2017</stp>
        <stp>FQ1 2017</stp>
        <stp>[FA1_m42y3cpi.xlsx]Bal Sheet - Standardized!R67C37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7" s="3"/>
      </tp>
      <tp>
        <v>0</v>
        <stp/>
        <stp>##V3_BDHV12</stp>
        <stp>XOM US Equity</stp>
        <stp>CF_DISPOSAL_OF_INTANGIBLE_ASSETS</stp>
        <stp>FQ3 2015</stp>
        <stp>FQ3 2015</stp>
        <stp>[FA1_m42y3cpi.xlsx]Cash Flow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4"/>
      </tp>
      <tp>
        <v>-3720</v>
        <stp/>
        <stp>##V3_BDHV12</stp>
        <stp>XOM US Equity</stp>
        <stp>INCOME_LOSS_FROM_AFFILIATES</stp>
        <stp>FQ2 2011</stp>
        <stp>FQ2 2011</stp>
        <stp>[FA1_m42y3cpi.xlsx]Income - Adjusted!R22C14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2" s="2"/>
      </tp>
      <tp>
        <v>-2081</v>
        <stp/>
        <stp>##V3_BDHV12</stp>
        <stp>XOM US Equity</stp>
        <stp>INCOME_LOSS_FROM_AFFILIATES</stp>
        <stp>FQ2 2015</stp>
        <stp>FQ2 2015</stp>
        <stp>[FA1_m42y3cpi.xlsx]Income - Adjusted!R22C30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2" s="2"/>
      </tp>
      <tp>
        <v>-4210</v>
        <stp/>
        <stp>##V3_BDHV12</stp>
        <stp>XOM US Equity</stp>
        <stp>INCOME_LOSS_FROM_AFFILIATES</stp>
        <stp>FQ1 2012</stp>
        <stp>FQ1 2012</stp>
        <stp>[FA1_m42y3cpi.xlsx]Income - Adjusted!R22C17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2" s="2"/>
      </tp>
      <tp>
        <v>-1251</v>
        <stp/>
        <stp>##V3_BDHV12</stp>
        <stp>XOM US Equity</stp>
        <stp>INCOME_LOSS_FROM_AFFILIATES</stp>
        <stp>FQ1 2016</stp>
        <stp>FQ1 2016</stp>
        <stp>[FA1_m42y3cpi.xlsx]Income - Adjusted!R22C33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2" s="2"/>
      </tp>
      <tp>
        <v>13164</v>
        <stp/>
        <stp>##V3_BDHV12</stp>
        <stp>XOM US Equity</stp>
        <stp>SHORT_TERM_DEBT_DETAILED</stp>
        <stp>FQ4 2017</stp>
        <stp>FQ4 2017</stp>
        <stp>[FA1_m42y3cpi.xlsx]Bal Sheet - Standardized!R48C40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8" s="3"/>
      </tp>
      <tp>
        <v>11861</v>
        <stp/>
        <stp>##V3_BDHV12</stp>
        <stp>XOM US Equity</stp>
        <stp>SHORT_TERM_DEBT_DETAILED</stp>
        <stp>FQ2 2013</stp>
        <stp>FQ2 2013</stp>
        <stp>[FA1_m42y3cpi.xlsx]Bal Sheet - Standardized!R48C22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8" s="3"/>
      </tp>
      <tp>
        <v>3560</v>
        <stp/>
        <stp>##V3_BDHV12</stp>
        <stp>XOM US Equity</stp>
        <stp>SHORT_TERM_DEBT_DETAILED</stp>
        <stp>FQ1 2011</stp>
        <stp>FQ1 2011</stp>
        <stp>[FA1_m42y3cpi.xlsx]Bal Sheet - Standardized!R48C13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8" s="3"/>
      </tp>
      <tp>
        <v>-641</v>
        <stp/>
        <stp>##V3_BDHV12</stp>
        <stp>XOM US Equity</stp>
        <stp>OTHER_NON_CASH_ADJ_LESS_DETAILED</stp>
        <stp>FQ1 2014</stp>
        <stp>FQ1 2014</stp>
        <stp>[FA1_m42y3cpi.xlsx]Cash Flow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4"/>
      </tp>
      <tp>
        <v>-2339</v>
        <stp/>
        <stp>##V3_BDHV12</stp>
        <stp>XOM US Equity</stp>
        <stp>OTHER_NON_CASH_ADJ_LESS_DETAILED</stp>
        <stp>FQ1 2013</stp>
        <stp>FQ1 2013</stp>
        <stp>[FA1_m42y3cpi.xlsx]Cash Flow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4"/>
      </tp>
      <tp>
        <v>348260</v>
        <stp/>
        <stp>##V3_BDHV12</stp>
        <stp>XOM US Equity</stp>
        <stp>TOT_LIAB_AND_EQY</stp>
        <stp>FQ2 2015</stp>
        <stp>FQ2 2015</stp>
        <stp>[FA1_m42y3cpi.xlsx]Bal Sheet - Standardized!R75C30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5" s="3"/>
      </tp>
      <tp>
        <v>-558</v>
        <stp/>
        <stp>##V3_BDHV12</stp>
        <stp>XOM US Equity</stp>
        <stp>OTHER_NON_CASH_ADJ_LESS_DETAILED</stp>
        <stp>FQ2 2010</stp>
        <stp>FQ2 2010</stp>
        <stp>[FA1_m42y3cpi.xlsx]Cash Flow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4"/>
      </tp>
      <tp>
        <v>0</v>
        <stp/>
        <stp>##V3_BDHV12</stp>
        <stp>XOM US Equity</stp>
        <stp>CF_DISPOSAL_OF_INTANGIBLE_ASSETS</stp>
        <stp>FQ1 2012</stp>
        <stp>FQ1 2012</stp>
        <stp>[FA1_m42y3cpi.xlsx]Cash Flow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4"/>
      </tp>
      <tp>
        <v>0</v>
        <stp/>
        <stp>##V3_BDHV12</stp>
        <stp>XOM US Equity</stp>
        <stp>BS_PFD_EQTY_&amp;_HYBRID_CPTL</stp>
        <stp>FQ3 2010</stp>
        <stp>FQ3 2010</stp>
        <stp>[FA1_m42y3cpi.xlsx]Bal Sheet - Standardized!R67C11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7" s="3"/>
      </tp>
      <tp>
        <v>17239</v>
        <stp/>
        <stp>##V3_BDHV12</stp>
        <stp>XOM US Equity</stp>
        <stp>SHORT_TERM_DEBT_DETAILED</stp>
        <stp>FQ3 2016</stp>
        <stp>FQ3 2016</stp>
        <stp>[FA1_m42y3cpi.xlsx]Bal Sheet - Standardized!R48C35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8" s="3"/>
      </tp>
      <tp>
        <v>9948</v>
        <stp/>
        <stp>##V3_BDHV12</stp>
        <stp>XOM US Equity</stp>
        <stp>SHORT_TERM_DEBT_DETAILED</stp>
        <stp>FQ2 2014</stp>
        <stp>FQ2 2014</stp>
        <stp>[FA1_m42y3cpi.xlsx]Bal Sheet - Standardized!R48C26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8" s="3"/>
      </tp>
      <tp>
        <v>0</v>
        <stp/>
        <stp>##V3_BDHV12</stp>
        <stp>XOM US Equity</stp>
        <stp>CF_INCR_INVEST</stp>
        <stp>FQ2 2015</stp>
        <stp>FQ2 2015</stp>
        <stp>[FA1_m42y3cpi.xlsx]Cash Flow - Standardized!R29C30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4"/>
      </tp>
      <tp>
        <v>0</v>
        <stp/>
        <stp>##V3_BDHV12</stp>
        <stp>XOM US Equity</stp>
        <stp>CF_DECR_INVEST</stp>
        <stp>FQ2 2015</stp>
        <stp>FQ2 2015</stp>
        <stp>[FA1_m42y3cpi.xlsx]Cash Flow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4"/>
      </tp>
      <tp t="s">
        <v>—</v>
        <stp/>
        <stp>##V3_BDHV12</stp>
        <stp>XOM US Equity</stp>
        <stp>CF_DEF_INC_TAX</stp>
        <stp>FQ4 2011</stp>
        <stp>FQ4 2011</stp>
        <stp>[FA1_m42y3cpi.xlsx]Cash Flow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4"/>
      </tp>
      <tp>
        <v>805</v>
        <stp/>
        <stp>##V3_BDHV12</stp>
        <stp>XOM US Equity</stp>
        <stp>CF_DISPOSAL_OF_FIXED_PROD_ASSETS</stp>
        <stp>FQ4 2012</stp>
        <stp>FQ4 2012</stp>
        <stp>[FA1_m42y3cpi.xlsx]Cash Flow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4"/>
      </tp>
      <tp t="s">
        <v>—</v>
        <stp/>
        <stp>##V3_BDHV12</stp>
        <stp>XOM US Equity</stp>
        <stp>IS_OTHER_ONE_TIME_ITEMS</stp>
        <stp>FQ4 2014</stp>
        <stp>FQ4 2014</stp>
        <stp>[FA1_m42y3cpi.xlsx]Income - Adjusted!R31C28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2"/>
      </tp>
      <tp>
        <v>0</v>
        <stp/>
        <stp>##V3_BDHV12</stp>
        <stp>XOM US Equity</stp>
        <stp>CF_INCR_INVEST</stp>
        <stp>FQ3 2013</stp>
        <stp>FQ3 2013</stp>
        <stp>[FA1_m42y3cpi.xlsx]Cash Flow - Standardized!R29C23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4"/>
      </tp>
      <tp>
        <v>0</v>
        <stp/>
        <stp>##V3_BDHV12</stp>
        <stp>XOM US Equity</stp>
        <stp>CF_DECR_INVEST</stp>
        <stp>FQ3 2013</stp>
        <stp>FQ3 2013</stp>
        <stp>[FA1_m42y3cpi.xlsx]Cash Flow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4"/>
      </tp>
      <tp>
        <v>1836</v>
        <stp/>
        <stp>##V3_BDHV12</stp>
        <stp>XOM US Equity</stp>
        <stp>CF_DISPOSAL_OF_FIXED_PROD_ASSETS</stp>
        <stp>FQ4 2013</stp>
        <stp>FQ4 2013</stp>
        <stp>[FA1_m42y3cpi.xlsx]Cash Flow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4"/>
      </tp>
      <tp>
        <v>0</v>
        <stp/>
        <stp>##V3_BDHV12</stp>
        <stp>XOM US Equity</stp>
        <stp>CF_INCR_INVEST</stp>
        <stp>FQ3 2014</stp>
        <stp>FQ3 2014</stp>
        <stp>[FA1_m42y3cpi.xlsx]Cash Flow - Standardized!R29C27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4"/>
      </tp>
      <tp>
        <v>0</v>
        <stp/>
        <stp>##V3_BDHV12</stp>
        <stp>XOM US Equity</stp>
        <stp>CF_INCR_INVEST</stp>
        <stp>FQ2 2016</stp>
        <stp>FQ2 2016</stp>
        <stp>[FA1_m42y3cpi.xlsx]Cash Flow - Standardized!R29C34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4"/>
      </tp>
      <tp>
        <v>0</v>
        <stp/>
        <stp>##V3_BDHV12</stp>
        <stp>XOM US Equity</stp>
        <stp>CF_DECR_INVEST</stp>
        <stp>FQ3 2014</stp>
        <stp>FQ3 2014</stp>
        <stp>[FA1_m42y3cpi.xlsx]Cash Flow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4"/>
      </tp>
      <tp>
        <v>0</v>
        <stp/>
        <stp>##V3_BDHV12</stp>
        <stp>XOM US Equity</stp>
        <stp>CF_DECR_INVEST</stp>
        <stp>FQ2 2016</stp>
        <stp>FQ2 2016</stp>
        <stp>[FA1_m42y3cpi.xlsx]Cash Flow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4"/>
      </tp>
      <tp t="s">
        <v>—</v>
        <stp/>
        <stp>##V3_BDHV12</stp>
        <stp>XOM US Equity</stp>
        <stp>CF_DEF_INC_TAX</stp>
        <stp>FQ4 2010</stp>
        <stp>FQ4 2010</stp>
        <stp>[FA1_m42y3cpi.xlsx]Cash Flow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4"/>
      </tp>
      <tp t="s">
        <v>—</v>
        <stp/>
        <stp>##V3_BDHV12</stp>
        <stp>XOM US Equity</stp>
        <stp>IS_OTHER_ONE_TIME_ITEMS</stp>
        <stp>FQ4 2015</stp>
        <stp>FQ4 2015</stp>
        <stp>[FA1_m42y3cpi.xlsx]Income - Adjusted!R31C32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2"/>
      </tp>
      <tp t="s">
        <v>—</v>
        <stp/>
        <stp>##V3_BDHV12</stp>
        <stp>XOM US Equity</stp>
        <stp>CF_DEF_INC_TAX</stp>
        <stp>FQ1 2018</stp>
        <stp>FQ1 2018</stp>
        <stp>[FA1_m42y3cpi.xlsx]Cash Flow - Standardized!R11C41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1" s="4"/>
      </tp>
      <tp t="s">
        <v>—</v>
        <stp/>
        <stp>##V3_BDHV12</stp>
        <stp>XOM US Equity</stp>
        <stp>IS_OTHER_ONE_TIME_ITEMS</stp>
        <stp>FQ1 2012</stp>
        <stp>FQ1 2012</stp>
        <stp>[FA1_m42y3cpi.xlsx]Income - Adjusted!R31C17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2"/>
      </tp>
      <tp t="s">
        <v>—</v>
        <stp/>
        <stp>##V3_BDHV12</stp>
        <stp>XOM US Equity</stp>
        <stp>IS_OTHER_ONE_TIME_ITEMS</stp>
        <stp>FQ2 2011</stp>
        <stp>FQ2 2011</stp>
        <stp>[FA1_m42y3cpi.xlsx]Income - Adjusted!R31C14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2"/>
      </tp>
      <tp>
        <v>0</v>
        <stp/>
        <stp>##V3_BDHV12</stp>
        <stp>XOM US Equity</stp>
        <stp>CF_INCR_INVEST</stp>
        <stp>FQ2 2017</stp>
        <stp>FQ2 2017</stp>
        <stp>[FA1_m42y3cpi.xlsx]Cash Flow - Standardized!R29C38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9" s="4"/>
      </tp>
      <tp>
        <v>0</v>
        <stp/>
        <stp>##V3_BDHV12</stp>
        <stp>XOM US Equity</stp>
        <stp>CF_DECR_INVEST</stp>
        <stp>FQ2 2017</stp>
        <stp>FQ2 2017</stp>
        <stp>[FA1_m42y3cpi.xlsx]Cash Flow - Standardized!R28C38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4"/>
      </tp>
      <tp>
        <v>241</v>
        <stp/>
        <stp>##V3_BDHV12</stp>
        <stp>XOM US Equity</stp>
        <stp>CF_DISPOSAL_OF_FIXED_PROD_ASSETS</stp>
        <stp>FQ4 2014</stp>
        <stp>FQ4 2014</stp>
        <stp>[FA1_m42y3cpi.xlsx]Cash Flow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4"/>
      </tp>
      <tp>
        <v>307</v>
        <stp/>
        <stp>##V3_BDHV12</stp>
        <stp>XOM US Equity</stp>
        <stp>CF_DISPOSAL_OF_FIXED_PROD_ASSETS</stp>
        <stp>FQ2 2018</stp>
        <stp>FQ2 2018</stp>
        <stp>[FA1_m42y3cpi.xlsx]Cash Flow - Standardized!R22C42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4"/>
      </tp>
      <tp t="s">
        <v>—</v>
        <stp/>
        <stp>##V3_BDHV12</stp>
        <stp>XOM US Equity</stp>
        <stp>IS_OTHER_ONE_TIME_ITEMS</stp>
        <stp>FQ3 2010</stp>
        <stp>FQ3 2010</stp>
        <stp>[FA1_m42y3cpi.xlsx]Income - Adjusted!R31C11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2"/>
      </tp>
      <tp t="s">
        <v>—</v>
        <stp/>
        <stp>##V3_BDHV12</stp>
        <stp>XOM US Equity</stp>
        <stp>IS_OTHER_ONE_TIME_ITEMS</stp>
        <stp>FQ3 2013</stp>
        <stp>FQ3 2013</stp>
        <stp>[FA1_m42y3cpi.xlsx]Income - Adjusted!R31C23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2"/>
      </tp>
      <tp>
        <v>-3291</v>
        <stp/>
        <stp>##V3_BDHV12</stp>
        <stp>XOM US Equity</stp>
        <stp>CF_DVD_PAID</stp>
        <stp>FQ1 2018</stp>
        <stp>FQ1 2018</stp>
        <stp>[FA1_m42y3cpi.xlsx]Cash Flow - Standardized!R39C41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9" s="4"/>
      </tp>
      <tp>
        <v>351</v>
        <stp/>
        <stp>##V3_BDHV12</stp>
        <stp>XOM US Equity</stp>
        <stp>IS_OTHER_OPERATING_EXPENSES</stp>
        <stp>FQ1 2009</stp>
        <stp>FQ1 2009</stp>
        <stp>[FA1_m42y3cpi.xlsx]Income - Adjusted!R15C5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5" s="2"/>
      </tp>
      <tp>
        <v>495</v>
        <stp/>
        <stp>##V3_BDHV12</stp>
        <stp>XOM US Equity</stp>
        <stp>IS_OTHER_OPERATING_EXPENSES</stp>
        <stp>FQ3 2009</stp>
        <stp>FQ3 2009</stp>
        <stp>[FA1_m42y3cpi.xlsx]Income - Adjusted!R15C7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5" s="2"/>
      </tp>
      <tp>
        <v>490</v>
        <stp/>
        <stp>##V3_BDHV12</stp>
        <stp>XOM US Equity</stp>
        <stp>IS_OTHER_OPERATING_EXPENSES</stp>
        <stp>FQ2 2009</stp>
        <stp>FQ2 2009</stp>
        <stp>[FA1_m42y3cpi.xlsx]Income - Adjusted!R15C6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5" s="2"/>
      </tp>
      <tp>
        <v>-2212</v>
        <stp/>
        <stp>##V3_BDHV12</stp>
        <stp>XOM US Equity</stp>
        <stp>CF_DVD_PAID</stp>
        <stp>FQ4 2010</stp>
        <stp>FQ4 2010</stp>
        <stp>[FA1_m42y3cpi.xlsx]Cash Flow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4"/>
      </tp>
      <tp>
        <v>0.42</v>
        <stp/>
        <stp>##V3_BDHV12</stp>
        <stp>XOM US Equity</stp>
        <stp>EQY_DPS</stp>
        <stp>FQ3 2009</stp>
        <stp>FQ3 2009</stp>
        <stp>[FA1_m42y3cpi.xlsx]Per Share!R20C7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0" s="5"/>
      </tp>
      <tp>
        <v>0.42</v>
        <stp/>
        <stp>##V3_BDHV12</stp>
        <stp>XOM US Equity</stp>
        <stp>EQY_DPS</stp>
        <stp>FQ2 2009</stp>
        <stp>FQ2 2009</stp>
        <stp>[FA1_m42y3cpi.xlsx]Per Share!R20C6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0" s="5"/>
      </tp>
      <tp>
        <v>0.4</v>
        <stp/>
        <stp>##V3_BDHV12</stp>
        <stp>XOM US Equity</stp>
        <stp>EQY_DPS</stp>
        <stp>FQ1 2009</stp>
        <stp>FQ1 2009</stp>
        <stp>[FA1_m42y3cpi.xlsx]Per Share!R20C5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0" s="5"/>
      </tp>
      <tp>
        <v>-2247</v>
        <stp/>
        <stp>##V3_BDHV12</stp>
        <stp>XOM US Equity</stp>
        <stp>CF_DVD_PAID</stp>
        <stp>FQ4 2011</stp>
        <stp>FQ4 2011</stp>
        <stp>[FA1_m42y3cpi.xlsx]Cash Flow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4"/>
      </tp>
      <tp>
        <v>134</v>
        <stp/>
        <stp>##V3_BDHV12</stp>
        <stp>XOM US Equity</stp>
        <stp>CF_EFFECT_FOREIGN_EXCHANGES</stp>
        <stp>FQ2 2011</stp>
        <stp>FQ2 2011</stp>
        <stp>[FA1_m42y3cpi.xlsx]Cash Flow - Standardized!R51C14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1" s="4"/>
      </tp>
      <tp>
        <v>0.9012</v>
        <stp/>
        <stp>##V3_BDHV12</stp>
        <stp>XOM US Equity</stp>
        <stp>FREE_CASH_FLOW_PER_SH</stp>
        <stp>FQ2 2017</stp>
        <stp>FQ2 2017</stp>
        <stp>[FA1_m42y3cpi.xlsx]Cash Flow - Standardized!R66C38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6" s="4"/>
      </tp>
      <tp>
        <v>0.6139</v>
        <stp/>
        <stp>##V3_BDHV12</stp>
        <stp>XOM US Equity</stp>
        <stp>FREE_CASH_FLOW_PER_SH</stp>
        <stp>FQ3 2017</stp>
        <stp>FQ3 2017</stp>
        <stp>[FA1_m42y3cpi.xlsx]Cash Flow - Standardized!R66C39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6" s="4"/>
      </tp>
      <tp>
        <v>0.27400000000000002</v>
        <stp/>
        <stp>##V3_BDHV12</stp>
        <stp>XOM US Equity</stp>
        <stp>FREE_CASH_FLOW_PER_SH</stp>
        <stp>FQ1 2015</stp>
        <stp>FQ1 2015</stp>
        <stp>[FA1_m42y3cpi.xlsx]Cash Flow - Standardized!R66C29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6" s="4"/>
      </tp>
      <tp>
        <v>-212</v>
        <stp/>
        <stp>##V3_BDHV12</stp>
        <stp>XOM US Equity</stp>
        <stp>CF_EFFECT_FOREIGN_EXCHANGES</stp>
        <stp>FQ1 2013</stp>
        <stp>FQ1 2013</stp>
        <stp>[FA1_m42y3cpi.xlsx]Cash Flow - Standardized!R51C21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1" s="4"/>
      </tp>
      <tp>
        <v>-470</v>
        <stp/>
        <stp>##V3_BDHV12</stp>
        <stp>XOM US Equity</stp>
        <stp>CF_EFFECT_FOREIGN_EXCHANGES</stp>
        <stp>FQ2 2010</stp>
        <stp>FQ2 2010</stp>
        <stp>[FA1_m42y3cpi.xlsx]Cash Flow - Standardized!R51C10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1" s="4"/>
      </tp>
      <tp>
        <v>-24</v>
        <stp/>
        <stp>##V3_BDHV12</stp>
        <stp>XOM US Equity</stp>
        <stp>CF_EFFECT_FOREIGN_EXCHANGES</stp>
        <stp>FQ1 2014</stp>
        <stp>FQ1 2014</stp>
        <stp>[FA1_m42y3cpi.xlsx]Cash Flow - Standardized!R51C25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1" s="4"/>
      </tp>
      <tp>
        <v>67.040000000000006</v>
        <stp/>
        <stp>##V3_BDHV12</stp>
        <stp>XOM US Equity</stp>
        <stp>PX_OPEN</stp>
        <stp>FQ2 2009</stp>
        <stp>FQ2 2009</stp>
        <stp>[FA1_m42y3cpi.xlsx]Stock Value!R8C6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6"/>
      </tp>
      <tp>
        <v>-224</v>
        <stp/>
        <stp>##V3_BDHV12</stp>
        <stp>XOM US Equity</stp>
        <stp>CF_EFFECT_FOREIGN_EXCHANGES</stp>
        <stp>FQ1 2015</stp>
        <stp>FQ1 2015</stp>
        <stp>[FA1_m42y3cpi.xlsx]Cash Flow - Standardized!R51C29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1" s="4"/>
      </tp>
      <tp>
        <v>1.0900000000000001</v>
        <stp/>
        <stp>##V3_BDHV12</stp>
        <stp>XOM US Equity</stp>
        <stp>IS_EARN_BEF_XO_ITEMS_PER_SH</stp>
        <stp>FQ1 2018</stp>
        <stp>FQ1 2018</stp>
        <stp>[FA1_m42y3cpi.xlsx]Per Share!R15C41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5" s="5"/>
      </tp>
      <tp>
        <v>-176</v>
        <stp/>
        <stp>##V3_BDHV12</stp>
        <stp>XOM US Equity</stp>
        <stp>CF_EFFECT_FOREIGN_EXCHANGES</stp>
        <stp>FQ2 2012</stp>
        <stp>FQ2 2012</stp>
        <stp>[FA1_m42y3cpi.xlsx]Cash Flow - Standardized!R51C18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1" s="4"/>
      </tp>
      <tp>
        <v>18453</v>
        <stp/>
        <stp>##V3_BDHV12</stp>
        <stp>XOM US Equity</stp>
        <stp>EBITDA</stp>
        <stp>FQ2 2011</stp>
        <stp>FQ2 2011</stp>
        <stp>[FA1_m42y3cpi.xlsx]Cash Flow - Standardized!R59C14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59" s="4"/>
      </tp>
      <tp>
        <v>17789</v>
        <stp/>
        <stp>##V3_BDHV12</stp>
        <stp>XOM US Equity</stp>
        <stp>EBITDA</stp>
        <stp>FQ3 2011</stp>
        <stp>FQ3 2011</stp>
        <stp>[FA1_m42y3cpi.xlsx]Cash Flow - Standardized!R59C15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59" s="4"/>
      </tp>
      <tp>
        <v>8737</v>
        <stp/>
        <stp>##V3_BDHV12</stp>
        <stp>XOM US Equity</stp>
        <stp>EBITDA</stp>
        <stp>FQ2 2015</stp>
        <stp>FQ2 2015</stp>
        <stp>[FA1_m42y3cpi.xlsx]Cash Flow - Standardized!R59C30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59" s="4"/>
      </tp>
      <tp>
        <v>8704</v>
        <stp/>
        <stp>##V3_BDHV12</stp>
        <stp>XOM US Equity</stp>
        <stp>EBITDA</stp>
        <stp>FQ3 2015</stp>
        <stp>FQ3 2015</stp>
        <stp>[FA1_m42y3cpi.xlsx]Cash Flow - Standardized!R59C31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59" s="4"/>
      </tp>
      <tp>
        <v>0.63</v>
        <stp/>
        <stp>##V3_BDHV12</stp>
        <stp>XOM US Equity</stp>
        <stp>IS_DIL_EPS_BEF_XO</stp>
        <stp>FQ3 2016</stp>
        <stp>FQ3 2016</stp>
        <stp>[FA1_m42y3cpi.xlsx]Per Share!R18C35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8" s="5"/>
      </tp>
      <tp>
        <v>1.8900000000000001</v>
        <stp/>
        <stp>##V3_BDHV12</stp>
        <stp>XOM US Equity</stp>
        <stp>IS_DIL_EPS_BEF_XO</stp>
        <stp>FQ3 2014</stp>
        <stp>FQ3 2014</stp>
        <stp>[FA1_m42y3cpi.xlsx]Per Share!R18C27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8" s="5"/>
      </tp>
      <tp>
        <v>0.874</v>
        <stp/>
        <stp>##V3_BDHV12</stp>
        <stp>XOM US Equity</stp>
        <stp>IS_DIL_EPS_CONT_OPS</stp>
        <stp>FQ4 2017</stp>
        <stp>FQ4 2017</stp>
        <stp>[FA1_m42y3cpi.xlsx]Income - Adjusted!R57C40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7" s="2"/>
      </tp>
      <tp>
        <v>1.97</v>
        <stp/>
        <stp>##V3_BDHV12</stp>
        <stp>XOM US Equity</stp>
        <stp>IS_DIL_EPS_CONT_OPS</stp>
        <stp>FQ4 2011</stp>
        <stp>FQ4 2011</stp>
        <stp>[FA1_m42y3cpi.xlsx]Income - Adjusted!R57C16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7" s="2"/>
      </tp>
      <tp>
        <v>1.9100000000000001</v>
        <stp/>
        <stp>##V3_BDHV12</stp>
        <stp>XOM US Equity</stp>
        <stp>IS_DIL_EPS_CONT_OPS</stp>
        <stp>FQ4 2013</stp>
        <stp>FQ4 2013</stp>
        <stp>[FA1_m42y3cpi.xlsx]Income - Adjusted!R57C24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7" s="2"/>
      </tp>
      <tp>
        <v>0.67</v>
        <stp/>
        <stp>##V3_BDHV12</stp>
        <stp>XOM US Equity</stp>
        <stp>IS_DIL_EPS_CONT_OPS</stp>
        <stp>FQ4 2015</stp>
        <stp>FQ4 2015</stp>
        <stp>[FA1_m42y3cpi.xlsx]Income - Adjusted!R57C32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7" s="2"/>
      </tp>
      <tp>
        <v>-2772</v>
        <stp/>
        <stp>##V3_BDHV12</stp>
        <stp>XOM US Equity</stp>
        <stp>IS_NONOP_INCOME_LOSS</stp>
        <stp>FQ1 2015</stp>
        <stp>FQ1 2015</stp>
        <stp>[FA1_m42y3cpi.xlsx]Income - Adjusted!R17C29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7" s="2"/>
      </tp>
      <tp>
        <v>-3340</v>
        <stp/>
        <stp>##V3_BDHV12</stp>
        <stp>XOM US Equity</stp>
        <stp>IS_NONOP_INCOME_LOSS</stp>
        <stp>FQ4 2014</stp>
        <stp>FQ4 2014</stp>
        <stp>[FA1_m42y3cpi.xlsx]Income - Adjusted!R17C28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7" s="2"/>
      </tp>
      <tp>
        <v>32.786999999999999</v>
        <stp/>
        <stp>##V3_BDHV12</stp>
        <stp>XOM US Equity</stp>
        <stp>PX_TO_FREE_CASH_FLOW</stp>
        <stp>FQ4 2014</stp>
        <stp>FQ4 2014</stp>
        <stp>[FA1_m42y3cpi.xlsx]Cash Flow - Standardized!R67C28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7" s="4"/>
      </tp>
      <tp>
        <v>20.5458</v>
        <stp/>
        <stp>##V3_BDHV12</stp>
        <stp>XOM US Equity</stp>
        <stp>PX_TO_FREE_CASH_FLOW</stp>
        <stp>FQ3 2012</stp>
        <stp>FQ3 2012</stp>
        <stp>[FA1_m42y3cpi.xlsx]Cash Flow - Standardized!R67C19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7" s="4"/>
      </tp>
      <tp>
        <v>17.8415</v>
        <stp/>
        <stp>##V3_BDHV12</stp>
        <stp>XOM US Equity</stp>
        <stp>PX_TO_FREE_CASH_FLOW</stp>
        <stp>FQ2 2012</stp>
        <stp>FQ2 2012</stp>
        <stp>[FA1_m42y3cpi.xlsx]Cash Flow - Standardized!R67C18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7" s="4"/>
      </tp>
      <tp t="s">
        <v>—</v>
        <stp/>
        <stp>##V3_BDHV12</stp>
        <stp>XOM US Equity</stp>
        <stp>TANG_BOOK_VAL_PER_SH</stp>
        <stp>FQ3 2016</stp>
        <stp>FQ3 2016</stp>
        <stp>[FA1_m42y3cpi.xlsx]Per Share!R27C35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7" s="5"/>
      </tp>
      <tp t="s">
        <v>—</v>
        <stp/>
        <stp>##V3_BDHV12</stp>
        <stp>XOM US Equity</stp>
        <stp>TANG_BOOK_VAL_PER_SH</stp>
        <stp>FQ3 2014</stp>
        <stp>FQ3 2014</stp>
        <stp>[FA1_m42y3cpi.xlsx]Per Share!R27C27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7" s="5"/>
      </tp>
      <tp>
        <v>0</v>
        <stp/>
        <stp>##V3_BDHV12</stp>
        <stp>XOM US Equity</stp>
        <stp>IS_EXTRAORD_ITEMS_&amp;_ACCTG_CHNG</stp>
        <stp>FQ2 2010</stp>
        <stp>FQ2 2010</stp>
        <stp>[FA1_m42y3cpi.xlsx]Income - Adjusted!R37C10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7" s="2"/>
      </tp>
      <tp>
        <v>0</v>
        <stp/>
        <stp>##V3_BDHV12</stp>
        <stp>XOM US Equity</stp>
        <stp>IS_EXTRAORD_ITEMS_&amp;_ACCTG_CHNG</stp>
        <stp>FQ2 2013</stp>
        <stp>FQ2 2013</stp>
        <stp>[FA1_m42y3cpi.xlsx]Income - Adjusted!R37C22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7" s="2"/>
      </tp>
      <tp>
        <v>32007</v>
        <stp/>
        <stp>##V3_BDHV12</stp>
        <stp>XOM US Equity</stp>
        <stp>C&amp;CE_AND_STI_DETAILED</stp>
        <stp>FQ4 2008</stp>
        <stp>FQ4 2008</stp>
        <stp>[FA1_m42y3cpi.xlsx]Bal Sheet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3"/>
      </tp>
      <tp>
        <v>0</v>
        <stp/>
        <stp>##V3_BDHV12</stp>
        <stp>XOM US Equity</stp>
        <stp>IS_EXTRAORD_ITEMS_&amp;_ACCTG_CHNG</stp>
        <stp>FQ3 2011</stp>
        <stp>FQ3 2011</stp>
        <stp>[FA1_m42y3cpi.xlsx]Income - Adjusted!R37C15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7" s="2"/>
      </tp>
      <tp>
        <v>38434</v>
        <stp/>
        <stp>##V3_BDHV12</stp>
        <stp>XOM US Equity</stp>
        <stp>C&amp;CE_AND_STI_DETAILED</stp>
        <stp>FQ3 2008</stp>
        <stp>FQ3 2008</stp>
        <stp>[FA1_m42y3cpi.xlsx]Bal Sheet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3"/>
      </tp>
      <tp>
        <v>26.063500000000001</v>
        <stp/>
        <stp>##V3_BDHV12</stp>
        <stp>XOM US Equity</stp>
        <stp>PX_TO_FREE_CASH_FLOW</stp>
        <stp>FQ2 2018</stp>
        <stp>FQ2 2018</stp>
        <stp>[FA1_m42y3cpi.xlsx]Cash Flow - Standardized!R67C42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7" s="4"/>
      </tp>
      <tp>
        <v>21.896599999999999</v>
        <stp/>
        <stp>##V3_BDHV12</stp>
        <stp>XOM US Equity</stp>
        <stp>PX_TO_FREE_CASH_FLOW</stp>
        <stp>FQ1 2018</stp>
        <stp>FQ1 2018</stp>
        <stp>[FA1_m42y3cpi.xlsx]Cash Flow - Standardized!R67C41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7" s="4"/>
      </tp>
      <tp>
        <v>-996</v>
        <stp/>
        <stp>##V3_BDHV12</stp>
        <stp>XOM US Equity</stp>
        <stp>OTHER_NON_CASH_ADJ_LESS_DETAILED</stp>
        <stp>FQ3 2017</stp>
        <stp>FQ3 2017</stp>
        <stp>[FA1_m42y3cpi.xlsx]Cash Flow - Standardized!R12C39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4"/>
      </tp>
      <tp>
        <v>0</v>
        <stp/>
        <stp>##V3_BDHV12</stp>
        <stp>XOM US Equity</stp>
        <stp>BS_PFD_EQTY_&amp;_HYBRID_CPTL</stp>
        <stp>FQ2 2017</stp>
        <stp>FQ2 2017</stp>
        <stp>[FA1_m42y3cpi.xlsx]Bal Sheet - Standardized!R67C38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7" s="3"/>
      </tp>
      <tp>
        <v>4650</v>
        <stp/>
        <stp>##V3_BDHV12</stp>
        <stp>XOM US Equity</stp>
        <stp>EARN_FOR_COMMON</stp>
        <stp>FQ1 2018</stp>
        <stp>FQ1 2018</stp>
        <stp>[FA1_m42y3cpi.xlsx]Income - Adjusted!R43C41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43" s="2"/>
      </tp>
      <tp>
        <v>335191</v>
        <stp/>
        <stp>##V3_BDHV12</stp>
        <stp>XOM US Equity</stp>
        <stp>TOT_LIAB_AND_EQY</stp>
        <stp>FQ3 2012</stp>
        <stp>FQ3 2012</stp>
        <stp>[FA1_m42y3cpi.xlsx]Bal Sheet - Standardized!R75C19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5" s="3"/>
      </tp>
      <tp>
        <v>0</v>
        <stp/>
        <stp>##V3_BDHV12</stp>
        <stp>XOM US Equity</stp>
        <stp>CF_NET_CASH_DISCONTINUED_OPS_INV</stp>
        <stp>FQ4 2011</stp>
        <stp>FQ4 2011</stp>
        <stp>[FA1_m42y3cpi.xlsx]Cash Flow - Standardized!R35C16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4"/>
      </tp>
      <tp>
        <v>13277</v>
        <stp/>
        <stp>##V3_BDHV12</stp>
        <stp>XOM US Equity</stp>
        <stp>SHORT_TERM_DEBT_DETAILED</stp>
        <stp>FQ1 2015</stp>
        <stp>FQ1 2015</stp>
        <stp>[FA1_m42y3cpi.xlsx]Bal Sheet - Standardized!R48C29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8" s="3"/>
      </tp>
      <tp>
        <v>0</v>
        <stp/>
        <stp>##V3_BDHV12</stp>
        <stp>XOM US Equity</stp>
        <stp>CF_DISPOSAL_OF_INTANGIBLE_ASSETS</stp>
        <stp>FQ2 2012</stp>
        <stp>FQ2 2012</stp>
        <stp>[FA1_m42y3cpi.xlsx]Cash Flow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4"/>
      </tp>
      <tp>
        <v>144</v>
        <stp/>
        <stp>##V3_BDHV12</stp>
        <stp>XOM US Equity</stp>
        <stp>MIN_NONCONTROL_INTEREST_CREDITS</stp>
        <stp>FQ3 2015</stp>
        <stp>FQ3 2015</stp>
        <stp>[FA1_m42y3cpi.xlsx]Income - Adjusted!R39C31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39" s="2"/>
      </tp>
      <tp>
        <v>341</v>
        <stp/>
        <stp>##V3_BDHV12</stp>
        <stp>XOM US Equity</stp>
        <stp>MIN_NONCONTROL_INTEREST_CREDITS</stp>
        <stp>FQ3 2011</stp>
        <stp>FQ3 2011</stp>
        <stp>[FA1_m42y3cpi.xlsx]Income - Adjusted!R39C15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39" s="2"/>
      </tp>
      <tp>
        <v>0</v>
        <stp/>
        <stp>##V3_BDHV12</stp>
        <stp>XOM US Equity</stp>
        <stp>CF_DISPOSAL_OF_INTANGIBLE_ASSETS</stp>
        <stp>FQ1 2015</stp>
        <stp>FQ1 2015</stp>
        <stp>[FA1_m42y3cpi.xlsx]Cash Flow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4"/>
      </tp>
      <tp>
        <v>0</v>
        <stp/>
        <stp>##V3_BDHV12</stp>
        <stp>XOM US Equity</stp>
        <stp>CF_NET_CASH_DISCONTINUED_OPS_INV</stp>
        <stp>FQ4 2010</stp>
        <stp>FQ4 2010</stp>
        <stp>[FA1_m42y3cpi.xlsx]Cash Flow - Standardized!R35C12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4"/>
      </tp>
      <tp>
        <v>6704</v>
        <stp/>
        <stp>##V3_BDHV12</stp>
        <stp>XOM US Equity</stp>
        <stp>SHORT_TERM_DEBT_DETAILED</stp>
        <stp>FQ2 2012</stp>
        <stp>FQ2 2012</stp>
        <stp>[FA1_m42y3cpi.xlsx]Bal Sheet - Standardized!R48C18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8" s="3"/>
      </tp>
      <tp>
        <v>0</v>
        <stp/>
        <stp>##V3_BDHV12</stp>
        <stp>XOM US Equity</stp>
        <stp>CF_DISPOSAL_OF_INTANGIBLE_ASSETS</stp>
        <stp>FQ1 2013</stp>
        <stp>FQ1 2013</stp>
        <stp>[FA1_m42y3cpi.xlsx]Cash Flow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4"/>
      </tp>
      <tp>
        <v>344209</v>
        <stp/>
        <stp>##V3_BDHV12</stp>
        <stp>XOM US Equity</stp>
        <stp>TOT_LIAB_AND_EQY</stp>
        <stp>FQ1 2017</stp>
        <stp>FQ1 2017</stp>
        <stp>[FA1_m42y3cpi.xlsx]Bal Sheet - Standardized!R75C37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5" s="3"/>
      </tp>
      <tp>
        <v>4365</v>
        <stp/>
        <stp>##V3_BDHV12</stp>
        <stp>XOM US Equity</stp>
        <stp>SHORT_TERM_DEBT_DETAILED</stp>
        <stp>FQ2 2011</stp>
        <stp>FQ2 2011</stp>
        <stp>[FA1_m42y3cpi.xlsx]Bal Sheet - Standardized!R48C14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8" s="3"/>
      </tp>
      <tp>
        <v>203</v>
        <stp/>
        <stp>##V3_BDHV12</stp>
        <stp>XOM US Equity</stp>
        <stp>OTHER_NON_CASH_ADJ_LESS_DETAILED</stp>
        <stp>FQ1 2012</stp>
        <stp>FQ1 2012</stp>
        <stp>[FA1_m42y3cpi.xlsx]Cash Flow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4"/>
      </tp>
      <tp>
        <v>0</v>
        <stp/>
        <stp>##V3_BDHV12</stp>
        <stp>XOM US Equity</stp>
        <stp>CF_DISPOSAL_OF_INTANGIBLE_ASSETS</stp>
        <stp>FQ2 2010</stp>
        <stp>FQ2 2010</stp>
        <stp>[FA1_m42y3cpi.xlsx]Cash Flow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4"/>
      </tp>
      <tp>
        <v>0</v>
        <stp/>
        <stp>##V3_BDHV12</stp>
        <stp>XOM US Equity</stp>
        <stp>CF_NET_CASH_DISCONTINUED_OPS_INV</stp>
        <stp>FQ1 2018</stp>
        <stp>FQ1 2018</stp>
        <stp>[FA1_m42y3cpi.xlsx]Cash Flow - Standardized!R35C41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5" s="4"/>
      </tp>
      <tp>
        <v>-104</v>
        <stp/>
        <stp>##V3_BDHV12</stp>
        <stp>XOM US Equity</stp>
        <stp>OTHER_NON_CASH_ADJ_LESS_DETAILED</stp>
        <stp>FQ3 2015</stp>
        <stp>FQ3 2015</stp>
        <stp>[FA1_m42y3cpi.xlsx]Cash Flow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4"/>
      </tp>
      <tp>
        <v>0</v>
        <stp/>
        <stp>##V3_BDHV12</stp>
        <stp>XOM US Equity</stp>
        <stp>BS_PFD_EQTY_&amp;_HYBRID_CPTL</stp>
        <stp>FQ2 2015</stp>
        <stp>FQ2 2015</stp>
        <stp>[FA1_m42y3cpi.xlsx]Bal Sheet - Standardized!R67C30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7" s="3"/>
      </tp>
      <tp>
        <v>0</v>
        <stp/>
        <stp>##V3_BDHV12</stp>
        <stp>XOM US Equity</stp>
        <stp>CF_DISPOSAL_OF_INTANGIBLE_ASSETS</stp>
        <stp>FQ1 2014</stp>
        <stp>FQ1 2014</stp>
        <stp>[FA1_m42y3cpi.xlsx]Cash Flow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4"/>
      </tp>
      <tp>
        <v>299994</v>
        <stp/>
        <stp>##V3_BDHV12</stp>
        <stp>XOM US Equity</stp>
        <stp>TOT_LIAB_AND_EQY</stp>
        <stp>FQ3 2010</stp>
        <stp>FQ3 2010</stp>
        <stp>[FA1_m42y3cpi.xlsx]Bal Sheet - Standardized!R75C11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5" s="3"/>
      </tp>
      <tp>
        <v>0</v>
        <stp/>
        <stp>##V3_BDHV12</stp>
        <stp>XOM US Equity</stp>
        <stp>CF_DISPOSAL_OF_INTANGIBLE_ASSETS</stp>
        <stp>FQ2 2011</stp>
        <stp>FQ2 2011</stp>
        <stp>[FA1_m42y3cpi.xlsx]Cash Flow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4"/>
      </tp>
      <tp>
        <v>5937</v>
        <stp/>
        <stp>##V3_BDHV12</stp>
        <stp>XOM US Equity</stp>
        <stp>SHORT_TERM_DEBT_DETAILED</stp>
        <stp>FQ1 2013</stp>
        <stp>FQ1 2013</stp>
        <stp>[FA1_m42y3cpi.xlsx]Bal Sheet - Standardized!R48C21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8" s="3"/>
      </tp>
      <tp>
        <v>-1239</v>
        <stp/>
        <stp>##V3_BDHV12</stp>
        <stp>XOM US Equity</stp>
        <stp>OTHER_NON_CASH_ADJ_LESS_DETAILED</stp>
        <stp>FQ3 2016</stp>
        <stp>FQ3 2016</stp>
        <stp>[FA1_m42y3cpi.xlsx]Cash Flow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4"/>
      </tp>
      <tp>
        <v>-414</v>
        <stp/>
        <stp>##V3_BDHV12</stp>
        <stp>XOM US Equity</stp>
        <stp>OTHER_NON_CASH_ADJ_LESS_DETAILED</stp>
        <stp>FQ2 2014</stp>
        <stp>FQ2 2014</stp>
        <stp>[FA1_m42y3cpi.xlsx]Cash Flow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4"/>
      </tp>
      <tp>
        <v>0</v>
        <stp/>
        <stp>##V3_BDHV12</stp>
        <stp>XOM US Equity</stp>
        <stp>BS_PFD_EQTY_&amp;_HYBRID_CPTL</stp>
        <stp>FQ2 2016</stp>
        <stp>FQ2 2016</stp>
        <stp>[FA1_m42y3cpi.xlsx]Bal Sheet - Standardized!R67C34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7" s="3"/>
      </tp>
      <tp>
        <v>0</v>
        <stp/>
        <stp>##V3_BDHV12</stp>
        <stp>XOM US Equity</stp>
        <stp>BS_PFD_EQTY_&amp;_HYBRID_CPTL</stp>
        <stp>FQ3 2014</stp>
        <stp>FQ3 2014</stp>
        <stp>[FA1_m42y3cpi.xlsx]Bal Sheet - Standardized!R67C27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7" s="3"/>
      </tp>
      <tp>
        <v>342789</v>
        <stp/>
        <stp>##V3_BDHV12</stp>
        <stp>XOM US Equity</stp>
        <stp>TOT_LIAB_AND_EQY</stp>
        <stp>FQ1 2016</stp>
        <stp>FQ1 2016</stp>
        <stp>[FA1_m42y3cpi.xlsx]Bal Sheet - Standardized!R75C33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5" s="3"/>
      </tp>
      <tp>
        <v>1920</v>
        <stp/>
        <stp>##V3_BDHV12</stp>
        <stp>XOM US Equity</stp>
        <stp>SHORT_TERM_DEBT_DETAILED</stp>
        <stp>FQ2 2010</stp>
        <stp>FQ2 2010</stp>
        <stp>[FA1_m42y3cpi.xlsx]Bal Sheet - Standardized!R48C10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8" s="3"/>
      </tp>
      <tp>
        <v>1701</v>
        <stp/>
        <stp>##V3_BDHV12</stp>
        <stp>XOM US Equity</stp>
        <stp>OTHER_NON_CASH_ADJ_LESS_DETAILED</stp>
        <stp>FQ2 2013</stp>
        <stp>FQ2 2013</stp>
        <stp>[FA1_m42y3cpi.xlsx]Cash Flow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4"/>
      </tp>
      <tp>
        <v>-442</v>
        <stp/>
        <stp>##V3_BDHV12</stp>
        <stp>XOM US Equity</stp>
        <stp>OTHER_NON_CASH_ADJ_LESS_DETAILED</stp>
        <stp>FQ1 2011</stp>
        <stp>FQ1 2011</stp>
        <stp>[FA1_m42y3cpi.xlsx]Cash Flow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4"/>
      </tp>
      <tp>
        <v>-6709</v>
        <stp/>
        <stp>##V3_BDHV12</stp>
        <stp>XOM US Equity</stp>
        <stp>OTHER_NON_CASH_ADJ_LESS_DETAILED</stp>
        <stp>FQ4 2017</stp>
        <stp>FQ4 2017</stp>
        <stp>[FA1_m42y3cpi.xlsx]Cash Flow - Standardized!R12C40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4"/>
      </tp>
      <tp>
        <v>0</v>
        <stp/>
        <stp>##V3_BDHV12</stp>
        <stp>XOM US Equity</stp>
        <stp>BS_PFD_EQTY_&amp;_HYBRID_CPTL</stp>
        <stp>FQ3 2013</stp>
        <stp>FQ3 2013</stp>
        <stp>[FA1_m42y3cpi.xlsx]Bal Sheet - Standardized!R67C23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7" s="3"/>
      </tp>
      <tp>
        <v>323227</v>
        <stp/>
        <stp>##V3_BDHV12</stp>
        <stp>XOM US Equity</stp>
        <stp>TOT_LIAB_AND_EQY</stp>
        <stp>FQ3 2011</stp>
        <stp>FQ3 2011</stp>
        <stp>[FA1_m42y3cpi.xlsx]Bal Sheet - Standardized!R75C15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5" s="3"/>
      </tp>
      <tp>
        <v>9223</v>
        <stp/>
        <stp>##V3_BDHV12</stp>
        <stp>XOM US Equity</stp>
        <stp>SHORT_TERM_DEBT_DETAILED</stp>
        <stp>FQ1 2014</stp>
        <stp>FQ1 2014</stp>
        <stp>[FA1_m42y3cpi.xlsx]Bal Sheet - Standardized!R48C25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8" s="3"/>
      </tp>
      <tp>
        <v>0</v>
        <stp/>
        <stp>##V3_BDHV12</stp>
        <stp>XOM US Equity</stp>
        <stp>CF_INCR_INVEST</stp>
        <stp>FQ3 2011</stp>
        <stp>FQ3 2011</stp>
        <stp>[FA1_m42y3cpi.xlsx]Cash Flow - Standardized!R29C15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4"/>
      </tp>
      <tp>
        <v>1674</v>
        <stp/>
        <stp>##V3_BDHV12</stp>
        <stp>XOM US Equity</stp>
        <stp>CF_DECR_INVEST</stp>
        <stp>FQ3 2011</stp>
        <stp>FQ3 2011</stp>
        <stp>[FA1_m42y3cpi.xlsx]Cash Flow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4"/>
      </tp>
      <tp t="s">
        <v>—</v>
        <stp/>
        <stp>##V3_BDHV12</stp>
        <stp>XOM US Equity</stp>
        <stp>CF_DEF_INC_TAX</stp>
        <stp>FQ4 2013</stp>
        <stp>FQ4 2013</stp>
        <stp>[FA1_m42y3cpi.xlsx]Cash Flow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4"/>
      </tp>
      <tp>
        <v>0</v>
        <stp/>
        <stp>##V3_BDHV12</stp>
        <stp>XOM US Equity</stp>
        <stp>CF_INCR_INVEST</stp>
        <stp>FQ1 2016</stp>
        <stp>FQ1 2016</stp>
        <stp>[FA1_m42y3cpi.xlsx]Cash Flow - Standardized!R29C33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4"/>
      </tp>
      <tp>
        <v>0</v>
        <stp/>
        <stp>##V3_BDHV12</stp>
        <stp>XOM US Equity</stp>
        <stp>CF_DECR_INVEST</stp>
        <stp>FQ1 2016</stp>
        <stp>FQ1 2016</stp>
        <stp>[FA1_m42y3cpi.xlsx]Cash Flow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4"/>
      </tp>
      <tp>
        <v>1654</v>
        <stp/>
        <stp>##V3_BDHV12</stp>
        <stp>XOM US Equity</stp>
        <stp>CF_DISPOSAL_OF_FIXED_PROD_ASSETS</stp>
        <stp>FQ4 2010</stp>
        <stp>FQ4 2010</stp>
        <stp>[FA1_m42y3cpi.xlsx]Cash Flow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4"/>
      </tp>
      <tp>
        <v>9926</v>
        <stp/>
        <stp>##V3_BDHV12</stp>
        <stp>XOM US Equity</stp>
        <stp>NI_INCLUDING_MINORITY_INT_RATIO</stp>
        <stp>FQ3 2012</stp>
        <stp>FQ3 2012</stp>
        <stp>[FA1_m42y3cpi.xlsx]Income - Adjusted!R38C19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38" s="2"/>
      </tp>
      <tp>
        <v>0</v>
        <stp/>
        <stp>##V3_BDHV12</stp>
        <stp>XOM US Equity</stp>
        <stp>CF_INCR_INVEST</stp>
        <stp>FQ3 2010</stp>
        <stp>FQ3 2010</stp>
        <stp>[FA1_m42y3cpi.xlsx]Cash Flow - Standardized!R29C11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4"/>
      </tp>
      <tp>
        <v>0</v>
        <stp/>
        <stp>##V3_BDHV12</stp>
        <stp>XOM US Equity</stp>
        <stp>CF_DECR_INVEST</stp>
        <stp>FQ3 2010</stp>
        <stp>FQ3 2010</stp>
        <stp>[FA1_m42y3cpi.xlsx]Cash Flow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4"/>
      </tp>
      <tp t="s">
        <v>—</v>
        <stp/>
        <stp>##V3_BDHV12</stp>
        <stp>XOM US Equity</stp>
        <stp>IS_OTHER_ONE_TIME_ITEMS</stp>
        <stp>FQ2 2012</stp>
        <stp>FQ2 2012</stp>
        <stp>[FA1_m42y3cpi.xlsx]Income - Adjusted!R31C18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2"/>
      </tp>
      <tp>
        <v>6887</v>
        <stp/>
        <stp>##V3_BDHV12</stp>
        <stp>XOM US Equity</stp>
        <stp>CF_DISPOSAL_OF_FIXED_PROD_ASSETS</stp>
        <stp>FQ4 2011</stp>
        <stp>FQ4 2011</stp>
        <stp>[FA1_m42y3cpi.xlsx]Cash Flow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4"/>
      </tp>
      <tp t="s">
        <v>—</v>
        <stp/>
        <stp>##V3_BDHV12</stp>
        <stp>XOM US Equity</stp>
        <stp>CF_DEF_INC_TAX</stp>
        <stp>FQ4 2012</stp>
        <stp>FQ4 2012</stp>
        <stp>[FA1_m42y3cpi.xlsx]Cash Flow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4"/>
      </tp>
      <tp>
        <v>0</v>
        <stp/>
        <stp>##V3_BDHV12</stp>
        <stp>XOM US Equity</stp>
        <stp>CF_INCR_INVEST</stp>
        <stp>FQ1 2017</stp>
        <stp>FQ1 2017</stp>
        <stp>[FA1_m42y3cpi.xlsx]Cash Flow - Standardized!R29C37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9" s="4"/>
      </tp>
      <tp>
        <v>0</v>
        <stp/>
        <stp>##V3_BDHV12</stp>
        <stp>XOM US Equity</stp>
        <stp>CF_DECR_INVEST</stp>
        <stp>FQ1 2017</stp>
        <stp>FQ1 2017</stp>
        <stp>[FA1_m42y3cpi.xlsx]Cash Flow - Standardized!R28C37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4"/>
      </tp>
      <tp>
        <v>4880</v>
        <stp/>
        <stp>##V3_BDHV12</stp>
        <stp>XOM US Equity</stp>
        <stp>BS_SH_OUT</stp>
        <stp>FQ1 2009</stp>
        <stp>FQ1 2009</stp>
        <stp>[FA1_m42y3cpi.xlsx]Per Share!R6C5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5"/>
      </tp>
      <tp t="s">
        <v>—</v>
        <stp/>
        <stp>##V3_BDHV12</stp>
        <stp>XOM US Equity</stp>
        <stp>CF_DEF_INC_TAX</stp>
        <stp>FQ4 2014</stp>
        <stp>FQ4 2014</stp>
        <stp>[FA1_m42y3cpi.xlsx]Cash Flow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4"/>
      </tp>
      <tp t="s">
        <v>—</v>
        <stp/>
        <stp>##V3_BDHV12</stp>
        <stp>XOM US Equity</stp>
        <stp>CF_DEF_INC_TAX</stp>
        <stp>FQ2 2018</stp>
        <stp>FQ2 2018</stp>
        <stp>[FA1_m42y3cpi.xlsx]Cash Flow - Standardized!R11C42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1" s="4"/>
      </tp>
      <tp>
        <v>4747</v>
        <stp/>
        <stp>##V3_BDHV12</stp>
        <stp>XOM US Equity</stp>
        <stp>BS_SH_OUT</stp>
        <stp>FQ3 2009</stp>
        <stp>FQ3 2009</stp>
        <stp>[FA1_m42y3cpi.xlsx]Per Share!R6C7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5"/>
      </tp>
      <tp>
        <v>4806</v>
        <stp/>
        <stp>##V3_BDHV12</stp>
        <stp>XOM US Equity</stp>
        <stp>BS_SH_OUT</stp>
        <stp>FQ2 2009</stp>
        <stp>FQ2 2009</stp>
        <stp>[FA1_m42y3cpi.xlsx]Per Share!R6C6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5"/>
      </tp>
      <tp>
        <v>1441</v>
        <stp/>
        <stp>##V3_BDHV12</stp>
        <stp>XOM US Equity</stp>
        <stp>CF_DISPOSAL_OF_FIXED_PROD_ASSETS</stp>
        <stp>FQ1 2018</stp>
        <stp>FQ1 2018</stp>
        <stp>[FA1_m42y3cpi.xlsx]Cash Flow - Standardized!R22C41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4"/>
      </tp>
      <tp t="s">
        <v>—</v>
        <stp/>
        <stp>##V3_BDHV12</stp>
        <stp>XOM US Equity</stp>
        <stp>IS_OTHER_ONE_TIME_ITEMS</stp>
        <stp>FQ1 2011</stp>
        <stp>FQ1 2011</stp>
        <stp>[FA1_m42y3cpi.xlsx]Income - Adjusted!R31C13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2"/>
      </tp>
      <tp>
        <v>0</v>
        <stp/>
        <stp>##V3_BDHV12</stp>
        <stp>XOM US Equity</stp>
        <stp>CF_INCR_INVEST</stp>
        <stp>FQ3 2012</stp>
        <stp>FQ3 2012</stp>
        <stp>[FA1_m42y3cpi.xlsx]Cash Flow - Standardized!R29C19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4"/>
      </tp>
      <tp>
        <v>0</v>
        <stp/>
        <stp>##V3_BDHV12</stp>
        <stp>XOM US Equity</stp>
        <stp>CF_DECR_INVEST</stp>
        <stp>FQ3 2012</stp>
        <stp>FQ3 2012</stp>
        <stp>[FA1_m42y3cpi.xlsx]Cash Flow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4"/>
      </tp>
      <tp t="s">
        <v>—</v>
        <stp/>
        <stp>##V3_BDHV12</stp>
        <stp>XOM US Equity</stp>
        <stp>IS_OTHER_ONE_TIME_ITEMS</stp>
        <stp>FQ4 2016</stp>
        <stp>FQ4 2016</stp>
        <stp>[FA1_m42y3cpi.xlsx]Income - Adjusted!R31C36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2"/>
      </tp>
      <tp>
        <v>-3502</v>
        <stp/>
        <stp>##V3_BDHV12</stp>
        <stp>XOM US Equity</stp>
        <stp>CF_DVD_PAID</stp>
        <stp>FQ2 2018</stp>
        <stp>FQ2 2018</stp>
        <stp>[FA1_m42y3cpi.xlsx]Cash Flow - Standardized!R39C42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9" s="4"/>
      </tp>
      <tp>
        <v>-2924</v>
        <stp/>
        <stp>##V3_BDHV12</stp>
        <stp>XOM US Equity</stp>
        <stp>CF_DVD_PAID</stp>
        <stp>FQ4 2014</stp>
        <stp>FQ4 2014</stp>
        <stp>[FA1_m42y3cpi.xlsx]Cash Flow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4"/>
      </tp>
      <tp>
        <v>-2592</v>
        <stp/>
        <stp>##V3_BDHV12</stp>
        <stp>XOM US Equity</stp>
        <stp>CF_DVD_PAID</stp>
        <stp>FQ4 2012</stp>
        <stp>FQ4 2012</stp>
        <stp>[FA1_m42y3cpi.xlsx]Cash Flow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4"/>
      </tp>
      <tp>
        <v>-2750</v>
        <stp/>
        <stp>##V3_BDHV12</stp>
        <stp>XOM US Equity</stp>
        <stp>CF_DVD_PAID</stp>
        <stp>FQ4 2013</stp>
        <stp>FQ4 2013</stp>
        <stp>[FA1_m42y3cpi.xlsx]Cash Flow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4"/>
      </tp>
      <tp>
        <v>-162</v>
        <stp/>
        <stp>##V3_BDHV12</stp>
        <stp>XOM US Equity</stp>
        <stp>CF_EFFECT_FOREIGN_EXCHANGES</stp>
        <stp>FQ3 2015</stp>
        <stp>FQ3 2015</stp>
        <stp>[FA1_m42y3cpi.xlsx]Cash Flow - Standardized!R51C31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1" s="4"/>
      </tp>
      <tp>
        <v>200</v>
        <stp/>
        <stp>##V3_BDHV12</stp>
        <stp>XOM US Equity</stp>
        <stp>CF_EFFECT_FOREIGN_EXCHANGES</stp>
        <stp>FQ1 2012</stp>
        <stp>FQ1 2012</stp>
        <stp>[FA1_m42y3cpi.xlsx]Cash Flow - Standardized!R51C17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1" s="4"/>
      </tp>
      <tp>
        <v>-127</v>
        <stp/>
        <stp>##V3_BDHV12</stp>
        <stp>XOM US Equity</stp>
        <stp>CF_EFFECT_FOREIGN_EXCHANGES</stp>
        <stp>FQ4 2017</stp>
        <stp>FQ4 2017</stp>
        <stp>[FA1_m42y3cpi.xlsx]Cash Flow - Standardized!R51C40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1" s="4"/>
      </tp>
      <tp>
        <v>254</v>
        <stp/>
        <stp>##V3_BDHV12</stp>
        <stp>XOM US Equity</stp>
        <stp>CF_EFFECT_FOREIGN_EXCHANGES</stp>
        <stp>FQ1 2011</stp>
        <stp>FQ1 2011</stp>
        <stp>[FA1_m42y3cpi.xlsx]Cash Flow - Standardized!R51C13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1" s="4"/>
      </tp>
      <tp>
        <v>-80</v>
        <stp/>
        <stp>##V3_BDHV12</stp>
        <stp>XOM US Equity</stp>
        <stp>CF_EFFECT_FOREIGN_EXCHANGES</stp>
        <stp>FQ2 2013</stp>
        <stp>FQ2 2013</stp>
        <stp>[FA1_m42y3cpi.xlsx]Cash Flow - Standardized!R51C22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1" s="4"/>
      </tp>
      <tp>
        <v>53</v>
        <stp/>
        <stp>##V3_BDHV12</stp>
        <stp>XOM US Equity</stp>
        <stp>CF_EFFECT_FOREIGN_EXCHANGES</stp>
        <stp>FQ2 2014</stp>
        <stp>FQ2 2014</stp>
        <stp>[FA1_m42y3cpi.xlsx]Cash Flow - Standardized!R51C26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1" s="4"/>
      </tp>
      <tp>
        <v>-89</v>
        <stp/>
        <stp>##V3_BDHV12</stp>
        <stp>XOM US Equity</stp>
        <stp>CF_EFFECT_FOREIGN_EXCHANGES</stp>
        <stp>FQ3 2016</stp>
        <stp>FQ3 2016</stp>
        <stp>[FA1_m42y3cpi.xlsx]Cash Flow - Standardized!R51C35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1" s="4"/>
      </tp>
      <tp>
        <v>77.19</v>
        <stp/>
        <stp>##V3_BDHV12</stp>
        <stp>XOM US Equity</stp>
        <stp>PX_OPEN</stp>
        <stp>FQ4 2008</stp>
        <stp>FQ4 2008</stp>
        <stp>[FA1_m42y3cpi.xlsx]Stock Value!R8C4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6"/>
      </tp>
      <tp>
        <v>80.06</v>
        <stp/>
        <stp>##V3_BDHV12</stp>
        <stp>XOM US Equity</stp>
        <stp>PX_OPEN</stp>
        <stp>FQ1 2009</stp>
        <stp>FQ1 2009</stp>
        <stp>[FA1_m42y3cpi.xlsx]Stock Value!R8C5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6"/>
      </tp>
      <tp>
        <v>232</v>
        <stp/>
        <stp>##V3_BDHV12</stp>
        <stp>XOM US Equity</stp>
        <stp>CF_EFFECT_FOREIGN_EXCHANGES</stp>
        <stp>FQ3 2017</stp>
        <stp>FQ3 2017</stp>
        <stp>[FA1_m42y3cpi.xlsx]Cash Flow - Standardized!R51C39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1" s="4"/>
      </tp>
      <tp>
        <v>3.41</v>
        <stp/>
        <stp>##V3_BDHV12</stp>
        <stp>XOM US Equity</stp>
        <stp>IS_EARN_BEF_XO_ITEMS_PER_SH</stp>
        <stp>FQ2 2012</stp>
        <stp>FQ2 2012</stp>
        <stp>[FA1_m42y3cpi.xlsx]Per Share!R15C18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5" s="5"/>
      </tp>
      <tp>
        <v>0.92</v>
        <stp/>
        <stp>##V3_BDHV12</stp>
        <stp>XOM US Equity</stp>
        <stp>IS_EARN_BEF_XO_ITEMS_PER_SH</stp>
        <stp>FQ2 2018</stp>
        <stp>FQ2 2018</stp>
        <stp>[FA1_m42y3cpi.xlsx]Per Share!R15C42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5" s="5"/>
      </tp>
      <tp t="s">
        <v>—</v>
        <stp/>
        <stp>##V3_BDHV12</stp>
        <stp>XOM US Equity</stp>
        <stp>BS_OPTIONS_GRANTED</stp>
        <stp>FQ1 2012</stp>
        <stp>FQ1 2012</stp>
        <stp>[FA1_m42y3cpi.xlsx]Bal Sheet - Standardized!R84C17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4" s="3"/>
      </tp>
      <tp t="s">
        <v>—</v>
        <stp/>
        <stp>##V3_BDHV12</stp>
        <stp>XOM US Equity</stp>
        <stp>BS_OPTIONS_GRANTED</stp>
        <stp>FQ4 2016</stp>
        <stp>FQ4 2016</stp>
        <stp>[FA1_m42y3cpi.xlsx]Bal Sheet - Standardized!R84C36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4" s="3"/>
      </tp>
      <tp t="s">
        <v>—</v>
        <stp/>
        <stp>##V3_BDHV12</stp>
        <stp>XOM US Equity</stp>
        <stp>BS_OPTIONS_GRANTED</stp>
        <stp>FQ1 2016</stp>
        <stp>FQ1 2016</stp>
        <stp>[FA1_m42y3cpi.xlsx]Bal Sheet - Standardized!R84C33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4" s="3"/>
      </tp>
      <tp>
        <v>15563</v>
        <stp/>
        <stp>##V3_BDHV12</stp>
        <stp>XOM US Equity</stp>
        <stp>EBITDA</stp>
        <stp>FQ4 2010</stp>
        <stp>FQ4 2010</stp>
        <stp>[FA1_m42y3cpi.xlsx]Cash Flow - Standardized!R59C12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59" s="4"/>
      </tp>
      <tp>
        <v>16383</v>
        <stp/>
        <stp>##V3_BDHV12</stp>
        <stp>XOM US Equity</stp>
        <stp>EBITDA</stp>
        <stp>FQ4 2012</stp>
        <stp>FQ4 2012</stp>
        <stp>[FA1_m42y3cpi.xlsx]Cash Flow - Standardized!R59C20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59" s="4"/>
      </tp>
      <tp>
        <v>1.85</v>
        <stp/>
        <stp>##V3_BDHV12</stp>
        <stp>XOM US Equity</stp>
        <stp>IS_DIL_EPS_BEF_XO</stp>
        <stp>FQ4 2010</stp>
        <stp>FQ4 2010</stp>
        <stp>[FA1_m42y3cpi.xlsx]Per Share!R18C12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8" s="5"/>
      </tp>
      <tp>
        <v>2.2000000000000002</v>
        <stp/>
        <stp>##V3_BDHV12</stp>
        <stp>XOM US Equity</stp>
        <stp>IS_DIL_EPS_BEF_XO</stp>
        <stp>FQ4 2012</stp>
        <stp>FQ4 2012</stp>
        <stp>[FA1_m42y3cpi.xlsx]Per Share!R18C20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8" s="5"/>
      </tp>
      <tp>
        <v>0.41</v>
        <stp/>
        <stp>##V3_BDHV12</stp>
        <stp>XOM US Equity</stp>
        <stp>IS_DIL_EPS_BEF_XO</stp>
        <stp>FQ2 2016</stp>
        <stp>FQ2 2016</stp>
        <stp>[FA1_m42y3cpi.xlsx]Per Share!R18C34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8" s="5"/>
      </tp>
      <tp>
        <v>2.0499999999999998</v>
        <stp/>
        <stp>##V3_BDHV12</stp>
        <stp>XOM US Equity</stp>
        <stp>IS_DIL_EPS_BEF_XO</stp>
        <stp>FQ2 2014</stp>
        <stp>FQ2 2014</stp>
        <stp>[FA1_m42y3cpi.xlsx]Per Share!R18C26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8" s="5"/>
      </tp>
      <tp>
        <v>2.14</v>
        <stp/>
        <stp>##V3_BDHV12</stp>
        <stp>XOM US Equity</stp>
        <stp>IS_DIL_EPS_BEF_XO</stp>
        <stp>FQ1 2011</stp>
        <stp>FQ1 2011</stp>
        <stp>[FA1_m42y3cpi.xlsx]Per Share!R18C13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8" s="5"/>
      </tp>
      <tp>
        <v>2.12</v>
        <stp/>
        <stp>##V3_BDHV12</stp>
        <stp>XOM US Equity</stp>
        <stp>IS_DIL_EPS_BEF_XO</stp>
        <stp>FQ1 2013</stp>
        <stp>FQ1 2013</stp>
        <stp>[FA1_m42y3cpi.xlsx]Per Share!R18C21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8" s="5"/>
      </tp>
      <tp>
        <v>0</v>
        <stp/>
        <stp>##V3_BDHV12</stp>
        <stp>XOM US Equity</stp>
        <stp>IS_OTHER_OPER_INC</stp>
        <stp>FQ4 2013</stp>
        <stp>FQ4 2013</stp>
        <stp>[FA1_m42y3cpi.xlsx]Income - Adjusted!R12C24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2" s="2"/>
      </tp>
      <tp>
        <v>0</v>
        <stp/>
        <stp>##V3_BDHV12</stp>
        <stp>XOM US Equity</stp>
        <stp>IS_OTHER_OPER_INC</stp>
        <stp>FQ4 2011</stp>
        <stp>FQ4 2011</stp>
        <stp>[FA1_m42y3cpi.xlsx]Income - Adjusted!R12C16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2" s="2"/>
      </tp>
      <tp>
        <v>1112</v>
        <stp/>
        <stp>##V3_BDHV12</stp>
        <stp>XOM US Equity</stp>
        <stp>IS_OTHER_OPER_INC</stp>
        <stp>FQ4 2017</stp>
        <stp>FQ4 2017</stp>
        <stp>[FA1_m42y3cpi.xlsx]Income - Adjusted!R12C40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2" s="2"/>
      </tp>
      <tp>
        <v>0</v>
        <stp/>
        <stp>##V3_BDHV12</stp>
        <stp>XOM US Equity</stp>
        <stp>IS_OTHER_OPER_INC</stp>
        <stp>FQ4 2015</stp>
        <stp>FQ4 2015</stp>
        <stp>[FA1_m42y3cpi.xlsx]Income - Adjusted!R12C32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2" s="2"/>
      </tp>
      <tp>
        <v>0</v>
        <stp/>
        <stp>##V3_BDHV12</stp>
        <stp>XOM US Equity</stp>
        <stp>IS_EXTRAORD_ITEMS_&amp;_ACCTG_CHNG</stp>
        <stp>FQ4 2014</stp>
        <stp>FQ4 2014</stp>
        <stp>[FA1_m42y3cpi.xlsx]Income - Adjusted!R37C28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7" s="2"/>
      </tp>
      <tp>
        <v>10862</v>
        <stp/>
        <stp>##V3_BDHV12</stp>
        <stp>XOM US Equity</stp>
        <stp>C&amp;CE_AND_STI_DETAILED</stp>
        <stp>FQ4 2009</stp>
        <stp>FQ4 2009</stp>
        <stp>[FA1_m42y3cpi.xlsx]Bal Sheet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3"/>
      </tp>
      <tp>
        <v>29.491700000000002</v>
        <stp/>
        <stp>##V3_BDHV12</stp>
        <stp>XOM US Equity</stp>
        <stp>TANG_BOOK_VAL_PER_SH</stp>
        <stp>FQ4 2010</stp>
        <stp>FQ4 2010</stp>
        <stp>[FA1_m42y3cpi.xlsx]Per Share!R27C12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7" s="5"/>
      </tp>
      <tp>
        <v>36.842100000000002</v>
        <stp/>
        <stp>##V3_BDHV12</stp>
        <stp>XOM US Equity</stp>
        <stp>TANG_BOOK_VAL_PER_SH</stp>
        <stp>FQ4 2012</stp>
        <stp>FQ4 2012</stp>
        <stp>[FA1_m42y3cpi.xlsx]Per Share!R27C20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7" s="5"/>
      </tp>
      <tp t="s">
        <v>—</v>
        <stp/>
        <stp>##V3_BDHV12</stp>
        <stp>XOM US Equity</stp>
        <stp>TANG_BOOK_VAL_PER_SH</stp>
        <stp>FQ1 2011</stp>
        <stp>FQ1 2011</stp>
        <stp>[FA1_m42y3cpi.xlsx]Per Share!R27C13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7" s="5"/>
      </tp>
      <tp t="s">
        <v>—</v>
        <stp/>
        <stp>##V3_BDHV12</stp>
        <stp>XOM US Equity</stp>
        <stp>TANG_BOOK_VAL_PER_SH</stp>
        <stp>FQ1 2013</stp>
        <stp>FQ1 2013</stp>
        <stp>[FA1_m42y3cpi.xlsx]Per Share!R27C21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7" s="5"/>
      </tp>
      <tp t="s">
        <v>—</v>
        <stp/>
        <stp>##V3_BDHV12</stp>
        <stp>XOM US Equity</stp>
        <stp>TANG_BOOK_VAL_PER_SH</stp>
        <stp>FQ2 2016</stp>
        <stp>FQ2 2016</stp>
        <stp>[FA1_m42y3cpi.xlsx]Per Share!R27C34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7" s="5"/>
      </tp>
      <tp t="s">
        <v>—</v>
        <stp/>
        <stp>##V3_BDHV12</stp>
        <stp>XOM US Equity</stp>
        <stp>TANG_BOOK_VAL_PER_SH</stp>
        <stp>FQ2 2014</stp>
        <stp>FQ2 2014</stp>
        <stp>[FA1_m42y3cpi.xlsx]Per Share!R27C26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7" s="5"/>
      </tp>
      <tp>
        <v>15729</v>
        <stp/>
        <stp>##V3_BDHV12</stp>
        <stp>XOM US Equity</stp>
        <stp>C&amp;CE_AND_STI_DETAILED</stp>
        <stp>FQ2 2009</stp>
        <stp>FQ2 2009</stp>
        <stp>[FA1_m42y3cpi.xlsx]Bal Sheet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3"/>
      </tp>
      <tp>
        <v>0</v>
        <stp/>
        <stp>##V3_BDHV12</stp>
        <stp>XOM US Equity</stp>
        <stp>IS_EXTRAORD_ITEMS_&amp;_ACCTG_CHNG</stp>
        <stp>FQ3 2013</stp>
        <stp>FQ3 2013</stp>
        <stp>[FA1_m42y3cpi.xlsx]Income - Adjusted!R37C23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7" s="2"/>
      </tp>
      <tp>
        <v>12623</v>
        <stp/>
        <stp>##V3_BDHV12</stp>
        <stp>XOM US Equity</stp>
        <stp>C&amp;CE_AND_STI_DETAILED</stp>
        <stp>FQ3 2009</stp>
        <stp>FQ3 2009</stp>
        <stp>[FA1_m42y3cpi.xlsx]Bal Sheet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3"/>
      </tp>
      <tp>
        <v>0</v>
        <stp/>
        <stp>##V3_BDHV12</stp>
        <stp>XOM US Equity</stp>
        <stp>IS_EXTRAORD_ITEMS_&amp;_ACCTG_CHNG</stp>
        <stp>FQ3 2010</stp>
        <stp>FQ3 2010</stp>
        <stp>[FA1_m42y3cpi.xlsx]Income - Adjusted!R37C11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7" s="2"/>
      </tp>
      <tp>
        <v>25140</v>
        <stp/>
        <stp>##V3_BDHV12</stp>
        <stp>XOM US Equity</stp>
        <stp>C&amp;CE_AND_STI_DETAILED</stp>
        <stp>FQ1 2009</stp>
        <stp>FQ1 2009</stp>
        <stp>[FA1_m42y3cpi.xlsx]Bal Sheet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3"/>
      </tp>
      <tp>
        <v>0</v>
        <stp/>
        <stp>##V3_BDHV12</stp>
        <stp>XOM US Equity</stp>
        <stp>IS_EXTRAORD_ITEMS_&amp;_ACCTG_CHNG</stp>
        <stp>FQ1 2012</stp>
        <stp>FQ1 2012</stp>
        <stp>[FA1_m42y3cpi.xlsx]Income - Adjusted!R37C17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7" s="2"/>
      </tp>
      <tp>
        <v>0</v>
        <stp/>
        <stp>##V3_BDHV12</stp>
        <stp>XOM US Equity</stp>
        <stp>IS_EXTRAORD_ITEMS_&amp;_ACCTG_CHNG</stp>
        <stp>FQ2 2011</stp>
        <stp>FQ2 2011</stp>
        <stp>[FA1_m42y3cpi.xlsx]Income - Adjusted!R37C14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7" s="2"/>
      </tp>
      <tp>
        <v>0</v>
        <stp/>
        <stp>##V3_BDHV12</stp>
        <stp>XOM US Equity</stp>
        <stp>IS_EXTRAORD_ITEMS_&amp;_ACCTG_CHNG</stp>
        <stp>FQ4 2015</stp>
        <stp>FQ4 2015</stp>
        <stp>[FA1_m42y3cpi.xlsx]Income - Adjusted!R37C32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7" s="2"/>
      </tp>
      <tp>
        <v>-34</v>
        <stp/>
        <stp>##V3_BDHV12</stp>
        <stp>XOM US Equity</stp>
        <stp>OTHER_NON_CASH_ADJ_LESS_DETAILED</stp>
        <stp>FQ2 2017</stp>
        <stp>FQ2 2017</stp>
        <stp>[FA1_m42y3cpi.xlsx]Cash Flow - Standardized!R12C38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4"/>
      </tp>
      <tp>
        <v>0</v>
        <stp/>
        <stp>##V3_BDHV12</stp>
        <stp>XOM US Equity</stp>
        <stp>BS_PFD_EQTY_&amp;_HYBRID_CPTL</stp>
        <stp>FQ3 2017</stp>
        <stp>FQ3 2017</stp>
        <stp>[FA1_m42y3cpi.xlsx]Bal Sheet - Standardized!R67C39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7" s="3"/>
      </tp>
      <tp>
        <v>329645</v>
        <stp/>
        <stp>##V3_BDHV12</stp>
        <stp>XOM US Equity</stp>
        <stp>TOT_LIAB_AND_EQY</stp>
        <stp>FQ2 2012</stp>
        <stp>FQ2 2012</stp>
        <stp>[FA1_m42y3cpi.xlsx]Bal Sheet - Standardized!R75C18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5" s="3"/>
      </tp>
      <tp>
        <v>-3268</v>
        <stp/>
        <stp>##V3_BDHV12</stp>
        <stp>XOM US Equity</stp>
        <stp>PROC_FR_REPAYMNTS_BOR_DETAILED</stp>
        <stp>FQ4 2010</stp>
        <stp>FQ4 2010</stp>
        <stp>[FA1_m42y3cpi.xlsx]Cash Flow - Standardized!R40C12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0" s="4"/>
      </tp>
      <tp>
        <v>0</v>
        <stp/>
        <stp>##V3_BDHV12</stp>
        <stp>XOM US Equity</stp>
        <stp>CF_CASH_FOR_JOINT_VENTURES_ASSOC</stp>
        <stp>FQ4 2011</stp>
        <stp>FQ4 2011</stp>
        <stp>[FA1_m42y3cpi.xlsx]Cash Flow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4"/>
      </tp>
      <tp>
        <v>0</v>
        <stp/>
        <stp>##V3_BDHV12</stp>
        <stp>XOM US Equity</stp>
        <stp>CF_DISPOSAL_OF_INTANGIBLE_ASSETS</stp>
        <stp>FQ3 2012</stp>
        <stp>FQ3 2012</stp>
        <stp>[FA1_m42y3cpi.xlsx]Cash Flow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4"/>
      </tp>
      <tp>
        <v>342961</v>
        <stp/>
        <stp>##V3_BDHV12</stp>
        <stp>XOM US Equity</stp>
        <stp>TOT_LIAB_AND_EQY</stp>
        <stp>FQ1 2015</stp>
        <stp>FQ1 2015</stp>
        <stp>[FA1_m42y3cpi.xlsx]Bal Sheet - Standardized!R75C29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5" s="3"/>
      </tp>
      <tp>
        <v>322</v>
        <stp/>
        <stp>##V3_BDHV12</stp>
        <stp>XOM US Equity</stp>
        <stp>PROC_FR_REPAYMNTS_BOR_DETAILED</stp>
        <stp>FQ4 2011</stp>
        <stp>FQ4 2011</stp>
        <stp>[FA1_m42y3cpi.xlsx]Cash Flow - Standardized!R40C16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0" s="4"/>
      </tp>
      <tp>
        <v>72</v>
        <stp/>
        <stp>##V3_BDHV12</stp>
        <stp>XOM US Equity</stp>
        <stp>MIN_NONCONTROL_INTEREST_CREDITS</stp>
        <stp>FQ2 2015</stp>
        <stp>FQ2 2015</stp>
        <stp>[FA1_m42y3cpi.xlsx]Income - Adjusted!R39C30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39" s="2"/>
      </tp>
      <tp>
        <v>218</v>
        <stp/>
        <stp>##V3_BDHV12</stp>
        <stp>XOM US Equity</stp>
        <stp>MIN_NONCONTROL_INTEREST_CREDITS</stp>
        <stp>FQ2 2011</stp>
        <stp>FQ2 2011</stp>
        <stp>[FA1_m42y3cpi.xlsx]Income - Adjusted!R39C14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39" s="2"/>
      </tp>
      <tp>
        <v>-29</v>
        <stp/>
        <stp>##V3_BDHV12</stp>
        <stp>XOM US Equity</stp>
        <stp>MIN_NONCONTROL_INTEREST_CREDITS</stp>
        <stp>FQ1 2016</stp>
        <stp>FQ1 2016</stp>
        <stp>[FA1_m42y3cpi.xlsx]Income - Adjusted!R39C33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39" s="2"/>
      </tp>
      <tp>
        <v>349</v>
        <stp/>
        <stp>##V3_BDHV12</stp>
        <stp>XOM US Equity</stp>
        <stp>MIN_NONCONTROL_INTEREST_CREDITS</stp>
        <stp>FQ1 2012</stp>
        <stp>FQ1 2012</stp>
        <stp>[FA1_m42y3cpi.xlsx]Income - Adjusted!R39C17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39" s="2"/>
      </tp>
      <tp>
        <v>0</v>
        <stp/>
        <stp>##V3_BDHV12</stp>
        <stp>XOM US Equity</stp>
        <stp>CF_CASH_FOR_JOINT_VENTURES_ASSOC</stp>
        <stp>FQ4 2010</stp>
        <stp>FQ4 2010</stp>
        <stp>[FA1_m42y3cpi.xlsx]Cash Flow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4"/>
      </tp>
      <tp>
        <v>3496</v>
        <stp/>
        <stp>##V3_BDHV12</stp>
        <stp>XOM US Equity</stp>
        <stp>SHORT_TERM_DEBT_DETAILED</stp>
        <stp>FQ3 2012</stp>
        <stp>FQ3 2012</stp>
        <stp>[FA1_m42y3cpi.xlsx]Bal Sheet - Standardized!R48C19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8" s="3"/>
      </tp>
      <tp>
        <v>7431</v>
        <stp/>
        <stp>##V3_BDHV12</stp>
        <stp>XOM US Equity</stp>
        <stp>SHORT_TERM_DEBT_DETAILED</stp>
        <stp>FQ3 2011</stp>
        <stp>FQ3 2011</stp>
        <stp>[FA1_m42y3cpi.xlsx]Bal Sheet - Standardized!R48C15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8" s="3"/>
      </tp>
      <tp>
        <v>0</v>
        <stp/>
        <stp>##V3_BDHV12</stp>
        <stp>XOM US Equity</stp>
        <stp>CF_CASH_FOR_JOINT_VENTURES_ASSOC</stp>
        <stp>FQ1 2018</stp>
        <stp>FQ1 2018</stp>
        <stp>[FA1_m42y3cpi.xlsx]Cash Flow - Standardized!R33C41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3" s="4"/>
      </tp>
      <tp>
        <v>0</v>
        <stp/>
        <stp>##V3_BDHV12</stp>
        <stp>XOM US Equity</stp>
        <stp>CF_DISPOSAL_OF_INTANGIBLE_ASSETS</stp>
        <stp>FQ3 2010</stp>
        <stp>FQ3 2010</stp>
        <stp>[FA1_m42y3cpi.xlsx]Cash Flow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4"/>
      </tp>
      <tp>
        <v>0</v>
        <stp/>
        <stp>##V3_BDHV12</stp>
        <stp>XOM US Equity</stp>
        <stp>BS_PFD_EQTY_&amp;_HYBRID_CPTL</stp>
        <stp>FQ1 2012</stp>
        <stp>FQ1 2012</stp>
        <stp>[FA1_m42y3cpi.xlsx]Bal Sheet - Standardized!R67C17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7" s="3"/>
      </tp>
      <tp>
        <v>353033</v>
        <stp/>
        <stp>##V3_BDHV12</stp>
        <stp>XOM US Equity</stp>
        <stp>TOT_LIAB_AND_EQY</stp>
        <stp>FQ1 2014</stp>
        <stp>FQ1 2014</stp>
        <stp>[FA1_m42y3cpi.xlsx]Bal Sheet - Standardized!R75C25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5" s="3"/>
      </tp>
      <tp>
        <v>1175</v>
        <stp/>
        <stp>##V3_BDHV12</stp>
        <stp>XOM US Equity</stp>
        <stp>OTHER_NON_CASH_ADJ_LESS_DETAILED</stp>
        <stp>FQ2 2015</stp>
        <stp>FQ2 2015</stp>
        <stp>[FA1_m42y3cpi.xlsx]Cash Flow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4"/>
      </tp>
      <tp>
        <v>0</v>
        <stp/>
        <stp>##V3_BDHV12</stp>
        <stp>XOM US Equity</stp>
        <stp>BS_PFD_EQTY_&amp;_HYBRID_CPTL</stp>
        <stp>FQ3 2015</stp>
        <stp>FQ3 2015</stp>
        <stp>[FA1_m42y3cpi.xlsx]Bal Sheet - Standardized!R67C31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7" s="3"/>
      </tp>
      <tp>
        <v>0</v>
        <stp/>
        <stp>##V3_BDHV12</stp>
        <stp>XOM US Equity</stp>
        <stp>CF_DISPOSAL_OF_INTANGIBLE_ASSETS</stp>
        <stp>FQ1 2017</stp>
        <stp>FQ1 2017</stp>
        <stp>[FA1_m42y3cpi.xlsx]Cash Flow - Standardized!R23C37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4"/>
      </tp>
      <tp>
        <v>339639</v>
        <stp/>
        <stp>##V3_BDHV12</stp>
        <stp>XOM US Equity</stp>
        <stp>TOT_LIAB_AND_EQY</stp>
        <stp>FQ1 2013</stp>
        <stp>FQ1 2013</stp>
        <stp>[FA1_m42y3cpi.xlsx]Bal Sheet - Standardized!R75C21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5" s="3"/>
      </tp>
      <tp>
        <v>291068</v>
        <stp/>
        <stp>##V3_BDHV12</stp>
        <stp>XOM US Equity</stp>
        <stp>TOT_LIAB_AND_EQY</stp>
        <stp>FQ2 2010</stp>
        <stp>FQ2 2010</stp>
        <stp>[FA1_m42y3cpi.xlsx]Bal Sheet - Standardized!R75C10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5" s="3"/>
      </tp>
      <tp>
        <v>13540</v>
        <stp/>
        <stp>##V3_BDHV12</stp>
        <stp>XOM US Equity</stp>
        <stp>SHORT_TERM_DEBT_DETAILED</stp>
        <stp>FQ1 2016</stp>
        <stp>FQ1 2016</stp>
        <stp>[FA1_m42y3cpi.xlsx]Bal Sheet - Standardized!R48C33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8" s="3"/>
      </tp>
      <tp>
        <v>0</v>
        <stp/>
        <stp>##V3_BDHV12</stp>
        <stp>XOM US Equity</stp>
        <stp>CF_DISPOSAL_OF_INTANGIBLE_ASSETS</stp>
        <stp>FQ3 2011</stp>
        <stp>FQ3 2011</stp>
        <stp>[FA1_m42y3cpi.xlsx]Cash Flow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4"/>
      </tp>
      <tp>
        <v>-1519</v>
        <stp/>
        <stp>##V3_BDHV12</stp>
        <stp>XOM US Equity</stp>
        <stp>INCOME_LOSS_FROM_AFFILIATES</stp>
        <stp>FQ4 2015</stp>
        <stp>FQ4 2015</stp>
        <stp>[FA1_m42y3cpi.xlsx]Income - Adjusted!R22C32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2" s="2"/>
      </tp>
      <tp>
        <v>-673</v>
        <stp/>
        <stp>##V3_BDHV12</stp>
        <stp>XOM US Equity</stp>
        <stp>INCOME_LOSS_FROM_AFFILIATES</stp>
        <stp>FQ4 2017</stp>
        <stp>FQ4 2017</stp>
        <stp>[FA1_m42y3cpi.xlsx]Income - Adjusted!R22C40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22" s="2"/>
      </tp>
      <tp>
        <v>-3827</v>
        <stp/>
        <stp>##V3_BDHV12</stp>
        <stp>XOM US Equity</stp>
        <stp>INCOME_LOSS_FROM_AFFILIATES</stp>
        <stp>FQ4 2011</stp>
        <stp>FQ4 2011</stp>
        <stp>[FA1_m42y3cpi.xlsx]Income - Adjusted!R22C16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2" s="2"/>
      </tp>
      <tp>
        <v>-2967</v>
        <stp/>
        <stp>##V3_BDHV12</stp>
        <stp>XOM US Equity</stp>
        <stp>INCOME_LOSS_FROM_AFFILIATES</stp>
        <stp>FQ4 2013</stp>
        <stp>FQ4 2013</stp>
        <stp>[FA1_m42y3cpi.xlsx]Income - Adjusted!R22C24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2" s="2"/>
      </tp>
      <tp>
        <v>-676</v>
        <stp/>
        <stp>##V3_BDHV12</stp>
        <stp>XOM US Equity</stp>
        <stp>OTHER_NON_CASH_ADJ_LESS_DETAILED</stp>
        <stp>FQ2 2016</stp>
        <stp>FQ2 2016</stp>
        <stp>[FA1_m42y3cpi.xlsx]Cash Flow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4"/>
      </tp>
      <tp>
        <v>427</v>
        <stp/>
        <stp>##V3_BDHV12</stp>
        <stp>XOM US Equity</stp>
        <stp>OTHER_NON_CASH_ADJ_LESS_DETAILED</stp>
        <stp>FQ3 2014</stp>
        <stp>FQ3 2014</stp>
        <stp>[FA1_m42y3cpi.xlsx]Cash Flow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4"/>
      </tp>
      <tp>
        <v>0</v>
        <stp/>
        <stp>##V3_BDHV12</stp>
        <stp>XOM US Equity</stp>
        <stp>BS_PFD_EQTY_&amp;_HYBRID_CPTL</stp>
        <stp>FQ3 2016</stp>
        <stp>FQ3 2016</stp>
        <stp>[FA1_m42y3cpi.xlsx]Bal Sheet - Standardized!R67C35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7" s="3"/>
      </tp>
      <tp>
        <v>0</v>
        <stp/>
        <stp>##V3_BDHV12</stp>
        <stp>XOM US Equity</stp>
        <stp>BS_PFD_EQTY_&amp;_HYBRID_CPTL</stp>
        <stp>FQ2 2014</stp>
        <stp>FQ2 2014</stp>
        <stp>[FA1_m42y3cpi.xlsx]Bal Sheet - Standardized!R67C26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7" s="3"/>
      </tp>
      <tp>
        <v>2020</v>
        <stp/>
        <stp>##V3_BDHV12</stp>
        <stp>XOM US Equity</stp>
        <stp>SHORT_TERM_DEBT_DETAILED</stp>
        <stp>FQ3 2010</stp>
        <stp>FQ3 2010</stp>
        <stp>[FA1_m42y3cpi.xlsx]Bal Sheet - Standardized!R48C11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8" s="3"/>
      </tp>
      <tp>
        <v>988</v>
        <stp/>
        <stp>##V3_BDHV12</stp>
        <stp>XOM US Equity</stp>
        <stp>OTHER_NON_CASH_ADJ_LESS_DETAILED</stp>
        <stp>FQ3 2013</stp>
        <stp>FQ3 2013</stp>
        <stp>[FA1_m42y3cpi.xlsx]Cash Flow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4"/>
      </tp>
      <tp>
        <v>0</v>
        <stp/>
        <stp>##V3_BDHV12</stp>
        <stp>XOM US Equity</stp>
        <stp>BS_PFD_EQTY_&amp;_HYBRID_CPTL</stp>
        <stp>FQ4 2017</stp>
        <stp>FQ4 2017</stp>
        <stp>[FA1_m42y3cpi.xlsx]Bal Sheet - Standardized!R67C40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7" s="3"/>
      </tp>
      <tp>
        <v>0</v>
        <stp/>
        <stp>##V3_BDHV12</stp>
        <stp>XOM US Equity</stp>
        <stp>BS_PFD_EQTY_&amp;_HYBRID_CPTL</stp>
        <stp>FQ2 2013</stp>
        <stp>FQ2 2013</stp>
        <stp>[FA1_m42y3cpi.xlsx]Bal Sheet - Standardized!R67C22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7" s="3"/>
      </tp>
      <tp>
        <v>0</v>
        <stp/>
        <stp>##V3_BDHV12</stp>
        <stp>XOM US Equity</stp>
        <stp>BS_PFD_EQTY_&amp;_HYBRID_CPTL</stp>
        <stp>FQ1 2011</stp>
        <stp>FQ1 2011</stp>
        <stp>[FA1_m42y3cpi.xlsx]Bal Sheet - Standardized!R67C13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7" s="3"/>
      </tp>
      <tp>
        <v>326204</v>
        <stp/>
        <stp>##V3_BDHV12</stp>
        <stp>XOM US Equity</stp>
        <stp>TOT_LIAB_AND_EQY</stp>
        <stp>FQ2 2011</stp>
        <stp>FQ2 2011</stp>
        <stp>[FA1_m42y3cpi.xlsx]Bal Sheet - Standardized!R75C14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5" s="3"/>
      </tp>
      <tp>
        <v>18483</v>
        <stp/>
        <stp>##V3_BDHV12</stp>
        <stp>XOM US Equity</stp>
        <stp>SHORT_TERM_DEBT_DETAILED</stp>
        <stp>FQ1 2017</stp>
        <stp>FQ1 2017</stp>
        <stp>[FA1_m42y3cpi.xlsx]Bal Sheet - Standardized!R48C37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8" s="3"/>
      </tp>
      <tp>
        <v>0</v>
        <stp/>
        <stp>##V3_BDHV12</stp>
        <stp>XOM US Equity</stp>
        <stp>CF_DISPOSAL_OF_INTANGIBLE_ASSETS</stp>
        <stp>FQ1 2016</stp>
        <stp>FQ1 2016</stp>
        <stp>[FA1_m42y3cpi.xlsx]Cash Flow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4"/>
      </tp>
      <tp>
        <v>-1922</v>
        <stp/>
        <stp>##V3_BDHV12</stp>
        <stp>XOM US Equity</stp>
        <stp>PROC_FR_REPAYMNTS_BOR_DETAILED</stp>
        <stp>FQ1 2018</stp>
        <stp>FQ1 2018</stp>
        <stp>[FA1_m42y3cpi.xlsx]Cash Flow - Standardized!R40C41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0" s="4"/>
      </tp>
      <tp>
        <v>-1754</v>
        <stp/>
        <stp>##V3_BDHV12</stp>
        <stp>XOM US Equity</stp>
        <stp>CF_INCR_INVEST</stp>
        <stp>FQ2 2011</stp>
        <stp>FQ2 2011</stp>
        <stp>[FA1_m42y3cpi.xlsx]Cash Flow - Standardized!R29C14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4"/>
      </tp>
      <tp t="s">
        <v>—</v>
        <stp/>
        <stp>##V3_BDHV12</stp>
        <stp>XOM US Equity</stp>
        <stp>CF_DECR_INVEST</stp>
        <stp>FQ2 2011</stp>
        <stp>FQ2 2011</stp>
        <stp>[FA1_m42y3cpi.xlsx]Cash Flow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4"/>
      </tp>
      <tp t="s">
        <v>—</v>
        <stp/>
        <stp>##V3_BDHV12</stp>
        <stp>XOM US Equity</stp>
        <stp>CF_DEF_INC_TAX</stp>
        <stp>FQ4 2015</stp>
        <stp>FQ4 2015</stp>
        <stp>[FA1_m42y3cpi.xlsx]Cash Flow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4"/>
      </tp>
      <tp>
        <v>3986</v>
        <stp/>
        <stp>##V3_BDHV12</stp>
        <stp>XOM US Equity</stp>
        <stp>NI_INCLUDING_MINORITY_INT_RATIO</stp>
        <stp>FQ2 2018</stp>
        <stp>FQ2 2018</stp>
        <stp>[FA1_m42y3cpi.xlsx]Income - Adjusted!R38C42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38" s="2"/>
      </tp>
      <tp>
        <v>17654</v>
        <stp/>
        <stp>##V3_BDHV12</stp>
        <stp>XOM US Equity</stp>
        <stp>NI_INCLUDING_MINORITY_INT_RATIO</stp>
        <stp>FQ2 2012</stp>
        <stp>FQ2 2012</stp>
        <stp>[FA1_m42y3cpi.xlsx]Income - Adjusted!R38C18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38" s="2"/>
      </tp>
      <tp t="s">
        <v>—</v>
        <stp/>
        <stp>##V3_BDHV12</stp>
        <stp>XOM US Equity</stp>
        <stp>IS_OTHER_ONE_TIME_ITEMS</stp>
        <stp>FQ3 2012</stp>
        <stp>FQ3 2012</stp>
        <stp>[FA1_m42y3cpi.xlsx]Income - Adjusted!R31C19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2"/>
      </tp>
      <tp>
        <v>0</v>
        <stp/>
        <stp>##V3_BDHV12</stp>
        <stp>XOM US Equity</stp>
        <stp>CF_INCR_INVEST</stp>
        <stp>FQ2 2010</stp>
        <stp>FQ2 2010</stp>
        <stp>[FA1_m42y3cpi.xlsx]Cash Flow - Standardized!R29C10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4"/>
      </tp>
      <tp>
        <v>0</v>
        <stp/>
        <stp>##V3_BDHV12</stp>
        <stp>XOM US Equity</stp>
        <stp>CF_DECR_INVEST</stp>
        <stp>FQ2 2010</stp>
        <stp>FQ2 2010</stp>
        <stp>[FA1_m42y3cpi.xlsx]Cash Flow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4"/>
      </tp>
      <tp>
        <v>0</v>
        <stp/>
        <stp>##V3_BDHV12</stp>
        <stp>XOM US Equity</stp>
        <stp>CF_INCR_INVEST</stp>
        <stp>FQ1 2013</stp>
        <stp>FQ1 2013</stp>
        <stp>[FA1_m42y3cpi.xlsx]Cash Flow - Standardized!R29C21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4"/>
      </tp>
      <tp t="s">
        <v>—</v>
        <stp/>
        <stp>##V3_BDHV12</stp>
        <stp>XOM US Equity</stp>
        <stp>CF_DEF_INC_TAX</stp>
        <stp>FQ4 2016</stp>
        <stp>FQ4 2016</stp>
        <stp>[FA1_m42y3cpi.xlsx]Cash Flow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4"/>
      </tp>
      <tp>
        <v>0</v>
        <stp/>
        <stp>##V3_BDHV12</stp>
        <stp>XOM US Equity</stp>
        <stp>CF_DECR_INVEST</stp>
        <stp>FQ1 2013</stp>
        <stp>FQ1 2013</stp>
        <stp>[FA1_m42y3cpi.xlsx]Cash Flow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4"/>
      </tp>
      <tp>
        <v>0</v>
        <stp/>
        <stp>##V3_BDHV12</stp>
        <stp>XOM US Equity</stp>
        <stp>CF_INCR_INVEST</stp>
        <stp>FQ1 2014</stp>
        <stp>FQ1 2014</stp>
        <stp>[FA1_m42y3cpi.xlsx]Cash Flow - Standardized!R29C25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4"/>
      </tp>
      <tp>
        <v>0</v>
        <stp/>
        <stp>##V3_BDHV12</stp>
        <stp>XOM US Equity</stp>
        <stp>CF_DECR_INVEST</stp>
        <stp>FQ1 2014</stp>
        <stp>FQ1 2014</stp>
        <stp>[FA1_m42y3cpi.xlsx]Cash Flow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4"/>
      </tp>
      <tp>
        <v>0</v>
        <stp/>
        <stp>##V3_BDHV12</stp>
        <stp>XOM US Equity</stp>
        <stp>CF_INCR_INVEST</stp>
        <stp>FQ1 2015</stp>
        <stp>FQ1 2015</stp>
        <stp>[FA1_m42y3cpi.xlsx]Cash Flow - Standardized!R29C29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4"/>
      </tp>
      <tp>
        <v>0</v>
        <stp/>
        <stp>##V3_BDHV12</stp>
        <stp>XOM US Equity</stp>
        <stp>CF_DECR_INVEST</stp>
        <stp>FQ1 2015</stp>
        <stp>FQ1 2015</stp>
        <stp>[FA1_m42y3cpi.xlsx]Cash Flow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4"/>
      </tp>
      <tp t="s">
        <v>—</v>
        <stp/>
        <stp>##V3_BDHV12</stp>
        <stp>XOM US Equity</stp>
        <stp>IS_OTHER_ONE_TIME_ITEMS</stp>
        <stp>FQ1 2013</stp>
        <stp>FQ1 2013</stp>
        <stp>[FA1_m42y3cpi.xlsx]Income - Adjusted!R31C21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2"/>
      </tp>
      <tp t="s">
        <v>—</v>
        <stp/>
        <stp>##V3_BDHV12</stp>
        <stp>XOM US Equity</stp>
        <stp>CF_INCR_INVEST</stp>
        <stp>FQ2 2012</stp>
        <stp>FQ2 2012</stp>
        <stp>[FA1_m42y3cpi.xlsx]Cash Flow - Standardized!R29C18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4"/>
      </tp>
      <tp>
        <v>0</v>
        <stp/>
        <stp>##V3_BDHV12</stp>
        <stp>XOM US Equity</stp>
        <stp>CF_DECR_INVEST</stp>
        <stp>FQ2 2012</stp>
        <stp>FQ2 2012</stp>
        <stp>[FA1_m42y3cpi.xlsx]Cash Flow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4"/>
      </tp>
      <tp>
        <v>7129</v>
        <stp/>
        <stp>##V3_BDHV12</stp>
        <stp>XOM US Equity</stp>
        <stp>LONG_TERM_BORROWINGS_DETAILED</stp>
        <stp>FQ4 2009</stp>
        <stp>FQ4 2009</stp>
        <stp>[FA1_m42y3cpi.xlsx]Bal Sheet - Standardized!R57C8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7" s="3"/>
      </tp>
      <tp>
        <v>6396</v>
        <stp/>
        <stp>##V3_BDHV12</stp>
        <stp>XOM US Equity</stp>
        <stp>OTHER_CURRENT_ASSETS_DETAILED</stp>
        <stp>FQ3 2008</stp>
        <stp>FQ3 2008</stp>
        <stp>[FA1_m42y3cpi.xlsx]Bal Sheet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3911</v>
        <stp/>
        <stp>##V3_BDHV12</stp>
        <stp>XOM US Equity</stp>
        <stp>OTHER_CURRENT_ASSETS_DETAILED</stp>
        <stp>FQ4 2008</stp>
        <stp>FQ4 2008</stp>
        <stp>[FA1_m42y3cpi.xlsx]Bal Sheet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3"/>
      </tp>
      <tp>
        <v>7054</v>
        <stp/>
        <stp>##V3_BDHV12</stp>
        <stp>XOM US Equity</stp>
        <stp>LONG_TERM_BORROWINGS_DETAILED</stp>
        <stp>FQ1 2010</stp>
        <stp>FQ1 2010</stp>
        <stp>[FA1_m42y3cpi.xlsx]Bal Sheet - Standardized!R57C9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7" s="3"/>
      </tp>
      <tp>
        <v>4019</v>
        <stp/>
        <stp>##V3_BDHV12</stp>
        <stp>XOM US Equity</stp>
        <stp>OTHER_CURRENT_ASSETS_DETAILED</stp>
        <stp>FQ1 2009</stp>
        <stp>FQ1 2009</stp>
        <stp>[FA1_m42y3cpi.xlsx]Bal Sheet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3"/>
      </tp>
      <tp>
        <v>4464</v>
        <stp/>
        <stp>##V3_BDHV12</stp>
        <stp>XOM US Equity</stp>
        <stp>OTHER_CURRENT_ASSETS_DETAILED</stp>
        <stp>FQ2 2009</stp>
        <stp>FQ2 2009</stp>
        <stp>[FA1_m42y3cpi.xlsx]Bal Sheet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3"/>
      </tp>
      <tp>
        <v>5179</v>
        <stp/>
        <stp>##V3_BDHV12</stp>
        <stp>XOM US Equity</stp>
        <stp>OTHER_CURRENT_ASSETS_DETAILED</stp>
        <stp>FQ3 2009</stp>
        <stp>FQ3 2009</stp>
        <stp>[FA1_m42y3cpi.xlsx]Bal Sheet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-3133</v>
        <stp/>
        <stp>##V3_BDHV12</stp>
        <stp>XOM US Equity</stp>
        <stp>CF_DVD_PAID</stp>
        <stp>FQ4 2016</stp>
        <stp>FQ4 2016</stp>
        <stp>[FA1_m42y3cpi.xlsx]Cash Flow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4"/>
      </tp>
      <tp>
        <v>7185</v>
        <stp/>
        <stp>##V3_BDHV12</stp>
        <stp>XOM US Equity</stp>
        <stp>LONG_TERM_BORROWINGS_DETAILED</stp>
        <stp>FQ3 2009</stp>
        <stp>FQ3 2009</stp>
        <stp>[FA1_m42y3cpi.xlsx]Bal Sheet - Standardized!R57C7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7" s="3"/>
      </tp>
      <tp>
        <v>7117</v>
        <stp/>
        <stp>##V3_BDHV12</stp>
        <stp>XOM US Equity</stp>
        <stp>LONG_TERM_BORROWINGS_DETAILED</stp>
        <stp>FQ2 2009</stp>
        <stp>FQ2 2009</stp>
        <stp>[FA1_m42y3cpi.xlsx]Bal Sheet - Standardized!R57C6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7" s="3"/>
      </tp>
      <tp>
        <v>7041</v>
        <stp/>
        <stp>##V3_BDHV12</stp>
        <stp>XOM US Equity</stp>
        <stp>LONG_TERM_BORROWINGS_DETAILED</stp>
        <stp>FQ1 2009</stp>
        <stp>FQ1 2009</stp>
        <stp>[FA1_m42y3cpi.xlsx]Bal Sheet - Standardized!R57C5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7" s="3"/>
      </tp>
      <tp>
        <v>5329</v>
        <stp/>
        <stp>##V3_BDHV12</stp>
        <stp>XOM US Equity</stp>
        <stp>OTHER_CURRENT_ASSETS_DETAILED</stp>
        <stp>FQ1 2010</stp>
        <stp>FQ1 2010</stp>
        <stp>[FA1_m42y3cpi.xlsx]Bal Sheet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3"/>
      </tp>
      <tp t="s">
        <v>—</v>
        <stp/>
        <stp>##V3_BDHV12</stp>
        <stp>XOM US Equity</stp>
        <stp>LONG_TERM_BORROWINGS_DETAILED</stp>
        <stp>FQ4 2008</stp>
        <stp>FQ4 2008</stp>
        <stp>[FA1_m42y3cpi.xlsx]Bal Sheet - Standardized!R57C4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7" s="3"/>
      </tp>
      <tp>
        <v>-3054</v>
        <stp/>
        <stp>##V3_BDHV12</stp>
        <stp>XOM US Equity</stp>
        <stp>CF_DVD_PAID</stp>
        <stp>FQ4 2015</stp>
        <stp>FQ4 2015</stp>
        <stp>[FA1_m42y3cpi.xlsx]Cash Flow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4"/>
      </tp>
      <tp t="s">
        <v>—</v>
        <stp/>
        <stp>##V3_BDHV12</stp>
        <stp>XOM US Equity</stp>
        <stp>LONG_TERM_BORROWINGS_DETAILED</stp>
        <stp>FQ3 2008</stp>
        <stp>FQ3 2008</stp>
        <stp>[FA1_m42y3cpi.xlsx]Bal Sheet - Standardized!R57C3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7" s="3"/>
      </tp>
      <tp>
        <v>5175</v>
        <stp/>
        <stp>##V3_BDHV12</stp>
        <stp>XOM US Equity</stp>
        <stp>OTHER_CURRENT_ASSETS_DETAILED</stp>
        <stp>FQ4 2009</stp>
        <stp>FQ4 2009</stp>
        <stp>[FA1_m42y3cpi.xlsx]Bal Sheet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52</v>
        <stp/>
        <stp>##V3_BDHV12</stp>
        <stp>XOM US Equity</stp>
        <stp>CF_EFFECT_FOREIGN_EXCHANGES</stp>
        <stp>FQ2 2015</stp>
        <stp>FQ2 2015</stp>
        <stp>[FA1_m42y3cpi.xlsx]Cash Flow - Standardized!R51C30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1" s="4"/>
      </tp>
      <tp>
        <v>22.178899999999999</v>
        <stp/>
        <stp>##V3_BDHV12</stp>
        <stp>XOM US Equity</stp>
        <stp>BOOK_VAL_PER_SH</stp>
        <stp>FQ2 2009</stp>
        <stp>FQ2 2009</stp>
        <stp>[FA1_m42y3cpi.xlsx]Per Share!R26C6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6" s="5"/>
      </tp>
      <tp>
        <v>22.596399999999999</v>
        <stp/>
        <stp>##V3_BDHV12</stp>
        <stp>XOM US Equity</stp>
        <stp>BOOK_VAL_PER_SH</stp>
        <stp>FQ3 2009</stp>
        <stp>FQ3 2009</stp>
        <stp>[FA1_m42y3cpi.xlsx]Per Share!R26C7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6" s="5"/>
      </tp>
      <tp>
        <v>21.9268</v>
        <stp/>
        <stp>##V3_BDHV12</stp>
        <stp>XOM US Equity</stp>
        <stp>BOOK_VAL_PER_SH</stp>
        <stp>FQ1 2009</stp>
        <stp>FQ1 2009</stp>
        <stp>[FA1_m42y3cpi.xlsx]Per Share!R26C5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6" s="5"/>
      </tp>
      <tp>
        <v>101</v>
        <stp/>
        <stp>##V3_BDHV12</stp>
        <stp>XOM US Equity</stp>
        <stp>CF_EFFECT_FOREIGN_EXCHANGES</stp>
        <stp>FQ3 2013</stp>
        <stp>FQ3 2013</stp>
        <stp>[FA1_m42y3cpi.xlsx]Cash Flow - Standardized!R51C23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1" s="4"/>
      </tp>
      <tp>
        <v>-199</v>
        <stp/>
        <stp>##V3_BDHV12</stp>
        <stp>XOM US Equity</stp>
        <stp>CF_EFFECT_FOREIGN_EXCHANGES</stp>
        <stp>FQ3 2014</stp>
        <stp>FQ3 2014</stp>
        <stp>[FA1_m42y3cpi.xlsx]Cash Flow - Standardized!R51C27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1" s="4"/>
      </tp>
      <tp>
        <v>-85</v>
        <stp/>
        <stp>##V3_BDHV12</stp>
        <stp>XOM US Equity</stp>
        <stp>CF_EFFECT_FOREIGN_EXCHANGES</stp>
        <stp>FQ2 2016</stp>
        <stp>FQ2 2016</stp>
        <stp>[FA1_m42y3cpi.xlsx]Cash Flow - Standardized!R51C34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1" s="4"/>
      </tp>
      <tp>
        <v>135</v>
        <stp/>
        <stp>##V3_BDHV12</stp>
        <stp>XOM US Equity</stp>
        <stp>CF_EFFECT_FOREIGN_EXCHANGES</stp>
        <stp>FQ2 2017</stp>
        <stp>FQ2 2017</stp>
        <stp>[FA1_m42y3cpi.xlsx]Cash Flow - Standardized!R51C38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1" s="4"/>
      </tp>
      <tp>
        <v>12189</v>
        <stp/>
        <stp>##V3_BDHV12</stp>
        <stp>XOM US Equity</stp>
        <stp>EBITDA</stp>
        <stp>FQ1 2010</stp>
        <stp>FQ1 2010</stp>
        <stp>[FA1_m42y3cpi.xlsx]Cash Flow - Standardized!R59C9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59" s="4"/>
      </tp>
      <tp>
        <v>2.09</v>
        <stp/>
        <stp>##V3_BDHV12</stp>
        <stp>XOM US Equity</stp>
        <stp>IS_EARN_BEF_XO_ITEMS_PER_SH</stp>
        <stp>FQ3 2012</stp>
        <stp>FQ3 2012</stp>
        <stp>[FA1_m42y3cpi.xlsx]Per Share!R15C19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5" s="5"/>
      </tp>
      <tp>
        <v>2045.9268</v>
        <stp/>
        <stp>##V3_BDHV12</stp>
        <stp>XOM US Equity</stp>
        <stp>CF_FREE_CASH_FLOW_FIRM</stp>
        <stp>FQ3 2016</stp>
        <stp>FQ3 2016</stp>
        <stp>[FA1_m42y3cpi.xlsx]Cash Flow - Standardized!R64C35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64" s="4"/>
      </tp>
      <tp>
        <v>300.6189</v>
        <stp/>
        <stp>##V3_BDHV12</stp>
        <stp>XOM US Equity</stp>
        <stp>CF_FREE_CASH_FLOW_FIRM</stp>
        <stp>FQ2 2016</stp>
        <stp>FQ2 2016</stp>
        <stp>[FA1_m42y3cpi.xlsx]Cash Flow - Standardized!R64C34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64" s="4"/>
      </tp>
      <tp>
        <v>7815.6134000000002</v>
        <stp/>
        <stp>##V3_BDHV12</stp>
        <stp>XOM US Equity</stp>
        <stp>CF_FREE_CASH_FLOW_FIRM</stp>
        <stp>FQ1 2014</stp>
        <stp>FQ1 2014</stp>
        <stp>[FA1_m42y3cpi.xlsx]Cash Flow - Standardized!R64C25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64" s="4"/>
      </tp>
      <tp>
        <v>1701.2329999999999</v>
        <stp/>
        <stp>##V3_BDHV12</stp>
        <stp>XOM US Equity</stp>
        <stp>CF_FREE_CASH_FLOW_FIRM</stp>
        <stp>FQ2 2014</stp>
        <stp>FQ2 2014</stp>
        <stp>[FA1_m42y3cpi.xlsx]Cash Flow - Standardized!R64C26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64" s="4"/>
      </tp>
      <tp>
        <v>4252.7686999999996</v>
        <stp/>
        <stp>##V3_BDHV12</stp>
        <stp>XOM US Equity</stp>
        <stp>CF_FREE_CASH_FLOW_FIRM</stp>
        <stp>FQ3 2014</stp>
        <stp>FQ3 2014</stp>
        <stp>[FA1_m42y3cpi.xlsx]Cash Flow - Standardized!R64C27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64" s="4"/>
      </tp>
      <tp>
        <v>1.0900000000000001</v>
        <stp/>
        <stp>##V3_BDHV12</stp>
        <stp>XOM US Equity</stp>
        <stp>IS_DIL_EPS_CONT_OPS</stp>
        <stp>FQ1 2018</stp>
        <stp>FQ1 2018</stp>
        <stp>[FA1_m42y3cpi.xlsx]Income - Adjusted!R57C41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7" s="2"/>
      </tp>
      <tp>
        <v>-4955</v>
        <stp/>
        <stp>##V3_BDHV12</stp>
        <stp>XOM US Equity</stp>
        <stp>IS_NONOP_INCOME_LOSS</stp>
        <stp>FQ1 2013</stp>
        <stp>FQ1 2013</stp>
        <stp>[FA1_m42y3cpi.xlsx]Income - Adjusted!R17C21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7" s="2"/>
      </tp>
      <tp>
        <v>-4724</v>
        <stp/>
        <stp>##V3_BDHV12</stp>
        <stp>XOM US Equity</stp>
        <stp>IS_NONOP_INCOME_LOSS</stp>
        <stp>FQ1 2011</stp>
        <stp>FQ1 2011</stp>
        <stp>[FA1_m42y3cpi.xlsx]Income - Adjusted!R17C13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7" s="2"/>
      </tp>
      <tp>
        <v>-5425</v>
        <stp/>
        <stp>##V3_BDHV12</stp>
        <stp>XOM US Equity</stp>
        <stp>IS_NONOP_INCOME_LOSS</stp>
        <stp>FQ2 2014</stp>
        <stp>FQ2 2014</stp>
        <stp>[FA1_m42y3cpi.xlsx]Income - Adjusted!R17C26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7" s="2"/>
      </tp>
      <tp>
        <v>-1259</v>
        <stp/>
        <stp>##V3_BDHV12</stp>
        <stp>XOM US Equity</stp>
        <stp>IS_NONOP_INCOME_LOSS</stp>
        <stp>FQ2 2016</stp>
        <stp>FQ2 2016</stp>
        <stp>[FA1_m42y3cpi.xlsx]Income - Adjusted!R17C34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7" s="2"/>
      </tp>
      <tp>
        <v>-5427</v>
        <stp/>
        <stp>##V3_BDHV12</stp>
        <stp>XOM US Equity</stp>
        <stp>IS_NONOP_INCOME_LOSS</stp>
        <stp>FQ4 2012</stp>
        <stp>FQ4 2012</stp>
        <stp>[FA1_m42y3cpi.xlsx]Income - Adjusted!R17C20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7" s="2"/>
      </tp>
      <tp>
        <v>-4034</v>
        <stp/>
        <stp>##V3_BDHV12</stp>
        <stp>XOM US Equity</stp>
        <stp>IS_NONOP_INCOME_LOSS</stp>
        <stp>FQ4 2010</stp>
        <stp>FQ4 2010</stp>
        <stp>[FA1_m42y3cpi.xlsx]Income - Adjusted!R17C12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7" s="2"/>
      </tp>
      <tp>
        <v>0</v>
        <stp/>
        <stp>##V3_BDHV12</stp>
        <stp>XOM US Equity</stp>
        <stp>IS_EXTRAORD_ITEMS_&amp;_ACCTG_CHNG</stp>
        <stp>FQ1 2018</stp>
        <stp>FQ1 2018</stp>
        <stp>[FA1_m42y3cpi.xlsx]Income - Adjusted!R37C41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7" s="2"/>
      </tp>
      <tp>
        <v>18.385100000000001</v>
        <stp/>
        <stp>##V3_BDHV12</stp>
        <stp>XOM US Equity</stp>
        <stp>PX_TO_FREE_CASH_FLOW</stp>
        <stp>FQ4 2012</stp>
        <stp>FQ4 2012</stp>
        <stp>[FA1_m42y3cpi.xlsx]Cash Flow - Standardized!R67C20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7" s="4"/>
      </tp>
      <tp>
        <v>16.514800000000001</v>
        <stp/>
        <stp>##V3_BDHV12</stp>
        <stp>XOM US Equity</stp>
        <stp>PX_TO_FREE_CASH_FLOW</stp>
        <stp>FQ4 2010</stp>
        <stp>FQ4 2010</stp>
        <stp>[FA1_m42y3cpi.xlsx]Cash Flow - Standardized!R67C12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7" s="4"/>
      </tp>
      <tp>
        <v>25957</v>
        <stp/>
        <stp>##V3_BDHV12</stp>
        <stp>XOM US Equity</stp>
        <stp>BS_ACCT_NOTE_RCV</stp>
        <stp>FQ2 2015</stp>
        <stp>FQ2 2015</stp>
        <stp>[FA1_m42y3cpi.xlsx]Bal Sheet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3"/>
      </tp>
      <tp>
        <v>2780</v>
        <stp/>
        <stp>##V3_BDHV12</stp>
        <stp>XOM US Equity</stp>
        <stp>EARN_FOR_COMMON</stp>
        <stp>FQ4 2015</stp>
        <stp>FQ4 2015</stp>
        <stp>[FA1_m42y3cpi.xlsx]Income - Adjusted!R43C32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43" s="2"/>
      </tp>
      <tp>
        <v>9400</v>
        <stp/>
        <stp>##V3_BDHV12</stp>
        <stp>XOM US Equity</stp>
        <stp>EARN_FOR_COMMON</stp>
        <stp>FQ4 2011</stp>
        <stp>FQ4 2011</stp>
        <stp>[FA1_m42y3cpi.xlsx]Income - Adjusted!R43C16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43" s="2"/>
      </tp>
      <tp>
        <v>8350</v>
        <stp/>
        <stp>##V3_BDHV12</stp>
        <stp>XOM US Equity</stp>
        <stp>EARN_FOR_COMMON</stp>
        <stp>FQ4 2013</stp>
        <stp>FQ4 2013</stp>
        <stp>[FA1_m42y3cpi.xlsx]Income - Adjusted!R43C24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43" s="2"/>
      </tp>
      <tp>
        <v>8380</v>
        <stp/>
        <stp>##V3_BDHV12</stp>
        <stp>XOM US Equity</stp>
        <stp>EARN_FOR_COMMON</stp>
        <stp>FQ4 2017</stp>
        <stp>FQ4 2017</stp>
        <stp>[FA1_m42y3cpi.xlsx]Income - Adjusted!R43C40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43" s="2"/>
      </tp>
      <tp>
        <v>33230</v>
        <stp/>
        <stp>##V3_BDHV12</stp>
        <stp>XOM US Equity</stp>
        <stp>BS_ACCT_NOTE_RCV</stp>
        <stp>FQ3 2013</stp>
        <stp>FQ3 2013</stp>
        <stp>[FA1_m42y3cpi.xlsx]Bal Sheet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3"/>
      </tp>
      <tp>
        <v>36</v>
        <stp/>
        <stp>##V3_BDHV12</stp>
        <stp>XOM US Equity</stp>
        <stp>MIN_NONCONTROL_INTEREST_CREDITS</stp>
        <stp>FQ2 2018</stp>
        <stp>FQ2 2018</stp>
        <stp>[FA1_m42y3cpi.xlsx]Income - Adjusted!R39C42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39" s="2"/>
      </tp>
      <tp>
        <v>1744</v>
        <stp/>
        <stp>##V3_BDHV12</stp>
        <stp>XOM US Equity</stp>
        <stp>MIN_NONCONTROL_INTEREST_CREDITS</stp>
        <stp>FQ2 2012</stp>
        <stp>FQ2 2012</stp>
        <stp>[FA1_m42y3cpi.xlsx]Income - Adjusted!R39C18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39" s="2"/>
      </tp>
      <tp t="s">
        <v>—</v>
        <stp/>
        <stp>##V3_BDHV12</stp>
        <stp>XOM US Equity</stp>
        <stp>BS_DISCLOSED_INTANGIBLES</stp>
        <stp>FQ2 2018</stp>
        <stp>FQ2 2018</stp>
        <stp>[FA1_m42y3cpi.xlsx]Bal Sheet - Standardized!R30C42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0" s="3"/>
      </tp>
      <tp>
        <v>0</v>
        <stp/>
        <stp>##V3_BDHV12</stp>
        <stp>XOM US Equity</stp>
        <stp>BS_DISCLOSED_INTANGIBLES</stp>
        <stp>FQ4 2014</stp>
        <stp>FQ4 2014</stp>
        <stp>[FA1_m42y3cpi.xlsx]Bal Sheet - Standardized!R30C28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3"/>
      </tp>
      <tp>
        <v>21827</v>
        <stp/>
        <stp>##V3_BDHV12</stp>
        <stp>XOM US Equity</stp>
        <stp>BS_ACCT_NOTE_RCV</stp>
        <stp>FQ2 2016</stp>
        <stp>FQ2 2016</stp>
        <stp>[FA1_m42y3cpi.xlsx]Bal Sheet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3"/>
      </tp>
      <tp>
        <v>30963</v>
        <stp/>
        <stp>##V3_BDHV12</stp>
        <stp>XOM US Equity</stp>
        <stp>BS_ACCT_NOTE_RCV</stp>
        <stp>FQ3 2014</stp>
        <stp>FQ3 2014</stp>
        <stp>[FA1_m42y3cpi.xlsx]Bal Sheet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3"/>
      </tp>
      <tp>
        <v>21289</v>
        <stp/>
        <stp>##V3_BDHV12</stp>
        <stp>XOM US Equity</stp>
        <stp>BS_ACCT_NOTE_RCV</stp>
        <stp>FQ2 2017</stp>
        <stp>FQ2 2017</stp>
        <stp>[FA1_m42y3cpi.xlsx]Bal Sheet - Standardized!R10C38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0" s="3"/>
      </tp>
      <tp>
        <v>0</v>
        <stp/>
        <stp>##V3_BDHV12</stp>
        <stp>XOM US Equity</stp>
        <stp>BS_DISCLOSED_INTANGIBLES</stp>
        <stp>FQ4 2012</stp>
        <stp>FQ4 2012</stp>
        <stp>[FA1_m42y3cpi.xlsx]Bal Sheet - Standardized!R30C20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3"/>
      </tp>
      <tp>
        <v>0</v>
        <stp/>
        <stp>##V3_BDHV12</stp>
        <stp>XOM US Equity</stp>
        <stp>BS_DISCLOSED_INTANGIBLES</stp>
        <stp>FQ4 2013</stp>
        <stp>FQ4 2013</stp>
        <stp>[FA1_m42y3cpi.xlsx]Bal Sheet - Standardized!R30C24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3"/>
      </tp>
      <tp>
        <v>4262</v>
        <stp/>
        <stp>##V3_BDHV12</stp>
        <stp>XOM US Equity</stp>
        <stp>NI_INCLUDING_MINORITY_INT_RATIO</stp>
        <stp>FQ2 2015</stp>
        <stp>FQ2 2015</stp>
        <stp>[FA1_m42y3cpi.xlsx]Income - Adjusted!R38C30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38" s="2"/>
      </tp>
      <tp>
        <v>10898</v>
        <stp/>
        <stp>##V3_BDHV12</stp>
        <stp>XOM US Equity</stp>
        <stp>NI_INCLUDING_MINORITY_INT_RATIO</stp>
        <stp>FQ2 2011</stp>
        <stp>FQ2 2011</stp>
        <stp>[FA1_m42y3cpi.xlsx]Income - Adjusted!R38C14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38" s="2"/>
      </tp>
      <tp>
        <v>1781</v>
        <stp/>
        <stp>##V3_BDHV12</stp>
        <stp>XOM US Equity</stp>
        <stp>NI_INCLUDING_MINORITY_INT_RATIO</stp>
        <stp>FQ1 2016</stp>
        <stp>FQ1 2016</stp>
        <stp>[FA1_m42y3cpi.xlsx]Income - Adjusted!R38C33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38" s="2"/>
      </tp>
      <tp>
        <v>9799</v>
        <stp/>
        <stp>##V3_BDHV12</stp>
        <stp>XOM US Equity</stp>
        <stp>NI_INCLUDING_MINORITY_INT_RATIO</stp>
        <stp>FQ1 2012</stp>
        <stp>FQ1 2012</stp>
        <stp>[FA1_m42y3cpi.xlsx]Income - Adjusted!R38C17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38" s="2"/>
      </tp>
      <tp>
        <v>5.9799999999999999E-2</v>
        <stp/>
        <stp>##V3_BDHV12</stp>
        <stp>XOM US Equity</stp>
        <stp>FREE_CASH_FLOW_PER_SH</stp>
        <stp>FQ2 2016</stp>
        <stp>FQ2 2016</stp>
        <stp>[FA1_m42y3cpi.xlsx]Cash Flow - Standardized!R66C34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6" s="4"/>
      </tp>
      <tp>
        <v>0.46700000000000003</v>
        <stp/>
        <stp>##V3_BDHV12</stp>
        <stp>XOM US Equity</stp>
        <stp>FREE_CASH_FLOW_PER_SH</stp>
        <stp>FQ3 2016</stp>
        <stp>FQ3 2016</stp>
        <stp>[FA1_m42y3cpi.xlsx]Cash Flow - Standardized!R66C35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6" s="4"/>
      </tp>
      <tp>
        <v>0.98380000000000001</v>
        <stp/>
        <stp>##V3_BDHV12</stp>
        <stp>XOM US Equity</stp>
        <stp>FREE_CASH_FLOW_PER_SH</stp>
        <stp>FQ3 2014</stp>
        <stp>FQ3 2014</stp>
        <stp>[FA1_m42y3cpi.xlsx]Cash Flow - Standardized!R66C27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6" s="4"/>
      </tp>
      <tp>
        <v>0.38629999999999998</v>
        <stp/>
        <stp>##V3_BDHV12</stp>
        <stp>XOM US Equity</stp>
        <stp>FREE_CASH_FLOW_PER_SH</stp>
        <stp>FQ2 2014</stp>
        <stp>FQ2 2014</stp>
        <stp>[FA1_m42y3cpi.xlsx]Cash Flow - Standardized!R66C26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6" s="4"/>
      </tp>
      <tp>
        <v>1.7964</v>
        <stp/>
        <stp>##V3_BDHV12</stp>
        <stp>XOM US Equity</stp>
        <stp>FREE_CASH_FLOW_PER_SH</stp>
        <stp>FQ1 2014</stp>
        <stp>FQ1 2014</stp>
        <stp>[FA1_m42y3cpi.xlsx]Cash Flow - Standardized!R66C25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6" s="4"/>
      </tp>
      <tp>
        <v>1.01</v>
        <stp/>
        <stp>##V3_BDHV12</stp>
        <stp>XOM US Equity</stp>
        <stp>IS_EARN_BEF_XO_ITEMS_PER_SH</stp>
        <stp>FQ3 2015</stp>
        <stp>FQ3 2015</stp>
        <stp>[FA1_m42y3cpi.xlsx]Per Share!R15C31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5" s="5"/>
      </tp>
      <tp>
        <v>2.13</v>
        <stp/>
        <stp>##V3_BDHV12</stp>
        <stp>XOM US Equity</stp>
        <stp>IS_EARN_BEF_XO_ITEMS_PER_SH</stp>
        <stp>FQ3 2011</stp>
        <stp>FQ3 2011</stp>
        <stp>[FA1_m42y3cpi.xlsx]Per Share!R15C15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5" s="5"/>
      </tp>
      <tp>
        <v>5383.9022999999997</v>
        <stp/>
        <stp>##V3_BDHV12</stp>
        <stp>XOM US Equity</stp>
        <stp>CF_FREE_CASH_FLOW_FIRM</stp>
        <stp>FQ1 2017</stp>
        <stp>FQ1 2017</stp>
        <stp>[FA1_m42y3cpi.xlsx]Cash Flow - Standardized!R64C37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64" s="4"/>
      </tp>
      <tp>
        <v>15522</v>
        <stp/>
        <stp>##V3_BDHV12</stp>
        <stp>XOM US Equity</stp>
        <stp>EBITDA</stp>
        <stp>FQ2 2012</stp>
        <stp>FQ2 2012</stp>
        <stp>[FA1_m42y3cpi.xlsx]Cash Flow - Standardized!R59C18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59" s="4"/>
      </tp>
      <tp>
        <v>17264</v>
        <stp/>
        <stp>##V3_BDHV12</stp>
        <stp>XOM US Equity</stp>
        <stp>EBITDA</stp>
        <stp>FQ3 2012</stp>
        <stp>FQ3 2012</stp>
        <stp>[FA1_m42y3cpi.xlsx]Cash Flow - Standardized!R59C19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59" s="4"/>
      </tp>
      <tp>
        <v>9960</v>
        <stp/>
        <stp>##V3_BDHV12</stp>
        <stp>XOM US Equity</stp>
        <stp>EBITDA</stp>
        <stp>FQ4 2014</stp>
        <stp>FQ4 2014</stp>
        <stp>[FA1_m42y3cpi.xlsx]Cash Flow - Standardized!R59C28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59" s="4"/>
      </tp>
      <tp>
        <v>1.56</v>
        <stp/>
        <stp>##V3_BDHV12</stp>
        <stp>XOM US Equity</stp>
        <stp>IS_DIL_EPS_BEF_XO</stp>
        <stp>FQ4 2014</stp>
        <stp>FQ4 2014</stp>
        <stp>[FA1_m42y3cpi.xlsx]Per Share!R18C28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8" s="5"/>
      </tp>
      <tp>
        <v>1.17</v>
        <stp/>
        <stp>##V3_BDHV12</stp>
        <stp>XOM US Equity</stp>
        <stp>IS_DIL_EPS_BEF_XO</stp>
        <stp>FQ1 2015</stp>
        <stp>FQ1 2015</stp>
        <stp>[FA1_m42y3cpi.xlsx]Per Share!R18C29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8" s="5"/>
      </tp>
      <tp>
        <v>9203</v>
        <stp/>
        <stp>##V3_BDHV12</stp>
        <stp>XOM US Equity</stp>
        <stp>EBITDA</stp>
        <stp>FQ2 2018</stp>
        <stp>FQ2 2018</stp>
        <stp>[FA1_m42y3cpi.xlsx]Cash Flow - Standardized!R59C42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59" s="4"/>
      </tp>
      <tp>
        <v>9476</v>
        <stp/>
        <stp>##V3_BDHV12</stp>
        <stp>XOM US Equity</stp>
        <stp>EBITDA</stp>
        <stp>FQ1 2018</stp>
        <stp>FQ1 2018</stp>
        <stp>[FA1_m42y3cpi.xlsx]Cash Flow - Standardized!R59C41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59" s="4"/>
      </tp>
      <tp>
        <v>-3836</v>
        <stp/>
        <stp>##V3_BDHV12</stp>
        <stp>XOM US Equity</stp>
        <stp>IS_NONOP_INCOME_LOSS</stp>
        <stp>FQ3 2014</stp>
        <stp>FQ3 2014</stp>
        <stp>[FA1_m42y3cpi.xlsx]Income - Adjusted!R17C27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7" s="2"/>
      </tp>
      <tp>
        <v>-1804</v>
        <stp/>
        <stp>##V3_BDHV12</stp>
        <stp>XOM US Equity</stp>
        <stp>IS_NONOP_INCOME_LOSS</stp>
        <stp>FQ3 2016</stp>
        <stp>FQ3 2016</stp>
        <stp>[FA1_m42y3cpi.xlsx]Income - Adjusted!R17C35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7" s="2"/>
      </tp>
      <tp>
        <v>0</v>
        <stp/>
        <stp>##V3_BDHV12</stp>
        <stp>XOM US Equity</stp>
        <stp>IS_OTHER_OPER_INC</stp>
        <stp>FQ1 2018</stp>
        <stp>FQ1 2018</stp>
        <stp>[FA1_m42y3cpi.xlsx]Income - Adjusted!R12C41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2" s="2"/>
      </tp>
      <tp>
        <v>75.123699999999999</v>
        <stp/>
        <stp>##V3_BDHV12</stp>
        <stp>XOM US Equity</stp>
        <stp>PX_TO_FREE_CASH_FLOW</stp>
        <stp>FQ3 2015</stp>
        <stp>FQ3 2015</stp>
        <stp>[FA1_m42y3cpi.xlsx]Cash Flow - Standardized!R67C31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7" s="4"/>
      </tp>
      <tp>
        <v>63.4283</v>
        <stp/>
        <stp>##V3_BDHV12</stp>
        <stp>XOM US Equity</stp>
        <stp>PX_TO_FREE_CASH_FLOW</stp>
        <stp>FQ2 2015</stp>
        <stp>FQ2 2015</stp>
        <stp>[FA1_m42y3cpi.xlsx]Cash Flow - Standardized!R67C30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7" s="4"/>
      </tp>
      <tp>
        <v>12.9314</v>
        <stp/>
        <stp>##V3_BDHV12</stp>
        <stp>XOM US Equity</stp>
        <stp>PX_TO_FREE_CASH_FLOW</stp>
        <stp>FQ3 2011</stp>
        <stp>FQ3 2011</stp>
        <stp>[FA1_m42y3cpi.xlsx]Cash Flow - Standardized!R67C15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7" s="4"/>
      </tp>
      <tp>
        <v>15.8551</v>
        <stp/>
        <stp>##V3_BDHV12</stp>
        <stp>XOM US Equity</stp>
        <stp>PX_TO_FREE_CASH_FLOW</stp>
        <stp>FQ2 2011</stp>
        <stp>FQ2 2011</stp>
        <stp>[FA1_m42y3cpi.xlsx]Cash Flow - Standardized!R67C14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7" s="4"/>
      </tp>
      <tp>
        <v>41.5137</v>
        <stp/>
        <stp>##V3_BDHV12</stp>
        <stp>XOM US Equity</stp>
        <stp>TANG_BOOK_VAL_PER_SH</stp>
        <stp>FQ4 2014</stp>
        <stp>FQ4 2014</stp>
        <stp>[FA1_m42y3cpi.xlsx]Per Share!R27C28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7" s="5"/>
      </tp>
      <tp t="s">
        <v>—</v>
        <stp/>
        <stp>##V3_BDHV12</stp>
        <stp>XOM US Equity</stp>
        <stp>TANG_BOOK_VAL_PER_SH</stp>
        <stp>FQ1 2015</stp>
        <stp>FQ1 2015</stp>
        <stp>[FA1_m42y3cpi.xlsx]Per Share!R27C29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7" s="5"/>
      </tp>
      <tp>
        <v>22157</v>
        <stp/>
        <stp>##V3_BDHV12</stp>
        <stp>XOM US Equity</stp>
        <stp>BS_ACCT_NOTE_RCV</stp>
        <stp>FQ3 2015</stp>
        <stp>FQ3 2015</stp>
        <stp>[FA1_m42y3cpi.xlsx]Bal Sheet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3"/>
      </tp>
      <tp>
        <v>35844</v>
        <stp/>
        <stp>##V3_BDHV12</stp>
        <stp>XOM US Equity</stp>
        <stp>BS_ACCT_NOTE_RCV</stp>
        <stp>FQ1 2012</stp>
        <stp>FQ1 2012</stp>
        <stp>[FA1_m42y3cpi.xlsx]Bal Sheet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3"/>
      </tp>
      <tp>
        <v>35340</v>
        <stp/>
        <stp>##V3_BDHV12</stp>
        <stp>XOM US Equity</stp>
        <stp>BS_ACCT_NOTE_RCV</stp>
        <stp>FQ2 2013</stp>
        <stp>FQ2 2013</stp>
        <stp>[FA1_m42y3cpi.xlsx]Bal Sheet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3"/>
      </tp>
      <tp>
        <v>35146</v>
        <stp/>
        <stp>##V3_BDHV12</stp>
        <stp>XOM US Equity</stp>
        <stp>BS_ACCT_NOTE_RCV</stp>
        <stp>FQ1 2011</stp>
        <stp>FQ1 2011</stp>
        <stp>[FA1_m42y3cpi.xlsx]Bal Sheet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3"/>
      </tp>
      <tp>
        <v>25597</v>
        <stp/>
        <stp>##V3_BDHV12</stp>
        <stp>XOM US Equity</stp>
        <stp>BS_ACCT_NOTE_RCV</stp>
        <stp>FQ4 2017</stp>
        <stp>FQ4 2017</stp>
        <stp>[FA1_m42y3cpi.xlsx]Bal Sheet - Standardized!R10C40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0" s="3"/>
      </tp>
      <tp>
        <v>356</v>
        <stp/>
        <stp>##V3_BDHV12</stp>
        <stp>XOM US Equity</stp>
        <stp>MIN_NONCONTROL_INTEREST_CREDITS</stp>
        <stp>FQ3 2012</stp>
        <stp>FQ3 2012</stp>
        <stp>[FA1_m42y3cpi.xlsx]Income - Adjusted!R39C19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39" s="2"/>
      </tp>
      <tp t="s">
        <v>—</v>
        <stp/>
        <stp>##V3_BDHV12</stp>
        <stp>XOM US Equity</stp>
        <stp>BS_DEFERRED_TAX_LIABS_ST</stp>
        <stp>FQ1 2018</stp>
        <stp>FQ1 2018</stp>
        <stp>[FA1_m42y3cpi.xlsx]Bal Sheet - Standardized!R53C41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3" s="3"/>
      </tp>
      <tp>
        <v>20388</v>
        <stp/>
        <stp>##V3_BDHV12</stp>
        <stp>XOM US Equity</stp>
        <stp>BS_ACCT_NOTE_RCV</stp>
        <stp>FQ3 2016</stp>
        <stp>FQ3 2016</stp>
        <stp>[FA1_m42y3cpi.xlsx]Bal Sheet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3"/>
      </tp>
      <tp>
        <v>34182</v>
        <stp/>
        <stp>##V3_BDHV12</stp>
        <stp>XOM US Equity</stp>
        <stp>BS_ACCT_NOTE_RCV</stp>
        <stp>FQ2 2014</stp>
        <stp>FQ2 2014</stp>
        <stp>[FA1_m42y3cpi.xlsx]Bal Sheet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3"/>
      </tp>
      <tp>
        <v>0</v>
        <stp/>
        <stp>##V3_BDHV12</stp>
        <stp>XOM US Equity</stp>
        <stp>BS_DISCLOSED_INTANGIBLES</stp>
        <stp>FQ4 2016</stp>
        <stp>FQ4 2016</stp>
        <stp>[FA1_m42y3cpi.xlsx]Bal Sheet - Standardized!R30C36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3"/>
      </tp>
      <tp>
        <v>23263</v>
        <stp/>
        <stp>##V3_BDHV12</stp>
        <stp>XOM US Equity</stp>
        <stp>BS_ACCT_NOTE_RCV</stp>
        <stp>FQ3 2017</stp>
        <stp>FQ3 2017</stp>
        <stp>[FA1_m42y3cpi.xlsx]Bal Sheet - Standardized!R10C39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0" s="3"/>
      </tp>
      <tp t="s">
        <v>—</v>
        <stp/>
        <stp>##V3_BDHV12</stp>
        <stp>XOM US Equity</stp>
        <stp>BS_DEFERRED_TAX_LIABS_ST</stp>
        <stp>FQ4 2010</stp>
        <stp>FQ4 2010</stp>
        <stp>[FA1_m42y3cpi.xlsx]Bal Sheet - Standardized!R53C12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3" s="3"/>
      </tp>
      <tp>
        <v>-1910</v>
        <stp/>
        <stp>##V3_BDHV12</stp>
        <stp>XOM US Equity</stp>
        <stp>INCOME_LOSS_FROM_AFFILIATES</stp>
        <stp>FQ1 2018</stp>
        <stp>FQ1 2018</stp>
        <stp>[FA1_m42y3cpi.xlsx]Income - Adjusted!R22C41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22" s="2"/>
      </tp>
      <tp t="s">
        <v>—</v>
        <stp/>
        <stp>##V3_BDHV12</stp>
        <stp>XOM US Equity</stp>
        <stp>BS_DEFERRED_TAX_LIABS_ST</stp>
        <stp>FQ4 2011</stp>
        <stp>FQ4 2011</stp>
        <stp>[FA1_m42y3cpi.xlsx]Bal Sheet - Standardized!R53C16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3" s="3"/>
      </tp>
      <tp>
        <v>0</v>
        <stp/>
        <stp>##V3_BDHV12</stp>
        <stp>XOM US Equity</stp>
        <stp>BS_DISCLOSED_INTANGIBLES</stp>
        <stp>FQ4 2015</stp>
        <stp>FQ4 2015</stp>
        <stp>[FA1_m42y3cpi.xlsx]Bal Sheet - Standardized!R30C32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3"/>
      </tp>
      <tp>
        <v>1868</v>
        <stp/>
        <stp>##V3_BDHV12</stp>
        <stp>XOM US Equity</stp>
        <stp>CF_DECR_INVEST</stp>
        <stp>FQ4 2008</stp>
        <stp>FQ4 2008</stp>
        <stp>[FA1_m42y3cpi.xlsx]Cash Flow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4"/>
      </tp>
      <tp>
        <v>0</v>
        <stp/>
        <stp>##V3_BDHV12</stp>
        <stp>XOM US Equity</stp>
        <stp>CF_DECR_INVEST</stp>
        <stp>FQ3 2008</stp>
        <stp>FQ3 2008</stp>
        <stp>[FA1_m42y3cpi.xlsx]Cash Flow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4"/>
      </tp>
      <tp>
        <v>4384</v>
        <stp/>
        <stp>##V3_BDHV12</stp>
        <stp>XOM US Equity</stp>
        <stp>NI_INCLUDING_MINORITY_INT_RATIO</stp>
        <stp>FQ3 2015</stp>
        <stp>FQ3 2015</stp>
        <stp>[FA1_m42y3cpi.xlsx]Income - Adjusted!R38C31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38" s="2"/>
      </tp>
      <tp>
        <v>10671</v>
        <stp/>
        <stp>##V3_BDHV12</stp>
        <stp>XOM US Equity</stp>
        <stp>NI_INCLUDING_MINORITY_INT_RATIO</stp>
        <stp>FQ3 2011</stp>
        <stp>FQ3 2011</stp>
        <stp>[FA1_m42y3cpi.xlsx]Income - Adjusted!R38C15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38" s="2"/>
      </tp>
      <tp>
        <v>0</v>
        <stp/>
        <stp>##V3_BDHV12</stp>
        <stp>XOM US Equity</stp>
        <stp>CF_DECR_INVEST</stp>
        <stp>FQ3 2009</stp>
        <stp>FQ3 2009</stp>
        <stp>[FA1_m42y3cpi.xlsx]Cash Flow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4"/>
      </tp>
      <tp>
        <v>0</v>
        <stp/>
        <stp>##V3_BDHV12</stp>
        <stp>XOM US Equity</stp>
        <stp>CF_DECR_INVEST</stp>
        <stp>FQ2 2009</stp>
        <stp>FQ2 2009</stp>
        <stp>[FA1_m42y3cpi.xlsx]Cash Flow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4"/>
      </tp>
      <tp>
        <v>0</v>
        <stp/>
        <stp>##V3_BDHV12</stp>
        <stp>XOM US Equity</stp>
        <stp>CF_DECR_INVEST</stp>
        <stp>FQ1 2009</stp>
        <stp>FQ1 2009</stp>
        <stp>[FA1_m42y3cpi.xlsx]Cash Flow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4"/>
      </tp>
      <tp t="s">
        <v>—</v>
        <stp/>
        <stp>##V3_BDHV12</stp>
        <stp>XOM US Equity</stp>
        <stp>IS_OTHER_ONE_TIME_ITEMS</stp>
        <stp>FQ2 2018</stp>
        <stp>FQ2 2018</stp>
        <stp>[FA1_m42y3cpi.xlsx]Income - Adjusted!R31C42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2"/>
      </tp>
      <tp>
        <v>0</v>
        <stp/>
        <stp>##V3_BDHV12</stp>
        <stp>XOM US Equity</stp>
        <stp>CF_DECR_INVEST</stp>
        <stp>FQ1 2010</stp>
        <stp>FQ1 2010</stp>
        <stp>[FA1_m42y3cpi.xlsx]Cash Flow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4"/>
      </tp>
      <tp>
        <v>571</v>
        <stp/>
        <stp>##V3_BDHV12</stp>
        <stp>XOM US Equity</stp>
        <stp>CF_DECR_INVEST</stp>
        <stp>FQ4 2009</stp>
        <stp>FQ4 2009</stp>
        <stp>[FA1_m42y3cpi.xlsx]Cash Flow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4"/>
      </tp>
      <tp>
        <v>0</v>
        <stp/>
        <stp>##V3_BDHV12</stp>
        <stp>XOM US Equity</stp>
        <stp>IS_DISCONTINUED_OPERATIONS</stp>
        <stp>FQ4 2009</stp>
        <stp>FQ4 2009</stp>
        <stp>[FA1_m42y3cpi.xlsx]Income - Adjusted!R36C8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2"/>
      </tp>
      <tp t="s">
        <v>—</v>
        <stp/>
        <stp>##V3_BDHV12</stp>
        <stp>XOM US Equity</stp>
        <stp>IS_DISCONTINUED_OPERATIONS</stp>
        <stp>FQ4 2008</stp>
        <stp>FQ4 2008</stp>
        <stp>[FA1_m42y3cpi.xlsx]Income - Adjusted!R36C4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2"/>
      </tp>
      <tp>
        <v>1.2509999999999999</v>
        <stp/>
        <stp>##V3_BDHV12</stp>
        <stp>XOM US Equity</stp>
        <stp>FREE_CASH_FLOW_PER_SH</stp>
        <stp>FQ1 2017</stp>
        <stp>FQ1 2017</stp>
        <stp>[FA1_m42y3cpi.xlsx]Cash Flow - Standardized!R66C37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6" s="4"/>
      </tp>
      <tp>
        <v>7825</v>
        <stp/>
        <stp>##V3_BDHV12</stp>
        <stp>XOM US Equity</stp>
        <stp>BS_CASH_NEAR_CASH_ITEM</stp>
        <stp>FQ4 2010</stp>
        <stp>FQ4 2010</stp>
        <stp>[FA1_m42y3cpi.xlsx]Bal Sheet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3"/>
      </tp>
      <tp>
        <v>11022</v>
        <stp/>
        <stp>##V3_BDHV12</stp>
        <stp>XOM US Equity</stp>
        <stp>BS_CASH_NEAR_CASH_ITEM</stp>
        <stp>FQ3 2011</stp>
        <stp>FQ3 2011</stp>
        <stp>[FA1_m42y3cpi.xlsx]Bal Sheet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3"/>
      </tp>
      <tp>
        <v>8287</v>
        <stp/>
        <stp>##V3_BDHV12</stp>
        <stp>XOM US Equity</stp>
        <stp>BS_CASH_NEAR_CASH_ITEM</stp>
        <stp>FQ2 2011</stp>
        <stp>FQ2 2011</stp>
        <stp>[FA1_m42y3cpi.xlsx]Bal Sheet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3"/>
      </tp>
      <tp>
        <v>18670</v>
        <stp/>
        <stp>##V3_BDHV12</stp>
        <stp>XOM US Equity</stp>
        <stp>BS_CASH_NEAR_CASH_ITEM</stp>
        <stp>FQ1 2012</stp>
        <stp>FQ1 2012</stp>
        <stp>[FA1_m42y3cpi.xlsx]Bal Sheet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3"/>
      </tp>
      <tp>
        <v>12664</v>
        <stp/>
        <stp>##V3_BDHV12</stp>
        <stp>XOM US Equity</stp>
        <stp>BS_CASH_NEAR_CASH_ITEM</stp>
        <stp>FQ4 2011</stp>
        <stp>FQ4 2011</stp>
        <stp>[FA1_m42y3cpi.xlsx]Bal Sheet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3"/>
      </tp>
      <tp>
        <v>13252</v>
        <stp/>
        <stp>##V3_BDHV12</stp>
        <stp>XOM US Equity</stp>
        <stp>BS_CASH_NEAR_CASH_ITEM</stp>
        <stp>FQ2 2010</stp>
        <stp>FQ2 2010</stp>
        <stp>[FA1_m42y3cpi.xlsx]Bal Sheet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3"/>
      </tp>
      <tp>
        <v>12244</v>
        <stp/>
        <stp>##V3_BDHV12</stp>
        <stp>XOM US Equity</stp>
        <stp>BS_CASH_NEAR_CASH_ITEM</stp>
        <stp>FQ3 2010</stp>
        <stp>FQ3 2010</stp>
        <stp>[FA1_m42y3cpi.xlsx]Bal Sheet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3"/>
      </tp>
      <tp>
        <v>12833</v>
        <stp/>
        <stp>##V3_BDHV12</stp>
        <stp>XOM US Equity</stp>
        <stp>BS_CASH_NEAR_CASH_ITEM</stp>
        <stp>FQ1 2011</stp>
        <stp>FQ1 2011</stp>
        <stp>[FA1_m42y3cpi.xlsx]Bal Sheet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3"/>
      </tp>
      <tp>
        <v>1</v>
        <stp/>
        <stp>##V3_BDHV12</stp>
        <stp>XOM US Equity</stp>
        <stp>IS_EARN_BEF_XO_ITEMS_PER_SH</stp>
        <stp>FQ2 2015</stp>
        <stp>FQ2 2015</stp>
        <stp>[FA1_m42y3cpi.xlsx]Per Share!R15C30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5" s="5"/>
      </tp>
      <tp>
        <v>2.19</v>
        <stp/>
        <stp>##V3_BDHV12</stp>
        <stp>XOM US Equity</stp>
        <stp>IS_EARN_BEF_XO_ITEMS_PER_SH</stp>
        <stp>FQ2 2011</stp>
        <stp>FQ2 2011</stp>
        <stp>[FA1_m42y3cpi.xlsx]Per Share!R15C14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5" s="5"/>
      </tp>
      <tp>
        <v>0.43</v>
        <stp/>
        <stp>##V3_BDHV12</stp>
        <stp>XOM US Equity</stp>
        <stp>IS_EARN_BEF_XO_ITEMS_PER_SH</stp>
        <stp>FQ1 2016</stp>
        <stp>FQ1 2016</stp>
        <stp>[FA1_m42y3cpi.xlsx]Per Share!R15C33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5" s="5"/>
      </tp>
      <tp>
        <v>2</v>
        <stp/>
        <stp>##V3_BDHV12</stp>
        <stp>XOM US Equity</stp>
        <stp>IS_EARN_BEF_XO_ITEMS_PER_SH</stp>
        <stp>FQ1 2012</stp>
        <stp>FQ1 2012</stp>
        <stp>[FA1_m42y3cpi.xlsx]Per Share!R15C17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5" s="5"/>
      </tp>
      <tp>
        <v>17802</v>
        <stp/>
        <stp>##V3_BDHV12</stp>
        <stp>XOM US Equity</stp>
        <stp>BS_CASH_NEAR_CASH_ITEM</stp>
        <stp>FQ2 2012</stp>
        <stp>FQ2 2012</stp>
        <stp>[FA1_m42y3cpi.xlsx]Bal Sheet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3"/>
      </tp>
      <tp>
        <v>13055</v>
        <stp/>
        <stp>##V3_BDHV12</stp>
        <stp>XOM US Equity</stp>
        <stp>BS_CASH_NEAR_CASH_ITEM</stp>
        <stp>FQ3 2012</stp>
        <stp>FQ3 2012</stp>
        <stp>[FA1_m42y3cpi.xlsx]Bal Sheet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3"/>
      </tp>
      <tp>
        <v>-1583</v>
        <stp/>
        <stp>##V3_BDHV12</stp>
        <stp>XOM US Equity</stp>
        <stp>INCOME_LOSS_FROM_AFFILIATES</stp>
        <stp>FQ2 2009</stp>
        <stp>FQ2 2009</stp>
        <stp>[FA1_m42y3cpi.xlsx]Income - Adjusted!R22C6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2" s="2"/>
      </tp>
      <tp>
        <v>-1675</v>
        <stp/>
        <stp>##V3_BDHV12</stp>
        <stp>XOM US Equity</stp>
        <stp>INCOME_LOSS_FROM_AFFILIATES</stp>
        <stp>FQ3 2009</stp>
        <stp>FQ3 2009</stp>
        <stp>[FA1_m42y3cpi.xlsx]Income - Adjusted!R22C7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2" s="2"/>
      </tp>
      <tp>
        <v>-1470</v>
        <stp/>
        <stp>##V3_BDHV12</stp>
        <stp>XOM US Equity</stp>
        <stp>INCOME_LOSS_FROM_AFFILIATES</stp>
        <stp>FQ1 2009</stp>
        <stp>FQ1 2009</stp>
        <stp>[FA1_m42y3cpi.xlsx]Income - Adjusted!R22C5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2" s="2"/>
      </tp>
      <tp>
        <v>5307.7541000000001</v>
        <stp/>
        <stp>##V3_BDHV12</stp>
        <stp>XOM US Equity</stp>
        <stp>CF_FREE_CASH_FLOW_FIRM</stp>
        <stp>FQ3 2010</stp>
        <stp>FQ3 2010</stp>
        <stp>[FA1_m42y3cpi.xlsx]Cash Flow - Standardized!R64C11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64" s="4"/>
      </tp>
      <tp>
        <v>3615.3852999999999</v>
        <stp/>
        <stp>##V3_BDHV12</stp>
        <stp>XOM US Equity</stp>
        <stp>CF_FREE_CASH_FLOW_FIRM</stp>
        <stp>FQ2 2010</stp>
        <stp>FQ2 2010</stp>
        <stp>[FA1_m42y3cpi.xlsx]Cash Flow - Standardized!R64C10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64" s="4"/>
      </tp>
      <tp>
        <v>0.78</v>
        <stp/>
        <stp>##V3_BDHV12</stp>
        <stp>XOM US Equity</stp>
        <stp>IS_DIL_EPS_BEF_XO</stp>
        <stp>FQ2 2017</stp>
        <stp>FQ2 2017</stp>
        <stp>[FA1_m42y3cpi.xlsx]Per Share!R18C38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8" s="5"/>
      </tp>
      <tp>
        <v>2.09</v>
        <stp/>
        <stp>##V3_BDHV12</stp>
        <stp>XOM US Equity</stp>
        <stp>IS_DIL_EPS_CONT_OPS</stp>
        <stp>FQ3 2012</stp>
        <stp>FQ3 2012</stp>
        <stp>[FA1_m42y3cpi.xlsx]Income - Adjusted!R57C19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7" s="2"/>
      </tp>
      <tp>
        <v>-2051</v>
        <stp/>
        <stp>##V3_BDHV12</stp>
        <stp>XOM US Equity</stp>
        <stp>IS_NONOP_INCOME_LOSS</stp>
        <stp>FQ1 2017</stp>
        <stp>FQ1 2017</stp>
        <stp>[FA1_m42y3cpi.xlsx]Income - Adjusted!R17C37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7" s="2"/>
      </tp>
      <tp>
        <v>-2753</v>
        <stp/>
        <stp>##V3_BDHV12</stp>
        <stp>XOM US Equity</stp>
        <stp>IS_NONOP_INCOME_LOSS</stp>
        <stp>FQ2 2010</stp>
        <stp>FQ2 2010</stp>
        <stp>[FA1_m42y3cpi.xlsx]Income - Adjusted!R17C10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7" s="2"/>
      </tp>
      <tp>
        <v>-3930</v>
        <stp/>
        <stp>##V3_BDHV12</stp>
        <stp>XOM US Equity</stp>
        <stp>IS_NONOP_INCOME_LOSS</stp>
        <stp>FQ3 2013</stp>
        <stp>FQ3 2013</stp>
        <stp>[FA1_m42y3cpi.xlsx]Income - Adjusted!R17C23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7" s="2"/>
      </tp>
      <tp>
        <v>-2445</v>
        <stp/>
        <stp>##V3_BDHV12</stp>
        <stp>XOM US Equity</stp>
        <stp>IS_NONOP_INCOME_LOSS</stp>
        <stp>FQ4 2016</stp>
        <stp>FQ4 2016</stp>
        <stp>[FA1_m42y3cpi.xlsx]Income - Adjusted!R17C36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7" s="2"/>
      </tp>
      <tp>
        <v>3896</v>
        <stp/>
        <stp>##V3_BDHV12</stp>
        <stp>XOM US Equity</stp>
        <stp>CF_CASH_PAID_FOR_TAX</stp>
        <stp>FQ1 2010</stp>
        <stp>FQ1 2010</stp>
        <stp>[FA1_m42y3cpi.xlsx]Cash Flow - Standardized!R55C9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5" s="4"/>
      </tp>
      <tp>
        <v>165</v>
        <stp/>
        <stp>##V3_BDHV12</stp>
        <stp>XOM US Equity</stp>
        <stp>OTHER_INVESTING_ACT_DETAILED</stp>
        <stp>FQ1 2010</stp>
        <stp>FQ1 2010</stp>
        <stp>[FA1_m42y3cpi.xlsx]Cash Flow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4"/>
      </tp>
      <tp>
        <v>3285</v>
        <stp/>
        <stp>##V3_BDHV12</stp>
        <stp>XOM US Equity</stp>
        <stp>CF_CASH_PAID_FOR_TAX</stp>
        <stp>FQ4 2009</stp>
        <stp>FQ4 2009</stp>
        <stp>[FA1_m42y3cpi.xlsx]Cash Flow - Standardized!R55C8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5" s="4"/>
      </tp>
      <tp>
        <v>-676</v>
        <stp/>
        <stp>##V3_BDHV12</stp>
        <stp>XOM US Equity</stp>
        <stp>OTHER_INVESTING_ACT_DETAILED</stp>
        <stp>FQ4 2009</stp>
        <stp>FQ4 2009</stp>
        <stp>[FA1_m42y3cpi.xlsx]Cash Flow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4"/>
      </tp>
      <tp>
        <v>8747</v>
        <stp/>
        <stp>##V3_BDHV12</stp>
        <stp>XOM US Equity</stp>
        <stp>CF_CASH_PAID_FOR_TAX</stp>
        <stp>FQ4 2008</stp>
        <stp>FQ4 2008</stp>
        <stp>[FA1_m42y3cpi.xlsx]Cash Flow - Standardized!R55C4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5" s="4"/>
      </tp>
      <tp>
        <v>9267</v>
        <stp/>
        <stp>##V3_BDHV12</stp>
        <stp>XOM US Equity</stp>
        <stp>CF_CASH_PAID_FOR_TAX</stp>
        <stp>FQ3 2008</stp>
        <stp>FQ3 2008</stp>
        <stp>[FA1_m42y3cpi.xlsx]Cash Flow - Standardized!R55C3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5" s="4"/>
      </tp>
      <tp>
        <v>1160</v>
        <stp/>
        <stp>##V3_BDHV12</stp>
        <stp>XOM US Equity</stp>
        <stp>OTHER_INVESTING_ACT_DETAILED</stp>
        <stp>FQ4 2008</stp>
        <stp>FQ4 2008</stp>
        <stp>[FA1_m42y3cpi.xlsx]Cash Flow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4"/>
      </tp>
      <tp>
        <v>-1592</v>
        <stp/>
        <stp>##V3_BDHV12</stp>
        <stp>XOM US Equity</stp>
        <stp>OTHER_INVESTING_ACT_DETAILED</stp>
        <stp>FQ3 2008</stp>
        <stp>FQ3 2008</stp>
        <stp>[FA1_m42y3cpi.xlsx]Cash Flow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4"/>
      </tp>
      <tp>
        <v>0</v>
        <stp/>
        <stp>##V3_BDHV12</stp>
        <stp>XOM US Equity</stp>
        <stp>IS_OTHER_OPER_INC</stp>
        <stp>FQ2 2012</stp>
        <stp>FQ2 2012</stp>
        <stp>[FA1_m42y3cpi.xlsx]Income - Adjusted!R12C18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2" s="2"/>
      </tp>
      <tp>
        <v>0</v>
        <stp/>
        <stp>##V3_BDHV12</stp>
        <stp>XOM US Equity</stp>
        <stp>IS_OTHER_OPER_INC</stp>
        <stp>FQ2 2018</stp>
        <stp>FQ2 2018</stp>
        <stp>[FA1_m42y3cpi.xlsx]Income - Adjusted!R12C42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2" s="2"/>
      </tp>
      <tp>
        <v>4723</v>
        <stp/>
        <stp>##V3_BDHV12</stp>
        <stp>XOM US Equity</stp>
        <stp>CF_CASH_PAID_FOR_TAX</stp>
        <stp>FQ2 2009</stp>
        <stp>FQ2 2009</stp>
        <stp>[FA1_m42y3cpi.xlsx]Cash Flow - Standardized!R55C6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5" s="4"/>
      </tp>
      <tp>
        <v>3602</v>
        <stp/>
        <stp>##V3_BDHV12</stp>
        <stp>XOM US Equity</stp>
        <stp>CF_CASH_PAID_FOR_TAX</stp>
        <stp>FQ3 2009</stp>
        <stp>FQ3 2009</stp>
        <stp>[FA1_m42y3cpi.xlsx]Cash Flow - Standardized!R55C7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5" s="4"/>
      </tp>
      <tp>
        <v>3817</v>
        <stp/>
        <stp>##V3_BDHV12</stp>
        <stp>XOM US Equity</stp>
        <stp>CF_CASH_PAID_FOR_TAX</stp>
        <stp>FQ1 2009</stp>
        <stp>FQ1 2009</stp>
        <stp>[FA1_m42y3cpi.xlsx]Cash Flow - Standardized!R55C5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5" s="4"/>
      </tp>
      <tp>
        <v>-208</v>
        <stp/>
        <stp>##V3_BDHV12</stp>
        <stp>XOM US Equity</stp>
        <stp>OTHER_INVESTING_ACT_DETAILED</stp>
        <stp>FQ1 2009</stp>
        <stp>FQ1 2009</stp>
        <stp>[FA1_m42y3cpi.xlsx]Cash Flow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4"/>
      </tp>
      <tp>
        <v>-178</v>
        <stp/>
        <stp>##V3_BDHV12</stp>
        <stp>XOM US Equity</stp>
        <stp>OTHER_INVESTING_ACT_DETAILED</stp>
        <stp>FQ2 2009</stp>
        <stp>FQ2 2009</stp>
        <stp>[FA1_m42y3cpi.xlsx]Cash Flow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4"/>
      </tp>
      <tp>
        <v>-966</v>
        <stp/>
        <stp>##V3_BDHV12</stp>
        <stp>XOM US Equity</stp>
        <stp>OTHER_INVESTING_ACT_DETAILED</stp>
        <stp>FQ3 2009</stp>
        <stp>FQ3 2009</stp>
        <stp>[FA1_m42y3cpi.xlsx]Cash Flow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4"/>
      </tp>
      <tp>
        <v>120.57940000000001</v>
        <stp/>
        <stp>##V3_BDHV12</stp>
        <stp>XOM US Equity</stp>
        <stp>PX_TO_FREE_CASH_FLOW</stp>
        <stp>FQ1 2016</stp>
        <stp>FQ1 2016</stp>
        <stp>[FA1_m42y3cpi.xlsx]Cash Flow - Standardized!R67C33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7" s="4"/>
      </tp>
      <tp>
        <v>63.673099999999998</v>
        <stp/>
        <stp>##V3_BDHV12</stp>
        <stp>XOM US Equity</stp>
        <stp>PX_TO_FREE_CASH_FLOW</stp>
        <stp>FQ4 2016</stp>
        <stp>FQ4 2016</stp>
        <stp>[FA1_m42y3cpi.xlsx]Cash Flow - Standardized!R67C36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7" s="4"/>
      </tp>
      <tp>
        <v>15.9756</v>
        <stp/>
        <stp>##V3_BDHV12</stp>
        <stp>XOM US Equity</stp>
        <stp>PX_TO_FREE_CASH_FLOW</stp>
        <stp>FQ1 2012</stp>
        <stp>FQ1 2012</stp>
        <stp>[FA1_m42y3cpi.xlsx]Cash Flow - Standardized!R67C17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7" s="4"/>
      </tp>
      <tp t="s">
        <v>—</v>
        <stp/>
        <stp>##V3_BDHV12</stp>
        <stp>XOM US Equity</stp>
        <stp>TANG_BOOK_VAL_PER_SH</stp>
        <stp>FQ2 2017</stp>
        <stp>FQ2 2017</stp>
        <stp>[FA1_m42y3cpi.xlsx]Per Share!R27C38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7" s="5"/>
      </tp>
      <tp>
        <v>35331</v>
        <stp/>
        <stp>##V3_BDHV12</stp>
        <stp>XOM US Equity</stp>
        <stp>BS_ACCT_NOTE_RCV</stp>
        <stp>FQ2 2011</stp>
        <stp>FQ2 2011</stp>
        <stp>[FA1_m42y3cpi.xlsx]Bal Sheet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3"/>
      </tp>
      <tp>
        <v>10680</v>
        <stp/>
        <stp>##V3_BDHV12</stp>
        <stp>XOM US Equity</stp>
        <stp>EARN_FOR_COMMON</stp>
        <stp>FQ2 2011</stp>
        <stp>FQ2 2011</stp>
        <stp>[FA1_m42y3cpi.xlsx]Income - Adjusted!R43C14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43" s="2"/>
      </tp>
      <tp>
        <v>4190</v>
        <stp/>
        <stp>##V3_BDHV12</stp>
        <stp>XOM US Equity</stp>
        <stp>EARN_FOR_COMMON</stp>
        <stp>FQ2 2015</stp>
        <stp>FQ2 2015</stp>
        <stp>[FA1_m42y3cpi.xlsx]Income - Adjusted!R43C30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43" s="2"/>
      </tp>
      <tp>
        <v>9450</v>
        <stp/>
        <stp>##V3_BDHV12</stp>
        <stp>XOM US Equity</stp>
        <stp>EARN_FOR_COMMON</stp>
        <stp>FQ1 2012</stp>
        <stp>FQ1 2012</stp>
        <stp>[FA1_m42y3cpi.xlsx]Income - Adjusted!R43C17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43" s="2"/>
      </tp>
      <tp>
        <v>1810</v>
        <stp/>
        <stp>##V3_BDHV12</stp>
        <stp>XOM US Equity</stp>
        <stp>EARN_FOR_COMMON</stp>
        <stp>FQ1 2016</stp>
        <stp>FQ1 2016</stp>
        <stp>[FA1_m42y3cpi.xlsx]Income - Adjusted!R43C33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43" s="2"/>
      </tp>
      <tp>
        <v>34291</v>
        <stp/>
        <stp>##V3_BDHV12</stp>
        <stp>XOM US Equity</stp>
        <stp>BS_ACCT_NOTE_RCV</stp>
        <stp>FQ1 2013</stp>
        <stp>FQ1 2013</stp>
        <stp>[FA1_m42y3cpi.xlsx]Bal Sheet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3"/>
      </tp>
      <tp t="s">
        <v>—</v>
        <stp/>
        <stp>##V3_BDHV12</stp>
        <stp>XOM US Equity</stp>
        <stp>BS_DEFERRED_TAX_LIABS_ST</stp>
        <stp>FQ4 2014</stp>
        <stp>FQ4 2014</stp>
        <stp>[FA1_m42y3cpi.xlsx]Bal Sheet - Standardized!R53C28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3" s="3"/>
      </tp>
      <tp t="s">
        <v>—</v>
        <stp/>
        <stp>##V3_BDHV12</stp>
        <stp>XOM US Equity</stp>
        <stp>BS_DEFERRED_TAX_LIABS_ST</stp>
        <stp>FQ2 2018</stp>
        <stp>FQ2 2018</stp>
        <stp>[FA1_m42y3cpi.xlsx]Bal Sheet - Standardized!R53C42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3" s="3"/>
      </tp>
      <tp>
        <v>29206</v>
        <stp/>
        <stp>##V3_BDHV12</stp>
        <stp>XOM US Equity</stp>
        <stp>BS_ACCT_NOTE_RCV</stp>
        <stp>FQ2 2010</stp>
        <stp>FQ2 2010</stp>
        <stp>[FA1_m42y3cpi.xlsx]Bal Sheet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3"/>
      </tp>
      <tp>
        <v>32480</v>
        <stp/>
        <stp>##V3_BDHV12</stp>
        <stp>XOM US Equity</stp>
        <stp>BS_ACCT_NOTE_RCV</stp>
        <stp>FQ1 2014</stp>
        <stp>FQ1 2014</stp>
        <stp>[FA1_m42y3cpi.xlsx]Bal Sheet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3"/>
      </tp>
      <tp>
        <v>25031</v>
        <stp/>
        <stp>##V3_BDHV12</stp>
        <stp>XOM US Equity</stp>
        <stp>BS_ACCT_NOTE_RCV</stp>
        <stp>FQ1 2015</stp>
        <stp>FQ1 2015</stp>
        <stp>[FA1_m42y3cpi.xlsx]Bal Sheet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3"/>
      </tp>
      <tp t="s">
        <v>—</v>
        <stp/>
        <stp>##V3_BDHV12</stp>
        <stp>XOM US Equity</stp>
        <stp>BS_DEFERRED_TAX_LIABS_ST</stp>
        <stp>FQ4 2012</stp>
        <stp>FQ4 2012</stp>
        <stp>[FA1_m42y3cpi.xlsx]Bal Sheet - Standardized!R53C20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3" s="3"/>
      </tp>
      <tp>
        <v>-3651</v>
        <stp/>
        <stp>##V3_BDHV12</stp>
        <stp>XOM US Equity</stp>
        <stp>INCOME_LOSS_FROM_AFFILIATES</stp>
        <stp>FQ2 2012</stp>
        <stp>FQ2 2012</stp>
        <stp>[FA1_m42y3cpi.xlsx]Income - Adjusted!R22C18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2" s="2"/>
      </tp>
      <tp>
        <v>-1729</v>
        <stp/>
        <stp>##V3_BDHV12</stp>
        <stp>XOM US Equity</stp>
        <stp>INCOME_LOSS_FROM_AFFILIATES</stp>
        <stp>FQ2 2018</stp>
        <stp>FQ2 2018</stp>
        <stp>[FA1_m42y3cpi.xlsx]Income - Adjusted!R22C42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22" s="2"/>
      </tp>
      <tp t="s">
        <v>—</v>
        <stp/>
        <stp>##V3_BDHV12</stp>
        <stp>XOM US Equity</stp>
        <stp>BS_DEFERRED_TAX_LIABS_ST</stp>
        <stp>FQ4 2013</stp>
        <stp>FQ4 2013</stp>
        <stp>[FA1_m42y3cpi.xlsx]Bal Sheet - Standardized!R53C24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3" s="3"/>
      </tp>
      <tp>
        <v>33741</v>
        <stp/>
        <stp>##V3_BDHV12</stp>
        <stp>XOM US Equity</stp>
        <stp>BS_ACCT_NOTE_RCV</stp>
        <stp>FQ2 2012</stp>
        <stp>FQ2 2012</stp>
        <stp>[FA1_m42y3cpi.xlsx]Bal Sheet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3"/>
      </tp>
      <tp>
        <v>8409</v>
        <stp/>
        <stp>##V3_BDHV12</stp>
        <stp>XOM US Equity</stp>
        <stp>NI_INCLUDING_MINORITY_INT_RATIO</stp>
        <stp>FQ4 2017</stp>
        <stp>FQ4 2017</stp>
        <stp>[FA1_m42y3cpi.xlsx]Income - Adjusted!R38C40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38" s="2"/>
      </tp>
      <tp>
        <v>8643</v>
        <stp/>
        <stp>##V3_BDHV12</stp>
        <stp>XOM US Equity</stp>
        <stp>NI_INCLUDING_MINORITY_INT_RATIO</stp>
        <stp>FQ4 2013</stp>
        <stp>FQ4 2013</stp>
        <stp>[FA1_m42y3cpi.xlsx]Income - Adjusted!R38C24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38" s="2"/>
      </tp>
      <tp>
        <v>9724</v>
        <stp/>
        <stp>##V3_BDHV12</stp>
        <stp>XOM US Equity</stp>
        <stp>NI_INCLUDING_MINORITY_INT_RATIO</stp>
        <stp>FQ4 2011</stp>
        <stp>FQ4 2011</stp>
        <stp>[FA1_m42y3cpi.xlsx]Income - Adjusted!R38C16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38" s="2"/>
      </tp>
      <tp>
        <v>2830</v>
        <stp/>
        <stp>##V3_BDHV12</stp>
        <stp>XOM US Equity</stp>
        <stp>NI_INCLUDING_MINORITY_INT_RATIO</stp>
        <stp>FQ4 2015</stp>
        <stp>FQ4 2015</stp>
        <stp>[FA1_m42y3cpi.xlsx]Income - Adjusted!R38C32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38" s="2"/>
      </tp>
      <tp t="s">
        <v>—</v>
        <stp/>
        <stp>##V3_BDHV12</stp>
        <stp>XOM US Equity</stp>
        <stp>IS_OTHER_ONE_TIME_ITEMS</stp>
        <stp>FQ1 2018</stp>
        <stp>FQ1 2018</stp>
        <stp>[FA1_m42y3cpi.xlsx]Income - Adjusted!R31C41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2"/>
      </tp>
      <tp>
        <v>9582</v>
        <stp/>
        <stp>##V3_BDHV12</stp>
        <stp>XOM US Equity</stp>
        <stp>BS_CASH_NEAR_CASH_ITEM</stp>
        <stp>FQ4 2012</stp>
        <stp>FQ4 2012</stp>
        <stp>[FA1_m42y3cpi.xlsx]Bal Sheet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3"/>
      </tp>
      <tp>
        <v>6083</v>
        <stp/>
        <stp>##V3_BDHV12</stp>
        <stp>XOM US Equity</stp>
        <stp>BS_CASH_NEAR_CASH_ITEM</stp>
        <stp>FQ2 2014</stp>
        <stp>FQ2 2014</stp>
        <stp>[FA1_m42y3cpi.xlsx]Bal Sheet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3"/>
      </tp>
      <tp>
        <v>4962</v>
        <stp/>
        <stp>##V3_BDHV12</stp>
        <stp>XOM US Equity</stp>
        <stp>BS_CASH_NEAR_CASH_ITEM</stp>
        <stp>FQ3 2014</stp>
        <stp>FQ3 2014</stp>
        <stp>[FA1_m42y3cpi.xlsx]Bal Sheet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3"/>
      </tp>
      <tp>
        <v>5601</v>
        <stp/>
        <stp>##V3_BDHV12</stp>
        <stp>XOM US Equity</stp>
        <stp>BS_CASH_NEAR_CASH_ITEM</stp>
        <stp>FQ1 2014</stp>
        <stp>FQ1 2014</stp>
        <stp>[FA1_m42y3cpi.xlsx]Bal Sheet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3"/>
      </tp>
      <tp>
        <v>4644</v>
        <stp/>
        <stp>##V3_BDHV12</stp>
        <stp>XOM US Equity</stp>
        <stp>BS_CASH_NEAR_CASH_ITEM</stp>
        <stp>FQ4 2013</stp>
        <stp>FQ4 2013</stp>
        <stp>[FA1_m42y3cpi.xlsx]Bal Sheet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3"/>
      </tp>
      <tp>
        <v>6214</v>
        <stp/>
        <stp>##V3_BDHV12</stp>
        <stp>XOM US Equity</stp>
        <stp>BS_CASH_NEAR_CASH_ITEM</stp>
        <stp>FQ1 2013</stp>
        <stp>FQ1 2013</stp>
        <stp>[FA1_m42y3cpi.xlsx]Bal Sheet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3"/>
      </tp>
      <tp>
        <v>5310</v>
        <stp/>
        <stp>##V3_BDHV12</stp>
        <stp>XOM US Equity</stp>
        <stp>BS_CASH_NEAR_CASH_ITEM</stp>
        <stp>FQ3 2013</stp>
        <stp>FQ3 2013</stp>
        <stp>[FA1_m42y3cpi.xlsx]Bal Sheet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3"/>
      </tp>
      <tp>
        <v>4609</v>
        <stp/>
        <stp>##V3_BDHV12</stp>
        <stp>XOM US Equity</stp>
        <stp>BS_CASH_NEAR_CASH_ITEM</stp>
        <stp>FQ2 2013</stp>
        <stp>FQ2 2013</stp>
        <stp>[FA1_m42y3cpi.xlsx]Bal Sheet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3"/>
      </tp>
      <tp>
        <v>8850</v>
        <stp/>
        <stp>##V3_BDHV12</stp>
        <stp>XOM US Equity</stp>
        <stp>EBITDA</stp>
        <stp>FQ1 2009</stp>
        <stp>FQ1 2009</stp>
        <stp>[FA1_m42y3cpi.xlsx]Cash Flow - Standardized!R59C5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59" s="4"/>
      </tp>
      <tp>
        <v>10023</v>
        <stp/>
        <stp>##V3_BDHV12</stp>
        <stp>XOM US Equity</stp>
        <stp>EBITDA</stp>
        <stp>FQ3 2009</stp>
        <stp>FQ3 2009</stp>
        <stp>[FA1_m42y3cpi.xlsx]Cash Flow - Standardized!R59C7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59" s="4"/>
      </tp>
      <tp>
        <v>0.76149999999999995</v>
        <stp/>
        <stp>##V3_BDHV12</stp>
        <stp>XOM US Equity</stp>
        <stp>FREE_CASH_FLOW_PER_SH</stp>
        <stp>FQ2 2010</stp>
        <stp>FQ2 2010</stp>
        <stp>[FA1_m42y3cpi.xlsx]Cash Flow - Standardized!R66C10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6" s="4"/>
      </tp>
      <tp>
        <v>1.0394000000000001</v>
        <stp/>
        <stp>##V3_BDHV12</stp>
        <stp>XOM US Equity</stp>
        <stp>FREE_CASH_FLOW_PER_SH</stp>
        <stp>FQ3 2010</stp>
        <stp>FQ3 2010</stp>
        <stp>[FA1_m42y3cpi.xlsx]Cash Flow - Standardized!R66C11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6" s="4"/>
      </tp>
      <tp>
        <v>8574</v>
        <stp/>
        <stp>##V3_BDHV12</stp>
        <stp>XOM US Equity</stp>
        <stp>EBITDA</stp>
        <stp>FQ2 2009</stp>
        <stp>FQ2 2009</stp>
        <stp>[FA1_m42y3cpi.xlsx]Cash Flow - Standardized!R59C6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59" s="4"/>
      </tp>
      <tp>
        <v>4616</v>
        <stp/>
        <stp>##V3_BDHV12</stp>
        <stp>XOM US Equity</stp>
        <stp>BS_CASH_NEAR_CASH_ITEM</stp>
        <stp>FQ4 2014</stp>
        <stp>FQ4 2014</stp>
        <stp>[FA1_m42y3cpi.xlsx]Bal Sheet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3"/>
      </tp>
      <tp>
        <v>5184</v>
        <stp/>
        <stp>##V3_BDHV12</stp>
        <stp>XOM US Equity</stp>
        <stp>BS_CASH_NEAR_CASH_ITEM</stp>
        <stp>FQ1 2015</stp>
        <stp>FQ1 2015</stp>
        <stp>[FA1_m42y3cpi.xlsx]Bal Sheet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3"/>
      </tp>
      <tp>
        <v>-3895</v>
        <stp/>
        <stp>##V3_BDHV12</stp>
        <stp>XOM US Equity</stp>
        <stp>CFF_ACTIVITIES_DETAILED</stp>
        <stp>FQ4 2009</stp>
        <stp>FQ4 2009</stp>
        <stp>[FA1_m42y3cpi.xlsx]Cash Flow - Standardized!R49C8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9" s="4"/>
      </tp>
      <tp t="s">
        <v>—</v>
        <stp/>
        <stp>##V3_BDHV12</stp>
        <stp>XOM US Equity</stp>
        <stp>BS_OPTIONS_GRANTED</stp>
        <stp>FQ1 2018</stp>
        <stp>FQ1 2018</stp>
        <stp>[FA1_m42y3cpi.xlsx]Bal Sheet - Standardized!R84C41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4" s="3"/>
      </tp>
      <tp t="s">
        <v>—</v>
        <stp/>
        <stp>##V3_BDHV12</stp>
        <stp>XOM US Equity</stp>
        <stp>BS_OPTIONS_GRANTED</stp>
        <stp>FQ2 2018</stp>
        <stp>FQ2 2018</stp>
        <stp>[FA1_m42y3cpi.xlsx]Bal Sheet - Standardized!R84C42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4" s="3"/>
      </tp>
      <tp>
        <v>-4620</v>
        <stp/>
        <stp>##V3_BDHV12</stp>
        <stp>XOM US Equity</stp>
        <stp>CFF_ACTIVITIES_DETAILED</stp>
        <stp>FQ1 2010</stp>
        <stp>FQ1 2010</stp>
        <stp>[FA1_m42y3cpi.xlsx]Cash Flow - Standardized!R49C9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9" s="4"/>
      </tp>
      <tp t="s">
        <v>—</v>
        <stp/>
        <stp>##V3_BDHV12</stp>
        <stp>XOM US Equity</stp>
        <stp>CF_FREE_CASH_FLOW_FIRM</stp>
        <stp>FQ4 2017</stp>
        <stp>FQ4 2017</stp>
        <stp>[FA1_m42y3cpi.xlsx]Cash Flow - Standardized!R64C40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64" s="4"/>
      </tp>
      <tp>
        <v>-10105</v>
        <stp/>
        <stp>##V3_BDHV12</stp>
        <stp>XOM US Equity</stp>
        <stp>CFF_ACTIVITIES_DETAILED</stp>
        <stp>FQ1 2009</stp>
        <stp>FQ1 2009</stp>
        <stp>[FA1_m42y3cpi.xlsx]Cash Flow - Standardized!R49C5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9" s="4"/>
      </tp>
      <tp>
        <v>-6028</v>
        <stp/>
        <stp>##V3_BDHV12</stp>
        <stp>XOM US Equity</stp>
        <stp>CFF_ACTIVITIES_DETAILED</stp>
        <stp>FQ3 2009</stp>
        <stp>FQ3 2009</stp>
        <stp>[FA1_m42y3cpi.xlsx]Cash Flow - Standardized!R49C7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9" s="4"/>
      </tp>
      <tp>
        <v>-7255</v>
        <stp/>
        <stp>##V3_BDHV12</stp>
        <stp>XOM US Equity</stp>
        <stp>CFF_ACTIVITIES_DETAILED</stp>
        <stp>FQ2 2009</stp>
        <stp>FQ2 2009</stp>
        <stp>[FA1_m42y3cpi.xlsx]Cash Flow - Standardized!R49C6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9" s="4"/>
      </tp>
      <tp t="s">
        <v>—</v>
        <stp/>
        <stp>##V3_BDHV12</stp>
        <stp>XOM US Equity</stp>
        <stp>BS_OPTIONS_GRANTED</stp>
        <stp>FQ2 2012</stp>
        <stp>FQ2 2012</stp>
        <stp>[FA1_m42y3cpi.xlsx]Bal Sheet - Standardized!R84C18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4" s="3"/>
      </tp>
      <tp t="s">
        <v>—</v>
        <stp/>
        <stp>##V3_BDHV12</stp>
        <stp>XOM US Equity</stp>
        <stp>BS_OPTIONS_GRANTED</stp>
        <stp>FQ3 2012</stp>
        <stp>FQ3 2012</stp>
        <stp>[FA1_m42y3cpi.xlsx]Bal Sheet - Standardized!R84C19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4" s="3"/>
      </tp>
      <tp>
        <v>-1710.7909999999999</v>
        <stp/>
        <stp>##V3_BDHV12</stp>
        <stp>XOM US Equity</stp>
        <stp>CF_FREE_CASH_FLOW_FIRM</stp>
        <stp>FQ4 2015</stp>
        <stp>FQ4 2015</stp>
        <stp>[FA1_m42y3cpi.xlsx]Cash Flow - Standardized!R64C32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64" s="4"/>
      </tp>
      <tp>
        <v>6112.6067999999996</v>
        <stp/>
        <stp>##V3_BDHV12</stp>
        <stp>XOM US Equity</stp>
        <stp>CF_FREE_CASH_FLOW_FIRM</stp>
        <stp>FQ1 2013</stp>
        <stp>FQ1 2013</stp>
        <stp>[FA1_m42y3cpi.xlsx]Cash Flow - Standardized!R64C21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64" s="4"/>
      </tp>
      <tp>
        <v>-921.56560000000002</v>
        <stp/>
        <stp>##V3_BDHV12</stp>
        <stp>XOM US Equity</stp>
        <stp>CF_FREE_CASH_FLOW_FIRM</stp>
        <stp>FQ2 2013</stp>
        <stp>FQ2 2013</stp>
        <stp>[FA1_m42y3cpi.xlsx]Cash Flow - Standardized!R64C22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64" s="4"/>
      </tp>
      <tp>
        <v>4362.5713999999998</v>
        <stp/>
        <stp>##V3_BDHV12</stp>
        <stp>XOM US Equity</stp>
        <stp>CF_FREE_CASH_FLOW_FIRM</stp>
        <stp>FQ3 2013</stp>
        <stp>FQ3 2013</stp>
        <stp>[FA1_m42y3cpi.xlsx]Cash Flow - Standardized!R64C23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64" s="4"/>
      </tp>
      <tp t="s">
        <v>—</v>
        <stp/>
        <stp>##V3_BDHV12</stp>
        <stp>XOM US Equity</stp>
        <stp>CF_FREE_CASH_FLOW_FIRM</stp>
        <stp>FQ4 2013</stp>
        <stp>FQ4 2013</stp>
        <stp>[FA1_m42y3cpi.xlsx]Cash Flow - Standardized!R64C24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64" s="4"/>
      </tp>
      <tp>
        <v>-12593</v>
        <stp/>
        <stp>##V3_BDHV12</stp>
        <stp>XOM US Equity</stp>
        <stp>CFF_ACTIVITIES_DETAILED</stp>
        <stp>FQ3 2008</stp>
        <stp>FQ3 2008</stp>
        <stp>[FA1_m42y3cpi.xlsx]Cash Flow - Standardized!R49C3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9" s="4"/>
      </tp>
      <tp>
        <v>-13094</v>
        <stp/>
        <stp>##V3_BDHV12</stp>
        <stp>XOM US Equity</stp>
        <stp>CFF_ACTIVITIES_DETAILED</stp>
        <stp>FQ4 2008</stp>
        <stp>FQ4 2008</stp>
        <stp>[FA1_m42y3cpi.xlsx]Cash Flow - Standardized!R49C4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9" s="4"/>
      </tp>
      <tp>
        <v>9821.7297999999992</v>
        <stp/>
        <stp>##V3_BDHV12</stp>
        <stp>XOM US Equity</stp>
        <stp>CF_FREE_CASH_FLOW_FIRM</stp>
        <stp>FQ1 2011</stp>
        <stp>FQ1 2011</stp>
        <stp>[FA1_m42y3cpi.xlsx]Cash Flow - Standardized!R64C13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64" s="4"/>
      </tp>
      <tp>
        <v>2159.7968000000001</v>
        <stp/>
        <stp>##V3_BDHV12</stp>
        <stp>XOM US Equity</stp>
        <stp>CF_FREE_CASH_FLOW_FIRM</stp>
        <stp>FQ4 2011</stp>
        <stp>FQ4 2011</stp>
        <stp>[FA1_m42y3cpi.xlsx]Cash Flow - Standardized!R64C16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64" s="4"/>
      </tp>
      <tp t="s">
        <v>—</v>
        <stp/>
        <stp>##V3_BDHV12</stp>
        <stp>XOM US Equity</stp>
        <stp>BS_OPTIONS_GRANTED</stp>
        <stp>FQ4 2014</stp>
        <stp>FQ4 2014</stp>
        <stp>[FA1_m42y3cpi.xlsx]Bal Sheet - Standardized!R84C28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4" s="3"/>
      </tp>
      <tp>
        <v>0.93</v>
        <stp/>
        <stp>##V3_BDHV12</stp>
        <stp>XOM US Equity</stp>
        <stp>IS_DIL_EPS_BEF_XO</stp>
        <stp>FQ3 2017</stp>
        <stp>FQ3 2017</stp>
        <stp>[FA1_m42y3cpi.xlsx]Per Share!R18C39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8" s="5"/>
      </tp>
      <tp>
        <v>0.92</v>
        <stp/>
        <stp>##V3_BDHV12</stp>
        <stp>XOM US Equity</stp>
        <stp>IS_DIL_EPS_CONT_OPS</stp>
        <stp>FQ2 2018</stp>
        <stp>FQ2 2018</stp>
        <stp>[FA1_m42y3cpi.xlsx]Income - Adjusted!R57C42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7" s="2"/>
      </tp>
      <tp>
        <v>1.7991999999999999</v>
        <stp/>
        <stp>##V3_BDHV12</stp>
        <stp>XOM US Equity</stp>
        <stp>IS_DIL_EPS_CONT_OPS</stp>
        <stp>FQ2 2012</stp>
        <stp>FQ2 2012</stp>
        <stp>[FA1_m42y3cpi.xlsx]Income - Adjusted!R57C18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7" s="2"/>
      </tp>
      <tp>
        <v>-4947</v>
        <stp/>
        <stp>##V3_BDHV12</stp>
        <stp>XOM US Equity</stp>
        <stp>IS_NONOP_INCOME_LOSS</stp>
        <stp>FQ1 2014</stp>
        <stp>FQ1 2014</stp>
        <stp>[FA1_m42y3cpi.xlsx]Income - Adjusted!R17C25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7" s="2"/>
      </tp>
      <tp>
        <v>-3531</v>
        <stp/>
        <stp>##V3_BDHV12</stp>
        <stp>XOM US Equity</stp>
        <stp>IS_NONOP_INCOME_LOSS</stp>
        <stp>FQ2 2013</stp>
        <stp>FQ2 2013</stp>
        <stp>[FA1_m42y3cpi.xlsx]Income - Adjusted!R17C22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7" s="2"/>
      </tp>
      <tp>
        <v>-2891</v>
        <stp/>
        <stp>##V3_BDHV12</stp>
        <stp>XOM US Equity</stp>
        <stp>IS_NONOP_INCOME_LOSS</stp>
        <stp>FQ3 2010</stp>
        <stp>FQ3 2010</stp>
        <stp>[FA1_m42y3cpi.xlsx]Income - Adjusted!R17C11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7" s="2"/>
      </tp>
      <tp>
        <v>0</v>
        <stp/>
        <stp>##V3_BDHV12</stp>
        <stp>XOM US Equity</stp>
        <stp>IS_OTHER_OPER_INC</stp>
        <stp>FQ3 2012</stp>
        <stp>FQ3 2012</stp>
        <stp>[FA1_m42y3cpi.xlsx]Income - Adjusted!R12C19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2" s="2"/>
      </tp>
      <tp>
        <v>0</v>
        <stp/>
        <stp>##V3_BDHV12</stp>
        <stp>XOM US Equity</stp>
        <stp>IS_EXTRAORD_ITEMS_&amp;_ACCTG_CHNG</stp>
        <stp>FQ2 2018</stp>
        <stp>FQ2 2018</stp>
        <stp>[FA1_m42y3cpi.xlsx]Income - Adjusted!R37C42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7" s="2"/>
      </tp>
      <tp>
        <v>0.92</v>
        <stp/>
        <stp>##V3_BDHV12</stp>
        <stp>XOM US Equity</stp>
        <stp>IS_EARN_BEF_XO_ITEMS_PER_SH</stp>
        <stp>FQ1 2009</stp>
        <stp>FQ1 2009</stp>
        <stp>[FA1_m42y3cpi.xlsx]Income - Adjusted!R51C5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1" s="2"/>
      </tp>
      <tp>
        <v>0.98</v>
        <stp/>
        <stp>##V3_BDHV12</stp>
        <stp>XOM US Equity</stp>
        <stp>IS_EARN_BEF_XO_ITEMS_PER_SH</stp>
        <stp>FQ3 2009</stp>
        <stp>FQ3 2009</stp>
        <stp>[FA1_m42y3cpi.xlsx]Income - Adjusted!R51C7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1" s="2"/>
      </tp>
      <tp>
        <v>0.82</v>
        <stp/>
        <stp>##V3_BDHV12</stp>
        <stp>XOM US Equity</stp>
        <stp>IS_EARN_BEF_XO_ITEMS_PER_SH</stp>
        <stp>FQ2 2009</stp>
        <stp>FQ2 2009</stp>
        <stp>[FA1_m42y3cpi.xlsx]Income - Adjusted!R51C6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1" s="2"/>
      </tp>
      <tp t="s">
        <v>—</v>
        <stp/>
        <stp>##V3_BDHV12</stp>
        <stp>XOM US Equity</stp>
        <stp>TANG_BOOK_VAL_PER_SH</stp>
        <stp>FQ3 2017</stp>
        <stp>FQ3 2017</stp>
        <stp>[FA1_m42y3cpi.xlsx]Per Share!R27C39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7" s="5"/>
      </tp>
      <tp>
        <v>34368</v>
        <stp/>
        <stp>##V3_BDHV12</stp>
        <stp>XOM US Equity</stp>
        <stp>BS_ACCT_NOTE_RCV</stp>
        <stp>FQ3 2011</stp>
        <stp>FQ3 2011</stp>
        <stp>[FA1_m42y3cpi.xlsx]Bal Sheet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3"/>
      </tp>
      <tp>
        <v>10330</v>
        <stp/>
        <stp>##V3_BDHV12</stp>
        <stp>XOM US Equity</stp>
        <stp>EARN_FOR_COMMON</stp>
        <stp>FQ3 2011</stp>
        <stp>FQ3 2011</stp>
        <stp>[FA1_m42y3cpi.xlsx]Income - Adjusted!R43C15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43" s="2"/>
      </tp>
      <tp>
        <v>4240</v>
        <stp/>
        <stp>##V3_BDHV12</stp>
        <stp>XOM US Equity</stp>
        <stp>EARN_FOR_COMMON</stp>
        <stp>FQ3 2015</stp>
        <stp>FQ3 2015</stp>
        <stp>[FA1_m42y3cpi.xlsx]Income - Adjusted!R43C31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43" s="2"/>
      </tp>
      <tp>
        <v>19814</v>
        <stp/>
        <stp>##V3_BDHV12</stp>
        <stp>XOM US Equity</stp>
        <stp>BS_ACCT_NOTE_RCV</stp>
        <stp>FQ1 2016</stp>
        <stp>FQ1 2016</stp>
        <stp>[FA1_m42y3cpi.xlsx]Bal Sheet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3"/>
      </tp>
      <tp>
        <v>133</v>
        <stp/>
        <stp>##V3_BDHV12</stp>
        <stp>XOM US Equity</stp>
        <stp>MIN_NONCONTROL_INTEREST_CREDITS</stp>
        <stp>FQ1 2018</stp>
        <stp>FQ1 2018</stp>
        <stp>[FA1_m42y3cpi.xlsx]Income - Adjusted!R39C41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39" s="2"/>
      </tp>
      <tp>
        <v>30244</v>
        <stp/>
        <stp>##V3_BDHV12</stp>
        <stp>XOM US Equity</stp>
        <stp>BS_ACCT_NOTE_RCV</stp>
        <stp>FQ3 2010</stp>
        <stp>FQ3 2010</stp>
        <stp>[FA1_m42y3cpi.xlsx]Bal Sheet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3"/>
      </tp>
      <tp t="s">
        <v>—</v>
        <stp/>
        <stp>##V3_BDHV12</stp>
        <stp>XOM US Equity</stp>
        <stp>BS_DISCLOSED_INTANGIBLES</stp>
        <stp>FQ1 2018</stp>
        <stp>FQ1 2018</stp>
        <stp>[FA1_m42y3cpi.xlsx]Bal Sheet - Standardized!R30C41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0" s="3"/>
      </tp>
      <tp>
        <v>21842</v>
        <stp/>
        <stp>##V3_BDHV12</stp>
        <stp>XOM US Equity</stp>
        <stp>BS_ACCT_NOTE_RCV</stp>
        <stp>FQ1 2017</stp>
        <stp>FQ1 2017</stp>
        <stp>[FA1_m42y3cpi.xlsx]Bal Sheet - Standardized!R10C37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0" s="3"/>
      </tp>
      <tp t="s">
        <v>—</v>
        <stp/>
        <stp>##V3_BDHV12</stp>
        <stp>XOM US Equity</stp>
        <stp>BS_DEFERRED_TAX_LIABS_ST</stp>
        <stp>FQ4 2016</stp>
        <stp>FQ4 2016</stp>
        <stp>[FA1_m42y3cpi.xlsx]Bal Sheet - Standardized!R53C36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3" s="3"/>
      </tp>
      <tp>
        <v>0</v>
        <stp/>
        <stp>##V3_BDHV12</stp>
        <stp>XOM US Equity</stp>
        <stp>BS_DISCLOSED_INTANGIBLES</stp>
        <stp>FQ4 2010</stp>
        <stp>FQ4 2010</stp>
        <stp>[FA1_m42y3cpi.xlsx]Bal Sheet - Standardized!R30C12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3"/>
      </tp>
      <tp>
        <v>-3386</v>
        <stp/>
        <stp>##V3_BDHV12</stp>
        <stp>XOM US Equity</stp>
        <stp>INCOME_LOSS_FROM_AFFILIATES</stp>
        <stp>FQ3 2012</stp>
        <stp>FQ3 2012</stp>
        <stp>[FA1_m42y3cpi.xlsx]Income - Adjusted!R22C19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2" s="2"/>
      </tp>
      <tp t="s">
        <v>—</v>
        <stp/>
        <stp>##V3_BDHV12</stp>
        <stp>XOM US Equity</stp>
        <stp>BS_DEFERRED_TAX_LIABS_ST</stp>
        <stp>FQ4 2015</stp>
        <stp>FQ4 2015</stp>
        <stp>[FA1_m42y3cpi.xlsx]Bal Sheet - Standardized!R53C32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3" s="3"/>
      </tp>
      <tp>
        <v>0</v>
        <stp/>
        <stp>##V3_BDHV12</stp>
        <stp>XOM US Equity</stp>
        <stp>BS_DISCLOSED_INTANGIBLES</stp>
        <stp>FQ4 2011</stp>
        <stp>FQ4 2011</stp>
        <stp>[FA1_m42y3cpi.xlsx]Bal Sheet - Standardized!R30C16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3"/>
      </tp>
      <tp>
        <v>36635</v>
        <stp/>
        <stp>##V3_BDHV12</stp>
        <stp>XOM US Equity</stp>
        <stp>BS_ACCT_NOTE_RCV</stp>
        <stp>FQ3 2012</stp>
        <stp>FQ3 2012</stp>
        <stp>[FA1_m42y3cpi.xlsx]Bal Sheet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3"/>
      </tp>
      <tp>
        <v>4698</v>
        <stp/>
        <stp>##V3_BDHV12</stp>
        <stp>XOM US Equity</stp>
        <stp>BS_SH_OUT</stp>
        <stp>FQ1 2010</stp>
        <stp>FQ1 2010</stp>
        <stp>[FA1_m42y3cpi.xlsx]Per Share!R6C9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5"/>
      </tp>
      <tp>
        <v>8424</v>
        <stp/>
        <stp>##V3_BDHV12</stp>
        <stp>XOM US Equity</stp>
        <stp>IS_INC_BEF_XO_ITEM</stp>
        <stp>FQ4 2008</stp>
        <stp>FQ4 2008</stp>
        <stp>[FA1_m42y3cpi.xlsx]Income - Adjusted!R34C4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2"/>
      </tp>
      <tp>
        <v>6139</v>
        <stp/>
        <stp>##V3_BDHV12</stp>
        <stp>XOM US Equity</stp>
        <stp>IS_INC_BEF_XO_ITEM</stp>
        <stp>FQ4 2009</stp>
        <stp>FQ4 2009</stp>
        <stp>[FA1_m42y3cpi.xlsx]Income - Adjusted!R34C8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2"/>
      </tp>
      <tp>
        <v>0.68149999999999999</v>
        <stp/>
        <stp>##V3_BDHV12</stp>
        <stp>XOM US Equity</stp>
        <stp>FREE_CASH_FLOW_PER_SH</stp>
        <stp>FQ4 2017</stp>
        <stp>FQ4 2017</stp>
        <stp>[FA1_m42y3cpi.xlsx]Cash Flow - Standardized!R66C40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6" s="4"/>
      </tp>
      <tp>
        <v>4897</v>
        <stp/>
        <stp>##V3_BDHV12</stp>
        <stp>XOM US Equity</stp>
        <stp>BS_CASH_NEAR_CASH_ITEM</stp>
        <stp>FQ1 2017</stp>
        <stp>FQ1 2017</stp>
        <stp>[FA1_m42y3cpi.xlsx]Bal Sheet - Standardized!R8C37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" s="3"/>
      </tp>
      <tp>
        <v>4358</v>
        <stp/>
        <stp>##V3_BDHV12</stp>
        <stp>XOM US Equity</stp>
        <stp>BS_CASH_NEAR_CASH_ITEM</stp>
        <stp>FQ2 2016</stp>
        <stp>FQ2 2016</stp>
        <stp>[FA1_m42y3cpi.xlsx]Bal Sheet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3"/>
      </tp>
      <tp>
        <v>5093</v>
        <stp/>
        <stp>##V3_BDHV12</stp>
        <stp>XOM US Equity</stp>
        <stp>BS_CASH_NEAR_CASH_ITEM</stp>
        <stp>FQ3 2016</stp>
        <stp>FQ3 2016</stp>
        <stp>[FA1_m42y3cpi.xlsx]Bal Sheet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3"/>
      </tp>
      <tp>
        <v>3705</v>
        <stp/>
        <stp>##V3_BDHV12</stp>
        <stp>XOM US Equity</stp>
        <stp>BS_CASH_NEAR_CASH_ITEM</stp>
        <stp>FQ4 2015</stp>
        <stp>FQ4 2015</stp>
        <stp>[FA1_m42y3cpi.xlsx]Bal Sheet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3"/>
      </tp>
      <tp>
        <v>-0.41980000000000001</v>
        <stp/>
        <stp>##V3_BDHV12</stp>
        <stp>XOM US Equity</stp>
        <stp>FREE_CASH_FLOW_PER_SH</stp>
        <stp>FQ4 2015</stp>
        <stp>FQ4 2015</stp>
        <stp>[FA1_m42y3cpi.xlsx]Cash Flow - Standardized!R66C32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6" s="4"/>
      </tp>
      <tp>
        <v>0.9859</v>
        <stp/>
        <stp>##V3_BDHV12</stp>
        <stp>XOM US Equity</stp>
        <stp>FREE_CASH_FLOW_PER_SH</stp>
        <stp>FQ3 2013</stp>
        <stp>FQ3 2013</stp>
        <stp>[FA1_m42y3cpi.xlsx]Cash Flow - Standardized!R66C23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6" s="4"/>
      </tp>
      <tp>
        <v>-0.21840000000000001</v>
        <stp/>
        <stp>##V3_BDHV12</stp>
        <stp>XOM US Equity</stp>
        <stp>FREE_CASH_FLOW_PER_SH</stp>
        <stp>FQ2 2013</stp>
        <stp>FQ2 2013</stp>
        <stp>[FA1_m42y3cpi.xlsx]Cash Flow - Standardized!R66C22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6" s="4"/>
      </tp>
      <tp>
        <v>1.3595999999999999</v>
        <stp/>
        <stp>##V3_BDHV12</stp>
        <stp>XOM US Equity</stp>
        <stp>FREE_CASH_FLOW_PER_SH</stp>
        <stp>FQ1 2013</stp>
        <stp>FQ1 2013</stp>
        <stp>[FA1_m42y3cpi.xlsx]Cash Flow - Standardized!R66C21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6" s="4"/>
      </tp>
      <tp>
        <v>0.40860000000000002</v>
        <stp/>
        <stp>##V3_BDHV12</stp>
        <stp>XOM US Equity</stp>
        <stp>FREE_CASH_FLOW_PER_SH</stp>
        <stp>FQ4 2013</stp>
        <stp>FQ4 2013</stp>
        <stp>[FA1_m42y3cpi.xlsx]Cash Flow - Standardized!R66C24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6" s="4"/>
      </tp>
      <tp>
        <v>4296</v>
        <stp/>
        <stp>##V3_BDHV12</stp>
        <stp>XOM US Equity</stp>
        <stp>BS_CASH_NEAR_CASH_ITEM</stp>
        <stp>FQ3 2015</stp>
        <stp>FQ3 2015</stp>
        <stp>[FA1_m42y3cpi.xlsx]Bal Sheet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3"/>
      </tp>
      <tp>
        <v>4343</v>
        <stp/>
        <stp>##V3_BDHV12</stp>
        <stp>XOM US Equity</stp>
        <stp>BS_CASH_NEAR_CASH_ITEM</stp>
        <stp>FQ2 2015</stp>
        <stp>FQ2 2015</stp>
        <stp>[FA1_m42y3cpi.xlsx]Bal Sheet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3"/>
      </tp>
      <tp>
        <v>4846</v>
        <stp/>
        <stp>##V3_BDHV12</stp>
        <stp>XOM US Equity</stp>
        <stp>BS_CASH_NEAR_CASH_ITEM</stp>
        <stp>FQ1 2016</stp>
        <stp>FQ1 2016</stp>
        <stp>[FA1_m42y3cpi.xlsx]Bal Sheet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3"/>
      </tp>
      <tp>
        <v>3657</v>
        <stp/>
        <stp>##V3_BDHV12</stp>
        <stp>XOM US Equity</stp>
        <stp>BS_CASH_NEAR_CASH_ITEM</stp>
        <stp>FQ4 2016</stp>
        <stp>FQ4 2016</stp>
        <stp>[FA1_m42y3cpi.xlsx]Bal Sheet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3"/>
      </tp>
      <tp>
        <v>1.9756</v>
        <stp/>
        <stp>##V3_BDHV12</stp>
        <stp>XOM US Equity</stp>
        <stp>FREE_CASH_FLOW_PER_SH</stp>
        <stp>FQ1 2011</stp>
        <stp>FQ1 2011</stp>
        <stp>[FA1_m42y3cpi.xlsx]Cash Flow - Standardized!R66C13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6" s="4"/>
      </tp>
      <tp>
        <v>0.44369999999999998</v>
        <stp/>
        <stp>##V3_BDHV12</stp>
        <stp>XOM US Equity</stp>
        <stp>FREE_CASH_FLOW_PER_SH</stp>
        <stp>FQ4 2011</stp>
        <stp>FQ4 2011</stp>
        <stp>[FA1_m42y3cpi.xlsx]Cash Flow - Standardized!R66C16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6" s="4"/>
      </tp>
      <tp>
        <v>68.39</v>
        <stp/>
        <stp>##V3_BDHV12</stp>
        <stp>XOM US Equity</stp>
        <stp>PX_OPEN</stp>
        <stp>FQ4 2009</stp>
        <stp>FQ4 2009</stp>
        <stp>[FA1_m42y3cpi.xlsx]Stock Value!R8C8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6"/>
      </tp>
      <tp>
        <v>1.97</v>
        <stp/>
        <stp>##V3_BDHV12</stp>
        <stp>XOM US Equity</stp>
        <stp>IS_EARN_BEF_XO_ITEMS_PER_SH</stp>
        <stp>FQ4 2017</stp>
        <stp>FQ4 2017</stp>
        <stp>[FA1_m42y3cpi.xlsx]Per Share!R15C40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5" s="5"/>
      </tp>
      <tp>
        <v>1.97</v>
        <stp/>
        <stp>##V3_BDHV12</stp>
        <stp>XOM US Equity</stp>
        <stp>IS_EARN_BEF_XO_ITEMS_PER_SH</stp>
        <stp>FQ4 2011</stp>
        <stp>FQ4 2011</stp>
        <stp>[FA1_m42y3cpi.xlsx]Per Share!R15C16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5" s="5"/>
      </tp>
      <tp>
        <v>1.9100000000000001</v>
        <stp/>
        <stp>##V3_BDHV12</stp>
        <stp>XOM US Equity</stp>
        <stp>IS_EARN_BEF_XO_ITEMS_PER_SH</stp>
        <stp>FQ4 2013</stp>
        <stp>FQ4 2013</stp>
        <stp>[FA1_m42y3cpi.xlsx]Per Share!R15C24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5" s="5"/>
      </tp>
      <tp>
        <v>0.67</v>
        <stp/>
        <stp>##V3_BDHV12</stp>
        <stp>XOM US Equity</stp>
        <stp>IS_EARN_BEF_XO_ITEMS_PER_SH</stp>
        <stp>FQ4 2015</stp>
        <stp>FQ4 2015</stp>
        <stp>[FA1_m42y3cpi.xlsx]Per Share!R15C32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5" s="5"/>
      </tp>
      <tp>
        <v>4266</v>
        <stp/>
        <stp>##V3_BDHV12</stp>
        <stp>XOM US Equity</stp>
        <stp>BS_CASH_NEAR_CASH_ITEM</stp>
        <stp>FQ3 2017</stp>
        <stp>FQ3 2017</stp>
        <stp>[FA1_m42y3cpi.xlsx]Bal Sheet - Standardized!R8C39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" s="3"/>
      </tp>
      <tp>
        <v>4042</v>
        <stp/>
        <stp>##V3_BDHV12</stp>
        <stp>XOM US Equity</stp>
        <stp>BS_CASH_NEAR_CASH_ITEM</stp>
        <stp>FQ2 2017</stp>
        <stp>FQ2 2017</stp>
        <stp>[FA1_m42y3cpi.xlsx]Bal Sheet - Standardized!R8C38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" s="3"/>
      </tp>
      <tp>
        <v>270.83170000000001</v>
        <stp/>
        <stp>##V3_BDHV12</stp>
        <stp>XOM US Equity</stp>
        <stp>CF_FREE_CASH_FLOW_FIRM</stp>
        <stp>FQ1 2016</stp>
        <stp>FQ1 2016</stp>
        <stp>[FA1_m42y3cpi.xlsx]Cash Flow - Standardized!R64C33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64" s="4"/>
      </tp>
      <tp t="s">
        <v>—</v>
        <stp/>
        <stp>##V3_BDHV12</stp>
        <stp>XOM US Equity</stp>
        <stp>CF_FREE_CASH_FLOW_FIRM</stp>
        <stp>FQ4 2016</stp>
        <stp>FQ4 2016</stp>
        <stp>[FA1_m42y3cpi.xlsx]Cash Flow - Standardized!R64C36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64" s="4"/>
      </tp>
      <tp>
        <v>11503.8626</v>
        <stp/>
        <stp>##V3_BDHV12</stp>
        <stp>XOM US Equity</stp>
        <stp>CF_FREE_CASH_FLOW_FIRM</stp>
        <stp>FQ1 2012</stp>
        <stp>FQ1 2012</stp>
        <stp>[FA1_m42y3cpi.xlsx]Cash Flow - Standardized!R64C17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64" s="4"/>
      </tp>
      <tp>
        <v>8163</v>
        <stp/>
        <stp>##V3_BDHV12</stp>
        <stp>XOM US Equity</stp>
        <stp>EBITDA</stp>
        <stp>FQ1 2015</stp>
        <stp>FQ1 2015</stp>
        <stp>[FA1_m42y3cpi.xlsx]Cash Flow - Standardized!R59C29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59" s="4"/>
      </tp>
      <tp>
        <v>6915</v>
        <stp/>
        <stp>##V3_BDHV12</stp>
        <stp>XOM US Equity</stp>
        <stp>EBITDA</stp>
        <stp>FQ2 2017</stp>
        <stp>FQ2 2017</stp>
        <stp>[FA1_m42y3cpi.xlsx]Cash Flow - Standardized!R59C38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59" s="4"/>
      </tp>
      <tp>
        <v>8824</v>
        <stp/>
        <stp>##V3_BDHV12</stp>
        <stp>XOM US Equity</stp>
        <stp>EBITDA</stp>
        <stp>FQ3 2017</stp>
        <stp>FQ3 2017</stp>
        <stp>[FA1_m42y3cpi.xlsx]Cash Flow - Standardized!R59C39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59" s="4"/>
      </tp>
      <tp>
        <v>1.0900000000000001</v>
        <stp/>
        <stp>##V3_BDHV12</stp>
        <stp>XOM US Equity</stp>
        <stp>IS_DIL_EPS_BEF_XO</stp>
        <stp>FQ1 2018</stp>
        <stp>FQ1 2018</stp>
        <stp>[FA1_m42y3cpi.xlsx]Per Share!R18C41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8" s="5"/>
      </tp>
      <tp>
        <v>0</v>
        <stp/>
        <stp>##V3_BDHV12</stp>
        <stp>XOM US Equity</stp>
        <stp>IS_OTHER_OPER_INC</stp>
        <stp>FQ4 2014</stp>
        <stp>FQ4 2014</stp>
        <stp>[FA1_m42y3cpi.xlsx]Income - Adjusted!R12C28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2" s="2"/>
      </tp>
      <tp>
        <v>0</v>
        <stp/>
        <stp>##V3_BDHV12</stp>
        <stp>XOM US Equity</stp>
        <stp>IS_OTHER_OPER_INC</stp>
        <stp>FQ1 2015</stp>
        <stp>FQ1 2015</stp>
        <stp>[FA1_m42y3cpi.xlsx]Income - Adjusted!R12C29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2" s="2"/>
      </tp>
      <tp>
        <v>16.652999999999999</v>
        <stp/>
        <stp>##V3_BDHV12</stp>
        <stp>XOM US Equity</stp>
        <stp>PX_TO_FREE_CASH_FLOW</stp>
        <stp>FQ3 2010</stp>
        <stp>FQ3 2010</stp>
        <stp>[FA1_m42y3cpi.xlsx]Cash Flow - Standardized!R67C11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7" s="4"/>
      </tp>
      <tp>
        <v>16.9419</v>
        <stp/>
        <stp>##V3_BDHV12</stp>
        <stp>XOM US Equity</stp>
        <stp>PX_TO_FREE_CASH_FLOW</stp>
        <stp>FQ2 2010</stp>
        <stp>FQ2 2010</stp>
        <stp>[FA1_m42y3cpi.xlsx]Cash Flow - Standardized!R67C10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7" s="4"/>
      </tp>
      <tp t="s">
        <v>—</v>
        <stp/>
        <stp>##V3_BDHV12</stp>
        <stp>XOM US Equity</stp>
        <stp>TANG_BOOK_VAL_PER_SH</stp>
        <stp>FQ1 2018</stp>
        <stp>FQ1 2018</stp>
        <stp>[FA1_m42y3cpi.xlsx]Per Share!R27C41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7" s="5"/>
      </tp>
      <tp t="s">
        <v>—</v>
        <stp/>
        <stp>##V3_BDHV12</stp>
        <stp>XOM US Equity</stp>
        <stp>BS_DEFERRED_TAX_LIABS_ST</stp>
        <stp>FQ3 2017</stp>
        <stp>FQ3 2017</stp>
        <stp>[FA1_m42y3cpi.xlsx]Bal Sheet - Standardized!R53C39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3" s="3"/>
      </tp>
      <tp>
        <v>8070</v>
        <stp/>
        <stp>##V3_BDHV12</stp>
        <stp>XOM US Equity</stp>
        <stp>EARN_FOR_COMMON</stp>
        <stp>FQ3 2014</stp>
        <stp>FQ3 2014</stp>
        <stp>[FA1_m42y3cpi.xlsx]Income - Adjusted!R43C27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43" s="2"/>
      </tp>
      <tp>
        <v>2650</v>
        <stp/>
        <stp>##V3_BDHV12</stp>
        <stp>XOM US Equity</stp>
        <stp>EARN_FOR_COMMON</stp>
        <stp>FQ3 2016</stp>
        <stp>FQ3 2016</stp>
        <stp>[FA1_m42y3cpi.xlsx]Income - Adjusted!R43C35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43" s="2"/>
      </tp>
      <tp>
        <v>32284</v>
        <stp/>
        <stp>##V3_BDHV12</stp>
        <stp>XOM US Equity</stp>
        <stp>BS_ACCT_NOTE_RCV</stp>
        <stp>FQ4 2010</stp>
        <stp>FQ4 2010</stp>
        <stp>[FA1_m42y3cpi.xlsx]Bal Sheet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3"/>
      </tp>
      <tp>
        <v>38642</v>
        <stp/>
        <stp>##V3_BDHV12</stp>
        <stp>XOM US Equity</stp>
        <stp>BS_ACCT_NOTE_RCV</stp>
        <stp>FQ4 2011</stp>
        <stp>FQ4 2011</stp>
        <stp>[FA1_m42y3cpi.xlsx]Bal Sheet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3"/>
      </tp>
      <tp>
        <v>115</v>
        <stp/>
        <stp>##V3_BDHV12</stp>
        <stp>XOM US Equity</stp>
        <stp>MIN_NONCONTROL_INTEREST_CREDITS</stp>
        <stp>FQ3 2017</stp>
        <stp>FQ3 2017</stp>
        <stp>[FA1_m42y3cpi.xlsx]Income - Adjusted!R39C39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39" s="2"/>
      </tp>
      <tp t="s">
        <v>—</v>
        <stp/>
        <stp>##V3_BDHV12</stp>
        <stp>XOM US Equity</stp>
        <stp>BS_DISCLOSED_INTANGIBLES</stp>
        <stp>FQ3 2012</stp>
        <stp>FQ3 2012</stp>
        <stp>[FA1_m42y3cpi.xlsx]Bal Sheet - Standardized!R30C19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3"/>
      </tp>
      <tp t="s">
        <v>—</v>
        <stp/>
        <stp>##V3_BDHV12</stp>
        <stp>XOM US Equity</stp>
        <stp>BS_DEFERRED_TAX_LIABS_ST</stp>
        <stp>FQ1 2012</stp>
        <stp>FQ1 2012</stp>
        <stp>[FA1_m42y3cpi.xlsx]Bal Sheet - Standardized!R53C17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3" s="3"/>
      </tp>
      <tp t="s">
        <v>—</v>
        <stp/>
        <stp>##V3_BDHV12</stp>
        <stp>XOM US Equity</stp>
        <stp>BS_DISCLOSED_INTANGIBLES</stp>
        <stp>FQ1 2016</stp>
        <stp>FQ1 2016</stp>
        <stp>[FA1_m42y3cpi.xlsx]Bal Sheet - Standardized!R30C33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3"/>
      </tp>
      <tp t="s">
        <v>—</v>
        <stp/>
        <stp>##V3_BDHV12</stp>
        <stp>XOM US Equity</stp>
        <stp>BS_DEFERRED_TAX_LIABS_ST</stp>
        <stp>FQ3 2015</stp>
        <stp>FQ3 2015</stp>
        <stp>[FA1_m42y3cpi.xlsx]Bal Sheet - Standardized!R53C31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3" s="3"/>
      </tp>
      <tp t="s">
        <v>—</v>
        <stp/>
        <stp>##V3_BDHV12</stp>
        <stp>XOM US Equity</stp>
        <stp>BS_DISCLOSED_INTANGIBLES</stp>
        <stp>FQ3 2011</stp>
        <stp>FQ3 2011</stp>
        <stp>[FA1_m42y3cpi.xlsx]Bal Sheet - Standardized!R30C15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3"/>
      </tp>
      <tp>
        <v>-2692</v>
        <stp/>
        <stp>##V3_BDHV12</stp>
        <stp>XOM US Equity</stp>
        <stp>INCOME_LOSS_FROM_AFFILIATES</stp>
        <stp>FQ4 2014</stp>
        <stp>FQ4 2014</stp>
        <stp>[FA1_m42y3cpi.xlsx]Income - Adjusted!R22C28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2" s="2"/>
      </tp>
      <tp>
        <v>-2261</v>
        <stp/>
        <stp>##V3_BDHV12</stp>
        <stp>XOM US Equity</stp>
        <stp>INCOME_LOSS_FROM_AFFILIATES</stp>
        <stp>FQ1 2015</stp>
        <stp>FQ1 2015</stp>
        <stp>[FA1_m42y3cpi.xlsx]Income - Adjusted!R22C29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2" s="2"/>
      </tp>
      <tp t="s">
        <v>—</v>
        <stp/>
        <stp>##V3_BDHV12</stp>
        <stp>XOM US Equity</stp>
        <stp>BS_DISCLOSED_INTANGIBLES</stp>
        <stp>FQ1 2017</stp>
        <stp>FQ1 2017</stp>
        <stp>[FA1_m42y3cpi.xlsx]Bal Sheet - Standardized!R30C37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0" s="3"/>
      </tp>
      <tp>
        <v>0</v>
        <stp/>
        <stp>##V3_BDHV12</stp>
        <stp>XOM US Equity</stp>
        <stp>BS_DEFERRED_TAX_LIABS_ST</stp>
        <stp>FQ3 2016</stp>
        <stp>FQ3 2016</stp>
        <stp>[FA1_m42y3cpi.xlsx]Bal Sheet - Standardized!R53C35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3" s="3"/>
      </tp>
      <tp t="s">
        <v>—</v>
        <stp/>
        <stp>##V3_BDHV12</stp>
        <stp>XOM US Equity</stp>
        <stp>BS_DEFERRED_TAX_LIABS_ST</stp>
        <stp>FQ2 2014</stp>
        <stp>FQ2 2014</stp>
        <stp>[FA1_m42y3cpi.xlsx]Bal Sheet - Standardized!R53C26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3" s="3"/>
      </tp>
      <tp t="s">
        <v>—</v>
        <stp/>
        <stp>##V3_BDHV12</stp>
        <stp>XOM US Equity</stp>
        <stp>BS_DEFERRED_TAX_LIABS_ST</stp>
        <stp>FQ2 2013</stp>
        <stp>FQ2 2013</stp>
        <stp>[FA1_m42y3cpi.xlsx]Bal Sheet - Standardized!R53C22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3" s="3"/>
      </tp>
      <tp t="s">
        <v>—</v>
        <stp/>
        <stp>##V3_BDHV12</stp>
        <stp>XOM US Equity</stp>
        <stp>BS_DEFERRED_TAX_LIABS_ST</stp>
        <stp>FQ1 2011</stp>
        <stp>FQ1 2011</stp>
        <stp>[FA1_m42y3cpi.xlsx]Bal Sheet - Standardized!R53C13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3" s="3"/>
      </tp>
      <tp t="s">
        <v>—</v>
        <stp/>
        <stp>##V3_BDHV12</stp>
        <stp>XOM US Equity</stp>
        <stp>BS_DEFERRED_TAX_LIABS_ST</stp>
        <stp>FQ4 2017</stp>
        <stp>FQ4 2017</stp>
        <stp>[FA1_m42y3cpi.xlsx]Bal Sheet - Standardized!R53C40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3" s="3"/>
      </tp>
      <tp>
        <v>24686</v>
        <stp/>
        <stp>##V3_BDHV12</stp>
        <stp>XOM US Equity</stp>
        <stp>BS_ACCT_NOTE_RCV</stp>
        <stp>FQ1 2018</stp>
        <stp>FQ1 2018</stp>
        <stp>[FA1_m42y3cpi.xlsx]Bal Sheet - Standardized!R10C41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0" s="3"/>
      </tp>
      <tp t="s">
        <v>—</v>
        <stp/>
        <stp>##V3_BDHV12</stp>
        <stp>XOM US Equity</stp>
        <stp>BS_DISCLOSED_INTANGIBLES</stp>
        <stp>FQ3 2010</stp>
        <stp>FQ3 2010</stp>
        <stp>[FA1_m42y3cpi.xlsx]Bal Sheet - Standardized!R30C11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3"/>
      </tp>
      <tp>
        <v>7561</v>
        <stp/>
        <stp>##V3_BDHV12</stp>
        <stp>XOM US Equity</stp>
        <stp>NI_INCLUDING_MINORITY_INT_RATIO</stp>
        <stp>FQ3 2010</stp>
        <stp>FQ3 2010</stp>
        <stp>[FA1_m42y3cpi.xlsx]Income - Adjusted!R38C11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38" s="2"/>
      </tp>
      <tp>
        <v>6975</v>
        <stp/>
        <stp>##V3_BDHV12</stp>
        <stp>XOM US Equity</stp>
        <stp>NI_INCLUDING_MINORITY_INT_RATIO</stp>
        <stp>FQ2 2013</stp>
        <stp>FQ2 2013</stp>
        <stp>[FA1_m42y3cpi.xlsx]Income - Adjusted!R38C22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38" s="2"/>
      </tp>
      <tp>
        <v>9370</v>
        <stp/>
        <stp>##V3_BDHV12</stp>
        <stp>XOM US Equity</stp>
        <stp>NI_INCLUDING_MINORITY_INT_RATIO</stp>
        <stp>FQ1 2014</stp>
        <stp>FQ1 2014</stp>
        <stp>[FA1_m42y3cpi.xlsx]Income - Adjusted!R38C25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38" s="2"/>
      </tp>
      <tp>
        <v>4871</v>
        <stp/>
        <stp>##V3_BDHV12</stp>
        <stp>XOM US Equity</stp>
        <stp>IS_INC_BEF_XO_ITEM</stp>
        <stp>FQ3 2009</stp>
        <stp>FQ3 2009</stp>
        <stp>[FA1_m42y3cpi.xlsx]Income - Adjusted!R34C7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2"/>
      </tp>
      <tp>
        <v>15366</v>
        <stp/>
        <stp>##V3_BDHV12</stp>
        <stp>XOM US Equity</stp>
        <stp>IS_INC_BEF_XO_ITEM</stp>
        <stp>FQ3 2008</stp>
        <stp>FQ3 2008</stp>
        <stp>[FA1_m42y3cpi.xlsx]Income - Adjusted!R34C3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2"/>
      </tp>
      <tp>
        <v>0</v>
        <stp/>
        <stp>##V3_BDHV12</stp>
        <stp>XOM US Equity</stp>
        <stp>IS_DISCONTINUED_OPERATIONS</stp>
        <stp>FQ1 2009</stp>
        <stp>FQ1 2009</stp>
        <stp>[FA1_m42y3cpi.xlsx]Income - Adjusted!R36C5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2"/>
      </tp>
      <tp>
        <v>3177</v>
        <stp/>
        <stp>##V3_BDHV12</stp>
        <stp>XOM US Equity</stp>
        <stp>BS_CASH_NEAR_CASH_ITEM</stp>
        <stp>FQ4 2017</stp>
        <stp>FQ4 2017</stp>
        <stp>[FA1_m42y3cpi.xlsx]Bal Sheet - Standardized!R8C40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" s="3"/>
      </tp>
      <tp>
        <v>5.0500000000000003E-2</v>
        <stp/>
        <stp>##V3_BDHV12</stp>
        <stp>XOM US Equity</stp>
        <stp>FREE_CASH_FLOW_PER_SH</stp>
        <stp>FQ1 2016</stp>
        <stp>FQ1 2016</stp>
        <stp>[FA1_m42y3cpi.xlsx]Cash Flow - Standardized!R66C33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6" s="4"/>
      </tp>
      <tp>
        <v>0.84030000000000005</v>
        <stp/>
        <stp>##V3_BDHV12</stp>
        <stp>XOM US Equity</stp>
        <stp>FREE_CASH_FLOW_PER_SH</stp>
        <stp>FQ4 2016</stp>
        <stp>FQ4 2016</stp>
        <stp>[FA1_m42y3cpi.xlsx]Cash Flow - Standardized!R66C36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6" s="4"/>
      </tp>
      <tp>
        <v>3430</v>
        <stp/>
        <stp>##V3_BDHV12</stp>
        <stp>XOM US Equity</stp>
        <stp>BS_CASH_NEAR_CASH_ITEM</stp>
        <stp>FQ2 2018</stp>
        <stp>FQ2 2018</stp>
        <stp>[FA1_m42y3cpi.xlsx]Bal Sheet - Standardized!R8C42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" s="3"/>
      </tp>
      <tp>
        <v>4125</v>
        <stp/>
        <stp>##V3_BDHV12</stp>
        <stp>XOM US Equity</stp>
        <stp>BS_CASH_NEAR_CASH_ITEM</stp>
        <stp>FQ1 2018</stp>
        <stp>FQ1 2018</stp>
        <stp>[FA1_m42y3cpi.xlsx]Bal Sheet - Standardized!R8C41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" s="3"/>
      </tp>
      <tp>
        <v>2.4270999999999998</v>
        <stp/>
        <stp>##V3_BDHV12</stp>
        <stp>XOM US Equity</stp>
        <stp>FREE_CASH_FLOW_PER_SH</stp>
        <stp>FQ1 2012</stp>
        <stp>FQ1 2012</stp>
        <stp>[FA1_m42y3cpi.xlsx]Cash Flow - Standardized!R66C17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6" s="4"/>
      </tp>
      <tp>
        <v>1.6099999999999999</v>
        <stp/>
        <stp>##V3_BDHV12</stp>
        <stp>XOM US Equity</stp>
        <stp>IS_EARN_BEF_XO_ITEMS_PER_SH</stp>
        <stp>FQ2 2010</stp>
        <stp>FQ2 2010</stp>
        <stp>[FA1_m42y3cpi.xlsx]Per Share!R15C10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5" s="5"/>
      </tp>
      <tp>
        <v>1.79</v>
        <stp/>
        <stp>##V3_BDHV12</stp>
        <stp>XOM US Equity</stp>
        <stp>IS_EARN_BEF_XO_ITEMS_PER_SH</stp>
        <stp>FQ3 2013</stp>
        <stp>FQ3 2013</stp>
        <stp>[FA1_m42y3cpi.xlsx]Per Share!R15C23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5" s="5"/>
      </tp>
      <tp>
        <v>0.95</v>
        <stp/>
        <stp>##V3_BDHV12</stp>
        <stp>XOM US Equity</stp>
        <stp>IS_EARN_BEF_XO_ITEMS_PER_SH</stp>
        <stp>FQ1 2017</stp>
        <stp>FQ1 2017</stp>
        <stp>[FA1_m42y3cpi.xlsx]Per Share!R15C37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5" s="5"/>
      </tp>
      <tp>
        <v>0.41</v>
        <stp/>
        <stp>##V3_BDHV12</stp>
        <stp>XOM US Equity</stp>
        <stp>IS_EARN_BEF_XO_ITEMS_PER_SH</stp>
        <stp>FQ4 2016</stp>
        <stp>FQ4 2016</stp>
        <stp>[FA1_m42y3cpi.xlsx]Per Share!R15C36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5" s="5"/>
      </tp>
      <tp t="s">
        <v>—</v>
        <stp/>
        <stp>##V3_BDHV12</stp>
        <stp>XOM US Equity</stp>
        <stp>INCOME_LOSS_FROM_AFFILIATES</stp>
        <stp>FQ4 2008</stp>
        <stp>FQ4 2008</stp>
        <stp>[FA1_m42y3cpi.xlsx]Income - Adjusted!R22C4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2" s="2"/>
      </tp>
      <tp t="s">
        <v>—</v>
        <stp/>
        <stp>##V3_BDHV12</stp>
        <stp>XOM US Equity</stp>
        <stp>INCOME_LOSS_FROM_AFFILIATES</stp>
        <stp>FQ3 2008</stp>
        <stp>FQ3 2008</stp>
        <stp>[FA1_m42y3cpi.xlsx]Income - Adjusted!R22C3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2" s="2"/>
      </tp>
      <tp>
        <v>1.4878</v>
        <stp/>
        <stp>##V3_BDHV12</stp>
        <stp>XOM US Equity</stp>
        <stp>IS_DIL_EPS_CONT_OPS</stp>
        <stp>FQ4 2014</stp>
        <stp>FQ4 2014</stp>
        <stp>[FA1_m42y3cpi.xlsx]Income - Adjusted!R57C28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7" s="2"/>
      </tp>
      <tp>
        <v>1.17</v>
        <stp/>
        <stp>##V3_BDHV12</stp>
        <stp>XOM US Equity</stp>
        <stp>IS_DIL_EPS_CONT_OPS</stp>
        <stp>FQ1 2015</stp>
        <stp>FQ1 2015</stp>
        <stp>[FA1_m42y3cpi.xlsx]Income - Adjusted!R57C29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7" s="2"/>
      </tp>
      <tp>
        <v>-5625</v>
        <stp/>
        <stp>##V3_BDHV12</stp>
        <stp>XOM US Equity</stp>
        <stp>IS_NONOP_INCOME_LOSS</stp>
        <stp>FQ4 2011</stp>
        <stp>FQ4 2011</stp>
        <stp>[FA1_m42y3cpi.xlsx]Income - Adjusted!R17C16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7" s="2"/>
      </tp>
      <tp>
        <v>-4994</v>
        <stp/>
        <stp>##V3_BDHV12</stp>
        <stp>XOM US Equity</stp>
        <stp>IS_NONOP_INCOME_LOSS</stp>
        <stp>FQ4 2013</stp>
        <stp>FQ4 2013</stp>
        <stp>[FA1_m42y3cpi.xlsx]Income - Adjusted!R17C24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7" s="2"/>
      </tp>
      <tp>
        <v>-1017</v>
        <stp/>
        <stp>##V3_BDHV12</stp>
        <stp>XOM US Equity</stp>
        <stp>IS_NONOP_INCOME_LOSS</stp>
        <stp>FQ4 2017</stp>
        <stp>FQ4 2017</stp>
        <stp>[FA1_m42y3cpi.xlsx]Income - Adjusted!R17C40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7" s="2"/>
      </tp>
      <tp>
        <v>-2056</v>
        <stp/>
        <stp>##V3_BDHV12</stp>
        <stp>XOM US Equity</stp>
        <stp>IS_NONOP_INCOME_LOSS</stp>
        <stp>FQ4 2015</stp>
        <stp>FQ4 2015</stp>
        <stp>[FA1_m42y3cpi.xlsx]Income - Adjusted!R17C32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7" s="2"/>
      </tp>
      <tp>
        <v>1.97</v>
        <stp/>
        <stp>##V3_BDHV12</stp>
        <stp>XOM US Equity</stp>
        <stp>IS_DILUTED_EPS</stp>
        <stp>FQ4 2017</stp>
        <stp>FQ4 2017</stp>
        <stp>[FA1_m42y3cpi.xlsx]Income - Adjusted!R55C40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55" s="2"/>
      </tp>
      <tp>
        <v>1.9100000000000001</v>
        <stp/>
        <stp>##V3_BDHV12</stp>
        <stp>XOM US Equity</stp>
        <stp>IS_DILUTED_EPS</stp>
        <stp>FQ4 2013</stp>
        <stp>FQ4 2013</stp>
        <stp>[FA1_m42y3cpi.xlsx]Income - Adjusted!R55C24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55" s="2"/>
      </tp>
      <tp>
        <v>1.85</v>
        <stp/>
        <stp>##V3_BDHV12</stp>
        <stp>XOM US Equity</stp>
        <stp>IS_DILUTED_EPS</stp>
        <stp>FQ4 2010</stp>
        <stp>FQ4 2010</stp>
        <stp>[FA1_m42y3cpi.xlsx]Income - Adjusted!R55C12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55" s="2"/>
      </tp>
      <tp>
        <v>1.97</v>
        <stp/>
        <stp>##V3_BDHV12</stp>
        <stp>XOM US Equity</stp>
        <stp>IS_DILUTED_EPS</stp>
        <stp>FQ4 2011</stp>
        <stp>FQ4 2011</stp>
        <stp>[FA1_m42y3cpi.xlsx]Income - Adjusted!R55C16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55" s="2"/>
      </tp>
      <tp>
        <v>2.2000000000000002</v>
        <stp/>
        <stp>##V3_BDHV12</stp>
        <stp>XOM US Equity</stp>
        <stp>IS_DILUTED_EPS</stp>
        <stp>FQ4 2012</stp>
        <stp>FQ4 2012</stp>
        <stp>[FA1_m42y3cpi.xlsx]Income - Adjusted!R55C20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55" s="2"/>
      </tp>
      <tp>
        <v>0.67</v>
        <stp/>
        <stp>##V3_BDHV12</stp>
        <stp>XOM US Equity</stp>
        <stp>IS_DILUTED_EPS</stp>
        <stp>FQ4 2015</stp>
        <stp>FQ4 2015</stp>
        <stp>[FA1_m42y3cpi.xlsx]Income - Adjusted!R55C32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55" s="2"/>
      </tp>
      <tp>
        <v>1.56</v>
        <stp/>
        <stp>##V3_BDHV12</stp>
        <stp>XOM US Equity</stp>
        <stp>IS_DILUTED_EPS</stp>
        <stp>FQ4 2014</stp>
        <stp>FQ4 2014</stp>
        <stp>[FA1_m42y3cpi.xlsx]Income - Adjusted!R55C28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55" s="2"/>
      </tp>
      <tp>
        <v>0.41</v>
        <stp/>
        <stp>##V3_BDHV12</stp>
        <stp>XOM US Equity</stp>
        <stp>IS_DILUTED_EPS</stp>
        <stp>FQ4 2016</stp>
        <stp>FQ4 2016</stp>
        <stp>[FA1_m42y3cpi.xlsx]Income - Adjusted!R55C36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55" s="2"/>
      </tp>
      <tp>
        <v>0.41</v>
        <stp/>
        <stp>##V3_BDHV12</stp>
        <stp>XOM US Equity</stp>
        <stp>IS_DILUTED_EPS</stp>
        <stp>FQ2 2016</stp>
        <stp>FQ2 2016</stp>
        <stp>[FA1_m42y3cpi.xlsx]Income - Adjusted!R55C34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55" s="2"/>
      </tp>
      <tp>
        <v>0.78</v>
        <stp/>
        <stp>##V3_BDHV12</stp>
        <stp>XOM US Equity</stp>
        <stp>IS_DILUTED_EPS</stp>
        <stp>FQ2 2017</stp>
        <stp>FQ2 2017</stp>
        <stp>[FA1_m42y3cpi.xlsx]Income - Adjusted!R55C38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55" s="2"/>
      </tp>
      <tp>
        <v>1</v>
        <stp/>
        <stp>##V3_BDHV12</stp>
        <stp>XOM US Equity</stp>
        <stp>IS_DILUTED_EPS</stp>
        <stp>FQ2 2015</stp>
        <stp>FQ2 2015</stp>
        <stp>[FA1_m42y3cpi.xlsx]Income - Adjusted!R55C30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55" s="2"/>
      </tp>
      <tp>
        <v>2.0499999999999998</v>
        <stp/>
        <stp>##V3_BDHV12</stp>
        <stp>XOM US Equity</stp>
        <stp>IS_DILUTED_EPS</stp>
        <stp>FQ2 2014</stp>
        <stp>FQ2 2014</stp>
        <stp>[FA1_m42y3cpi.xlsx]Income - Adjusted!R55C26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55" s="2"/>
      </tp>
      <tp>
        <v>1.6</v>
        <stp/>
        <stp>##V3_BDHV12</stp>
        <stp>XOM US Equity</stp>
        <stp>IS_DILUTED_EPS</stp>
        <stp>FQ2 2010</stp>
        <stp>FQ2 2010</stp>
        <stp>[FA1_m42y3cpi.xlsx]Income - Adjusted!R55C10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55" s="2"/>
      </tp>
      <tp>
        <v>1.55</v>
        <stp/>
        <stp>##V3_BDHV12</stp>
        <stp>XOM US Equity</stp>
        <stp>IS_DILUTED_EPS</stp>
        <stp>FQ2 2013</stp>
        <stp>FQ2 2013</stp>
        <stp>[FA1_m42y3cpi.xlsx]Income - Adjusted!R55C22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55" s="2"/>
      </tp>
      <tp>
        <v>2.1800000000000002</v>
        <stp/>
        <stp>##V3_BDHV12</stp>
        <stp>XOM US Equity</stp>
        <stp>IS_DILUTED_EPS</stp>
        <stp>FQ2 2011</stp>
        <stp>FQ2 2011</stp>
        <stp>[FA1_m42y3cpi.xlsx]Income - Adjusted!R55C14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55" s="2"/>
      </tp>
      <tp>
        <v>3.41</v>
        <stp/>
        <stp>##V3_BDHV12</stp>
        <stp>XOM US Equity</stp>
        <stp>IS_DILUTED_EPS</stp>
        <stp>FQ2 2012</stp>
        <stp>FQ2 2012</stp>
        <stp>[FA1_m42y3cpi.xlsx]Income - Adjusted!R55C18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55" s="2"/>
      </tp>
      <tp>
        <v>0.92</v>
        <stp/>
        <stp>##V3_BDHV12</stp>
        <stp>XOM US Equity</stp>
        <stp>IS_DILUTED_EPS</stp>
        <stp>FQ2 2018</stp>
        <stp>FQ2 2018</stp>
        <stp>[FA1_m42y3cpi.xlsx]Income - Adjusted!R55C42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55" s="2"/>
      </tp>
      <tp>
        <v>0.93</v>
        <stp/>
        <stp>##V3_BDHV12</stp>
        <stp>XOM US Equity</stp>
        <stp>IS_DILUTED_EPS</stp>
        <stp>FQ3 2017</stp>
        <stp>FQ3 2017</stp>
        <stp>[FA1_m42y3cpi.xlsx]Income - Adjusted!R55C39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55" s="2"/>
      </tp>
      <tp>
        <v>0.63</v>
        <stp/>
        <stp>##V3_BDHV12</stp>
        <stp>XOM US Equity</stp>
        <stp>IS_DILUTED_EPS</stp>
        <stp>FQ3 2016</stp>
        <stp>FQ3 2016</stp>
        <stp>[FA1_m42y3cpi.xlsx]Income - Adjusted!R55C35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55" s="2"/>
      </tp>
      <tp>
        <v>1.01</v>
        <stp/>
        <stp>##V3_BDHV12</stp>
        <stp>XOM US Equity</stp>
        <stp>IS_DILUTED_EPS</stp>
        <stp>FQ3 2015</stp>
        <stp>FQ3 2015</stp>
        <stp>[FA1_m42y3cpi.xlsx]Income - Adjusted!R55C31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55" s="2"/>
      </tp>
      <tp>
        <v>1.8900000000000001</v>
        <stp/>
        <stp>##V3_BDHV12</stp>
        <stp>XOM US Equity</stp>
        <stp>IS_DILUTED_EPS</stp>
        <stp>FQ3 2014</stp>
        <stp>FQ3 2014</stp>
        <stp>[FA1_m42y3cpi.xlsx]Income - Adjusted!R55C27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55" s="2"/>
      </tp>
      <tp>
        <v>2.13</v>
        <stp/>
        <stp>##V3_BDHV12</stp>
        <stp>XOM US Equity</stp>
        <stp>IS_DILUTED_EPS</stp>
        <stp>FQ3 2011</stp>
        <stp>FQ3 2011</stp>
        <stp>[FA1_m42y3cpi.xlsx]Income - Adjusted!R55C15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55" s="2"/>
      </tp>
      <tp>
        <v>1.79</v>
        <stp/>
        <stp>##V3_BDHV12</stp>
        <stp>XOM US Equity</stp>
        <stp>IS_DILUTED_EPS</stp>
        <stp>FQ3 2013</stp>
        <stp>FQ3 2013</stp>
        <stp>[FA1_m42y3cpi.xlsx]Income - Adjusted!R55C23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55" s="2"/>
      </tp>
      <tp>
        <v>1.44</v>
        <stp/>
        <stp>##V3_BDHV12</stp>
        <stp>XOM US Equity</stp>
        <stp>IS_DILUTED_EPS</stp>
        <stp>FQ3 2010</stp>
        <stp>FQ3 2010</stp>
        <stp>[FA1_m42y3cpi.xlsx]Income - Adjusted!R55C11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55" s="2"/>
      </tp>
      <tp>
        <v>2.09</v>
        <stp/>
        <stp>##V3_BDHV12</stp>
        <stp>XOM US Equity</stp>
        <stp>IS_DILUTED_EPS</stp>
        <stp>FQ3 2012</stp>
        <stp>FQ3 2012</stp>
        <stp>[FA1_m42y3cpi.xlsx]Income - Adjusted!R55C19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55" s="2"/>
      </tp>
      <tp>
        <v>2.1</v>
        <stp/>
        <stp>##V3_BDHV12</stp>
        <stp>XOM US Equity</stp>
        <stp>IS_DILUTED_EPS</stp>
        <stp>FQ1 2014</stp>
        <stp>FQ1 2014</stp>
        <stp>[FA1_m42y3cpi.xlsx]Income - Adjusted!R55C25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55" s="2"/>
      </tp>
      <tp>
        <v>1.17</v>
        <stp/>
        <stp>##V3_BDHV12</stp>
        <stp>XOM US Equity</stp>
        <stp>IS_DILUTED_EPS</stp>
        <stp>FQ1 2015</stp>
        <stp>FQ1 2015</stp>
        <stp>[FA1_m42y3cpi.xlsx]Income - Adjusted!R55C29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55" s="2"/>
      </tp>
      <tp>
        <v>0.95</v>
        <stp/>
        <stp>##V3_BDHV12</stp>
        <stp>XOM US Equity</stp>
        <stp>IS_DILUTED_EPS</stp>
        <stp>FQ1 2017</stp>
        <stp>FQ1 2017</stp>
        <stp>[FA1_m42y3cpi.xlsx]Income - Adjusted!R55C37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55" s="2"/>
      </tp>
      <tp>
        <v>0.43</v>
        <stp/>
        <stp>##V3_BDHV12</stp>
        <stp>XOM US Equity</stp>
        <stp>IS_DILUTED_EPS</stp>
        <stp>FQ1 2016</stp>
        <stp>FQ1 2016</stp>
        <stp>[FA1_m42y3cpi.xlsx]Income - Adjusted!R55C33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55" s="2"/>
      </tp>
      <tp>
        <v>2</v>
        <stp/>
        <stp>##V3_BDHV12</stp>
        <stp>XOM US Equity</stp>
        <stp>IS_DILUTED_EPS</stp>
        <stp>FQ1 2012</stp>
        <stp>FQ1 2012</stp>
        <stp>[FA1_m42y3cpi.xlsx]Income - Adjusted!R55C17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55" s="2"/>
      </tp>
      <tp>
        <v>2.14</v>
        <stp/>
        <stp>##V3_BDHV12</stp>
        <stp>XOM US Equity</stp>
        <stp>IS_DILUTED_EPS</stp>
        <stp>FQ1 2011</stp>
        <stp>FQ1 2011</stp>
        <stp>[FA1_m42y3cpi.xlsx]Income - Adjusted!R55C13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55" s="2"/>
      </tp>
      <tp>
        <v>2.12</v>
        <stp/>
        <stp>##V3_BDHV12</stp>
        <stp>XOM US Equity</stp>
        <stp>IS_DILUTED_EPS</stp>
        <stp>FQ1 2013</stp>
        <stp>FQ1 2013</stp>
        <stp>[FA1_m42y3cpi.xlsx]Income - Adjusted!R55C21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55" s="2"/>
      </tp>
      <tp>
        <v>1.0900000000000001</v>
        <stp/>
        <stp>##V3_BDHV12</stp>
        <stp>XOM US Equity</stp>
        <stp>IS_DILUTED_EPS</stp>
        <stp>FQ1 2018</stp>
        <stp>FQ1 2018</stp>
        <stp>[FA1_m42y3cpi.xlsx]Income - Adjusted!R55C41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55" s="2"/>
      </tp>
      <tp>
        <v>24.260300000000001</v>
        <stp/>
        <stp>##V3_BDHV12</stp>
        <stp>XOM US Equity</stp>
        <stp>PX_TO_FREE_CASH_FLOW</stp>
        <stp>FQ4 2017</stp>
        <stp>FQ4 2017</stp>
        <stp>[FA1_m42y3cpi.xlsx]Cash Flow - Standardized!R67C40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7" s="4"/>
      </tp>
      <tp>
        <v>85.025999999999996</v>
        <stp/>
        <stp>##V3_BDHV12</stp>
        <stp>XOM US Equity</stp>
        <stp>PX_TO_FREE_CASH_FLOW</stp>
        <stp>FQ4 2015</stp>
        <stp>FQ4 2015</stp>
        <stp>[FA1_m42y3cpi.xlsx]Cash Flow - Standardized!R67C32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7" s="4"/>
      </tp>
      <tp>
        <v>28.872599999999998</v>
        <stp/>
        <stp>##V3_BDHV12</stp>
        <stp>XOM US Equity</stp>
        <stp>PX_TO_FREE_CASH_FLOW</stp>
        <stp>FQ1 2013</stp>
        <stp>FQ1 2013</stp>
        <stp>[FA1_m42y3cpi.xlsx]Cash Flow - Standardized!R67C21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7" s="4"/>
      </tp>
      <tp>
        <v>36.132399999999997</v>
        <stp/>
        <stp>##V3_BDHV12</stp>
        <stp>XOM US Equity</stp>
        <stp>PX_TO_FREE_CASH_FLOW</stp>
        <stp>FQ2 2013</stp>
        <stp>FQ2 2013</stp>
        <stp>[FA1_m42y3cpi.xlsx]Cash Flow - Standardized!R67C22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7" s="4"/>
      </tp>
      <tp>
        <v>37.274799999999999</v>
        <stp/>
        <stp>##V3_BDHV12</stp>
        <stp>XOM US Equity</stp>
        <stp>PX_TO_FREE_CASH_FLOW</stp>
        <stp>FQ3 2013</stp>
        <stp>FQ3 2013</stp>
        <stp>[FA1_m42y3cpi.xlsx]Cash Flow - Standardized!R67C23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7" s="4"/>
      </tp>
      <tp>
        <v>39.9086</v>
        <stp/>
        <stp>##V3_BDHV12</stp>
        <stp>XOM US Equity</stp>
        <stp>PX_TO_FREE_CASH_FLOW</stp>
        <stp>FQ4 2013</stp>
        <stp>FQ4 2013</stp>
        <stp>[FA1_m42y3cpi.xlsx]Cash Flow - Standardized!R67C24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7" s="4"/>
      </tp>
      <tp>
        <v>17.313099999999999</v>
        <stp/>
        <stp>##V3_BDHV12</stp>
        <stp>XOM US Equity</stp>
        <stp>PX_TO_FREE_CASH_FLOW</stp>
        <stp>FQ1 2011</stp>
        <stp>FQ1 2011</stp>
        <stp>[FA1_m42y3cpi.xlsx]Cash Flow - Standardized!R67C13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7" s="4"/>
      </tp>
      <tp>
        <v>17.029</v>
        <stp/>
        <stp>##V3_BDHV12</stp>
        <stp>XOM US Equity</stp>
        <stp>PX_TO_FREE_CASH_FLOW</stp>
        <stp>FQ4 2011</stp>
        <stp>FQ4 2011</stp>
        <stp>[FA1_m42y3cpi.xlsx]Cash Flow - Standardized!R67C16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7" s="4"/>
      </tp>
      <tp t="s">
        <v>—</v>
        <stp/>
        <stp>##V3_BDHV12</stp>
        <stp>XOM US Equity</stp>
        <stp>BS_DEFERRED_TAX_LIABS_ST</stp>
        <stp>FQ2 2017</stp>
        <stp>FQ2 2017</stp>
        <stp>[FA1_m42y3cpi.xlsx]Bal Sheet - Standardized!R53C38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3" s="3"/>
      </tp>
      <tp t="s">
        <v>—</v>
        <stp/>
        <stp>##V3_BDHV12</stp>
        <stp>XOM US Equity</stp>
        <stp>BS_DISCLOSED_INTANGIBLES</stp>
        <stp>FQ1 2015</stp>
        <stp>FQ1 2015</stp>
        <stp>[FA1_m42y3cpi.xlsx]Bal Sheet - Standardized!R30C29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3"/>
      </tp>
      <tp>
        <v>8780</v>
        <stp/>
        <stp>##V3_BDHV12</stp>
        <stp>XOM US Equity</stp>
        <stp>EARN_FOR_COMMON</stp>
        <stp>FQ2 2014</stp>
        <stp>FQ2 2014</stp>
        <stp>[FA1_m42y3cpi.xlsx]Income - Adjusted!R43C26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43" s="2"/>
      </tp>
      <tp>
        <v>1700</v>
        <stp/>
        <stp>##V3_BDHV12</stp>
        <stp>XOM US Equity</stp>
        <stp>EARN_FOR_COMMON</stp>
        <stp>FQ2 2016</stp>
        <stp>FQ2 2016</stp>
        <stp>[FA1_m42y3cpi.xlsx]Income - Adjusted!R43C34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43" s="2"/>
      </tp>
      <tp>
        <v>9500</v>
        <stp/>
        <stp>##V3_BDHV12</stp>
        <stp>XOM US Equity</stp>
        <stp>EARN_FOR_COMMON</stp>
        <stp>FQ1 2013</stp>
        <stp>FQ1 2013</stp>
        <stp>[FA1_m42y3cpi.xlsx]Income - Adjusted!R43C21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43" s="2"/>
      </tp>
      <tp>
        <v>10650</v>
        <stp/>
        <stp>##V3_BDHV12</stp>
        <stp>XOM US Equity</stp>
        <stp>EARN_FOR_COMMON</stp>
        <stp>FQ1 2011</stp>
        <stp>FQ1 2011</stp>
        <stp>[FA1_m42y3cpi.xlsx]Income - Adjusted!R43C13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43" s="2"/>
      </tp>
      <tp>
        <v>9950</v>
        <stp/>
        <stp>##V3_BDHV12</stp>
        <stp>XOM US Equity</stp>
        <stp>EARN_FOR_COMMON</stp>
        <stp>FQ4 2012</stp>
        <stp>FQ4 2012</stp>
        <stp>[FA1_m42y3cpi.xlsx]Income - Adjusted!R43C20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43" s="2"/>
      </tp>
      <tp>
        <v>9250</v>
        <stp/>
        <stp>##V3_BDHV12</stp>
        <stp>XOM US Equity</stp>
        <stp>EARN_FOR_COMMON</stp>
        <stp>FQ4 2010</stp>
        <stp>FQ4 2010</stp>
        <stp>[FA1_m42y3cpi.xlsx]Income - Adjusted!R43C12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43" s="2"/>
      </tp>
      <tp>
        <v>-86</v>
        <stp/>
        <stp>##V3_BDHV12</stp>
        <stp>XOM US Equity</stp>
        <stp>MIN_NONCONTROL_INTEREST_CREDITS</stp>
        <stp>FQ2 2017</stp>
        <stp>FQ2 2017</stp>
        <stp>[FA1_m42y3cpi.xlsx]Income - Adjusted!R39C38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39" s="2"/>
      </tp>
      <tp t="s">
        <v>—</v>
        <stp/>
        <stp>##V3_BDHV12</stp>
        <stp>XOM US Equity</stp>
        <stp>BS_DISCLOSED_INTANGIBLES</stp>
        <stp>FQ2 2012</stp>
        <stp>FQ2 2012</stp>
        <stp>[FA1_m42y3cpi.xlsx]Bal Sheet - Standardized!R30C18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3"/>
      </tp>
      <tp t="s">
        <v>—</v>
        <stp/>
        <stp>##V3_BDHV12</stp>
        <stp>XOM US Equity</stp>
        <stp>BS_DEFERRED_TAX_LIABS_ST</stp>
        <stp>FQ2 2015</stp>
        <stp>FQ2 2015</stp>
        <stp>[FA1_m42y3cpi.xlsx]Bal Sheet - Standardized!R53C30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3" s="3"/>
      </tp>
      <tp t="s">
        <v>—</v>
        <stp/>
        <stp>##V3_BDHV12</stp>
        <stp>XOM US Equity</stp>
        <stp>BS_DISCLOSED_INTANGIBLES</stp>
        <stp>FQ2 2011</stp>
        <stp>FQ2 2011</stp>
        <stp>[FA1_m42y3cpi.xlsx]Bal Sheet - Standardized!R30C14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3"/>
      </tp>
      <tp t="s">
        <v>—</v>
        <stp/>
        <stp>##V3_BDHV12</stp>
        <stp>XOM US Equity</stp>
        <stp>BS_DEFERRED_TAX_LIABS_ST</stp>
        <stp>FQ2 2016</stp>
        <stp>FQ2 2016</stp>
        <stp>[FA1_m42y3cpi.xlsx]Bal Sheet - Standardized!R53C34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3" s="3"/>
      </tp>
      <tp t="s">
        <v>—</v>
        <stp/>
        <stp>##V3_BDHV12</stp>
        <stp>XOM US Equity</stp>
        <stp>BS_DEFERRED_TAX_LIABS_ST</stp>
        <stp>FQ3 2014</stp>
        <stp>FQ3 2014</stp>
        <stp>[FA1_m42y3cpi.xlsx]Bal Sheet - Standardized!R53C27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3" s="3"/>
      </tp>
      <tp t="s">
        <v>—</v>
        <stp/>
        <stp>##V3_BDHV12</stp>
        <stp>XOM US Equity</stp>
        <stp>BS_DISCLOSED_INTANGIBLES</stp>
        <stp>FQ1 2014</stp>
        <stp>FQ1 2014</stp>
        <stp>[FA1_m42y3cpi.xlsx]Bal Sheet - Standardized!R30C25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3"/>
      </tp>
      <tp t="s">
        <v>—</v>
        <stp/>
        <stp>##V3_BDHV12</stp>
        <stp>XOM US Equity</stp>
        <stp>BS_DEFERRED_TAX_LIABS_ST</stp>
        <stp>FQ3 2013</stp>
        <stp>FQ3 2013</stp>
        <stp>[FA1_m42y3cpi.xlsx]Bal Sheet - Standardized!R53C23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3" s="3"/>
      </tp>
      <tp t="s">
        <v>—</v>
        <stp/>
        <stp>##V3_BDHV12</stp>
        <stp>XOM US Equity</stp>
        <stp>BS_DISCLOSED_INTANGIBLES</stp>
        <stp>FQ1 2013</stp>
        <stp>FQ1 2013</stp>
        <stp>[FA1_m42y3cpi.xlsx]Bal Sheet - Standardized!R30C21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3"/>
      </tp>
      <tp t="s">
        <v>—</v>
        <stp/>
        <stp>##V3_BDHV12</stp>
        <stp>XOM US Equity</stp>
        <stp>BS_DISCLOSED_INTANGIBLES</stp>
        <stp>FQ2 2010</stp>
        <stp>FQ2 2010</stp>
        <stp>[FA1_m42y3cpi.xlsx]Bal Sheet - Standardized!R30C10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3"/>
      </tp>
      <tp>
        <v>2024</v>
        <stp/>
        <stp>##V3_BDHV12</stp>
        <stp>XOM US Equity</stp>
        <stp>NI_INCLUDING_MINORITY_INT_RATIO</stp>
        <stp>FQ4 2016</stp>
        <stp>FQ4 2016</stp>
        <stp>[FA1_m42y3cpi.xlsx]Income - Adjusted!R38C36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38" s="2"/>
      </tp>
      <tp>
        <v>8069</v>
        <stp/>
        <stp>##V3_BDHV12</stp>
        <stp>XOM US Equity</stp>
        <stp>NI_INCLUDING_MINORITY_INT_RATIO</stp>
        <stp>FQ3 2013</stp>
        <stp>FQ3 2013</stp>
        <stp>[FA1_m42y3cpi.xlsx]Income - Adjusted!R38C23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38" s="2"/>
      </tp>
      <tp>
        <v>7746</v>
        <stp/>
        <stp>##V3_BDHV12</stp>
        <stp>XOM US Equity</stp>
        <stp>NI_INCLUDING_MINORITY_INT_RATIO</stp>
        <stp>FQ2 2010</stp>
        <stp>FQ2 2010</stp>
        <stp>[FA1_m42y3cpi.xlsx]Income - Adjusted!R38C10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38" s="2"/>
      </tp>
      <tp>
        <v>4090</v>
        <stp/>
        <stp>##V3_BDHV12</stp>
        <stp>XOM US Equity</stp>
        <stp>NI_INCLUDING_MINORITY_INT_RATIO</stp>
        <stp>FQ1 2017</stp>
        <stp>FQ1 2017</stp>
        <stp>[FA1_m42y3cpi.xlsx]Income - Adjusted!R38C37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38" s="2"/>
      </tp>
      <tp>
        <v>3946</v>
        <stp/>
        <stp>##V3_BDHV12</stp>
        <stp>XOM US Equity</stp>
        <stp>IS_INC_BEF_XO_ITEM</stp>
        <stp>FQ2 2009</stp>
        <stp>FQ2 2009</stp>
        <stp>[FA1_m42y3cpi.xlsx]Income - Adjusted!R34C6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2"/>
      </tp>
      <tp>
        <v>685</v>
        <stp/>
        <stp>##V3_BDHV12</stp>
        <stp>XOM US Equity</stp>
        <stp>IS_OTHER_OPERATING_EXPENSES</stp>
        <stp>FQ4 2009</stp>
        <stp>FQ4 2009</stp>
        <stp>[FA1_m42y3cpi.xlsx]Income - Adjusted!R15C8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5" s="2"/>
      </tp>
      <tp>
        <v>0.42</v>
        <stp/>
        <stp>##V3_BDHV12</stp>
        <stp>XOM US Equity</stp>
        <stp>EQY_DPS</stp>
        <stp>FQ4 2009</stp>
        <stp>FQ4 2009</stp>
        <stp>[FA1_m42y3cpi.xlsx]Per Share!R20C8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0" s="5"/>
      </tp>
      <tp>
        <v>0</v>
        <stp/>
        <stp>##V3_BDHV12</stp>
        <stp>XOM US Equity</stp>
        <stp>IS_DISCONTINUED_OPERATIONS</stp>
        <stp>FQ1 2010</stp>
        <stp>FQ1 2010</stp>
        <stp>[FA1_m42y3cpi.xlsx]Income - Adjusted!R36C9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2"/>
      </tp>
      <tp>
        <v>-2537</v>
        <stp/>
        <stp>##V3_BDHV12</stp>
        <stp>XOM US Equity</stp>
        <stp>INCOME_LOSS_FROM_AFFILIATES</stp>
        <stp>FQ1 2010</stp>
        <stp>FQ1 2010</stp>
        <stp>[FA1_m42y3cpi.xlsx]Income - Adjusted!R22C9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2" s="2"/>
      </tp>
      <tp>
        <v>1.55</v>
        <stp/>
        <stp>##V3_BDHV12</stp>
        <stp>XOM US Equity</stp>
        <stp>IS_EARN_BEF_XO_ITEMS_PER_SH</stp>
        <stp>FQ2 2013</stp>
        <stp>FQ2 2013</stp>
        <stp>[FA1_m42y3cpi.xlsx]Per Share!R15C22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5" s="5"/>
      </tp>
      <tp>
        <v>1.44</v>
        <stp/>
        <stp>##V3_BDHV12</stp>
        <stp>XOM US Equity</stp>
        <stp>IS_EARN_BEF_XO_ITEMS_PER_SH</stp>
        <stp>FQ3 2010</stp>
        <stp>FQ3 2010</stp>
        <stp>[FA1_m42y3cpi.xlsx]Per Share!R15C11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5" s="5"/>
      </tp>
      <tp>
        <v>2.1</v>
        <stp/>
        <stp>##V3_BDHV12</stp>
        <stp>XOM US Equity</stp>
        <stp>IS_EARN_BEF_XO_ITEMS_PER_SH</stp>
        <stp>FQ1 2014</stp>
        <stp>FQ1 2014</stp>
        <stp>[FA1_m42y3cpi.xlsx]Per Share!R15C25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5" s="5"/>
      </tp>
      <tp t="s">
        <v>—</v>
        <stp/>
        <stp>##V3_BDHV12</stp>
        <stp>XOM US Equity</stp>
        <stp>BS_OPTIONS_GRANTED</stp>
        <stp>FQ2 2017</stp>
        <stp>FQ2 2017</stp>
        <stp>[FA1_m42y3cpi.xlsx]Bal Sheet - Standardized!R84C38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4" s="3"/>
      </tp>
      <tp t="s">
        <v>—</v>
        <stp/>
        <stp>##V3_BDHV12</stp>
        <stp>XOM US Equity</stp>
        <stp>BS_OPTIONS_GRANTED</stp>
        <stp>FQ3 2017</stp>
        <stp>FQ3 2017</stp>
        <stp>[FA1_m42y3cpi.xlsx]Bal Sheet - Standardized!R84C39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4" s="3"/>
      </tp>
      <tp>
        <v>3231.6057999999998</v>
        <stp/>
        <stp>##V3_BDHV12</stp>
        <stp>XOM US Equity</stp>
        <stp>CF_FREE_CASH_FLOW_FIRM</stp>
        <stp>FQ4 2012</stp>
        <stp>FQ4 2012</stp>
        <stp>[FA1_m42y3cpi.xlsx]Cash Flow - Standardized!R64C20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64" s="4"/>
      </tp>
      <tp t="s">
        <v>—</v>
        <stp/>
        <stp>##V3_BDHV12</stp>
        <stp>XOM US Equity</stp>
        <stp>BS_OPTIONS_GRANTED</stp>
        <stp>FQ1 2015</stp>
        <stp>FQ1 2015</stp>
        <stp>[FA1_m42y3cpi.xlsx]Bal Sheet - Standardized!R84C29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4" s="3"/>
      </tp>
      <tp>
        <v>5453.2951999999996</v>
        <stp/>
        <stp>##V3_BDHV12</stp>
        <stp>XOM US Equity</stp>
        <stp>CF_FREE_CASH_FLOW_FIRM</stp>
        <stp>FQ4 2010</stp>
        <stp>FQ4 2010</stp>
        <stp>[FA1_m42y3cpi.xlsx]Cash Flow - Standardized!R64C12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64" s="4"/>
      </tp>
      <tp>
        <v>2.09</v>
        <stp/>
        <stp>##V3_BDHV12</stp>
        <stp>XOM US Equity</stp>
        <stp>IS_DIL_EPS_BEF_XO</stp>
        <stp>FQ3 2012</stp>
        <stp>FQ3 2012</stp>
        <stp>[FA1_m42y3cpi.xlsx]Per Share!R18C19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8" s="5"/>
      </tp>
      <tp>
        <v>0.78</v>
        <stp/>
        <stp>##V3_BDHV12</stp>
        <stp>XOM US Equity</stp>
        <stp>IS_DIL_EPS_CONT_OPS</stp>
        <stp>FQ2 2017</stp>
        <stp>FQ2 2017</stp>
        <stp>[FA1_m42y3cpi.xlsx]Income - Adjusted!R57C38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7" s="2"/>
      </tp>
      <tp>
        <v>-1587</v>
        <stp/>
        <stp>##V3_BDHV12</stp>
        <stp>XOM US Equity</stp>
        <stp>IS_NONOP_INCOME_LOSS</stp>
        <stp>FQ3 2015</stp>
        <stp>FQ3 2015</stp>
        <stp>[FA1_m42y3cpi.xlsx]Income - Adjusted!R17C31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7" s="2"/>
      </tp>
      <tp>
        <v>-4757</v>
        <stp/>
        <stp>##V3_BDHV12</stp>
        <stp>XOM US Equity</stp>
        <stp>IS_NONOP_INCOME_LOSS</stp>
        <stp>FQ3 2011</stp>
        <stp>FQ3 2011</stp>
        <stp>[FA1_m42y3cpi.xlsx]Income - Adjusted!R17C15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7" s="2"/>
      </tp>
      <tp>
        <v>0</v>
        <stp/>
        <stp>##V3_BDHV12</stp>
        <stp>XOM US Equity</stp>
        <stp>IS_OTHER_OPER_INC</stp>
        <stp>FQ3 2017</stp>
        <stp>FQ3 2017</stp>
        <stp>[FA1_m42y3cpi.xlsx]Income - Adjusted!R12C39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2" s="2"/>
      </tp>
      <tp>
        <v>554.22789999999998</v>
        <stp/>
        <stp>##V3_BDHV12</stp>
        <stp>XOM US Equity</stp>
        <stp>PX_TO_FREE_CASH_FLOW</stp>
        <stp>FQ3 2016</stp>
        <stp>FQ3 2016</stp>
        <stp>[FA1_m42y3cpi.xlsx]Cash Flow - Standardized!R67C35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7" s="4"/>
      </tp>
      <tp>
        <v>266.06169999999997</v>
        <stp/>
        <stp>##V3_BDHV12</stp>
        <stp>XOM US Equity</stp>
        <stp>PX_TO_FREE_CASH_FLOW</stp>
        <stp>FQ2 2016</stp>
        <stp>FQ2 2016</stp>
        <stp>[FA1_m42y3cpi.xlsx]Cash Flow - Standardized!R67C34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7" s="4"/>
      </tp>
      <tp>
        <v>1.5699999999999998</v>
        <stp/>
        <stp>##V3_BDHV12</stp>
        <stp>XOM US Equity</stp>
        <stp>IS_EARN_BEF_XO_ITEMS_PER_SH</stp>
        <stp>FQ4 2008</stp>
        <stp>FQ4 2008</stp>
        <stp>[FA1_m42y3cpi.xlsx]Income - Adjusted!R51C4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1" s="2"/>
      </tp>
      <tp>
        <v>2.89</v>
        <stp/>
        <stp>##V3_BDHV12</stp>
        <stp>XOM US Equity</stp>
        <stp>IS_EARN_BEF_XO_ITEMS_PER_SH</stp>
        <stp>FQ3 2008</stp>
        <stp>FQ3 2008</stp>
        <stp>[FA1_m42y3cpi.xlsx]Income - Adjusted!R51C3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1" s="2"/>
      </tp>
      <tp>
        <v>32.860199999999999</v>
        <stp/>
        <stp>##V3_BDHV12</stp>
        <stp>XOM US Equity</stp>
        <stp>PX_TO_FREE_CASH_FLOW</stp>
        <stp>FQ1 2014</stp>
        <stp>FQ1 2014</stp>
        <stp>[FA1_m42y3cpi.xlsx]Cash Flow - Standardized!R67C25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7" s="4"/>
      </tp>
      <tp>
        <v>28.144300000000001</v>
        <stp/>
        <stp>##V3_BDHV12</stp>
        <stp>XOM US Equity</stp>
        <stp>PX_TO_FREE_CASH_FLOW</stp>
        <stp>FQ2 2014</stp>
        <stp>FQ2 2014</stp>
        <stp>[FA1_m42y3cpi.xlsx]Cash Flow - Standardized!R67C26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7" s="4"/>
      </tp>
      <tp>
        <v>26.3062</v>
        <stp/>
        <stp>##V3_BDHV12</stp>
        <stp>XOM US Equity</stp>
        <stp>PX_TO_FREE_CASH_FLOW</stp>
        <stp>FQ3 2014</stp>
        <stp>FQ3 2014</stp>
        <stp>[FA1_m42y3cpi.xlsx]Cash Flow - Standardized!R67C27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7" s="4"/>
      </tp>
      <tp>
        <v>13827</v>
        <stp/>
        <stp>##V3_BDHV12</stp>
        <stp>XOM US Equity</stp>
        <stp>C&amp;CE_AND_STI_DETAILED</stp>
        <stp>FQ1 2010</stp>
        <stp>FQ1 2010</stp>
        <stp>[FA1_m42y3cpi.xlsx]Bal Sheet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3"/>
      </tp>
      <tp t="s">
        <v>—</v>
        <stp/>
        <stp>##V3_BDHV12</stp>
        <stp>XOM US Equity</stp>
        <stp>TANG_BOOK_VAL_PER_SH</stp>
        <stp>FQ3 2012</stp>
        <stp>FQ3 2012</stp>
        <stp>[FA1_m42y3cpi.xlsx]Per Share!R27C19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7" s="5"/>
      </tp>
      <tp t="s">
        <v>—</v>
        <stp/>
        <stp>##V3_BDHV12</stp>
        <stp>XOM US Equity</stp>
        <stp>BS_DISCLOSED_INTANGIBLES</stp>
        <stp>FQ3 2017</stp>
        <stp>FQ3 2017</stp>
        <stp>[FA1_m42y3cpi.xlsx]Bal Sheet - Standardized!R30C39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0" s="3"/>
      </tp>
      <tp>
        <v>6860</v>
        <stp/>
        <stp>##V3_BDHV12</stp>
        <stp>XOM US Equity</stp>
        <stp>EARN_FOR_COMMON</stp>
        <stp>FQ2 2013</stp>
        <stp>FQ2 2013</stp>
        <stp>[FA1_m42y3cpi.xlsx]Income - Adjusted!R43C22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43" s="2"/>
      </tp>
      <tp>
        <v>7350</v>
        <stp/>
        <stp>##V3_BDHV12</stp>
        <stp>XOM US Equity</stp>
        <stp>EARN_FOR_COMMON</stp>
        <stp>FQ3 2010</stp>
        <stp>FQ3 2010</stp>
        <stp>[FA1_m42y3cpi.xlsx]Income - Adjusted!R43C11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43" s="2"/>
      </tp>
      <tp>
        <v>9100</v>
        <stp/>
        <stp>##V3_BDHV12</stp>
        <stp>XOM US Equity</stp>
        <stp>EARN_FOR_COMMON</stp>
        <stp>FQ1 2014</stp>
        <stp>FQ1 2014</stp>
        <stp>[FA1_m42y3cpi.xlsx]Income - Adjusted!R43C25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43" s="2"/>
      </tp>
      <tp>
        <v>21394</v>
        <stp/>
        <stp>##V3_BDHV12</stp>
        <stp>XOM US Equity</stp>
        <stp>BS_ACCT_NOTE_RCV</stp>
        <stp>FQ4 2016</stp>
        <stp>FQ4 2016</stp>
        <stp>[FA1_m42y3cpi.xlsx]Bal Sheet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3"/>
      </tp>
      <tp>
        <v>19875</v>
        <stp/>
        <stp>##V3_BDHV12</stp>
        <stp>XOM US Equity</stp>
        <stp>BS_ACCT_NOTE_RCV</stp>
        <stp>FQ4 2015</stp>
        <stp>FQ4 2015</stp>
        <stp>[FA1_m42y3cpi.xlsx]Bal Sheet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3"/>
      </tp>
      <tp>
        <v>135</v>
        <stp/>
        <stp>##V3_BDHV12</stp>
        <stp>XOM US Equity</stp>
        <stp>MIN_NONCONTROL_INTEREST_CREDITS</stp>
        <stp>FQ1 2015</stp>
        <stp>FQ1 2015</stp>
        <stp>[FA1_m42y3cpi.xlsx]Income - Adjusted!R39C29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39" s="2"/>
      </tp>
      <tp>
        <v>212</v>
        <stp/>
        <stp>##V3_BDHV12</stp>
        <stp>XOM US Equity</stp>
        <stp>MIN_NONCONTROL_INTEREST_CREDITS</stp>
        <stp>FQ4 2014</stp>
        <stp>FQ4 2014</stp>
        <stp>[FA1_m42y3cpi.xlsx]Income - Adjusted!R39C28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39" s="2"/>
      </tp>
      <tp t="s">
        <v>—</v>
        <stp/>
        <stp>##V3_BDHV12</stp>
        <stp>XOM US Equity</stp>
        <stp>BS_DEFERRED_TAX_LIABS_ST</stp>
        <stp>FQ3 2012</stp>
        <stp>FQ3 2012</stp>
        <stp>[FA1_m42y3cpi.xlsx]Bal Sheet - Standardized!R53C19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3" s="3"/>
      </tp>
      <tp t="s">
        <v>—</v>
        <stp/>
        <stp>##V3_BDHV12</stp>
        <stp>XOM US Equity</stp>
        <stp>BS_DEFERRED_TAX_LIABS_ST</stp>
        <stp>FQ1 2016</stp>
        <stp>FQ1 2016</stp>
        <stp>[FA1_m42y3cpi.xlsx]Bal Sheet - Standardized!R53C33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3" s="3"/>
      </tp>
      <tp t="s">
        <v>—</v>
        <stp/>
        <stp>##V3_BDHV12</stp>
        <stp>XOM US Equity</stp>
        <stp>BS_DISCLOSED_INTANGIBLES</stp>
        <stp>FQ1 2012</stp>
        <stp>FQ1 2012</stp>
        <stp>[FA1_m42y3cpi.xlsx]Bal Sheet - Standardized!R30C17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3"/>
      </tp>
      <tp t="s">
        <v>—</v>
        <stp/>
        <stp>##V3_BDHV12</stp>
        <stp>XOM US Equity</stp>
        <stp>BS_DEFERRED_TAX_LIABS_ST</stp>
        <stp>FQ3 2011</stp>
        <stp>FQ3 2011</stp>
        <stp>[FA1_m42y3cpi.xlsx]Bal Sheet - Standardized!R53C15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3" s="3"/>
      </tp>
      <tp t="s">
        <v>—</v>
        <stp/>
        <stp>##V3_BDHV12</stp>
        <stp>XOM US Equity</stp>
        <stp>BS_DISCLOSED_INTANGIBLES</stp>
        <stp>FQ3 2015</stp>
        <stp>FQ3 2015</stp>
        <stp>[FA1_m42y3cpi.xlsx]Bal Sheet - Standardized!R30C31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3"/>
      </tp>
      <tp>
        <v>-1472</v>
        <stp/>
        <stp>##V3_BDHV12</stp>
        <stp>XOM US Equity</stp>
        <stp>INCOME_LOSS_FROM_AFFILIATES</stp>
        <stp>FQ3 2017</stp>
        <stp>FQ3 2017</stp>
        <stp>[FA1_m42y3cpi.xlsx]Income - Adjusted!R22C39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22" s="2"/>
      </tp>
      <tp t="s">
        <v>—</v>
        <stp/>
        <stp>##V3_BDHV12</stp>
        <stp>XOM US Equity</stp>
        <stp>BS_DEFERRED_TAX_LIABS_ST</stp>
        <stp>FQ1 2017</stp>
        <stp>FQ1 2017</stp>
        <stp>[FA1_m42y3cpi.xlsx]Bal Sheet - Standardized!R53C37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3" s="3"/>
      </tp>
      <tp t="s">
        <v>—</v>
        <stp/>
        <stp>##V3_BDHV12</stp>
        <stp>XOM US Equity</stp>
        <stp>BS_DISCLOSED_INTANGIBLES</stp>
        <stp>FQ3 2016</stp>
        <stp>FQ3 2016</stp>
        <stp>[FA1_m42y3cpi.xlsx]Bal Sheet - Standardized!R30C35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3"/>
      </tp>
      <tp t="s">
        <v>—</v>
        <stp/>
        <stp>##V3_BDHV12</stp>
        <stp>XOM US Equity</stp>
        <stp>BS_DISCLOSED_INTANGIBLES</stp>
        <stp>FQ2 2014</stp>
        <stp>FQ2 2014</stp>
        <stp>[FA1_m42y3cpi.xlsx]Bal Sheet - Standardized!R30C26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3"/>
      </tp>
      <tp>
        <v>0</v>
        <stp/>
        <stp>##V3_BDHV12</stp>
        <stp>XOM US Equity</stp>
        <stp>BS_DISCLOSED_INTANGIBLES</stp>
        <stp>FQ4 2017</stp>
        <stp>FQ4 2017</stp>
        <stp>[FA1_m42y3cpi.xlsx]Bal Sheet - Standardized!R30C40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0" s="3"/>
      </tp>
      <tp t="s">
        <v>—</v>
        <stp/>
        <stp>##V3_BDHV12</stp>
        <stp>XOM US Equity</stp>
        <stp>BS_DISCLOSED_INTANGIBLES</stp>
        <stp>FQ2 2013</stp>
        <stp>FQ2 2013</stp>
        <stp>[FA1_m42y3cpi.xlsx]Bal Sheet - Standardized!R30C22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3"/>
      </tp>
      <tp t="s">
        <v>—</v>
        <stp/>
        <stp>##V3_BDHV12</stp>
        <stp>XOM US Equity</stp>
        <stp>BS_DISCLOSED_INTANGIBLES</stp>
        <stp>FQ1 2011</stp>
        <stp>FQ1 2011</stp>
        <stp>[FA1_m42y3cpi.xlsx]Bal Sheet - Standardized!R30C13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3"/>
      </tp>
      <tp t="s">
        <v>—</v>
        <stp/>
        <stp>##V3_BDHV12</stp>
        <stp>XOM US Equity</stp>
        <stp>BS_DEFERRED_TAX_LIABS_ST</stp>
        <stp>FQ3 2010</stp>
        <stp>FQ3 2010</stp>
        <stp>[FA1_m42y3cpi.xlsx]Bal Sheet - Standardized!R53C11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3" s="3"/>
      </tp>
      <tp>
        <v>2889</v>
        <stp/>
        <stp>##V3_BDHV12</stp>
        <stp>XOM US Equity</stp>
        <stp>NI_INCLUDING_MINORITY_INT_RATIO</stp>
        <stp>FQ3 2016</stp>
        <stp>FQ3 2016</stp>
        <stp>[FA1_m42y3cpi.xlsx]Income - Adjusted!R38C35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38" s="2"/>
      </tp>
      <tp>
        <v>8346</v>
        <stp/>
        <stp>##V3_BDHV12</stp>
        <stp>XOM US Equity</stp>
        <stp>NI_INCLUDING_MINORITY_INT_RATIO</stp>
        <stp>FQ3 2014</stp>
        <stp>FQ3 2014</stp>
        <stp>[FA1_m42y3cpi.xlsx]Income - Adjusted!R38C27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38" s="2"/>
      </tp>
      <tp>
        <v>4727</v>
        <stp/>
        <stp>##V3_BDHV12</stp>
        <stp>XOM US Equity</stp>
        <stp>BS_SH_OUT</stp>
        <stp>FQ4 2009</stp>
        <stp>FQ4 2009</stp>
        <stp>[FA1_m42y3cpi.xlsx]Per Share!R6C8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5"/>
      </tp>
      <tp>
        <v>4702</v>
        <stp/>
        <stp>##V3_BDHV12</stp>
        <stp>XOM US Equity</stp>
        <stp>IS_INC_BEF_XO_ITEM</stp>
        <stp>FQ1 2009</stp>
        <stp>FQ1 2009</stp>
        <stp>[FA1_m42y3cpi.xlsx]Income - Adjusted!R34C5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2"/>
      </tp>
      <tp>
        <v>0</v>
        <stp/>
        <stp>##V3_BDHV12</stp>
        <stp>XOM US Equity</stp>
        <stp>IS_DISCONTINUED_OPERATIONS</stp>
        <stp>FQ3 2009</stp>
        <stp>FQ3 2009</stp>
        <stp>[FA1_m42y3cpi.xlsx]Income - Adjusted!R36C7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2"/>
      </tp>
      <tp t="s">
        <v>—</v>
        <stp/>
        <stp>##V3_BDHV12</stp>
        <stp>XOM US Equity</stp>
        <stp>IS_DISCONTINUED_OPERATIONS</stp>
        <stp>FQ3 2008</stp>
        <stp>FQ3 2008</stp>
        <stp>[FA1_m42y3cpi.xlsx]Income - Adjusted!R36C3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2"/>
      </tp>
      <tp>
        <v>12071</v>
        <stp/>
        <stp>##V3_BDHV12</stp>
        <stp>XOM US Equity</stp>
        <stp>EBITDA</stp>
        <stp>FQ4 2008</stp>
        <stp>FQ4 2008</stp>
        <stp>[FA1_m42y3cpi.xlsx]Cash Flow - Standardized!R59C4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59" s="4"/>
      </tp>
      <tp>
        <v>0.70020000000000004</v>
        <stp/>
        <stp>##V3_BDHV12</stp>
        <stp>XOM US Equity</stp>
        <stp>FREE_CASH_FLOW_PER_SH</stp>
        <stp>FQ4 2012</stp>
        <stp>FQ4 2012</stp>
        <stp>[FA1_m42y3cpi.xlsx]Cash Flow - Standardized!R66C20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6" s="4"/>
      </tp>
      <tp>
        <v>1.0828</v>
        <stp/>
        <stp>##V3_BDHV12</stp>
        <stp>XOM US Equity</stp>
        <stp>FREE_CASH_FLOW_PER_SH</stp>
        <stp>FQ4 2010</stp>
        <stp>FQ4 2010</stp>
        <stp>[FA1_m42y3cpi.xlsx]Cash Flow - Standardized!R66C12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6" s="4"/>
      </tp>
      <tp>
        <v>24367</v>
        <stp/>
        <stp>##V3_BDHV12</stp>
        <stp>XOM US Equity</stp>
        <stp>EBITDA</stp>
        <stp>FQ3 2008</stp>
        <stp>FQ3 2008</stp>
        <stp>[FA1_m42y3cpi.xlsx]Cash Flow - Standardized!R59C3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59" s="4"/>
      </tp>
      <tp>
        <v>0.41</v>
        <stp/>
        <stp>##V3_BDHV12</stp>
        <stp>XOM US Equity</stp>
        <stp>IS_EARN_BEF_XO_ITEMS_PER_SH</stp>
        <stp>FQ2 2016</stp>
        <stp>FQ2 2016</stp>
        <stp>[FA1_m42y3cpi.xlsx]Per Share!R15C34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5" s="5"/>
      </tp>
      <tp>
        <v>2.0499999999999998</v>
        <stp/>
        <stp>##V3_BDHV12</stp>
        <stp>XOM US Equity</stp>
        <stp>IS_EARN_BEF_XO_ITEMS_PER_SH</stp>
        <stp>FQ2 2014</stp>
        <stp>FQ2 2014</stp>
        <stp>[FA1_m42y3cpi.xlsx]Per Share!R15C26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5" s="5"/>
      </tp>
      <tp>
        <v>2.12</v>
        <stp/>
        <stp>##V3_BDHV12</stp>
        <stp>XOM US Equity</stp>
        <stp>IS_EARN_BEF_XO_ITEMS_PER_SH</stp>
        <stp>FQ1 2013</stp>
        <stp>FQ1 2013</stp>
        <stp>[FA1_m42y3cpi.xlsx]Per Share!R15C21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5" s="5"/>
      </tp>
      <tp>
        <v>2.14</v>
        <stp/>
        <stp>##V3_BDHV12</stp>
        <stp>XOM US Equity</stp>
        <stp>IS_EARN_BEF_XO_ITEMS_PER_SH</stp>
        <stp>FQ1 2011</stp>
        <stp>FQ1 2011</stp>
        <stp>[FA1_m42y3cpi.xlsx]Per Share!R15C13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5" s="5"/>
      </tp>
      <tp>
        <v>2.2000000000000002</v>
        <stp/>
        <stp>##V3_BDHV12</stp>
        <stp>XOM US Equity</stp>
        <stp>IS_EARN_BEF_XO_ITEMS_PER_SH</stp>
        <stp>FQ4 2012</stp>
        <stp>FQ4 2012</stp>
        <stp>[FA1_m42y3cpi.xlsx]Per Share!R15C20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5" s="5"/>
      </tp>
      <tp>
        <v>1.8599999999999999</v>
        <stp/>
        <stp>##V3_BDHV12</stp>
        <stp>XOM US Equity</stp>
        <stp>IS_EARN_BEF_XO_ITEMS_PER_SH</stp>
        <stp>FQ4 2010</stp>
        <stp>FQ4 2010</stp>
        <stp>[FA1_m42y3cpi.xlsx]Per Share!R15C12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5" s="5"/>
      </tp>
      <tp>
        <v>2832.4803000000002</v>
        <stp/>
        <stp>##V3_BDHV12</stp>
        <stp>XOM US Equity</stp>
        <stp>CF_FREE_CASH_FLOW_FIRM</stp>
        <stp>FQ3 2015</stp>
        <stp>FQ3 2015</stp>
        <stp>[FA1_m42y3cpi.xlsx]Cash Flow - Standardized!R64C31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64" s="4"/>
      </tp>
      <tp>
        <v>1735.0952</v>
        <stp/>
        <stp>##V3_BDHV12</stp>
        <stp>XOM US Equity</stp>
        <stp>CF_FREE_CASH_FLOW_FIRM</stp>
        <stp>FQ2 2015</stp>
        <stp>FQ2 2015</stp>
        <stp>[FA1_m42y3cpi.xlsx]Cash Flow - Standardized!R64C30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64" s="4"/>
      </tp>
      <tp>
        <v>3.6223999999999998</v>
        <stp/>
        <stp>##V3_BDHV12</stp>
        <stp>XOM US Equity</stp>
        <stp>EBITDA_PER_SH</stp>
        <stp>FQ4 2012</stp>
        <stp>FQ4 2012</stp>
        <stp>[FA1_m42y3cpi.xlsx]Per Share!R12C20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2" s="5"/>
      </tp>
      <tp>
        <v>3.2465000000000002</v>
        <stp/>
        <stp>##V3_BDHV12</stp>
        <stp>XOM US Equity</stp>
        <stp>EBITDA_PER_SH</stp>
        <stp>FQ4 2011</stp>
        <stp>FQ4 2011</stp>
        <stp>[FA1_m42y3cpi.xlsx]Per Share!R12C16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2" s="5"/>
      </tp>
      <tp>
        <v>3.1295000000000002</v>
        <stp/>
        <stp>##V3_BDHV12</stp>
        <stp>XOM US Equity</stp>
        <stp>EBITDA_PER_SH</stp>
        <stp>FQ4 2010</stp>
        <stp>FQ4 2010</stp>
        <stp>[FA1_m42y3cpi.xlsx]Per Share!R12C12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2" s="5"/>
      </tp>
      <tp>
        <v>3.2336999999999998</v>
        <stp/>
        <stp>##V3_BDHV12</stp>
        <stp>XOM US Equity</stp>
        <stp>EBITDA_PER_SH</stp>
        <stp>FQ4 2013</stp>
        <stp>FQ4 2013</stp>
        <stp>[FA1_m42y3cpi.xlsx]Per Share!R12C24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2" s="5"/>
      </tp>
      <tp>
        <v>1.8365</v>
        <stp/>
        <stp>##V3_BDHV12</stp>
        <stp>XOM US Equity</stp>
        <stp>EBITDA_PER_SH</stp>
        <stp>FQ4 2017</stp>
        <stp>FQ4 2017</stp>
        <stp>[FA1_m42y3cpi.xlsx]Per Share!R12C40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2" s="5"/>
      </tp>
      <tp>
        <v>1.506</v>
        <stp/>
        <stp>##V3_BDHV12</stp>
        <stp>XOM US Equity</stp>
        <stp>EBITDA_PER_SH</stp>
        <stp>FQ4 2016</stp>
        <stp>FQ4 2016</stp>
        <stp>[FA1_m42y3cpi.xlsx]Per Share!R12C36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2" s="5"/>
      </tp>
      <tp>
        <v>1.2735000000000001</v>
        <stp/>
        <stp>##V3_BDHV12</stp>
        <stp>XOM US Equity</stp>
        <stp>EBITDA_PER_SH</stp>
        <stp>FQ4 2015</stp>
        <stp>FQ4 2015</stp>
        <stp>[FA1_m42y3cpi.xlsx]Per Share!R12C32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2" s="5"/>
      </tp>
      <tp>
        <v>2.3517999999999999</v>
        <stp/>
        <stp>##V3_BDHV12</stp>
        <stp>XOM US Equity</stp>
        <stp>EBITDA_PER_SH</stp>
        <stp>FQ4 2014</stp>
        <stp>FQ4 2014</stp>
        <stp>[FA1_m42y3cpi.xlsx]Per Share!R12C28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2" s="5"/>
      </tp>
      <tp>
        <v>2.1547999999999998</v>
        <stp/>
        <stp>##V3_BDHV12</stp>
        <stp>XOM US Equity</stp>
        <stp>EBITDA_PER_SH</stp>
        <stp>FQ2 2018</stp>
        <stp>FQ2 2018</stp>
        <stp>[FA1_m42y3cpi.xlsx]Per Share!R12C42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2" s="5"/>
      </tp>
      <tp>
        <v>3.0278999999999998</v>
        <stp/>
        <stp>##V3_BDHV12</stp>
        <stp>XOM US Equity</stp>
        <stp>EBITDA_PER_SH</stp>
        <stp>FQ2 2014</stp>
        <stp>FQ2 2014</stp>
        <stp>[FA1_m42y3cpi.xlsx]Per Share!R12C26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2" s="5"/>
      </tp>
      <tp>
        <v>2.0802</v>
        <stp/>
        <stp>##V3_BDHV12</stp>
        <stp>XOM US Equity</stp>
        <stp>EBITDA_PER_SH</stp>
        <stp>FQ2 2015</stp>
        <stp>FQ2 2015</stp>
        <stp>[FA1_m42y3cpi.xlsx]Per Share!R12C30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2" s="5"/>
      </tp>
      <tp>
        <v>1.6191</v>
        <stp/>
        <stp>##V3_BDHV12</stp>
        <stp>XOM US Equity</stp>
        <stp>EBITDA_PER_SH</stp>
        <stp>FQ2 2017</stp>
        <stp>FQ2 2017</stp>
        <stp>[FA1_m42y3cpi.xlsx]Per Share!R12C38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2" s="5"/>
      </tp>
      <tp>
        <v>1.4367000000000001</v>
        <stp/>
        <stp>##V3_BDHV12</stp>
        <stp>XOM US Equity</stp>
        <stp>EBITDA_PER_SH</stp>
        <stp>FQ2 2016</stp>
        <stp>FQ2 2016</stp>
        <stp>[FA1_m42y3cpi.xlsx]Per Share!R12C34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2" s="5"/>
      </tp>
      <tp>
        <v>3.3338000000000001</v>
        <stp/>
        <stp>##V3_BDHV12</stp>
        <stp>XOM US Equity</stp>
        <stp>EBITDA_PER_SH</stp>
        <stp>FQ2 2012</stp>
        <stp>FQ2 2012</stp>
        <stp>[FA1_m42y3cpi.xlsx]Per Share!R12C18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2" s="5"/>
      </tp>
      <tp>
        <v>3.7612999999999999</v>
        <stp/>
        <stp>##V3_BDHV12</stp>
        <stp>XOM US Equity</stp>
        <stp>EBITDA_PER_SH</stp>
        <stp>FQ2 2011</stp>
        <stp>FQ2 2011</stp>
        <stp>[FA1_m42y3cpi.xlsx]Per Share!R12C14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2" s="5"/>
      </tp>
      <tp>
        <v>3.0773999999999999</v>
        <stp/>
        <stp>##V3_BDHV12</stp>
        <stp>XOM US Equity</stp>
        <stp>EBITDA_PER_SH</stp>
        <stp>FQ2 2013</stp>
        <stp>FQ2 2013</stp>
        <stp>[FA1_m42y3cpi.xlsx]Per Share!R12C22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2" s="5"/>
      </tp>
      <tp>
        <v>2.8242000000000003</v>
        <stp/>
        <stp>##V3_BDHV12</stp>
        <stp>XOM US Equity</stp>
        <stp>EBITDA_PER_SH</stp>
        <stp>FQ2 2010</stp>
        <stp>FQ2 2010</stp>
        <stp>[FA1_m42y3cpi.xlsx]Per Share!R12C10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2" s="5"/>
      </tp>
      <tp>
        <v>3.266</v>
        <stp/>
        <stp>##V3_BDHV12</stp>
        <stp>XOM US Equity</stp>
        <stp>EBITDA_PER_SH</stp>
        <stp>FQ3 2014</stp>
        <stp>FQ3 2014</stp>
        <stp>[FA1_m42y3cpi.xlsx]Per Share!R12C27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2" s="5"/>
      </tp>
      <tp>
        <v>2.0773000000000001</v>
        <stp/>
        <stp>##V3_BDHV12</stp>
        <stp>XOM US Equity</stp>
        <stp>EBITDA_PER_SH</stp>
        <stp>FQ3 2015</stp>
        <stp>FQ3 2015</stp>
        <stp>[FA1_m42y3cpi.xlsx]Per Share!R12C31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2" s="5"/>
      </tp>
      <tp>
        <v>1.4426000000000001</v>
        <stp/>
        <stp>##V3_BDHV12</stp>
        <stp>XOM US Equity</stp>
        <stp>EBITDA_PER_SH</stp>
        <stp>FQ3 2016</stp>
        <stp>FQ3 2016</stp>
        <stp>[FA1_m42y3cpi.xlsx]Per Share!R12C35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2" s="5"/>
      </tp>
      <tp>
        <v>2.0659999999999998</v>
        <stp/>
        <stp>##V3_BDHV12</stp>
        <stp>XOM US Equity</stp>
        <stp>EBITDA_PER_SH</stp>
        <stp>FQ3 2017</stp>
        <stp>FQ3 2017</stp>
        <stp>[FA1_m42y3cpi.xlsx]Per Share!R12C39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2" s="5"/>
      </tp>
      <tp>
        <v>3.7555000000000001</v>
        <stp/>
        <stp>##V3_BDHV12</stp>
        <stp>XOM US Equity</stp>
        <stp>EBITDA_PER_SH</stp>
        <stp>FQ3 2012</stp>
        <stp>FQ3 2012</stp>
        <stp>[FA1_m42y3cpi.xlsx]Per Share!R12C19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2" s="5"/>
      </tp>
      <tp>
        <v>2.7208000000000001</v>
        <stp/>
        <stp>##V3_BDHV12</stp>
        <stp>XOM US Equity</stp>
        <stp>EBITDA_PER_SH</stp>
        <stp>FQ3 2010</stp>
        <stp>FQ3 2010</stp>
        <stp>[FA1_m42y3cpi.xlsx]Per Share!R12C11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2" s="5"/>
      </tp>
      <tp>
        <v>3.3096999999999999</v>
        <stp/>
        <stp>##V3_BDHV12</stp>
        <stp>XOM US Equity</stp>
        <stp>EBITDA_PER_SH</stp>
        <stp>FQ3 2013</stp>
        <stp>FQ3 2013</stp>
        <stp>[FA1_m42y3cpi.xlsx]Per Share!R12C23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2" s="5"/>
      </tp>
      <tp>
        <v>3.6762000000000001</v>
        <stp/>
        <stp>##V3_BDHV12</stp>
        <stp>XOM US Equity</stp>
        <stp>EBITDA_PER_SH</stp>
        <stp>FQ3 2011</stp>
        <stp>FQ3 2011</stp>
        <stp>[FA1_m42y3cpi.xlsx]Per Share!R12C15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2" s="5"/>
      </tp>
      <tp>
        <v>7426.9827999999998</v>
        <stp/>
        <stp>##V3_BDHV12</stp>
        <stp>XOM US Equity</stp>
        <stp>CF_FREE_CASH_FLOW_FIRM</stp>
        <stp>FQ3 2011</stp>
        <stp>FQ3 2011</stp>
        <stp>[FA1_m42y3cpi.xlsx]Cash Flow - Standardized!R64C15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64" s="4"/>
      </tp>
      <tp>
        <v>5103.3392000000003</v>
        <stp/>
        <stp>##V3_BDHV12</stp>
        <stp>XOM US Equity</stp>
        <stp>CF_FREE_CASH_FLOW_FIRM</stp>
        <stp>FQ2 2011</stp>
        <stp>FQ2 2011</stp>
        <stp>[FA1_m42y3cpi.xlsx]Cash Flow - Standardized!R64C14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64" s="4"/>
      </tp>
      <tp>
        <v>2.2191999999999998</v>
        <stp/>
        <stp>##V3_BDHV12</stp>
        <stp>XOM US Equity</stp>
        <stp>EBITDA_PER_SH</stp>
        <stp>FQ1 2018</stp>
        <stp>FQ1 2018</stp>
        <stp>[FA1_m42y3cpi.xlsx]Per Share!R12C41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2" s="5"/>
      </tp>
      <tp>
        <v>1.1896</v>
        <stp/>
        <stp>##V3_BDHV12</stp>
        <stp>XOM US Equity</stp>
        <stp>EBITDA_PER_SH</stp>
        <stp>FQ1 2016</stp>
        <stp>FQ1 2016</stp>
        <stp>[FA1_m42y3cpi.xlsx]Per Share!R12C33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2" s="5"/>
      </tp>
      <tp>
        <v>1.9858</v>
        <stp/>
        <stp>##V3_BDHV12</stp>
        <stp>XOM US Equity</stp>
        <stp>EBITDA_PER_SH</stp>
        <stp>FQ1 2017</stp>
        <stp>FQ1 2017</stp>
        <stp>[FA1_m42y3cpi.xlsx]Per Share!R12C37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2" s="5"/>
      </tp>
      <tp>
        <v>1.9384999999999999</v>
        <stp/>
        <stp>##V3_BDHV12</stp>
        <stp>XOM US Equity</stp>
        <stp>EBITDA_PER_SH</stp>
        <stp>FQ1 2015</stp>
        <stp>FQ1 2015</stp>
        <stp>[FA1_m42y3cpi.xlsx]Per Share!R12C29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2" s="5"/>
      </tp>
      <tp>
        <v>3.3437999999999999</v>
        <stp/>
        <stp>##V3_BDHV12</stp>
        <stp>XOM US Equity</stp>
        <stp>EBITDA_PER_SH</stp>
        <stp>FQ1 2014</stp>
        <stp>FQ1 2014</stp>
        <stp>[FA1_m42y3cpi.xlsx]Per Share!R12C25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2" s="5"/>
      </tp>
      <tp>
        <v>3.3875000000000002</v>
        <stp/>
        <stp>##V3_BDHV12</stp>
        <stp>XOM US Equity</stp>
        <stp>EBITDA_PER_SH</stp>
        <stp>FQ1 2013</stp>
        <stp>FQ1 2013</stp>
        <stp>[FA1_m42y3cpi.xlsx]Per Share!R12C21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2" s="5"/>
      </tp>
      <tp>
        <v>3.6175999999999999</v>
        <stp/>
        <stp>##V3_BDHV12</stp>
        <stp>XOM US Equity</stp>
        <stp>EBITDA_PER_SH</stp>
        <stp>FQ1 2011</stp>
        <stp>FQ1 2011</stp>
        <stp>[FA1_m42y3cpi.xlsx]Per Share!R12C13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2" s="5"/>
      </tp>
      <tp>
        <v>3.5207000000000002</v>
        <stp/>
        <stp>##V3_BDHV12</stp>
        <stp>XOM US Equity</stp>
        <stp>EBITDA_PER_SH</stp>
        <stp>FQ1 2012</stp>
        <stp>FQ1 2012</stp>
        <stp>[FA1_m42y3cpi.xlsx]Per Share!R12C17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2" s="5"/>
      </tp>
      <tp>
        <v>0.92</v>
        <stp/>
        <stp>##V3_BDHV12</stp>
        <stp>XOM US Equity</stp>
        <stp>IS_DIL_EPS_BEF_XO</stp>
        <stp>FQ2 2018</stp>
        <stp>FQ2 2018</stp>
        <stp>[FA1_m42y3cpi.xlsx]Per Share!R18C42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8" s="5"/>
      </tp>
      <tp>
        <v>3.41</v>
        <stp/>
        <stp>##V3_BDHV12</stp>
        <stp>XOM US Equity</stp>
        <stp>IS_DIL_EPS_BEF_XO</stp>
        <stp>FQ2 2012</stp>
        <stp>FQ2 2012</stp>
        <stp>[FA1_m42y3cpi.xlsx]Per Share!R18C18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8" s="5"/>
      </tp>
      <tp>
        <v>0.93</v>
        <stp/>
        <stp>##V3_BDHV12</stp>
        <stp>XOM US Equity</stp>
        <stp>IS_DIL_EPS_CONT_OPS</stp>
        <stp>FQ3 2017</stp>
        <stp>FQ3 2017</stp>
        <stp>[FA1_m42y3cpi.xlsx]Income - Adjusted!R57C39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7" s="2"/>
      </tp>
      <tp>
        <v>-1525</v>
        <stp/>
        <stp>##V3_BDHV12</stp>
        <stp>XOM US Equity</stp>
        <stp>IS_NONOP_INCOME_LOSS</stp>
        <stp>FQ1 2016</stp>
        <stp>FQ1 2016</stp>
        <stp>[FA1_m42y3cpi.xlsx]Income - Adjusted!R17C33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7" s="2"/>
      </tp>
      <tp>
        <v>-4757</v>
        <stp/>
        <stp>##V3_BDHV12</stp>
        <stp>XOM US Equity</stp>
        <stp>IS_NONOP_INCOME_LOSS</stp>
        <stp>FQ1 2012</stp>
        <stp>FQ1 2012</stp>
        <stp>[FA1_m42y3cpi.xlsx]Income - Adjusted!R17C17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7" s="2"/>
      </tp>
      <tp>
        <v>-2668</v>
        <stp/>
        <stp>##V3_BDHV12</stp>
        <stp>XOM US Equity</stp>
        <stp>IS_NONOP_INCOME_LOSS</stp>
        <stp>FQ2 2015</stp>
        <stp>FQ2 2015</stp>
        <stp>[FA1_m42y3cpi.xlsx]Income - Adjusted!R17C30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7" s="2"/>
      </tp>
      <tp>
        <v>-4047</v>
        <stp/>
        <stp>##V3_BDHV12</stp>
        <stp>XOM US Equity</stp>
        <stp>IS_NONOP_INCOME_LOSS</stp>
        <stp>FQ2 2011</stp>
        <stp>FQ2 2011</stp>
        <stp>[FA1_m42y3cpi.xlsx]Income - Adjusted!R17C14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7" s="2"/>
      </tp>
      <tp>
        <v>-5167</v>
        <stp/>
        <stp>##V3_BDHV12</stp>
        <stp>XOM US Equity</stp>
        <stp>CF_CASH_FROM_INV_ACT</stp>
        <stp>FQ1 2010</stp>
        <stp>FQ1 2010</stp>
        <stp>[FA1_m42y3cpi.xlsx]Cash Flow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4"/>
      </tp>
      <tp>
        <v>-6422</v>
        <stp/>
        <stp>##V3_BDHV12</stp>
        <stp>XOM US Equity</stp>
        <stp>CF_CASH_FROM_INV_ACT</stp>
        <stp>FQ4 2009</stp>
        <stp>FQ4 2009</stp>
        <stp>[FA1_m42y3cpi.xlsx]Cash Flow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4"/>
      </tp>
      <tp>
        <v>0</v>
        <stp/>
        <stp>##V3_BDHV12</stp>
        <stp>XOM US Equity</stp>
        <stp>IS_OTHER_OPER_INC</stp>
        <stp>FQ2 2017</stp>
        <stp>FQ2 2017</stp>
        <stp>[FA1_m42y3cpi.xlsx]Income - Adjusted!R12C38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2" s="2"/>
      </tp>
      <tp>
        <v>-2627</v>
        <stp/>
        <stp>##V3_BDHV12</stp>
        <stp>XOM US Equity</stp>
        <stp>CF_CASH_FROM_INV_ACT</stp>
        <stp>FQ4 2008</stp>
        <stp>FQ4 2008</stp>
        <stp>[FA1_m42y3cpi.xlsx]Cash Flow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4"/>
      </tp>
      <tp>
        <v>-4104</v>
        <stp/>
        <stp>##V3_BDHV12</stp>
        <stp>XOM US Equity</stp>
        <stp>CF_CASH_FROM_INV_ACT</stp>
        <stp>FQ3 2008</stp>
        <stp>FQ3 2008</stp>
        <stp>[FA1_m42y3cpi.xlsx]Cash Flow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4"/>
      </tp>
      <tp>
        <v>-4973</v>
        <stp/>
        <stp>##V3_BDHV12</stp>
        <stp>XOM US Equity</stp>
        <stp>CF_CASH_FROM_INV_ACT</stp>
        <stp>FQ2 2009</stp>
        <stp>FQ2 2009</stp>
        <stp>[FA1_m42y3cpi.xlsx]Cash Flow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4"/>
      </tp>
      <tp>
        <v>-6284</v>
        <stp/>
        <stp>##V3_BDHV12</stp>
        <stp>XOM US Equity</stp>
        <stp>CF_CASH_FROM_INV_ACT</stp>
        <stp>FQ3 2009</stp>
        <stp>FQ3 2009</stp>
        <stp>[FA1_m42y3cpi.xlsx]Cash Flow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4"/>
      </tp>
      <tp>
        <v>-4740</v>
        <stp/>
        <stp>##V3_BDHV12</stp>
        <stp>XOM US Equity</stp>
        <stp>CF_CASH_FROM_INV_ACT</stp>
        <stp>FQ1 2009</stp>
        <stp>FQ1 2009</stp>
        <stp>[FA1_m42y3cpi.xlsx]Cash Flow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4"/>
      </tp>
      <tp>
        <v>31.3248</v>
        <stp/>
        <stp>##V3_BDHV12</stp>
        <stp>XOM US Equity</stp>
        <stp>PX_TO_FREE_CASH_FLOW</stp>
        <stp>FQ1 2017</stp>
        <stp>FQ1 2017</stp>
        <stp>[FA1_m42y3cpi.xlsx]Cash Flow - Standardized!R67C37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7" s="4"/>
      </tp>
      <tp t="s">
        <v>—</v>
        <stp/>
        <stp>##V3_BDHV12</stp>
        <stp>XOM US Equity</stp>
        <stp>TANG_BOOK_VAL_PER_SH</stp>
        <stp>FQ2 2018</stp>
        <stp>FQ2 2018</stp>
        <stp>[FA1_m42y3cpi.xlsx]Per Share!R27C42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7" s="5"/>
      </tp>
      <tp t="s">
        <v>—</v>
        <stp/>
        <stp>##V3_BDHV12</stp>
        <stp>XOM US Equity</stp>
        <stp>TANG_BOOK_VAL_PER_SH</stp>
        <stp>FQ2 2012</stp>
        <stp>FQ2 2012</stp>
        <stp>[FA1_m42y3cpi.xlsx]Per Share!R27C18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7" s="5"/>
      </tp>
      <tp>
        <v>1.33</v>
        <stp/>
        <stp>##V3_BDHV12</stp>
        <stp>XOM US Equity</stp>
        <stp>IS_EARN_BEF_XO_ITEMS_PER_SH</stp>
        <stp>FQ1 2010</stp>
        <stp>FQ1 2010</stp>
        <stp>[FA1_m42y3cpi.xlsx]Income - Adjusted!R51C9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1" s="2"/>
      </tp>
      <tp t="s">
        <v>—</v>
        <stp/>
        <stp>##V3_BDHV12</stp>
        <stp>XOM US Equity</stp>
        <stp>BS_DEFERRED_TAX_LIABS_ST</stp>
        <stp>FQ1 2015</stp>
        <stp>FQ1 2015</stp>
        <stp>[FA1_m42y3cpi.xlsx]Bal Sheet - Standardized!R53C29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3" s="3"/>
      </tp>
      <tp t="s">
        <v>—</v>
        <stp/>
        <stp>##V3_BDHV12</stp>
        <stp>XOM US Equity</stp>
        <stp>BS_DISCLOSED_INTANGIBLES</stp>
        <stp>FQ2 2017</stp>
        <stp>FQ2 2017</stp>
        <stp>[FA1_m42y3cpi.xlsx]Bal Sheet - Standardized!R30C38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0" s="3"/>
      </tp>
      <tp t="s">
        <v>—</v>
        <stp/>
        <stp>##V3_BDHV12</stp>
        <stp>XOM US Equity</stp>
        <stp>CF_OTHER_FINANCING_ACT_EXCL_FX</stp>
        <stp>FQ4 2008</stp>
        <stp>FQ4 2008</stp>
        <stp>[FA1_m42y3cpi.xlsx]Cash Flow - Standardized!R47C4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4"/>
      </tp>
      <tp t="s">
        <v>—</v>
        <stp/>
        <stp>##V3_BDHV12</stp>
        <stp>XOM US Equity</stp>
        <stp>CF_OTHER_FINANCING_ACT_EXCL_FX</stp>
        <stp>FQ3 2008</stp>
        <stp>FQ3 2008</stp>
        <stp>[FA1_m42y3cpi.xlsx]Cash Flow - Standardized!R47C3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4"/>
      </tp>
      <tp>
        <v>7560</v>
        <stp/>
        <stp>##V3_BDHV12</stp>
        <stp>XOM US Equity</stp>
        <stp>EARN_FOR_COMMON</stp>
        <stp>FQ2 2010</stp>
        <stp>FQ2 2010</stp>
        <stp>[FA1_m42y3cpi.xlsx]Income - Adjusted!R43C10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43" s="2"/>
      </tp>
      <tp>
        <v>7870</v>
        <stp/>
        <stp>##V3_BDHV12</stp>
        <stp>XOM US Equity</stp>
        <stp>EARN_FOR_COMMON</stp>
        <stp>FQ3 2013</stp>
        <stp>FQ3 2013</stp>
        <stp>[FA1_m42y3cpi.xlsx]Income - Adjusted!R43C23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43" s="2"/>
      </tp>
      <tp>
        <v>4010</v>
        <stp/>
        <stp>##V3_BDHV12</stp>
        <stp>XOM US Equity</stp>
        <stp>EARN_FOR_COMMON</stp>
        <stp>FQ1 2017</stp>
        <stp>FQ1 2017</stp>
        <stp>[FA1_m42y3cpi.xlsx]Income - Adjusted!R43C37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43" s="2"/>
      </tp>
      <tp>
        <v>1680</v>
        <stp/>
        <stp>##V3_BDHV12</stp>
        <stp>XOM US Equity</stp>
        <stp>EARN_FOR_COMMON</stp>
        <stp>FQ4 2016</stp>
        <stp>FQ4 2016</stp>
        <stp>[FA1_m42y3cpi.xlsx]Income - Adjusted!R43C36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43" s="2"/>
      </tp>
      <tp>
        <v>34987</v>
        <stp/>
        <stp>##V3_BDHV12</stp>
        <stp>XOM US Equity</stp>
        <stp>BS_ACCT_NOTE_RCV</stp>
        <stp>FQ4 2012</stp>
        <stp>FQ4 2012</stp>
        <stp>[FA1_m42y3cpi.xlsx]Bal Sheet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3"/>
      </tp>
      <tp>
        <v>33152</v>
        <stp/>
        <stp>##V3_BDHV12</stp>
        <stp>XOM US Equity</stp>
        <stp>BS_ACCT_NOTE_RCV</stp>
        <stp>FQ4 2013</stp>
        <stp>FQ4 2013</stp>
        <stp>[FA1_m42y3cpi.xlsx]Bal Sheet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3"/>
      </tp>
      <tp>
        <v>-56</v>
        <stp/>
        <stp>##V3_BDHV12</stp>
        <stp>XOM US Equity</stp>
        <stp>CF_OTHER_FINANCING_ACT_EXCL_FX</stp>
        <stp>FQ2 2009</stp>
        <stp>FQ2 2009</stp>
        <stp>[FA1_m42y3cpi.xlsx]Cash Flow - Standardized!R47C6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4"/>
      </tp>
      <tp>
        <v>-107</v>
        <stp/>
        <stp>##V3_BDHV12</stp>
        <stp>XOM US Equity</stp>
        <stp>CF_OTHER_FINANCING_ACT_EXCL_FX</stp>
        <stp>FQ3 2009</stp>
        <stp>FQ3 2009</stp>
        <stp>[FA1_m42y3cpi.xlsx]Cash Flow - Standardized!R47C7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4"/>
      </tp>
      <tp>
        <v>-201</v>
        <stp/>
        <stp>##V3_BDHV12</stp>
        <stp>XOM US Equity</stp>
        <stp>CF_OTHER_FINANCING_ACT_EXCL_FX</stp>
        <stp>FQ1 2009</stp>
        <stp>FQ1 2009</stp>
        <stp>[FA1_m42y3cpi.xlsx]Cash Flow - Standardized!R47C5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4"/>
      </tp>
      <tp t="s">
        <v>—</v>
        <stp/>
        <stp>##V3_BDHV12</stp>
        <stp>XOM US Equity</stp>
        <stp>BS_DEFERRED_TAX_LIABS_ST</stp>
        <stp>FQ2 2012</stp>
        <stp>FQ2 2012</stp>
        <stp>[FA1_m42y3cpi.xlsx]Bal Sheet - Standardized!R53C18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3" s="3"/>
      </tp>
      <tp>
        <v>-84</v>
        <stp/>
        <stp>##V3_BDHV12</stp>
        <stp>XOM US Equity</stp>
        <stp>CF_OTHER_FINANCING_ACT_EXCL_FX</stp>
        <stp>FQ1 2010</stp>
        <stp>FQ1 2010</stp>
        <stp>[FA1_m42y3cpi.xlsx]Cash Flow - Standardized!R47C9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4"/>
      </tp>
      <tp t="s">
        <v>—</v>
        <stp/>
        <stp>##V3_BDHV12</stp>
        <stp>XOM US Equity</stp>
        <stp>BS_DEFERRED_TAX_LIABS_ST</stp>
        <stp>FQ2 2011</stp>
        <stp>FQ2 2011</stp>
        <stp>[FA1_m42y3cpi.xlsx]Bal Sheet - Standardized!R53C14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3" s="3"/>
      </tp>
      <tp t="s">
        <v>—</v>
        <stp/>
        <stp>##V3_BDHV12</stp>
        <stp>XOM US Equity</stp>
        <stp>BS_DISCLOSED_INTANGIBLES</stp>
        <stp>FQ2 2015</stp>
        <stp>FQ2 2015</stp>
        <stp>[FA1_m42y3cpi.xlsx]Bal Sheet - Standardized!R30C30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3"/>
      </tp>
      <tp>
        <v>-1525</v>
        <stp/>
        <stp>##V3_BDHV12</stp>
        <stp>XOM US Equity</stp>
        <stp>INCOME_LOSS_FROM_AFFILIATES</stp>
        <stp>FQ2 2017</stp>
        <stp>FQ2 2017</stp>
        <stp>[FA1_m42y3cpi.xlsx]Income - Adjusted!R22C38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22" s="2"/>
      </tp>
      <tp>
        <v>-29</v>
        <stp/>
        <stp>##V3_BDHV12</stp>
        <stp>XOM US Equity</stp>
        <stp>CF_OTHER_FINANCING_ACT_EXCL_FX</stp>
        <stp>FQ4 2009</stp>
        <stp>FQ4 2009</stp>
        <stp>[FA1_m42y3cpi.xlsx]Cash Flow - Standardized!R47C8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4"/>
      </tp>
      <tp t="s">
        <v>—</v>
        <stp/>
        <stp>##V3_BDHV12</stp>
        <stp>XOM US Equity</stp>
        <stp>BS_DEFERRED_TAX_LIABS_ST</stp>
        <stp>FQ1 2014</stp>
        <stp>FQ1 2014</stp>
        <stp>[FA1_m42y3cpi.xlsx]Bal Sheet - Standardized!R53C25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3" s="3"/>
      </tp>
      <tp t="s">
        <v>—</v>
        <stp/>
        <stp>##V3_BDHV12</stp>
        <stp>XOM US Equity</stp>
        <stp>BS_DISCLOSED_INTANGIBLES</stp>
        <stp>FQ2 2016</stp>
        <stp>FQ2 2016</stp>
        <stp>[FA1_m42y3cpi.xlsx]Bal Sheet - Standardized!R30C34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3"/>
      </tp>
      <tp t="s">
        <v>—</v>
        <stp/>
        <stp>##V3_BDHV12</stp>
        <stp>XOM US Equity</stp>
        <stp>BS_DISCLOSED_INTANGIBLES</stp>
        <stp>FQ3 2014</stp>
        <stp>FQ3 2014</stp>
        <stp>[FA1_m42y3cpi.xlsx]Bal Sheet - Standardized!R30C27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3"/>
      </tp>
      <tp t="s">
        <v>—</v>
        <stp/>
        <stp>##V3_BDHV12</stp>
        <stp>XOM US Equity</stp>
        <stp>BS_DEFERRED_TAX_LIABS_ST</stp>
        <stp>FQ1 2013</stp>
        <stp>FQ1 2013</stp>
        <stp>[FA1_m42y3cpi.xlsx]Bal Sheet - Standardized!R53C21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3" s="3"/>
      </tp>
      <tp t="s">
        <v>—</v>
        <stp/>
        <stp>##V3_BDHV12</stp>
        <stp>XOM US Equity</stp>
        <stp>BS_DISCLOSED_INTANGIBLES</stp>
        <stp>FQ3 2013</stp>
        <stp>FQ3 2013</stp>
        <stp>[FA1_m42y3cpi.xlsx]Bal Sheet - Standardized!R30C23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3"/>
      </tp>
      <tp t="s">
        <v>—</v>
        <stp/>
        <stp>##V3_BDHV12</stp>
        <stp>XOM US Equity</stp>
        <stp>BS_DEFERRED_TAX_LIABS_ST</stp>
        <stp>FQ2 2010</stp>
        <stp>FQ2 2010</stp>
        <stp>[FA1_m42y3cpi.xlsx]Bal Sheet - Standardized!R53C10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3" s="3"/>
      </tp>
      <tp>
        <v>26993</v>
        <stp/>
        <stp>##V3_BDHV12</stp>
        <stp>XOM US Equity</stp>
        <stp>BS_ACCT_NOTE_RCV</stp>
        <stp>FQ2 2018</stp>
        <stp>FQ2 2018</stp>
        <stp>[FA1_m42y3cpi.xlsx]Bal Sheet - Standardized!R10C42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0" s="3"/>
      </tp>
      <tp>
        <v>28009</v>
        <stp/>
        <stp>##V3_BDHV12</stp>
        <stp>XOM US Equity</stp>
        <stp>BS_ACCT_NOTE_RCV</stp>
        <stp>FQ4 2014</stp>
        <stp>FQ4 2014</stp>
        <stp>[FA1_m42y3cpi.xlsx]Bal Sheet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3"/>
      </tp>
      <tp>
        <v>9516</v>
        <stp/>
        <stp>##V3_BDHV12</stp>
        <stp>XOM US Equity</stp>
        <stp>NI_INCLUDING_MINORITY_INT_RATIO</stp>
        <stp>FQ4 2010</stp>
        <stp>FQ4 2010</stp>
        <stp>[FA1_m42y3cpi.xlsx]Income - Adjusted!R38C12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38" s="2"/>
      </tp>
      <tp>
        <v>10302</v>
        <stp/>
        <stp>##V3_BDHV12</stp>
        <stp>XOM US Equity</stp>
        <stp>NI_INCLUDING_MINORITY_INT_RATIO</stp>
        <stp>FQ4 2012</stp>
        <stp>FQ4 2012</stp>
        <stp>[FA1_m42y3cpi.xlsx]Income - Adjusted!R38C20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38" s="2"/>
      </tp>
      <tp>
        <v>1681</v>
        <stp/>
        <stp>##V3_BDHV12</stp>
        <stp>XOM US Equity</stp>
        <stp>NI_INCLUDING_MINORITY_INT_RATIO</stp>
        <stp>FQ2 2016</stp>
        <stp>FQ2 2016</stp>
        <stp>[FA1_m42y3cpi.xlsx]Income - Adjusted!R38C34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38" s="2"/>
      </tp>
      <tp>
        <v>9117</v>
        <stp/>
        <stp>##V3_BDHV12</stp>
        <stp>XOM US Equity</stp>
        <stp>NI_INCLUDING_MINORITY_INT_RATIO</stp>
        <stp>FQ2 2014</stp>
        <stp>FQ2 2014</stp>
        <stp>[FA1_m42y3cpi.xlsx]Income - Adjusted!R38C26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38" s="2"/>
      </tp>
      <tp>
        <v>10913</v>
        <stp/>
        <stp>##V3_BDHV12</stp>
        <stp>XOM US Equity</stp>
        <stp>NI_INCLUDING_MINORITY_INT_RATIO</stp>
        <stp>FQ1 2011</stp>
        <stp>FQ1 2011</stp>
        <stp>[FA1_m42y3cpi.xlsx]Income - Adjusted!R38C13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38" s="2"/>
      </tp>
      <tp>
        <v>9761</v>
        <stp/>
        <stp>##V3_BDHV12</stp>
        <stp>XOM US Equity</stp>
        <stp>NI_INCLUDING_MINORITY_INT_RATIO</stp>
        <stp>FQ1 2013</stp>
        <stp>FQ1 2013</stp>
        <stp>[FA1_m42y3cpi.xlsx]Income - Adjusted!R38C21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38" s="2"/>
      </tp>
      <tp>
        <v>6575</v>
        <stp/>
        <stp>##V3_BDHV12</stp>
        <stp>XOM US Equity</stp>
        <stp>IS_INC_BEF_XO_ITEM</stp>
        <stp>FQ1 2010</stp>
        <stp>FQ1 2010</stp>
        <stp>[FA1_m42y3cpi.xlsx]Income - Adjusted!R34C9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2"/>
      </tp>
      <tp>
        <v>0</v>
        <stp/>
        <stp>##V3_BDHV12</stp>
        <stp>XOM US Equity</stp>
        <stp>IS_DISCONTINUED_OPERATIONS</stp>
        <stp>FQ2 2009</stp>
        <stp>FQ2 2009</stp>
        <stp>[FA1_m42y3cpi.xlsx]Income - Adjusted!R36C6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2"/>
      </tp>
      <tp>
        <v>23.390899999999998</v>
        <stp/>
        <stp>##V3_BDHV12</stp>
        <stp>XOM US Equity</stp>
        <stp>BOOK_VAL_PER_SH</stp>
        <stp>FQ4 2009</stp>
        <stp>FQ4 2009</stp>
        <stp>[FA1_m42y3cpi.xlsx]Per Share!R26C8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6" s="5"/>
      </tp>
      <tp>
        <v>0.4007</v>
        <stp/>
        <stp>##V3_BDHV12</stp>
        <stp>XOM US Equity</stp>
        <stp>FREE_CASH_FLOW_PER_SH</stp>
        <stp>FQ2 2015</stp>
        <stp>FQ2 2015</stp>
        <stp>[FA1_m42y3cpi.xlsx]Cash Flow - Standardized!R66C30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6" s="4"/>
      </tp>
      <tp>
        <v>0.66180000000000005</v>
        <stp/>
        <stp>##V3_BDHV12</stp>
        <stp>XOM US Equity</stp>
        <stp>FREE_CASH_FLOW_PER_SH</stp>
        <stp>FQ3 2015</stp>
        <stp>FQ3 2015</stp>
        <stp>[FA1_m42y3cpi.xlsx]Cash Flow - Standardized!R66C31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6" s="4"/>
      </tp>
      <tp>
        <v>1.0348999999999999</v>
        <stp/>
        <stp>##V3_BDHV12</stp>
        <stp>XOM US Equity</stp>
        <stp>FREE_CASH_FLOW_PER_SH</stp>
        <stp>FQ2 2011</stp>
        <stp>FQ2 2011</stp>
        <stp>[FA1_m42y3cpi.xlsx]Cash Flow - Standardized!R66C14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6" s="4"/>
      </tp>
      <tp>
        <v>1.5232000000000001</v>
        <stp/>
        <stp>##V3_BDHV12</stp>
        <stp>XOM US Equity</stp>
        <stp>FREE_CASH_FLOW_PER_SH</stp>
        <stp>FQ3 2011</stp>
        <stp>FQ3 2011</stp>
        <stp>[FA1_m42y3cpi.xlsx]Cash Flow - Standardized!R66C15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6" s="4"/>
      </tp>
      <tp>
        <v>0.63</v>
        <stp/>
        <stp>##V3_BDHV12</stp>
        <stp>XOM US Equity</stp>
        <stp>IS_EARN_BEF_XO_ITEMS_PER_SH</stp>
        <stp>FQ3 2016</stp>
        <stp>FQ3 2016</stp>
        <stp>[FA1_m42y3cpi.xlsx]Per Share!R15C35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5" s="5"/>
      </tp>
      <tp>
        <v>1.8900000000000001</v>
        <stp/>
        <stp>##V3_BDHV12</stp>
        <stp>XOM US Equity</stp>
        <stp>IS_EARN_BEF_XO_ITEMS_PER_SH</stp>
        <stp>FQ3 2014</stp>
        <stp>FQ3 2014</stp>
        <stp>[FA1_m42y3cpi.xlsx]Per Share!R15C27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5" s="5"/>
      </tp>
      <tp>
        <v>-3395</v>
        <stp/>
        <stp>##V3_BDHV12</stp>
        <stp>XOM US Equity</stp>
        <stp>NON_CASH_ITEMS_DETAILED</stp>
        <stp>FQ4 2016</stp>
        <stp>FQ4 2016</stp>
        <stp>[FA1_m42y3cpi.xlsx]Cash Flow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4"/>
      </tp>
      <tp>
        <v>-1364</v>
        <stp/>
        <stp>##V3_BDHV12</stp>
        <stp>XOM US Equity</stp>
        <stp>NON_CASH_ITEMS_DETAILED</stp>
        <stp>FQ1 2016</stp>
        <stp>FQ1 2016</stp>
        <stp>[FA1_m42y3cpi.xlsx]Cash Flow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4"/>
      </tp>
      <tp>
        <v>1175</v>
        <stp/>
        <stp>##V3_BDHV12</stp>
        <stp>XOM US Equity</stp>
        <stp>NON_CASH_ITEMS_DETAILED</stp>
        <stp>FQ2 2015</stp>
        <stp>FQ2 2015</stp>
        <stp>[FA1_m42y3cpi.xlsx]Cash Flow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4"/>
      </tp>
      <tp>
        <v>-104</v>
        <stp/>
        <stp>##V3_BDHV12</stp>
        <stp>XOM US Equity</stp>
        <stp>NON_CASH_ITEMS_DETAILED</stp>
        <stp>FQ3 2015</stp>
        <stp>FQ3 2015</stp>
        <stp>[FA1_m42y3cpi.xlsx]Cash Flow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4"/>
      </tp>
      <tp>
        <v>-1079</v>
        <stp/>
        <stp>##V3_BDHV12</stp>
        <stp>XOM US Equity</stp>
        <stp>NON_CASH_ITEMS_DETAILED</stp>
        <stp>FQ4 2015</stp>
        <stp>FQ4 2015</stp>
        <stp>[FA1_m42y3cpi.xlsx]Cash Flow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4"/>
      </tp>
      <tp>
        <v>-1239</v>
        <stp/>
        <stp>##V3_BDHV12</stp>
        <stp>XOM US Equity</stp>
        <stp>NON_CASH_ITEMS_DETAILED</stp>
        <stp>FQ3 2016</stp>
        <stp>FQ3 2016</stp>
        <stp>[FA1_m42y3cpi.xlsx]Cash Flow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4"/>
      </tp>
      <tp>
        <v>-676</v>
        <stp/>
        <stp>##V3_BDHV12</stp>
        <stp>XOM US Equity</stp>
        <stp>NON_CASH_ITEMS_DETAILED</stp>
        <stp>FQ2 2016</stp>
        <stp>FQ2 2016</stp>
        <stp>[FA1_m42y3cpi.xlsx]Cash Flow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4"/>
      </tp>
      <tp>
        <v>-1149</v>
        <stp/>
        <stp>##V3_BDHV12</stp>
        <stp>XOM US Equity</stp>
        <stp>NON_CASH_ITEMS_DETAILED</stp>
        <stp>FQ1 2017</stp>
        <stp>FQ1 2017</stp>
        <stp>[FA1_m42y3cpi.xlsx]Cash Flow - Standardized!R9C37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9" s="4"/>
      </tp>
      <tp>
        <v>-34</v>
        <stp/>
        <stp>##V3_BDHV12</stp>
        <stp>XOM US Equity</stp>
        <stp>NON_CASH_ITEMS_DETAILED</stp>
        <stp>FQ2 2017</stp>
        <stp>FQ2 2017</stp>
        <stp>[FA1_m42y3cpi.xlsx]Cash Flow - Standardized!R9C38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9" s="4"/>
      </tp>
      <tp>
        <v>-996</v>
        <stp/>
        <stp>##V3_BDHV12</stp>
        <stp>XOM US Equity</stp>
        <stp>NON_CASH_ITEMS_DETAILED</stp>
        <stp>FQ3 2017</stp>
        <stp>FQ3 2017</stp>
        <stp>[FA1_m42y3cpi.xlsx]Cash Flow - Standardized!R9C39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9" s="4"/>
      </tp>
      <tp>
        <v>4738.7219999999998</v>
        <stp/>
        <stp>##V3_BDHV12</stp>
        <stp>XOM US Equity</stp>
        <stp>EQY_FLOAT</stp>
        <stp>FQ4 2009</stp>
        <stp>FQ4 2009</stp>
        <stp>[FA1_m42y3cpi.xlsx]Stock Value!R14C8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4" s="6"/>
      </tp>
      <tp t="s">
        <v>—</v>
        <stp/>
        <stp>##V3_BDHV12</stp>
        <stp>XOM US Equity</stp>
        <stp>BS_CURR_PORTION_LT_DEBT</stp>
        <stp>FQ3 2015</stp>
        <stp>FQ3 2015</stp>
        <stp>[FA1_m42y3cpi.xlsx]Bal Sheet - Standardized!R49C31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9" s="3"/>
      </tp>
      <tp>
        <v>55918</v>
        <stp/>
        <stp>##V3_BDHV12</stp>
        <stp>XOM US Equity</stp>
        <stp>OTHER_NONCUR_LIABS_SUB_DETAILED</stp>
        <stp>FQ3 2008</stp>
        <stp>FQ3 2008</stp>
        <stp>[FA1_m42y3cpi.xlsx]Bal Sheet - Standardized!R58C3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8" s="3"/>
      </tp>
      <tp>
        <v>54404</v>
        <stp/>
        <stp>##V3_BDHV12</stp>
        <stp>XOM US Equity</stp>
        <stp>OTHER_NONCUR_LIABS_SUB_DETAILED</stp>
        <stp>FQ4 2008</stp>
        <stp>FQ4 2008</stp>
        <stp>[FA1_m42y3cpi.xlsx]Bal Sheet - Standardized!R58C4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8" s="3"/>
      </tp>
      <tp t="s">
        <v>—</v>
        <stp/>
        <stp>##V3_BDHV12</stp>
        <stp>XOM US Equity</stp>
        <stp>BS_CURR_PORTION_LT_DEBT</stp>
        <stp>FQ1 2012</stp>
        <stp>FQ1 2012</stp>
        <stp>[FA1_m42y3cpi.xlsx]Bal Sheet - Standardized!R49C17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9" s="3"/>
      </tp>
      <tp t="s">
        <v>—</v>
        <stp/>
        <stp>##V3_BDHV12</stp>
        <stp>XOM US Equity</stp>
        <stp>BS_CURR_PORTION_LT_DEBT</stp>
        <stp>FQ1 2011</stp>
        <stp>FQ1 2011</stp>
        <stp>[FA1_m42y3cpi.xlsx]Bal Sheet - Standardized!R49C13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9" s="3"/>
      </tp>
      <tp t="s">
        <v>—</v>
        <stp/>
        <stp>##V3_BDHV12</stp>
        <stp>XOM US Equity</stp>
        <stp>BS_CURR_PORTION_LT_DEBT</stp>
        <stp>FQ2 2013</stp>
        <stp>FQ2 2013</stp>
        <stp>[FA1_m42y3cpi.xlsx]Bal Sheet - Standardized!R49C22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9" s="3"/>
      </tp>
      <tp>
        <v>4766</v>
        <stp/>
        <stp>##V3_BDHV12</stp>
        <stp>XOM US Equity</stp>
        <stp>BS_CURR_PORTION_LT_DEBT</stp>
        <stp>FQ4 2017</stp>
        <stp>FQ4 2017</stp>
        <stp>[FA1_m42y3cpi.xlsx]Bal Sheet - Standardized!R49C40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9" s="3"/>
      </tp>
      <tp>
        <v>57084</v>
        <stp/>
        <stp>##V3_BDHV12</stp>
        <stp>XOM US Equity</stp>
        <stp>OTHER_NONCUR_LIABS_SUB_DETAILED</stp>
        <stp>FQ3 2009</stp>
        <stp>FQ3 2009</stp>
        <stp>[FA1_m42y3cpi.xlsx]Bal Sheet - Standardized!R58C7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8" s="3"/>
      </tp>
      <tp>
        <v>54777</v>
        <stp/>
        <stp>##V3_BDHV12</stp>
        <stp>XOM US Equity</stp>
        <stp>OTHER_NONCUR_LIABS_SUB_DETAILED</stp>
        <stp>FQ2 2009</stp>
        <stp>FQ2 2009</stp>
        <stp>[FA1_m42y3cpi.xlsx]Bal Sheet - Standardized!R58C6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8" s="3"/>
      </tp>
      <tp>
        <v>54567</v>
        <stp/>
        <stp>##V3_BDHV12</stp>
        <stp>XOM US Equity</stp>
        <stp>OTHER_NONCUR_LIABS_SUB_DETAILED</stp>
        <stp>FQ1 2009</stp>
        <stp>FQ1 2009</stp>
        <stp>[FA1_m42y3cpi.xlsx]Bal Sheet - Standardized!R58C5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8" s="3"/>
      </tp>
      <tp t="s">
        <v>—</v>
        <stp/>
        <stp>##V3_BDHV12</stp>
        <stp>XOM US Equity</stp>
        <stp>BS_CURR_PORTION_LT_DEBT</stp>
        <stp>FQ2 2014</stp>
        <stp>FQ2 2014</stp>
        <stp>[FA1_m42y3cpi.xlsx]Bal Sheet - Standardized!R49C26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9" s="3"/>
      </tp>
      <tp t="s">
        <v>—</v>
        <stp/>
        <stp>##V3_BDHV12</stp>
        <stp>XOM US Equity</stp>
        <stp>BS_CURR_PORTION_LT_DEBT</stp>
        <stp>FQ3 2016</stp>
        <stp>FQ3 2016</stp>
        <stp>[FA1_m42y3cpi.xlsx]Bal Sheet - Standardized!R49C35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9" s="3"/>
      </tp>
      <tp>
        <v>60284</v>
        <stp/>
        <stp>##V3_BDHV12</stp>
        <stp>XOM US Equity</stp>
        <stp>OTHER_NONCUR_LIABS_SUB_DETAILED</stp>
        <stp>FQ1 2010</stp>
        <stp>FQ1 2010</stp>
        <stp>[FA1_m42y3cpi.xlsx]Bal Sheet - Standardized!R58C9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8" s="3"/>
      </tp>
      <tp t="s">
        <v>—</v>
        <stp/>
        <stp>##V3_BDHV12</stp>
        <stp>XOM US Equity</stp>
        <stp>BS_CURR_PORTION_LT_DEBT</stp>
        <stp>FQ3 2017</stp>
        <stp>FQ3 2017</stp>
        <stp>[FA1_m42y3cpi.xlsx]Bal Sheet - Standardized!R49C39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9" s="3"/>
      </tp>
      <tp>
        <v>58741</v>
        <stp/>
        <stp>##V3_BDHV12</stp>
        <stp>XOM US Equity</stp>
        <stp>OTHER_NONCUR_LIABS_SUB_DETAILED</stp>
        <stp>FQ4 2009</stp>
        <stp>FQ4 2009</stp>
        <stp>[FA1_m42y3cpi.xlsx]Bal Sheet - Standardized!R58C8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8" s="3"/>
      </tp>
      <tp>
        <v>72828</v>
        <stp/>
        <stp>##V3_BDHV12</stp>
        <stp>XOM US Equity</stp>
        <stp>OTHER_NONCUR_LIABS_SUB_DETAILED</stp>
        <stp>FQ1 2018</stp>
        <stp>FQ1 2018</stp>
        <stp>[FA1_m42y3cpi.xlsx]Bal Sheet - Standardized!R58C41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8" s="3"/>
      </tp>
      <tp>
        <v>83481</v>
        <stp/>
        <stp>##V3_BDHV12</stp>
        <stp>XOM US Equity</stp>
        <stp>OTHER_NONCUR_LIABS_SUB_DETAILED</stp>
        <stp>FQ4 2011</stp>
        <stp>FQ4 2011</stp>
        <stp>[FA1_m42y3cpi.xlsx]Bal Sheet - Standardized!R58C16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8" s="3"/>
      </tp>
      <tp>
        <v>74971</v>
        <stp/>
        <stp>##V3_BDHV12</stp>
        <stp>XOM US Equity</stp>
        <stp>OTHER_NONCUR_LIABS_SUB_DETAILED</stp>
        <stp>FQ4 2010</stp>
        <stp>FQ4 2010</stp>
        <stp>[FA1_m42y3cpi.xlsx]Bal Sheet - Standardized!R58C12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8" s="3"/>
      </tp>
      <tp t="s">
        <v>—</v>
        <stp/>
        <stp>##V3_BDHV12</stp>
        <stp>XOM US Equity</stp>
        <stp>IS_INT_INC</stp>
        <stp>FQ3 2011</stp>
        <stp>FQ3 2011</stp>
        <stp>[FA1_m42y3cpi.xlsx]Income - Adjusted!R20C15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0" s="2"/>
      </tp>
      <tp t="s">
        <v>—</v>
        <stp/>
        <stp>##V3_BDHV12</stp>
        <stp>XOM US Equity</stp>
        <stp>IS_INT_INC</stp>
        <stp>FQ3 2015</stp>
        <stp>FQ3 2015</stp>
        <stp>[FA1_m42y3cpi.xlsx]Income - Adjusted!R20C31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0" s="2"/>
      </tp>
      <tp>
        <v>18.507300000000001</v>
        <stp/>
        <stp>##V3_BDHV12</stp>
        <stp>XOM US Equity</stp>
        <stp>EBITDA_MARGIN</stp>
        <stp>FQ4 2008</stp>
        <stp>FQ4 2008</stp>
        <stp>[FA1_m42y3cpi.xlsx]Cash Flow - Standardized!R60C4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60" s="4"/>
      </tp>
      <tp>
        <v>6057</v>
        <stp/>
        <stp>##V3_BDHV12</stp>
        <stp>XOM US Equity</stp>
        <stp>EBIT</stp>
        <stp>FQ1 2009</stp>
        <stp>FQ1 2009</stp>
        <stp>[FA1_m42y3cpi.xlsx]Income - Adjusted!R64C5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4" s="2"/>
      </tp>
      <tp>
        <v>5570</v>
        <stp/>
        <stp>##V3_BDHV12</stp>
        <stp>XOM US Equity</stp>
        <stp>EBIT</stp>
        <stp>FQ2 2009</stp>
        <stp>FQ2 2009</stp>
        <stp>[FA1_m42y3cpi.xlsx]Income - Adjusted!R64C6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4" s="2"/>
      </tp>
      <tp>
        <v>7096</v>
        <stp/>
        <stp>##V3_BDHV12</stp>
        <stp>XOM US Equity</stp>
        <stp>EBIT</stp>
        <stp>FQ3 2009</stp>
        <stp>FQ3 2009</stp>
        <stp>[FA1_m42y3cpi.xlsx]Income - Adjusted!R64C7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4" s="2"/>
      </tp>
      <tp>
        <v>11.532299999999999</v>
        <stp/>
        <stp>##V3_BDHV12</stp>
        <stp>XOM US Equity</stp>
        <stp>CASH_CONVERSION_CYCLE</stp>
        <stp>FQ4 2011</stp>
        <stp>FQ4 2011</stp>
        <stp>[FA1_m42y3cpi.xlsx]Bal Sheet - Standardized!R90C16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90" s="3"/>
      </tp>
      <tp t="s">
        <v>—</v>
        <stp/>
        <stp>##V3_BDHV12</stp>
        <stp>XOM US Equity</stp>
        <stp>CASH_CONVERSION_CYCLE</stp>
        <stp>FQ1 2011</stp>
        <stp>FQ1 2011</stp>
        <stp>[FA1_m42y3cpi.xlsx]Bal Sheet - Standardized!R90C13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90" s="3"/>
      </tp>
      <tp t="s">
        <v>—</v>
        <stp/>
        <stp>##V3_BDHV12</stp>
        <stp>XOM US Equity</stp>
        <stp>CASH_CONVERSION_CYCLE</stp>
        <stp>FQ2 2011</stp>
        <stp>FQ2 2011</stp>
        <stp>[FA1_m42y3cpi.xlsx]Bal Sheet - Standardized!R90C14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90" s="3"/>
      </tp>
      <tp t="s">
        <v>—</v>
        <stp/>
        <stp>##V3_BDHV12</stp>
        <stp>XOM US Equity</stp>
        <stp>CASH_CONVERSION_CYCLE</stp>
        <stp>FQ3 2011</stp>
        <stp>FQ3 2011</stp>
        <stp>[FA1_m42y3cpi.xlsx]Bal Sheet - Standardized!R90C15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90" s="3"/>
      </tp>
      <tp>
        <v>3.9927000000000001</v>
        <stp/>
        <stp>##V3_BDHV12</stp>
        <stp>XOM US Equity</stp>
        <stp>CASH_ST_INVESTMENTS_PER_SH</stp>
        <stp>FQ1 2012</stp>
        <stp>FQ1 2012</stp>
        <stp>[FA1_m42y3cpi.xlsx]Per Share!R25C17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5" s="5"/>
      </tp>
      <tp>
        <v>1.1686000000000001</v>
        <stp/>
        <stp>##V3_BDHV12</stp>
        <stp>XOM US Equity</stp>
        <stp>CASH_ST_INVESTMENTS_PER_SH</stp>
        <stp>FQ1 2016</stp>
        <stp>FQ1 2016</stp>
        <stp>[FA1_m42y3cpi.xlsx]Per Share!R25C33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5" s="5"/>
      </tp>
      <tp>
        <v>2.0651999999999999</v>
        <stp/>
        <stp>##V3_BDHV12</stp>
        <stp>XOM US Equity</stp>
        <stp>CASH_ST_INVESTMENTS_PER_SH</stp>
        <stp>FQ2 2011</stp>
        <stp>FQ2 2011</stp>
        <stp>[FA1_m42y3cpi.xlsx]Per Share!R25C14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5" s="5"/>
      </tp>
      <tp>
        <v>1.0417000000000001</v>
        <stp/>
        <stp>##V3_BDHV12</stp>
        <stp>XOM US Equity</stp>
        <stp>CASH_ST_INVESTMENTS_PER_SH</stp>
        <stp>FQ2 2015</stp>
        <stp>FQ2 2015</stp>
        <stp>[FA1_m42y3cpi.xlsx]Per Share!R25C30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5" s="5"/>
      </tp>
      <tp>
        <v>1.8319999999999999</v>
        <stp/>
        <stp>##V3_BDHV12</stp>
        <stp>XOM US Equity</stp>
        <stp>CASH_FLOW_TO_NET_INC</stp>
        <stp>FQ1 2018</stp>
        <stp>FQ1 2018</stp>
        <stp>[FA1_m42y3cpi.xlsx]Cash Flow - Standardized!R68C41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68" s="4"/>
      </tp>
      <tp>
        <v>1.9696</v>
        <stp/>
        <stp>##V3_BDHV12</stp>
        <stp>XOM US Equity</stp>
        <stp>CASH_FLOW_TO_NET_INC</stp>
        <stp>FQ2 2018</stp>
        <stp>FQ2 2018</stp>
        <stp>[FA1_m42y3cpi.xlsx]Cash Flow - Standardized!R68C42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68" s="4"/>
      </tp>
      <tp>
        <v>2.7942</v>
        <stp/>
        <stp>##V3_BDHV12</stp>
        <stp>XOM US Equity</stp>
        <stp>CHG_PCT_PERIOD</stp>
        <stp>FQ4 2008</stp>
        <stp>FQ4 2008</stp>
        <stp>[FA1_m42y3cpi.xlsx]Stock Value!R7C4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6"/>
      </tp>
      <tp>
        <v>-14.6937</v>
        <stp/>
        <stp>##V3_BDHV12</stp>
        <stp>XOM US Equity</stp>
        <stp>CHG_PCT_PERIOD</stp>
        <stp>FQ1 2009</stp>
        <stp>FQ1 2009</stp>
        <stp>[FA1_m42y3cpi.xlsx]Stock Value!R7C5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6"/>
      </tp>
      <tp>
        <v>2.1048</v>
        <stp/>
        <stp>##V3_BDHV12</stp>
        <stp>XOM US Equity</stp>
        <stp>CASH_FLOW_PER_SH</stp>
        <stp>FQ4 2008</stp>
        <stp>FQ4 2008</stp>
        <stp>[FA1_m42y3cpi.xlsx]Per Share!R22C4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2" s="5"/>
      </tp>
      <tp>
        <v>2.823</v>
        <stp/>
        <stp>##V3_BDHV12</stp>
        <stp>XOM US Equity</stp>
        <stp>CASH_FLOW_PER_SH</stp>
        <stp>FQ3 2008</stp>
        <stp>FQ3 2008</stp>
        <stp>[FA1_m42y3cpi.xlsx]Per Share!R22C3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2" s="5"/>
      </tp>
      <tp>
        <v>1701</v>
        <stp/>
        <stp>##V3_BDHV12</stp>
        <stp>XOM US Equity</stp>
        <stp>NON_CASH_ITEMS_DETAILED</stp>
        <stp>FQ2 2013</stp>
        <stp>FQ2 2013</stp>
        <stp>[FA1_m42y3cpi.xlsx]Cash Flow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4"/>
      </tp>
      <tp>
        <v>988</v>
        <stp/>
        <stp>##V3_BDHV12</stp>
        <stp>XOM US Equity</stp>
        <stp>NON_CASH_ITEMS_DETAILED</stp>
        <stp>FQ3 2013</stp>
        <stp>FQ3 2013</stp>
        <stp>[FA1_m42y3cpi.xlsx]Cash Flow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4"/>
      </tp>
      <tp>
        <v>-2339</v>
        <stp/>
        <stp>##V3_BDHV12</stp>
        <stp>XOM US Equity</stp>
        <stp>NON_CASH_ITEMS_DETAILED</stp>
        <stp>FQ1 2013</stp>
        <stp>FQ1 2013</stp>
        <stp>[FA1_m42y3cpi.xlsx]Cash Flow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4"/>
      </tp>
      <tp>
        <v>-478</v>
        <stp/>
        <stp>##V3_BDHV12</stp>
        <stp>XOM US Equity</stp>
        <stp>NON_CASH_ITEMS_DETAILED</stp>
        <stp>FQ4 2013</stp>
        <stp>FQ4 2013</stp>
        <stp>[FA1_m42y3cpi.xlsx]Cash Flow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4"/>
      </tp>
      <tp>
        <v>-641</v>
        <stp/>
        <stp>##V3_BDHV12</stp>
        <stp>XOM US Equity</stp>
        <stp>NON_CASH_ITEMS_DETAILED</stp>
        <stp>FQ1 2014</stp>
        <stp>FQ1 2014</stp>
        <stp>[FA1_m42y3cpi.xlsx]Cash Flow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4"/>
      </tp>
      <tp>
        <v>427</v>
        <stp/>
        <stp>##V3_BDHV12</stp>
        <stp>XOM US Equity</stp>
        <stp>NON_CASH_ITEMS_DETAILED</stp>
        <stp>FQ3 2014</stp>
        <stp>FQ3 2014</stp>
        <stp>[FA1_m42y3cpi.xlsx]Cash Flow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4"/>
      </tp>
      <tp>
        <v>1656</v>
        <stp/>
        <stp>##V3_BDHV12</stp>
        <stp>XOM US Equity</stp>
        <stp>NON_CASH_ITEMS_DETAILED</stp>
        <stp>FQ4 2012</stp>
        <stp>FQ4 2012</stp>
        <stp>[FA1_m42y3cpi.xlsx]Cash Flow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4"/>
      </tp>
      <tp>
        <v>-414</v>
        <stp/>
        <stp>##V3_BDHV12</stp>
        <stp>XOM US Equity</stp>
        <stp>NON_CASH_ITEMS_DETAILED</stp>
        <stp>FQ2 2014</stp>
        <stp>FQ2 2014</stp>
        <stp>[FA1_m42y3cpi.xlsx]Cash Flow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4"/>
      </tp>
      <tp>
        <v>-733</v>
        <stp/>
        <stp>##V3_BDHV12</stp>
        <stp>XOM US Equity</stp>
        <stp>NON_CASH_ITEMS_DETAILED</stp>
        <stp>FQ1 2015</stp>
        <stp>FQ1 2015</stp>
        <stp>[FA1_m42y3cpi.xlsx]Cash Flow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4"/>
      </tp>
      <tp>
        <v>859</v>
        <stp/>
        <stp>##V3_BDHV12</stp>
        <stp>XOM US Equity</stp>
        <stp>NON_CASH_ITEMS_DETAILED</stp>
        <stp>FQ4 2014</stp>
        <stp>FQ4 2014</stp>
        <stp>[FA1_m42y3cpi.xlsx]Cash Flow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4"/>
      </tp>
      <tp>
        <v>4712.5069999999996</v>
        <stp/>
        <stp>##V3_BDHV12</stp>
        <stp>XOM US Equity</stp>
        <stp>EQY_FLOAT</stp>
        <stp>FQ1 2010</stp>
        <stp>FQ1 2010</stp>
        <stp>[FA1_m42y3cpi.xlsx]Stock Value!R14C9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4" s="6"/>
      </tp>
      <tp t="s">
        <v>—</v>
        <stp/>
        <stp>##V3_BDHV12</stp>
        <stp>XOM US Equity</stp>
        <stp>BS_CURR_PORTION_LT_DEBT</stp>
        <stp>FQ2 2015</stp>
        <stp>FQ2 2015</stp>
        <stp>[FA1_m42y3cpi.xlsx]Bal Sheet - Standardized!R49C30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9" s="3"/>
      </tp>
      <tp t="s">
        <v>—</v>
        <stp/>
        <stp>##V3_BDHV12</stp>
        <stp>XOM US Equity</stp>
        <stp>BS_CURR_PORTION_LT_DEBT</stp>
        <stp>FQ3 2013</stp>
        <stp>FQ3 2013</stp>
        <stp>[FA1_m42y3cpi.xlsx]Bal Sheet - Standardized!R49C23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9" s="3"/>
      </tp>
      <tp t="s">
        <v>—</v>
        <stp/>
        <stp>##V3_BDHV12</stp>
        <stp>XOM US Equity</stp>
        <stp>BS_CURR_PORTION_LT_DEBT</stp>
        <stp>FQ3 2014</stp>
        <stp>FQ3 2014</stp>
        <stp>[FA1_m42y3cpi.xlsx]Bal Sheet - Standardized!R49C27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9" s="3"/>
      </tp>
      <tp t="s">
        <v>—</v>
        <stp/>
        <stp>##V3_BDHV12</stp>
        <stp>XOM US Equity</stp>
        <stp>BS_CURR_PORTION_LT_DEBT</stp>
        <stp>FQ2 2016</stp>
        <stp>FQ2 2016</stp>
        <stp>[FA1_m42y3cpi.xlsx]Bal Sheet - Standardized!R49C34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9" s="3"/>
      </tp>
      <tp t="s">
        <v>—</v>
        <stp/>
        <stp>##V3_BDHV12</stp>
        <stp>XOM US Equity</stp>
        <stp>BS_CURR_PORTION_LT_DEBT</stp>
        <stp>FQ2 2017</stp>
        <stp>FQ2 2017</stp>
        <stp>[FA1_m42y3cpi.xlsx]Bal Sheet - Standardized!R49C38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9" s="3"/>
      </tp>
      <tp>
        <v>4237</v>
        <stp/>
        <stp>##V3_BDHV12</stp>
        <stp>XOM US Equity</stp>
        <stp>BS_SH_OUT</stp>
        <stp>FQ3 2017</stp>
        <stp>FQ3 2017</stp>
        <stp>[FA1_m42y3cpi.xlsx]Per Share!R6C39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" s="5"/>
      </tp>
      <tp>
        <v>4237</v>
        <stp/>
        <stp>##V3_BDHV12</stp>
        <stp>XOM US Equity</stp>
        <stp>BS_SH_OUT</stp>
        <stp>FQ2 2017</stp>
        <stp>FQ2 2017</stp>
        <stp>[FA1_m42y3cpi.xlsx]Per Share!R6C38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" s="5"/>
      </tp>
      <tp>
        <v>4181</v>
        <stp/>
        <stp>##V3_BDHV12</stp>
        <stp>XOM US Equity</stp>
        <stp>BS_SH_OUT</stp>
        <stp>FQ1 2015</stp>
        <stp>FQ1 2015</stp>
        <stp>[FA1_m42y3cpi.xlsx]Per Share!R6C29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5"/>
      </tp>
      <tp>
        <v>-1747</v>
        <stp/>
        <stp>##V3_BDHV12</stp>
        <stp>XOM US Equity</stp>
        <stp>CHG_IN_FXD_&amp;_INTANG_AST_DETAILED</stp>
        <stp>FQ4 2011</stp>
        <stp>FQ4 2011</stp>
        <stp>[FA1_m42y3cpi.xlsx]Cash Flow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4"/>
      </tp>
      <tp>
        <v>0</v>
        <stp/>
        <stp>##V3_BDHV12</stp>
        <stp>XOM US Equity</stp>
        <stp>XO_GL_NET_OF_TAX</stp>
        <stp>FQ2 2018</stp>
        <stp>FQ2 2018</stp>
        <stp>[FA1_m42y3cpi.xlsx]Income - Adjusted!R35C42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5" s="2"/>
      </tp>
      <tp>
        <v>-6016</v>
        <stp/>
        <stp>##V3_BDHV12</stp>
        <stp>XOM US Equity</stp>
        <stp>CHG_IN_FXD_&amp;_INTANG_AST_DETAILED</stp>
        <stp>FQ4 2010</stp>
        <stp>FQ4 2010</stp>
        <stp>[FA1_m42y3cpi.xlsx]Cash Flow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4"/>
      </tp>
      <tp>
        <v>0</v>
        <stp/>
        <stp>##V3_BDHV12</stp>
        <stp>XOM US Equity</stp>
        <stp>XO_GL_NET_OF_TAX</stp>
        <stp>FQ2 2018</stp>
        <stp>FQ2 2018</stp>
        <stp>[FA1_m42y3cpi.xlsx]Income - Adjusted!R47C42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7" s="2"/>
      </tp>
      <tp>
        <v>-1908</v>
        <stp/>
        <stp>##V3_BDHV12</stp>
        <stp>XOM US Equity</stp>
        <stp>CHG_IN_FXD_&amp;_INTANG_AST_DETAILED</stp>
        <stp>FQ1 2018</stp>
        <stp>FQ1 2018</stp>
        <stp>[FA1_m42y3cpi.xlsx]Cash Flow - Standardized!R20C41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0" s="4"/>
      </tp>
      <tp t="s">
        <v>—</v>
        <stp/>
        <stp>##V3_BDHV12</stp>
        <stp>XOM US Equity</stp>
        <stp>IS_INT_INC</stp>
        <stp>FQ1 2012</stp>
        <stp>FQ1 2012</stp>
        <stp>[FA1_m42y3cpi.xlsx]Income - Adjusted!R20C17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0" s="2"/>
      </tp>
      <tp t="s">
        <v>—</v>
        <stp/>
        <stp>##V3_BDHV12</stp>
        <stp>XOM US Equity</stp>
        <stp>IS_INT_INC</stp>
        <stp>FQ1 2016</stp>
        <stp>FQ1 2016</stp>
        <stp>[FA1_m42y3cpi.xlsx]Income - Adjusted!R20C33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0" s="2"/>
      </tp>
      <tp t="s">
        <v>—</v>
        <stp/>
        <stp>##V3_BDHV12</stp>
        <stp>XOM US Equity</stp>
        <stp>IS_INT_INC</stp>
        <stp>FQ2 2011</stp>
        <stp>FQ2 2011</stp>
        <stp>[FA1_m42y3cpi.xlsx]Income - Adjusted!R20C14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0" s="2"/>
      </tp>
      <tp t="s">
        <v>—</v>
        <stp/>
        <stp>##V3_BDHV12</stp>
        <stp>XOM US Equity</stp>
        <stp>IS_INT_INC</stp>
        <stp>FQ2 2015</stp>
        <stp>FQ2 2015</stp>
        <stp>[FA1_m42y3cpi.xlsx]Income - Adjusted!R20C30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0" s="2"/>
      </tp>
      <tp>
        <v>13.846500000000001</v>
        <stp/>
        <stp>##V3_BDHV12</stp>
        <stp>XOM US Equity</stp>
        <stp>EBITDA_MARGIN</stp>
        <stp>FQ4 2009</stp>
        <stp>FQ4 2009</stp>
        <stp>[FA1_m42y3cpi.xlsx]Cash Flow - Standardized!R60C8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60" s="4"/>
      </tp>
      <tp>
        <v>12.646800000000001</v>
        <stp/>
        <stp>##V3_BDHV12</stp>
        <stp>XOM US Equity</stp>
        <stp>CASH_CONVERSION_CYCLE</stp>
        <stp>FQ4 2010</stp>
        <stp>FQ4 2010</stp>
        <stp>[FA1_m42y3cpi.xlsx]Bal Sheet - Standardized!R90C12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90" s="3"/>
      </tp>
      <tp t="s">
        <v>—</v>
        <stp/>
        <stp>##V3_BDHV12</stp>
        <stp>XOM US Equity</stp>
        <stp>CASH_CONVERSION_CYCLE</stp>
        <stp>FQ2 2010</stp>
        <stp>FQ2 2010</stp>
        <stp>[FA1_m42y3cpi.xlsx]Bal Sheet - Standardized!R90C10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90" s="3"/>
      </tp>
      <tp t="s">
        <v>—</v>
        <stp/>
        <stp>##V3_BDHV12</stp>
        <stp>XOM US Equity</stp>
        <stp>CASH_CONVERSION_CYCLE</stp>
        <stp>FQ3 2010</stp>
        <stp>FQ3 2010</stp>
        <stp>[FA1_m42y3cpi.xlsx]Bal Sheet - Standardized!R90C11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90" s="3"/>
      </tp>
      <tp>
        <v>2.2995999999999999</v>
        <stp/>
        <stp>##V3_BDHV12</stp>
        <stp>XOM US Equity</stp>
        <stp>CASH_ST_INVESTMENTS_PER_SH</stp>
        <stp>FQ3 2011</stp>
        <stp>FQ3 2011</stp>
        <stp>[FA1_m42y3cpi.xlsx]Per Share!R25C15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5" s="5"/>
      </tp>
      <tp>
        <v>1.0319</v>
        <stp/>
        <stp>##V3_BDHV12</stp>
        <stp>XOM US Equity</stp>
        <stp>CASH_ST_INVESTMENTS_PER_SH</stp>
        <stp>FQ3 2015</stp>
        <stp>FQ3 2015</stp>
        <stp>[FA1_m42y3cpi.xlsx]Per Share!R25C31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5" s="5"/>
      </tp>
      <tp>
        <v>2.7627999999999999</v>
        <stp/>
        <stp>##V3_BDHV12</stp>
        <stp>XOM US Equity</stp>
        <stp>CASH_FLOW_PER_SH</stp>
        <stp>FQ1 2010</stp>
        <stp>FQ1 2010</stp>
        <stp>[FA1_m42y3cpi.xlsx]Per Share!R22C9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2" s="5"/>
      </tp>
      <tp>
        <v>41.472999999999999</v>
        <stp/>
        <stp>##V3_BDHV12</stp>
        <stp>XOM US Equity</stp>
        <stp>BS_OPTIONS_OUTSTANDING</stp>
        <stp>FQ4 2009</stp>
        <stp>FQ4 2009</stp>
        <stp>[FA1_m42y3cpi.xlsx]Bal Sheet - Standardized!R85C8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5" s="3"/>
      </tp>
      <tp>
        <v>-442</v>
        <stp/>
        <stp>##V3_BDHV12</stp>
        <stp>XOM US Equity</stp>
        <stp>NON_CASH_ITEMS_DETAILED</stp>
        <stp>FQ1 2011</stp>
        <stp>FQ1 2011</stp>
        <stp>[FA1_m42y3cpi.xlsx]Cash Flow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4"/>
      </tp>
      <tp>
        <v>229</v>
        <stp/>
        <stp>##V3_BDHV12</stp>
        <stp>XOM US Equity</stp>
        <stp>NON_CASH_ITEMS_DETAILED</stp>
        <stp>FQ3 2010</stp>
        <stp>FQ3 2010</stp>
        <stp>[FA1_m42y3cpi.xlsx]Cash Flow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4"/>
      </tp>
      <tp>
        <v>-558</v>
        <stp/>
        <stp>##V3_BDHV12</stp>
        <stp>XOM US Equity</stp>
        <stp>NON_CASH_ITEMS_DETAILED</stp>
        <stp>FQ2 2010</stp>
        <stp>FQ2 2010</stp>
        <stp>[FA1_m42y3cpi.xlsx]Cash Flow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4"/>
      </tp>
      <tp>
        <v>442</v>
        <stp/>
        <stp>##V3_BDHV12</stp>
        <stp>XOM US Equity</stp>
        <stp>NON_CASH_ITEMS_DETAILED</stp>
        <stp>FQ4 2011</stp>
        <stp>FQ4 2011</stp>
        <stp>[FA1_m42y3cpi.xlsx]Cash Flow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4"/>
      </tp>
      <tp>
        <v>203</v>
        <stp/>
        <stp>##V3_BDHV12</stp>
        <stp>XOM US Equity</stp>
        <stp>NON_CASH_ITEMS_DETAILED</stp>
        <stp>FQ1 2012</stp>
        <stp>FQ1 2012</stp>
        <stp>[FA1_m42y3cpi.xlsx]Cash Flow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4"/>
      </tp>
      <tp>
        <v>137</v>
        <stp/>
        <stp>##V3_BDHV12</stp>
        <stp>XOM US Equity</stp>
        <stp>NON_CASH_ITEMS_DETAILED</stp>
        <stp>FQ2 2011</stp>
        <stp>FQ2 2011</stp>
        <stp>[FA1_m42y3cpi.xlsx]Cash Flow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4"/>
      </tp>
      <tp>
        <v>-423</v>
        <stp/>
        <stp>##V3_BDHV12</stp>
        <stp>XOM US Equity</stp>
        <stp>NON_CASH_ITEMS_DETAILED</stp>
        <stp>FQ3 2011</stp>
        <stp>FQ3 2011</stp>
        <stp>[FA1_m42y3cpi.xlsx]Cash Flow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4"/>
      </tp>
      <tp>
        <v>-588</v>
        <stp/>
        <stp>##V3_BDHV12</stp>
        <stp>XOM US Equity</stp>
        <stp>NON_CASH_ITEMS_DETAILED</stp>
        <stp>FQ4 2010</stp>
        <stp>FQ4 2010</stp>
        <stp>[FA1_m42y3cpi.xlsx]Cash Flow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4"/>
      </tp>
      <tp>
        <v>124</v>
        <stp/>
        <stp>##V3_BDHV12</stp>
        <stp>XOM US Equity</stp>
        <stp>NON_CASH_ITEMS_DETAILED</stp>
        <stp>FQ3 2012</stp>
        <stp>FQ3 2012</stp>
        <stp>[FA1_m42y3cpi.xlsx]Cash Flow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4"/>
      </tp>
      <tp>
        <v>-7208</v>
        <stp/>
        <stp>##V3_BDHV12</stp>
        <stp>XOM US Equity</stp>
        <stp>NON_CASH_ITEMS_DETAILED</stp>
        <stp>FQ2 2012</stp>
        <stp>FQ2 2012</stp>
        <stp>[FA1_m42y3cpi.xlsx]Cash Flow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4"/>
      </tp>
      <tp t="s">
        <v>—</v>
        <stp/>
        <stp>##V3_BDHV12</stp>
        <stp>XOM US Equity</stp>
        <stp>IS_INT_INC</stp>
        <stp>FQ4 2009</stp>
        <stp>FQ4 2009</stp>
        <stp>[FA1_m42y3cpi.xlsx]Income - Adjusted!R20C8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0" s="2"/>
      </tp>
      <tp>
        <v>63209</v>
        <stp/>
        <stp>##V3_BDHV12</stp>
        <stp>XOM US Equity</stp>
        <stp>IS_COGS_TO_FE_AND_PP_AND_G</stp>
        <stp>FQ2 2018</stp>
        <stp>FQ2 2018</stp>
        <stp>[FA1_m42y3cpi.xlsx]Income - Adjusted!R8C42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8" s="2"/>
      </tp>
      <tp>
        <v>57396</v>
        <stp/>
        <stp>##V3_BDHV12</stp>
        <stp>XOM US Equity</stp>
        <stp>IS_COGS_TO_FE_AND_PP_AND_G</stp>
        <stp>FQ1 2018</stp>
        <stp>FQ1 2018</stp>
        <stp>[FA1_m42y3cpi.xlsx]Income - Adjusted!R8C41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8" s="2"/>
      </tp>
      <tp>
        <v>86228</v>
        <stp/>
        <stp>##V3_BDHV12</stp>
        <stp>XOM US Equity</stp>
        <stp>IS_COGS_TO_FE_AND_PP_AND_G</stp>
        <stp>FQ3 2012</stp>
        <stp>FQ3 2012</stp>
        <stp>[FA1_m42y3cpi.xlsx]Income - Adjusted!R8C19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>
        <v>89237</v>
        <stp/>
        <stp>##V3_BDHV12</stp>
        <stp>XOM US Equity</stp>
        <stp>IS_COGS_TO_FE_AND_PP_AND_G</stp>
        <stp>FQ2 2012</stp>
        <stp>FQ2 2012</stp>
        <stp>[FA1_m42y3cpi.xlsx]Income - Adjusted!R8C18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66918</v>
        <stp/>
        <stp>##V3_BDHV12</stp>
        <stp>XOM US Equity</stp>
        <stp>IS_COGS_TO_FE_AND_PP_AND_G</stp>
        <stp>FQ4 2014</stp>
        <stp>FQ4 2014</stp>
        <stp>[FA1_m42y3cpi.xlsx]Income - Adjusted!R8C28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 t="s">
        <v>—</v>
        <stp/>
        <stp>##V3_BDHV12</stp>
        <stp>XOM US Equity</stp>
        <stp>BS_CURR_PORTION_LT_DEBT</stp>
        <stp>FQ3 2011</stp>
        <stp>FQ3 2011</stp>
        <stp>[FA1_m42y3cpi.xlsx]Bal Sheet - Standardized!R49C15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9" s="3"/>
      </tp>
      <tp t="s">
        <v>—</v>
        <stp/>
        <stp>##V3_BDHV12</stp>
        <stp>XOM US Equity</stp>
        <stp>BS_CURR_PORTION_LT_DEBT</stp>
        <stp>FQ1 2016</stp>
        <stp>FQ1 2016</stp>
        <stp>[FA1_m42y3cpi.xlsx]Bal Sheet - Standardized!R49C33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9" s="3"/>
      </tp>
      <tp>
        <v>1026</v>
        <stp/>
        <stp>##V3_BDHV12</stp>
        <stp>XOM US Equity</stp>
        <stp>BS_CURR_PORTION_LT_DEBT</stp>
        <stp>FQ3 2010</stp>
        <stp>FQ3 2010</stp>
        <stp>[FA1_m42y3cpi.xlsx]Bal Sheet - Standardized!R49C11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9" s="3"/>
      </tp>
      <tp t="s">
        <v>—</v>
        <stp/>
        <stp>##V3_BDHV12</stp>
        <stp>XOM US Equity</stp>
        <stp>BS_CURR_PORTION_LT_DEBT</stp>
        <stp>FQ1 2017</stp>
        <stp>FQ1 2017</stp>
        <stp>[FA1_m42y3cpi.xlsx]Bal Sheet - Standardized!R49C37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9" s="3"/>
      </tp>
      <tp>
        <v>1.33</v>
        <stp/>
        <stp>##V3_BDHV12</stp>
        <stp>XOM US Equity</stp>
        <stp>IS_DIL_EPS_BEF_XO</stp>
        <stp>FQ1 2010</stp>
        <stp>FQ1 2010</stp>
        <stp>[FA1_m42y3cpi.xlsx]Per Share!R18C9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8" s="5"/>
      </tp>
      <tp t="s">
        <v>—</v>
        <stp/>
        <stp>##V3_BDHV12</stp>
        <stp>XOM US Equity</stp>
        <stp>BS_CURR_PORTION_LT_DEBT</stp>
        <stp>FQ3 2012</stp>
        <stp>FQ3 2012</stp>
        <stp>[FA1_m42y3cpi.xlsx]Bal Sheet - Standardized!R49C19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9" s="3"/>
      </tp>
      <tp>
        <v>86047</v>
        <stp/>
        <stp>##V3_BDHV12</stp>
        <stp>XOM US Equity</stp>
        <stp>OTHER_NONCUR_LIABS_SUB_DETAILED</stp>
        <stp>FQ4 2015</stp>
        <stp>FQ4 2015</stp>
        <stp>[FA1_m42y3cpi.xlsx]Bal Sheet - Standardized!R58C32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8" s="3"/>
      </tp>
      <tp>
        <v>79914</v>
        <stp/>
        <stp>##V3_BDHV12</stp>
        <stp>XOM US Equity</stp>
        <stp>OTHER_NONCUR_LIABS_SUB_DETAILED</stp>
        <stp>FQ4 2016</stp>
        <stp>FQ4 2016</stp>
        <stp>[FA1_m42y3cpi.xlsx]Bal Sheet - Standardized!R58C36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8" s="3"/>
      </tp>
      <tp>
        <v>0</v>
        <stp/>
        <stp>##V3_BDHV12</stp>
        <stp>XOM US Equity</stp>
        <stp>XO_GL_NET_OF_TAX</stp>
        <stp>FQ1 2018</stp>
        <stp>FQ1 2018</stp>
        <stp>[FA1_m42y3cpi.xlsx]Income - Adjusted!R35C41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5" s="2"/>
      </tp>
      <tp>
        <v>-6590</v>
        <stp/>
        <stp>##V3_BDHV12</stp>
        <stp>XOM US Equity</stp>
        <stp>CHG_IN_FXD_&amp;_INTANG_AST_DETAILED</stp>
        <stp>FQ4 2013</stp>
        <stp>FQ4 2013</stp>
        <stp>[FA1_m42y3cpi.xlsx]Cash Flow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4"/>
      </tp>
      <tp>
        <v>-9252</v>
        <stp/>
        <stp>##V3_BDHV12</stp>
        <stp>XOM US Equity</stp>
        <stp>CHG_IN_FXD_&amp;_INTANG_AST_DETAILED</stp>
        <stp>FQ4 2012</stp>
        <stp>FQ4 2012</stp>
        <stp>[FA1_m42y3cpi.xlsx]Cash Flow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4"/>
      </tp>
      <tp>
        <v>0</v>
        <stp/>
        <stp>##V3_BDHV12</stp>
        <stp>XOM US Equity</stp>
        <stp>XO_GL_NET_OF_TAX</stp>
        <stp>FQ1 2018</stp>
        <stp>FQ1 2018</stp>
        <stp>[FA1_m42y3cpi.xlsx]Income - Adjusted!R47C41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7" s="2"/>
      </tp>
      <tp>
        <v>-4620</v>
        <stp/>
        <stp>##V3_BDHV12</stp>
        <stp>XOM US Equity</stp>
        <stp>CHG_IN_FXD_&amp;_INTANG_AST_DETAILED</stp>
        <stp>FQ2 2018</stp>
        <stp>FQ2 2018</stp>
        <stp>[FA1_m42y3cpi.xlsx]Cash Flow - Standardized!R20C42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0" s="4"/>
      </tp>
      <tp>
        <v>-8643</v>
        <stp/>
        <stp>##V3_BDHV12</stp>
        <stp>XOM US Equity</stp>
        <stp>CHG_IN_FXD_&amp;_INTANG_AST_DETAILED</stp>
        <stp>FQ4 2014</stp>
        <stp>FQ4 2014</stp>
        <stp>[FA1_m42y3cpi.xlsx]Cash Flow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4"/>
      </tp>
      <tp>
        <v>917196.49560000002</v>
        <stp/>
        <stp>##V3_BDHV12</stp>
        <stp>XOM US Equity</stp>
        <stp>ACTUAL_SALES_PER_EMPL</stp>
        <stp>FQ4 2008</stp>
        <stp>FQ4 2008</stp>
        <stp>[FA1_m42y3cpi.xlsx]Income - Adjusted!R68C4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68" s="2"/>
      </tp>
      <tp t="s">
        <v>—</v>
        <stp/>
        <stp>##V3_BDHV12</stp>
        <stp>XOM US Equity</stp>
        <stp>ACTUAL_SALES_PER_EMPL</stp>
        <stp>FQ3 2008</stp>
        <stp>FQ3 2008</stp>
        <stp>[FA1_m42y3cpi.xlsx]Income - Adjusted!R68C3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68" s="2"/>
      </tp>
      <tp>
        <v>112541</v>
        <stp/>
        <stp>##V3_BDHV12</stp>
        <stp>XOM US Equity</stp>
        <stp>EQTY_BEF_MINORITY_INT_DETAILED</stp>
        <stp>FQ1 2010</stp>
        <stp>FQ1 2010</stp>
        <stp>[FA1_m42y3cpi.xlsx]Bal Sheet - Standardized!R72C9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2" s="3"/>
      </tp>
      <tp>
        <v>110569</v>
        <stp/>
        <stp>##V3_BDHV12</stp>
        <stp>XOM US Equity</stp>
        <stp>EQTY_BEF_MINORITY_INT_DETAILED</stp>
        <stp>FQ4 2009</stp>
        <stp>FQ4 2009</stp>
        <stp>[FA1_m42y3cpi.xlsx]Bal Sheet - Standardized!R72C8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2" s="3"/>
      </tp>
      <tp>
        <v>125286</v>
        <stp/>
        <stp>##V3_BDHV12</stp>
        <stp>XOM US Equity</stp>
        <stp>EQTY_BEF_MINORITY_INT_DETAILED</stp>
        <stp>FQ3 2008</stp>
        <stp>FQ3 2008</stp>
        <stp>[FA1_m42y3cpi.xlsx]Bal Sheet - Standardized!R72C3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2" s="3"/>
      </tp>
      <tp>
        <v>112965</v>
        <stp/>
        <stp>##V3_BDHV12</stp>
        <stp>XOM US Equity</stp>
        <stp>EQTY_BEF_MINORITY_INT_DETAILED</stp>
        <stp>FQ4 2008</stp>
        <stp>FQ4 2008</stp>
        <stp>[FA1_m42y3cpi.xlsx]Bal Sheet - Standardized!R72C4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2" s="3"/>
      </tp>
      <tp>
        <v>13.485200000000001</v>
        <stp/>
        <stp>##V3_BDHV12</stp>
        <stp>XOM US Equity</stp>
        <stp>CASH_CONVERSION_CYCLE</stp>
        <stp>FQ4 2013</stp>
        <stp>FQ4 2013</stp>
        <stp>[FA1_m42y3cpi.xlsx]Bal Sheet - Standardized!R90C24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90" s="3"/>
      </tp>
      <tp t="s">
        <v>—</v>
        <stp/>
        <stp>##V3_BDHV12</stp>
        <stp>XOM US Equity</stp>
        <stp>CASH_CONVERSION_CYCLE</stp>
        <stp>FQ3 2013</stp>
        <stp>FQ3 2013</stp>
        <stp>[FA1_m42y3cpi.xlsx]Bal Sheet - Standardized!R90C23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90" s="3"/>
      </tp>
      <tp t="s">
        <v>—</v>
        <stp/>
        <stp>##V3_BDHV12</stp>
        <stp>XOM US Equity</stp>
        <stp>CASH_CONVERSION_CYCLE</stp>
        <stp>FQ2 2013</stp>
        <stp>FQ2 2013</stp>
        <stp>[FA1_m42y3cpi.xlsx]Bal Sheet - Standardized!R90C22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90" s="3"/>
      </tp>
      <tp t="s">
        <v>—</v>
        <stp/>
        <stp>##V3_BDHV12</stp>
        <stp>XOM US Equity</stp>
        <stp>CASH_CONVERSION_CYCLE</stp>
        <stp>FQ1 2013</stp>
        <stp>FQ1 2013</stp>
        <stp>[FA1_m42y3cpi.xlsx]Bal Sheet - Standardized!R90C21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90" s="3"/>
      </tp>
      <tp>
        <v>0.89149999999999996</v>
        <stp/>
        <stp>##V3_BDHV12</stp>
        <stp>XOM US Equity</stp>
        <stp>CASH_ST_INVESTMENTS_PER_SH</stp>
        <stp>FQ4 2015</stp>
        <stp>FQ4 2015</stp>
        <stp>[FA1_m42y3cpi.xlsx]Per Share!R25C32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5" s="5"/>
      </tp>
      <tp>
        <v>0.74950000000000006</v>
        <stp/>
        <stp>##V3_BDHV12</stp>
        <stp>XOM US Equity</stp>
        <stp>CASH_ST_INVESTMENTS_PER_SH</stp>
        <stp>FQ4 2017</stp>
        <stp>FQ4 2017</stp>
        <stp>[FA1_m42y3cpi.xlsx]Per Share!R25C40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5" s="5"/>
      </tp>
      <tp>
        <v>1.0712999999999999</v>
        <stp/>
        <stp>##V3_BDHV12</stp>
        <stp>XOM US Equity</stp>
        <stp>CASH_ST_INVESTMENTS_PER_SH</stp>
        <stp>FQ4 2013</stp>
        <stp>FQ4 2013</stp>
        <stp>[FA1_m42y3cpi.xlsx]Per Share!R25C24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5" s="5"/>
      </tp>
      <tp>
        <v>2.6751</v>
        <stp/>
        <stp>##V3_BDHV12</stp>
        <stp>XOM US Equity</stp>
        <stp>CASH_ST_INVESTMENTS_PER_SH</stp>
        <stp>FQ4 2011</stp>
        <stp>FQ4 2011</stp>
        <stp>[FA1_m42y3cpi.xlsx]Per Share!R25C16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5" s="5"/>
      </tp>
      <tp>
        <v>106592</v>
        <stp/>
        <stp>##V3_BDHV12</stp>
        <stp>XOM US Equity</stp>
        <stp>EQTY_BEF_MINORITY_INT_DETAILED</stp>
        <stp>FQ2 2009</stp>
        <stp>FQ2 2009</stp>
        <stp>[FA1_m42y3cpi.xlsx]Bal Sheet - Standardized!R72C6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2" s="3"/>
      </tp>
      <tp>
        <v>107265</v>
        <stp/>
        <stp>##V3_BDHV12</stp>
        <stp>XOM US Equity</stp>
        <stp>EQTY_BEF_MINORITY_INT_DETAILED</stp>
        <stp>FQ3 2009</stp>
        <stp>FQ3 2009</stp>
        <stp>[FA1_m42y3cpi.xlsx]Bal Sheet - Standardized!R72C7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2" s="3"/>
      </tp>
      <tp>
        <v>107003</v>
        <stp/>
        <stp>##V3_BDHV12</stp>
        <stp>XOM US Equity</stp>
        <stp>EQTY_BEF_MINORITY_INT_DETAILED</stp>
        <stp>FQ1 2009</stp>
        <stp>FQ1 2009</stp>
        <stp>[FA1_m42y3cpi.xlsx]Bal Sheet - Standardized!R72C5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2" s="3"/>
      </tp>
      <tp>
        <v>86.19</v>
        <stp/>
        <stp>##V3_BDHV12</stp>
        <stp>XOM US Equity</stp>
        <stp>PX_LOW</stp>
        <stp>FQ4 2014</stp>
        <stp>FQ4 2014</stp>
        <stp>[FA1_m42y3cpi.xlsx]Stock Value!R10C28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0" s="6"/>
      </tp>
      <tp>
        <v>-1.8595000000000002</v>
        <stp/>
        <stp>##V3_BDHV12</stp>
        <stp>XOM US Equity</stp>
        <stp>CHG_PCT_PERIOD</stp>
        <stp>FQ3 2009</stp>
        <stp>FQ3 2009</stp>
        <stp>[FA1_m42y3cpi.xlsx]Stock Value!R7C7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6"/>
      </tp>
      <tp t="s">
        <v>—</v>
        <stp/>
        <stp>##V3_BDHV12</stp>
        <stp>XOM US Equity</stp>
        <stp>BS_DERIV_&amp;_HEDGING_ASSETS_LT</stp>
        <stp>FQ4 2009</stp>
        <stp>FQ4 2009</stp>
        <stp>[FA1_m42y3cpi.xlsx]Bal Sheet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3"/>
      </tp>
      <tp t="s">
        <v>—</v>
        <stp/>
        <stp>##V3_BDHV12</stp>
        <stp>XOM US Equity</stp>
        <stp>BS_DERIV_&amp;_HEDGING_ASSETS_LT</stp>
        <stp>FQ1 2010</stp>
        <stp>FQ1 2010</stp>
        <stp>[FA1_m42y3cpi.xlsx]Bal Sheet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3"/>
      </tp>
      <tp t="s">
        <v>—</v>
        <stp/>
        <stp>##V3_BDHV12</stp>
        <stp>XOM US Equity</stp>
        <stp>BS_DERIV_&amp;_HEDGING_ASSETS_LT</stp>
        <stp>FQ3 2009</stp>
        <stp>FQ3 2009</stp>
        <stp>[FA1_m42y3cpi.xlsx]Bal Sheet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3"/>
      </tp>
      <tp t="s">
        <v>—</v>
        <stp/>
        <stp>##V3_BDHV12</stp>
        <stp>XOM US Equity</stp>
        <stp>BS_DERIV_&amp;_HEDGING_ASSETS_LT</stp>
        <stp>FQ2 2009</stp>
        <stp>FQ2 2009</stp>
        <stp>[FA1_m42y3cpi.xlsx]Bal Sheet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3"/>
      </tp>
      <tp t="s">
        <v>—</v>
        <stp/>
        <stp>##V3_BDHV12</stp>
        <stp>XOM US Equity</stp>
        <stp>BS_DERIV_&amp;_HEDGING_ASSETS_LT</stp>
        <stp>FQ1 2009</stp>
        <stp>FQ1 2009</stp>
        <stp>[FA1_m42y3cpi.xlsx]Bal Sheet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3"/>
      </tp>
      <tp t="s">
        <v>—</v>
        <stp/>
        <stp>##V3_BDHV12</stp>
        <stp>XOM US Equity</stp>
        <stp>BS_DERIV_&amp;_HEDGING_ASSETS_LT</stp>
        <stp>FQ4 2008</stp>
        <stp>FQ4 2008</stp>
        <stp>[FA1_m42y3cpi.xlsx]Bal Sheet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3"/>
      </tp>
      <tp t="s">
        <v>—</v>
        <stp/>
        <stp>##V3_BDHV12</stp>
        <stp>XOM US Equity</stp>
        <stp>BS_DERIV_&amp;_HEDGING_ASSETS_LT</stp>
        <stp>FQ3 2008</stp>
        <stp>FQ3 2008</stp>
        <stp>[FA1_m42y3cpi.xlsx]Bal Sheet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3"/>
      </tp>
      <tp>
        <v>462</v>
        <stp/>
        <stp>##V3_BDHV12</stp>
        <stp>XOM US Equity</stp>
        <stp>DISP_FXD_&amp;_INTANGIBLES_DETAILED</stp>
        <stp>FQ4 2009</stp>
        <stp>FQ4 2009</stp>
        <stp>[FA1_m42y3cpi.xlsx]Cash Flow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4"/>
      </tp>
      <tp>
        <v>424</v>
        <stp/>
        <stp>##V3_BDHV12</stp>
        <stp>XOM US Equity</stp>
        <stp>DISP_FXD_&amp;_INTANGIBLES_DETAILED</stp>
        <stp>FQ1 2010</stp>
        <stp>FQ1 2010</stp>
        <stp>[FA1_m42y3cpi.xlsx]Cash Flow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4"/>
      </tp>
      <tp>
        <v>172</v>
        <stp/>
        <stp>##V3_BDHV12</stp>
        <stp>XOM US Equity</stp>
        <stp>DISP_FXD_&amp;_INTANGIBLES_DETAILED</stp>
        <stp>FQ3 2009</stp>
        <stp>FQ3 2009</stp>
        <stp>[FA1_m42y3cpi.xlsx]Cash Flow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4"/>
      </tp>
      <tp>
        <v>770</v>
        <stp/>
        <stp>##V3_BDHV12</stp>
        <stp>XOM US Equity</stp>
        <stp>DISP_FXD_&amp;_INTANGIBLES_DETAILED</stp>
        <stp>FQ2 2009</stp>
        <stp>FQ2 2009</stp>
        <stp>[FA1_m42y3cpi.xlsx]Cash Flow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4"/>
      </tp>
      <tp>
        <v>141</v>
        <stp/>
        <stp>##V3_BDHV12</stp>
        <stp>XOM US Equity</stp>
        <stp>DISP_FXD_&amp;_INTANGIBLES_DETAILED</stp>
        <stp>FQ1 2009</stp>
        <stp>FQ1 2009</stp>
        <stp>[FA1_m42y3cpi.xlsx]Cash Flow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4"/>
      </tp>
      <tp>
        <v>1783</v>
        <stp/>
        <stp>##V3_BDHV12</stp>
        <stp>XOM US Equity</stp>
        <stp>DISP_FXD_&amp;_INTANGIBLES_DETAILED</stp>
        <stp>FQ4 2008</stp>
        <stp>FQ4 2008</stp>
        <stp>[FA1_m42y3cpi.xlsx]Cash Flow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4"/>
      </tp>
      <tp>
        <v>2630</v>
        <stp/>
        <stp>##V3_BDHV12</stp>
        <stp>XOM US Equity</stp>
        <stp>DISP_FXD_&amp;_INTANGIBLES_DETAILED</stp>
        <stp>FQ3 2008</stp>
        <stp>FQ3 2008</stp>
        <stp>[FA1_m42y3cpi.xlsx]Cash Flow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4"/>
      </tp>
      <tp>
        <v>1.55</v>
        <stp/>
        <stp>##V3_BDHV12</stp>
        <stp>XOM US Equity</stp>
        <stp>IS_DIL_EPS_BEF_XO</stp>
        <stp>FQ4 2008</stp>
        <stp>FQ4 2008</stp>
        <stp>[FA1_m42y3cpi.xlsx]Per Share!R18C4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8" s="5"/>
      </tp>
      <tp>
        <v>2.86</v>
        <stp/>
        <stp>##V3_BDHV12</stp>
        <stp>XOM US Equity</stp>
        <stp>IS_DIL_EPS_BEF_XO</stp>
        <stp>FQ3 2008</stp>
        <stp>FQ3 2008</stp>
        <stp>[FA1_m42y3cpi.xlsx]Per Share!R18C3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8" s="5"/>
      </tp>
      <tp t="s">
        <v>—</v>
        <stp/>
        <stp>##V3_BDHV12</stp>
        <stp>XOM US Equity</stp>
        <stp>BS_CURR_PORTION_LT_DEBT</stp>
        <stp>FQ2 2011</stp>
        <stp>FQ2 2011</stp>
        <stp>[FA1_m42y3cpi.xlsx]Bal Sheet - Standardized!R49C14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9" s="3"/>
      </tp>
      <tp t="s">
        <v>—</v>
        <stp/>
        <stp>##V3_BDHV12</stp>
        <stp>XOM US Equity</stp>
        <stp>BS_CURR_PORTION_LT_DEBT</stp>
        <stp>FQ1 2013</stp>
        <stp>FQ1 2013</stp>
        <stp>[FA1_m42y3cpi.xlsx]Bal Sheet - Standardized!R49C21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9" s="3"/>
      </tp>
      <tp>
        <v>1026</v>
        <stp/>
        <stp>##V3_BDHV12</stp>
        <stp>XOM US Equity</stp>
        <stp>BS_CURR_PORTION_LT_DEBT</stp>
        <stp>FQ2 2010</stp>
        <stp>FQ2 2010</stp>
        <stp>[FA1_m42y3cpi.xlsx]Bal Sheet - Standardized!R49C10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9" s="3"/>
      </tp>
      <tp t="s">
        <v>—</v>
        <stp/>
        <stp>##V3_BDHV12</stp>
        <stp>XOM US Equity</stp>
        <stp>BS_CURR_PORTION_LT_DEBT</stp>
        <stp>FQ1 2014</stp>
        <stp>FQ1 2014</stp>
        <stp>[FA1_m42y3cpi.xlsx]Bal Sheet - Standardized!R49C25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9" s="3"/>
      </tp>
      <tp t="s">
        <v>—</v>
        <stp/>
        <stp>##V3_BDHV12</stp>
        <stp>XOM US Equity</stp>
        <stp>BS_CURR_PORTION_LT_DEBT</stp>
        <stp>FQ1 2015</stp>
        <stp>FQ1 2015</stp>
        <stp>[FA1_m42y3cpi.xlsx]Bal Sheet - Standardized!R49C29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9" s="3"/>
      </tp>
      <tp t="s">
        <v>—</v>
        <stp/>
        <stp>##V3_BDHV12</stp>
        <stp>XOM US Equity</stp>
        <stp>BS_CURR_PORTION_LT_DEBT</stp>
        <stp>FQ2 2012</stp>
        <stp>FQ2 2012</stp>
        <stp>[FA1_m42y3cpi.xlsx]Bal Sheet - Standardized!R49C18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9" s="3"/>
      </tp>
      <tp>
        <v>72090</v>
        <stp/>
        <stp>##V3_BDHV12</stp>
        <stp>XOM US Equity</stp>
        <stp>OTHER_NONCUR_LIABS_SUB_DETAILED</stp>
        <stp>FQ2 2018</stp>
        <stp>FQ2 2018</stp>
        <stp>[FA1_m42y3cpi.xlsx]Bal Sheet - Standardized!R58C42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8" s="3"/>
      </tp>
      <tp>
        <v>92143</v>
        <stp/>
        <stp>##V3_BDHV12</stp>
        <stp>XOM US Equity</stp>
        <stp>OTHER_NONCUR_LIABS_SUB_DETAILED</stp>
        <stp>FQ4 2014</stp>
        <stp>FQ4 2014</stp>
        <stp>[FA1_m42y3cpi.xlsx]Bal Sheet - Standardized!R58C28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8" s="3"/>
      </tp>
      <tp>
        <v>87698</v>
        <stp/>
        <stp>##V3_BDHV12</stp>
        <stp>XOM US Equity</stp>
        <stp>OTHER_NONCUR_LIABS_SUB_DETAILED</stp>
        <stp>FQ4 2013</stp>
        <stp>FQ4 2013</stp>
        <stp>[FA1_m42y3cpi.xlsx]Bal Sheet - Standardized!R58C24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8" s="3"/>
      </tp>
      <tp>
        <v>90068</v>
        <stp/>
        <stp>##V3_BDHV12</stp>
        <stp>XOM US Equity</stp>
        <stp>OTHER_NONCUR_LIABS_SUB_DETAILED</stp>
        <stp>FQ4 2012</stp>
        <stp>FQ4 2012</stp>
        <stp>[FA1_m42y3cpi.xlsx]Bal Sheet - Standardized!R58C20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8" s="3"/>
      </tp>
      <tp>
        <v>-5351</v>
        <stp/>
        <stp>##V3_BDHV12</stp>
        <stp>XOM US Equity</stp>
        <stp>CHG_IN_FXD_&amp;_INTANG_AST_DETAILED</stp>
        <stp>FQ4 2015</stp>
        <stp>FQ4 2015</stp>
        <stp>[FA1_m42y3cpi.xlsx]Cash Flow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4"/>
      </tp>
      <tp>
        <v>-1794</v>
        <stp/>
        <stp>##V3_BDHV12</stp>
        <stp>XOM US Equity</stp>
        <stp>CHG_IN_FXD_&amp;_INTANG_AST_DETAILED</stp>
        <stp>FQ4 2016</stp>
        <stp>FQ4 2016</stp>
        <stp>[FA1_m42y3cpi.xlsx]Cash Flow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4"/>
      </tp>
      <tp>
        <v>992639.40520000004</v>
        <stp/>
        <stp>##V3_BDHV12</stp>
        <stp>XOM US Equity</stp>
        <stp>ACTUAL_SALES_PER_EMPL</stp>
        <stp>FQ4 2009</stp>
        <stp>FQ4 2009</stp>
        <stp>[FA1_m42y3cpi.xlsx]Income - Adjusted!R68C8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68" s="2"/>
      </tp>
      <tp t="s">
        <v>—</v>
        <stp/>
        <stp>##V3_BDHV12</stp>
        <stp>XOM US Equity</stp>
        <stp>ACTUAL_SALES_PER_EMPL</stp>
        <stp>FQ2 2009</stp>
        <stp>FQ2 2009</stp>
        <stp>[FA1_m42y3cpi.xlsx]Income - Adjusted!R68C6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68" s="2"/>
      </tp>
      <tp t="s">
        <v>—</v>
        <stp/>
        <stp>##V3_BDHV12</stp>
        <stp>XOM US Equity</stp>
        <stp>ACTUAL_SALES_PER_EMPL</stp>
        <stp>FQ3 2009</stp>
        <stp>FQ3 2009</stp>
        <stp>[FA1_m42y3cpi.xlsx]Income - Adjusted!R68C7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68" s="2"/>
      </tp>
      <tp t="s">
        <v>—</v>
        <stp/>
        <stp>##V3_BDHV12</stp>
        <stp>XOM US Equity</stp>
        <stp>ACTUAL_SALES_PER_EMPL</stp>
        <stp>FQ1 2009</stp>
        <stp>FQ1 2009</stp>
        <stp>[FA1_m42y3cpi.xlsx]Income - Adjusted!R68C5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68" s="2"/>
      </tp>
      <tp t="s">
        <v>—</v>
        <stp/>
        <stp>##V3_BDHV12</stp>
        <stp>XOM US Equity</stp>
        <stp>IS_INT_INC</stp>
        <stp>FQ4 2015</stp>
        <stp>FQ4 2015</stp>
        <stp>[FA1_m42y3cpi.xlsx]Income - Adjusted!R20C32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0" s="2"/>
      </tp>
      <tp>
        <v>152</v>
        <stp/>
        <stp>##V3_BDHV12</stp>
        <stp>XOM US Equity</stp>
        <stp>IS_INT_INC</stp>
        <stp>FQ4 2013</stp>
        <stp>FQ4 2013</stp>
        <stp>[FA1_m42y3cpi.xlsx]Income - Adjusted!R20C24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0" s="2"/>
      </tp>
      <tp t="s">
        <v>—</v>
        <stp/>
        <stp>##V3_BDHV12</stp>
        <stp>XOM US Equity</stp>
        <stp>IS_INT_INC</stp>
        <stp>FQ4 2011</stp>
        <stp>FQ4 2011</stp>
        <stp>[FA1_m42y3cpi.xlsx]Income - Adjusted!R20C16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0" s="2"/>
      </tp>
      <tp t="s">
        <v>—</v>
        <stp/>
        <stp>##V3_BDHV12</stp>
        <stp>XOM US Equity</stp>
        <stp>IS_INT_INC</stp>
        <stp>FQ4 2017</stp>
        <stp>FQ4 2017</stp>
        <stp>[FA1_m42y3cpi.xlsx]Income - Adjusted!R20C40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20" s="2"/>
      </tp>
      <tp>
        <v>12.3193</v>
        <stp/>
        <stp>##V3_BDHV12</stp>
        <stp>XOM US Equity</stp>
        <stp>CASH_CONVERSION_CYCLE</stp>
        <stp>FQ4 2012</stp>
        <stp>FQ4 2012</stp>
        <stp>[FA1_m42y3cpi.xlsx]Bal Sheet - Standardized!R90C20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90" s="3"/>
      </tp>
      <tp t="s">
        <v>—</v>
        <stp/>
        <stp>##V3_BDHV12</stp>
        <stp>XOM US Equity</stp>
        <stp>CASH_CONVERSION_CYCLE</stp>
        <stp>FQ1 2012</stp>
        <stp>FQ1 2012</stp>
        <stp>[FA1_m42y3cpi.xlsx]Bal Sheet - Standardized!R90C17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90" s="3"/>
      </tp>
      <tp t="s">
        <v>—</v>
        <stp/>
        <stp>##V3_BDHV12</stp>
        <stp>XOM US Equity</stp>
        <stp>CASH_CONVERSION_CYCLE</stp>
        <stp>FQ2 2012</stp>
        <stp>FQ2 2012</stp>
        <stp>[FA1_m42y3cpi.xlsx]Bal Sheet - Standardized!R90C18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90" s="3"/>
      </tp>
      <tp t="s">
        <v>—</v>
        <stp/>
        <stp>##V3_BDHV12</stp>
        <stp>XOM US Equity</stp>
        <stp>CASH_CONVERSION_CYCLE</stp>
        <stp>FQ3 2012</stp>
        <stp>FQ3 2012</stp>
        <stp>[FA1_m42y3cpi.xlsx]Bal Sheet - Standardized!R90C19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90" s="3"/>
      </tp>
      <tp>
        <v>2.6579000000000002</v>
        <stp/>
        <stp>##V3_BDHV12</stp>
        <stp>XOM US Equity</stp>
        <stp>CHG_PCT_PERIOD</stp>
        <stp>FQ2 2009</stp>
        <stp>FQ2 2009</stp>
        <stp>[FA1_m42y3cpi.xlsx]Stock Value!R7C6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6"/>
      </tp>
      <tp>
        <v>0</v>
        <stp/>
        <stp>##V3_BDHV12</stp>
        <stp>XOM US Equity</stp>
        <stp>INVTRY_RAW_MATERIALS</stp>
        <stp>FQ4 2009</stp>
        <stp>FQ4 2009</stp>
        <stp>[FA1_m42y3cpi.xlsx]Bal Sheet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3"/>
      </tp>
      <tp>
        <v>0</v>
        <stp/>
        <stp>##V3_BDHV12</stp>
        <stp>XOM US Equity</stp>
        <stp>INVTRY_RAW_MATERIALS</stp>
        <stp>FQ1 2010</stp>
        <stp>FQ1 2010</stp>
        <stp>[FA1_m42y3cpi.xlsx]Bal Sheet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3"/>
      </tp>
      <tp>
        <v>0.41</v>
        <stp/>
        <stp>##V3_BDHV12</stp>
        <stp>XOM US Equity</stp>
        <stp>IS_DILUTED_EPS</stp>
        <stp>FQ2 2016</stp>
        <stp>FQ2 2016</stp>
        <stp>[FA1_m42y3cpi.xlsx]Per Share!R17C34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7" s="5"/>
      </tp>
      <tp>
        <v>0.78</v>
        <stp/>
        <stp>##V3_BDHV12</stp>
        <stp>XOM US Equity</stp>
        <stp>IS_DILUTED_EPS</stp>
        <stp>FQ2 2017</stp>
        <stp>FQ2 2017</stp>
        <stp>[FA1_m42y3cpi.xlsx]Per Share!R17C38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7" s="5"/>
      </tp>
      <tp>
        <v>1</v>
        <stp/>
        <stp>##V3_BDHV12</stp>
        <stp>XOM US Equity</stp>
        <stp>IS_DILUTED_EPS</stp>
        <stp>FQ2 2015</stp>
        <stp>FQ2 2015</stp>
        <stp>[FA1_m42y3cpi.xlsx]Per Share!R17C30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7" s="5"/>
      </tp>
      <tp>
        <v>2.0499999999999998</v>
        <stp/>
        <stp>##V3_BDHV12</stp>
        <stp>XOM US Equity</stp>
        <stp>IS_DILUTED_EPS</stp>
        <stp>FQ2 2014</stp>
        <stp>FQ2 2014</stp>
        <stp>[FA1_m42y3cpi.xlsx]Per Share!R17C26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7" s="5"/>
      </tp>
      <tp>
        <v>1.55</v>
        <stp/>
        <stp>##V3_BDHV12</stp>
        <stp>XOM US Equity</stp>
        <stp>IS_DILUTED_EPS</stp>
        <stp>FQ2 2013</stp>
        <stp>FQ2 2013</stp>
        <stp>[FA1_m42y3cpi.xlsx]Per Share!R17C22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7" s="5"/>
      </tp>
      <tp>
        <v>1.6</v>
        <stp/>
        <stp>##V3_BDHV12</stp>
        <stp>XOM US Equity</stp>
        <stp>IS_DILUTED_EPS</stp>
        <stp>FQ2 2010</stp>
        <stp>FQ2 2010</stp>
        <stp>[FA1_m42y3cpi.xlsx]Per Share!R17C10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7" s="5"/>
      </tp>
      <tp>
        <v>2.1800000000000002</v>
        <stp/>
        <stp>##V3_BDHV12</stp>
        <stp>XOM US Equity</stp>
        <stp>IS_DILUTED_EPS</stp>
        <stp>FQ2 2011</stp>
        <stp>FQ2 2011</stp>
        <stp>[FA1_m42y3cpi.xlsx]Per Share!R17C14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7" s="5"/>
      </tp>
      <tp>
        <v>3.41</v>
        <stp/>
        <stp>##V3_BDHV12</stp>
        <stp>XOM US Equity</stp>
        <stp>IS_DILUTED_EPS</stp>
        <stp>FQ2 2012</stp>
        <stp>FQ2 2012</stp>
        <stp>[FA1_m42y3cpi.xlsx]Per Share!R17C18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7" s="5"/>
      </tp>
      <tp>
        <v>0.92</v>
        <stp/>
        <stp>##V3_BDHV12</stp>
        <stp>XOM US Equity</stp>
        <stp>IS_DILUTED_EPS</stp>
        <stp>FQ2 2018</stp>
        <stp>FQ2 2018</stp>
        <stp>[FA1_m42y3cpi.xlsx]Per Share!R17C42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7" s="5"/>
      </tp>
      <tp>
        <v>0.93</v>
        <stp/>
        <stp>##V3_BDHV12</stp>
        <stp>XOM US Equity</stp>
        <stp>IS_DILUTED_EPS</stp>
        <stp>FQ3 2017</stp>
        <stp>FQ3 2017</stp>
        <stp>[FA1_m42y3cpi.xlsx]Per Share!R17C39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7" s="5"/>
      </tp>
      <tp>
        <v>0.63</v>
        <stp/>
        <stp>##V3_BDHV12</stp>
        <stp>XOM US Equity</stp>
        <stp>IS_DILUTED_EPS</stp>
        <stp>FQ3 2016</stp>
        <stp>FQ3 2016</stp>
        <stp>[FA1_m42y3cpi.xlsx]Per Share!R17C35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7" s="5"/>
      </tp>
      <tp>
        <v>1.01</v>
        <stp/>
        <stp>##V3_BDHV12</stp>
        <stp>XOM US Equity</stp>
        <stp>IS_DILUTED_EPS</stp>
        <stp>FQ3 2015</stp>
        <stp>FQ3 2015</stp>
        <stp>[FA1_m42y3cpi.xlsx]Per Share!R17C31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7" s="5"/>
      </tp>
      <tp>
        <v>1.8900000000000001</v>
        <stp/>
        <stp>##V3_BDHV12</stp>
        <stp>XOM US Equity</stp>
        <stp>IS_DILUTED_EPS</stp>
        <stp>FQ3 2014</stp>
        <stp>FQ3 2014</stp>
        <stp>[FA1_m42y3cpi.xlsx]Per Share!R17C27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7" s="5"/>
      </tp>
      <tp>
        <v>2.13</v>
        <stp/>
        <stp>##V3_BDHV12</stp>
        <stp>XOM US Equity</stp>
        <stp>IS_DILUTED_EPS</stp>
        <stp>FQ3 2011</stp>
        <stp>FQ3 2011</stp>
        <stp>[FA1_m42y3cpi.xlsx]Per Share!R17C15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7" s="5"/>
      </tp>
      <tp>
        <v>1.44</v>
        <stp/>
        <stp>##V3_BDHV12</stp>
        <stp>XOM US Equity</stp>
        <stp>IS_DILUTED_EPS</stp>
        <stp>FQ3 2010</stp>
        <stp>FQ3 2010</stp>
        <stp>[FA1_m42y3cpi.xlsx]Per Share!R17C11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7" s="5"/>
      </tp>
      <tp>
        <v>1.79</v>
        <stp/>
        <stp>##V3_BDHV12</stp>
        <stp>XOM US Equity</stp>
        <stp>IS_DILUTED_EPS</stp>
        <stp>FQ3 2013</stp>
        <stp>FQ3 2013</stp>
        <stp>[FA1_m42y3cpi.xlsx]Per Share!R17C23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7" s="5"/>
      </tp>
      <tp>
        <v>2.09</v>
        <stp/>
        <stp>##V3_BDHV12</stp>
        <stp>XOM US Equity</stp>
        <stp>IS_DILUTED_EPS</stp>
        <stp>FQ3 2012</stp>
        <stp>FQ3 2012</stp>
        <stp>[FA1_m42y3cpi.xlsx]Per Share!R17C19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7" s="5"/>
      </tp>
      <tp>
        <v>0</v>
        <stp/>
        <stp>##V3_BDHV12</stp>
        <stp>XOM US Equity</stp>
        <stp>INVTRY_RAW_MATERIALS</stp>
        <stp>FQ1 2009</stp>
        <stp>FQ1 2009</stp>
        <stp>[FA1_m42y3cpi.xlsx]Bal Sheet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0</v>
        <stp/>
        <stp>##V3_BDHV12</stp>
        <stp>XOM US Equity</stp>
        <stp>INVTRY_RAW_MATERIALS</stp>
        <stp>FQ2 2009</stp>
        <stp>FQ2 2009</stp>
        <stp>[FA1_m42y3cpi.xlsx]Bal Sheet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3"/>
      </tp>
      <tp>
        <v>0</v>
        <stp/>
        <stp>##V3_BDHV12</stp>
        <stp>XOM US Equity</stp>
        <stp>INVTRY_RAW_MATERIALS</stp>
        <stp>FQ3 2009</stp>
        <stp>FQ3 2009</stp>
        <stp>[FA1_m42y3cpi.xlsx]Bal Sheet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3"/>
      </tp>
      <tp>
        <v>2.1</v>
        <stp/>
        <stp>##V3_BDHV12</stp>
        <stp>XOM US Equity</stp>
        <stp>IS_DILUTED_EPS</stp>
        <stp>FQ1 2014</stp>
        <stp>FQ1 2014</stp>
        <stp>[FA1_m42y3cpi.xlsx]Per Share!R17C25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7" s="5"/>
      </tp>
      <tp>
        <v>1.17</v>
        <stp/>
        <stp>##V3_BDHV12</stp>
        <stp>XOM US Equity</stp>
        <stp>IS_DILUTED_EPS</stp>
        <stp>FQ1 2015</stp>
        <stp>FQ1 2015</stp>
        <stp>[FA1_m42y3cpi.xlsx]Per Share!R17C29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7" s="5"/>
      </tp>
      <tp>
        <v>0.95</v>
        <stp/>
        <stp>##V3_BDHV12</stp>
        <stp>XOM US Equity</stp>
        <stp>IS_DILUTED_EPS</stp>
        <stp>FQ1 2017</stp>
        <stp>FQ1 2017</stp>
        <stp>[FA1_m42y3cpi.xlsx]Per Share!R17C37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7" s="5"/>
      </tp>
      <tp>
        <v>0.43</v>
        <stp/>
        <stp>##V3_BDHV12</stp>
        <stp>XOM US Equity</stp>
        <stp>IS_DILUTED_EPS</stp>
        <stp>FQ1 2016</stp>
        <stp>FQ1 2016</stp>
        <stp>[FA1_m42y3cpi.xlsx]Per Share!R17C33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7" s="5"/>
      </tp>
      <tp>
        <v>2</v>
        <stp/>
        <stp>##V3_BDHV12</stp>
        <stp>XOM US Equity</stp>
        <stp>IS_DILUTED_EPS</stp>
        <stp>FQ1 2012</stp>
        <stp>FQ1 2012</stp>
        <stp>[FA1_m42y3cpi.xlsx]Per Share!R17C17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7" s="5"/>
      </tp>
      <tp>
        <v>2.14</v>
        <stp/>
        <stp>##V3_BDHV12</stp>
        <stp>XOM US Equity</stp>
        <stp>IS_DILUTED_EPS</stp>
        <stp>FQ1 2011</stp>
        <stp>FQ1 2011</stp>
        <stp>[FA1_m42y3cpi.xlsx]Per Share!R17C13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7" s="5"/>
      </tp>
      <tp>
        <v>2.12</v>
        <stp/>
        <stp>##V3_BDHV12</stp>
        <stp>XOM US Equity</stp>
        <stp>IS_DILUTED_EPS</stp>
        <stp>FQ1 2013</stp>
        <stp>FQ1 2013</stp>
        <stp>[FA1_m42y3cpi.xlsx]Per Share!R17C21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7" s="5"/>
      </tp>
      <tp>
        <v>1.0900000000000001</v>
        <stp/>
        <stp>##V3_BDHV12</stp>
        <stp>XOM US Equity</stp>
        <stp>IS_DILUTED_EPS</stp>
        <stp>FQ1 2018</stp>
        <stp>FQ1 2018</stp>
        <stp>[FA1_m42y3cpi.xlsx]Per Share!R17C41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7" s="5"/>
      </tp>
      <tp>
        <v>1.97</v>
        <stp/>
        <stp>##V3_BDHV12</stp>
        <stp>XOM US Equity</stp>
        <stp>IS_DILUTED_EPS</stp>
        <stp>FQ4 2017</stp>
        <stp>FQ4 2017</stp>
        <stp>[FA1_m42y3cpi.xlsx]Per Share!R17C40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7" s="5"/>
      </tp>
      <tp>
        <v>1.9100000000000001</v>
        <stp/>
        <stp>##V3_BDHV12</stp>
        <stp>XOM US Equity</stp>
        <stp>IS_DILUTED_EPS</stp>
        <stp>FQ4 2013</stp>
        <stp>FQ4 2013</stp>
        <stp>[FA1_m42y3cpi.xlsx]Per Share!R17C24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7" s="5"/>
      </tp>
      <tp>
        <v>1.85</v>
        <stp/>
        <stp>##V3_BDHV12</stp>
        <stp>XOM US Equity</stp>
        <stp>IS_DILUTED_EPS</stp>
        <stp>FQ4 2010</stp>
        <stp>FQ4 2010</stp>
        <stp>[FA1_m42y3cpi.xlsx]Per Share!R17C12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7" s="5"/>
      </tp>
      <tp>
        <v>1.97</v>
        <stp/>
        <stp>##V3_BDHV12</stp>
        <stp>XOM US Equity</stp>
        <stp>IS_DILUTED_EPS</stp>
        <stp>FQ4 2011</stp>
        <stp>FQ4 2011</stp>
        <stp>[FA1_m42y3cpi.xlsx]Per Share!R17C16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7" s="5"/>
      </tp>
      <tp>
        <v>2.2000000000000002</v>
        <stp/>
        <stp>##V3_BDHV12</stp>
        <stp>XOM US Equity</stp>
        <stp>IS_DILUTED_EPS</stp>
        <stp>FQ4 2012</stp>
        <stp>FQ4 2012</stp>
        <stp>[FA1_m42y3cpi.xlsx]Per Share!R17C20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7" s="5"/>
      </tp>
      <tp>
        <v>1.56</v>
        <stp/>
        <stp>##V3_BDHV12</stp>
        <stp>XOM US Equity</stp>
        <stp>IS_DILUTED_EPS</stp>
        <stp>FQ4 2014</stp>
        <stp>FQ4 2014</stp>
        <stp>[FA1_m42y3cpi.xlsx]Per Share!R17C28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7" s="5"/>
      </tp>
      <tp>
        <v>0.67</v>
        <stp/>
        <stp>##V3_BDHV12</stp>
        <stp>XOM US Equity</stp>
        <stp>IS_DILUTED_EPS</stp>
        <stp>FQ4 2015</stp>
        <stp>FQ4 2015</stp>
        <stp>[FA1_m42y3cpi.xlsx]Per Share!R17C32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7" s="5"/>
      </tp>
      <tp>
        <v>0.41</v>
        <stp/>
        <stp>##V3_BDHV12</stp>
        <stp>XOM US Equity</stp>
        <stp>IS_DILUTED_EPS</stp>
        <stp>FQ4 2016</stp>
        <stp>FQ4 2016</stp>
        <stp>[FA1_m42y3cpi.xlsx]Per Share!R17C36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7" s="5"/>
      </tp>
      <tp>
        <v>2315</v>
        <stp/>
        <stp>##V3_BDHV12</stp>
        <stp>XOM US Equity</stp>
        <stp>INVTRY_RAW_MATERIALS</stp>
        <stp>FQ4 2008</stp>
        <stp>FQ4 2008</stp>
        <stp>[FA1_m42y3cpi.xlsx]Bal Sheet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3"/>
      </tp>
      <tp>
        <v>2430</v>
        <stp/>
        <stp>##V3_BDHV12</stp>
        <stp>XOM US Equity</stp>
        <stp>INVTRY_RAW_MATERIALS</stp>
        <stp>FQ3 2008</stp>
        <stp>FQ3 2008</stp>
        <stp>[FA1_m42y3cpi.xlsx]Bal Sheet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3"/>
      </tp>
      <tp>
        <v>4234</v>
        <stp/>
        <stp>##V3_BDHV12</stp>
        <stp>XOM US Equity</stp>
        <stp>BS_SH_OUT</stp>
        <stp>FQ2 2018</stp>
        <stp>FQ2 2018</stp>
        <stp>[FA1_m42y3cpi.xlsx]Per Share!R6C42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" s="5"/>
      </tp>
      <tp>
        <v>4234</v>
        <stp/>
        <stp>##V3_BDHV12</stp>
        <stp>XOM US Equity</stp>
        <stp>BS_SH_OUT</stp>
        <stp>FQ1 2018</stp>
        <stp>FQ1 2018</stp>
        <stp>[FA1_m42y3cpi.xlsx]Per Share!R6C41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" s="5"/>
      </tp>
      <tp>
        <v>81475</v>
        <stp/>
        <stp>##V3_BDHV12</stp>
        <stp>XOM US Equity</stp>
        <stp>OTHER_NONCUR_LIABS_SUB_DETAILED</stp>
        <stp>FQ2 2017</stp>
        <stp>FQ2 2017</stp>
        <stp>[FA1_m42y3cpi.xlsx]Bal Sheet - Standardized!R58C38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8" s="3"/>
      </tp>
      <tp>
        <v>91933</v>
        <stp/>
        <stp>##V3_BDHV12</stp>
        <stp>XOM US Equity</stp>
        <stp>OTHER_NONCUR_LIABS_SUB_DETAILED</stp>
        <stp>FQ3 2013</stp>
        <stp>FQ3 2013</stp>
        <stp>[FA1_m42y3cpi.xlsx]Bal Sheet - Standardized!R58C23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8" s="3"/>
      </tp>
      <tp>
        <v>87694</v>
        <stp/>
        <stp>##V3_BDHV12</stp>
        <stp>XOM US Equity</stp>
        <stp>OTHER_NONCUR_LIABS_SUB_DETAILED</stp>
        <stp>FQ3 2014</stp>
        <stp>FQ3 2014</stp>
        <stp>[FA1_m42y3cpi.xlsx]Bal Sheet - Standardized!R58C27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8" s="3"/>
      </tp>
      <tp>
        <v>84595</v>
        <stp/>
        <stp>##V3_BDHV12</stp>
        <stp>XOM US Equity</stp>
        <stp>OTHER_NONCUR_LIABS_SUB_DETAILED</stp>
        <stp>FQ2 2016</stp>
        <stp>FQ2 2016</stp>
        <stp>[FA1_m42y3cpi.xlsx]Bal Sheet - Standardized!R58C34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8" s="3"/>
      </tp>
      <tp>
        <v>4201</v>
        <stp/>
        <stp>##V3_BDHV12</stp>
        <stp>XOM US Equity</stp>
        <stp>BS_SH_OUT</stp>
        <stp>FQ4 2014</stp>
        <stp>FQ4 2014</stp>
        <stp>[FA1_m42y3cpi.xlsx]Per Share!R6C28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5"/>
      </tp>
      <tp>
        <v>4559</v>
        <stp/>
        <stp>##V3_BDHV12</stp>
        <stp>XOM US Equity</stp>
        <stp>BS_SH_OUT</stp>
        <stp>FQ3 2012</stp>
        <stp>FQ3 2012</stp>
        <stp>[FA1_m42y3cpi.xlsx]Per Share!R6C19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5"/>
      </tp>
      <tp>
        <v>4616</v>
        <stp/>
        <stp>##V3_BDHV12</stp>
        <stp>XOM US Equity</stp>
        <stp>BS_SH_OUT</stp>
        <stp>FQ2 2012</stp>
        <stp>FQ2 2012</stp>
        <stp>[FA1_m42y3cpi.xlsx]Per Share!R6C18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5"/>
      </tp>
      <tp>
        <v>91459</v>
        <stp/>
        <stp>##V3_BDHV12</stp>
        <stp>XOM US Equity</stp>
        <stp>OTHER_NONCUR_LIABS_SUB_DETAILED</stp>
        <stp>FQ2 2015</stp>
        <stp>FQ2 2015</stp>
        <stp>[FA1_m42y3cpi.xlsx]Bal Sheet - Standardized!R58C30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8" s="3"/>
      </tp>
      <tp>
        <v>-8346</v>
        <stp/>
        <stp>##V3_BDHV12</stp>
        <stp>XOM US Equity</stp>
        <stp>CHG_IN_FXD_&amp;_INTANG_AST_DETAILED</stp>
        <stp>FQ2 2013</stp>
        <stp>FQ2 2013</stp>
        <stp>[FA1_m42y3cpi.xlsx]Cash Flow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4"/>
      </tp>
      <tp>
        <v>-5710</v>
        <stp/>
        <stp>##V3_BDHV12</stp>
        <stp>XOM US Equity</stp>
        <stp>CHG_IN_FXD_&amp;_INTANG_AST_DETAILED</stp>
        <stp>FQ1 2011</stp>
        <stp>FQ1 2011</stp>
        <stp>[FA1_m42y3cpi.xlsx]Cash Flow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4"/>
      </tp>
      <tp>
        <v>-3093</v>
        <stp/>
        <stp>##V3_BDHV12</stp>
        <stp>XOM US Equity</stp>
        <stp>CHG_IN_FXD_&amp;_INTANG_AST_DETAILED</stp>
        <stp>FQ4 2017</stp>
        <stp>FQ4 2017</stp>
        <stp>[FA1_m42y3cpi.xlsx]Cash Flow - Standardized!R20C40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0" s="4"/>
      </tp>
      <tp>
        <v>-2428</v>
        <stp/>
        <stp>##V3_BDHV12</stp>
        <stp>XOM US Equity</stp>
        <stp>CHG_IN_FXD_&amp;_INTANG_AST_DETAILED</stp>
        <stp>FQ3 2016</stp>
        <stp>FQ3 2016</stp>
        <stp>[FA1_m42y3cpi.xlsx]Cash Flow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4"/>
      </tp>
      <tp>
        <v>-5986</v>
        <stp/>
        <stp>##V3_BDHV12</stp>
        <stp>XOM US Equity</stp>
        <stp>CHG_IN_FXD_&amp;_INTANG_AST_DETAILED</stp>
        <stp>FQ2 2014</stp>
        <stp>FQ2 2014</stp>
        <stp>[FA1_m42y3cpi.xlsx]Cash Flow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4"/>
      </tp>
      <tp>
        <v>-5910</v>
        <stp/>
        <stp>##V3_BDHV12</stp>
        <stp>XOM US Equity</stp>
        <stp>CHG_IN_FXD_&amp;_INTANG_AST_DETAILED</stp>
        <stp>FQ3 2015</stp>
        <stp>FQ3 2015</stp>
        <stp>[FA1_m42y3cpi.xlsx]Cash Flow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4"/>
      </tp>
      <tp>
        <v>-5330</v>
        <stp/>
        <stp>##V3_BDHV12</stp>
        <stp>XOM US Equity</stp>
        <stp>CHG_IN_FXD_&amp;_INTANG_AST_DETAILED</stp>
        <stp>FQ1 2012</stp>
        <stp>FQ1 2012</stp>
        <stp>[FA1_m42y3cpi.xlsx]Cash Flow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4"/>
      </tp>
      <tp>
        <v>-4059</v>
        <stp/>
        <stp>##V3_BDHV12</stp>
        <stp>XOM US Equity</stp>
        <stp>CHG_IN_FXD_&amp;_INTANG_AST_DETAILED</stp>
        <stp>FQ3 2017</stp>
        <stp>FQ3 2017</stp>
        <stp>[FA1_m42y3cpi.xlsx]Cash Flow - Standardized!R20C39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0" s="4"/>
      </tp>
      <tp t="s">
        <v>—</v>
        <stp/>
        <stp>##V3_BDHV12</stp>
        <stp>XOM US Equity</stp>
        <stp>IS_INT_INC</stp>
        <stp>FQ1 2017</stp>
        <stp>FQ1 2017</stp>
        <stp>[FA1_m42y3cpi.xlsx]Income - Adjusted!R20C37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20" s="2"/>
      </tp>
      <tp t="s">
        <v>—</v>
        <stp/>
        <stp>##V3_BDHV12</stp>
        <stp>XOM US Equity</stp>
        <stp>IS_INT_INC</stp>
        <stp>FQ2 2010</stp>
        <stp>FQ2 2010</stp>
        <stp>[FA1_m42y3cpi.xlsx]Income - Adjusted!R20C10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0" s="2"/>
      </tp>
      <tp t="s">
        <v>—</v>
        <stp/>
        <stp>##V3_BDHV12</stp>
        <stp>XOM US Equity</stp>
        <stp>IS_INT_INC</stp>
        <stp>FQ3 2013</stp>
        <stp>FQ3 2013</stp>
        <stp>[FA1_m42y3cpi.xlsx]Income - Adjusted!R20C23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0" s="2"/>
      </tp>
      <tp t="s">
        <v>—</v>
        <stp/>
        <stp>##V3_BDHV12</stp>
        <stp>XOM US Equity</stp>
        <stp>IS_INT_INC</stp>
        <stp>FQ4 2016</stp>
        <stp>FQ4 2016</stp>
        <stp>[FA1_m42y3cpi.xlsx]Income - Adjusted!R20C36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0" s="2"/>
      </tp>
      <tp>
        <v>17.694500000000001</v>
        <stp/>
        <stp>##V3_BDHV12</stp>
        <stp>XOM US Equity</stp>
        <stp>EBITDA_MARGIN</stp>
        <stp>FQ1 2009</stp>
        <stp>FQ1 2009</stp>
        <stp>[FA1_m42y3cpi.xlsx]Cash Flow - Standardized!R60C5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60" s="4"/>
      </tp>
      <tp>
        <v>27.793700000000001</v>
        <stp/>
        <stp>##V3_BDHV12</stp>
        <stp>XOM US Equity</stp>
        <stp>CASH_CONVERSION_CYCLE</stp>
        <stp>FQ4 2015</stp>
        <stp>FQ4 2015</stp>
        <stp>[FA1_m42y3cpi.xlsx]Bal Sheet - Standardized!R90C32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90" s="3"/>
      </tp>
      <tp t="s">
        <v>—</v>
        <stp/>
        <stp>##V3_BDHV12</stp>
        <stp>XOM US Equity</stp>
        <stp>CASH_CONVERSION_CYCLE</stp>
        <stp>FQ2 2015</stp>
        <stp>FQ2 2015</stp>
        <stp>[FA1_m42y3cpi.xlsx]Bal Sheet - Standardized!R90C30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90" s="3"/>
      </tp>
      <tp t="s">
        <v>—</v>
        <stp/>
        <stp>##V3_BDHV12</stp>
        <stp>XOM US Equity</stp>
        <stp>CASH_CONVERSION_CYCLE</stp>
        <stp>FQ3 2015</stp>
        <stp>FQ3 2015</stp>
        <stp>[FA1_m42y3cpi.xlsx]Bal Sheet - Standardized!R90C31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90" s="3"/>
      </tp>
      <tp t="s">
        <v>—</v>
        <stp/>
        <stp>##V3_BDHV12</stp>
        <stp>XOM US Equity</stp>
        <stp>CASH_CONVERSION_CYCLE</stp>
        <stp>FQ1 2015</stp>
        <stp>FQ1 2015</stp>
        <stp>[FA1_m42y3cpi.xlsx]Bal Sheet - Standardized!R90C29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90" s="3"/>
      </tp>
      <tp>
        <v>1.3044</v>
        <stp/>
        <stp>##V3_BDHV12</stp>
        <stp>XOM US Equity</stp>
        <stp>CASH_ST_INVESTMENTS_PER_SH</stp>
        <stp>FQ1 2014</stp>
        <stp>FQ1 2014</stp>
        <stp>[FA1_m42y3cpi.xlsx]Per Share!R25C25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5" s="5"/>
      </tp>
      <tp>
        <v>1.0469999999999999</v>
        <stp/>
        <stp>##V3_BDHV12</stp>
        <stp>XOM US Equity</stp>
        <stp>CASH_ST_INVESTMENTS_PER_SH</stp>
        <stp>FQ2 2013</stp>
        <stp>FQ2 2013</stp>
        <stp>[FA1_m42y3cpi.xlsx]Per Share!R25C22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5" s="5"/>
      </tp>
      <tp>
        <v>2.4308999999999998</v>
        <stp/>
        <stp>##V3_BDHV12</stp>
        <stp>XOM US Equity</stp>
        <stp>CASH_ST_INVESTMENTS_PER_SH</stp>
        <stp>FQ3 2010</stp>
        <stp>FQ3 2010</stp>
        <stp>[FA1_m42y3cpi.xlsx]Per Share!R25C11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5" s="5"/>
      </tp>
      <tp>
        <v>8909</v>
        <stp/>
        <stp>##V3_BDHV12</stp>
        <stp>XOM US Equity</stp>
        <stp>EBIT</stp>
        <stp>FQ1 2010</stp>
        <stp>FQ1 2010</stp>
        <stp>[FA1_m42y3cpi.xlsx]Income - Adjusted!R64C9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4" s="2"/>
      </tp>
      <tp>
        <v>77.13</v>
        <stp/>
        <stp>##V3_BDHV12</stp>
        <stp>XOM US Equity</stp>
        <stp>PX_LOW</stp>
        <stp>FQ2 2012</stp>
        <stp>FQ2 2012</stp>
        <stp>[FA1_m42y3cpi.xlsx]Stock Value!R10C18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0" s="6"/>
      </tp>
      <tp>
        <v>82.83</v>
        <stp/>
        <stp>##V3_BDHV12</stp>
        <stp>XOM US Equity</stp>
        <stp>PX_LOW</stp>
        <stp>FQ3 2012</stp>
        <stp>FQ3 2012</stp>
        <stp>[FA1_m42y3cpi.xlsx]Stock Value!R10C19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0" s="6"/>
      </tp>
      <tp>
        <v>76.05</v>
        <stp/>
        <stp>##V3_BDHV12</stp>
        <stp>XOM US Equity</stp>
        <stp>PX_LOW</stp>
        <stp>FQ3 2017</stp>
        <stp>FQ3 2017</stp>
        <stp>[FA1_m42y3cpi.xlsx]Stock Value!R10C39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0" s="6"/>
      </tp>
      <tp>
        <v>79.260000000000005</v>
        <stp/>
        <stp>##V3_BDHV12</stp>
        <stp>XOM US Equity</stp>
        <stp>PX_LOW</stp>
        <stp>FQ2 2017</stp>
        <stp>FQ2 2017</stp>
        <stp>[FA1_m42y3cpi.xlsx]Stock Value!R10C38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0" s="6"/>
      </tp>
      <tp t="s">
        <v>—</v>
        <stp/>
        <stp>##V3_BDHV12</stp>
        <stp>XOM US Equity</stp>
        <stp>BS_OPTIONS_OUTSTANDING</stp>
        <stp>FQ1 2010</stp>
        <stp>FQ1 2010</stp>
        <stp>[FA1_m42y3cpi.xlsx]Bal Sheet - Standardized!R85C9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5" s="3"/>
      </tp>
      <tp>
        <v>345</v>
        <stp/>
        <stp>##V3_BDHV12</stp>
        <stp>XOM US Equity</stp>
        <stp>BS_CURR_PORTION_LT_DEBT</stp>
        <stp>FQ4 2010</stp>
        <stp>FQ4 2010</stp>
        <stp>[FA1_m42y3cpi.xlsx]Bal Sheet - Standardized!R49C12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9" s="3"/>
      </tp>
      <tp>
        <v>3431</v>
        <stp/>
        <stp>##V3_BDHV12</stp>
        <stp>XOM US Equity</stp>
        <stp>BS_CURR_PORTION_LT_DEBT</stp>
        <stp>FQ4 2011</stp>
        <stp>FQ4 2011</stp>
        <stp>[FA1_m42y3cpi.xlsx]Bal Sheet - Standardized!R49C16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9" s="3"/>
      </tp>
      <tp t="s">
        <v>—</v>
        <stp/>
        <stp>##V3_BDHV12</stp>
        <stp>XOM US Equity</stp>
        <stp>BS_CURR_PORTION_LT_DEBT</stp>
        <stp>FQ1 2018</stp>
        <stp>FQ1 2018</stp>
        <stp>[FA1_m42y3cpi.xlsx]Bal Sheet - Standardized!R49C41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9" s="3"/>
      </tp>
      <tp>
        <v>17587</v>
        <stp/>
        <stp>##V3_BDHV12</stp>
        <stp>XOM US Equity</stp>
        <stp>BS_PENSION_RSRV</stp>
        <stp>FQ1 2010</stp>
        <stp>FQ1 2010</stp>
        <stp>[FA1_m42y3cpi.xlsx]Bal Sheet - Standardized!R81C9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1" s="3"/>
      </tp>
      <tp>
        <v>81583</v>
        <stp/>
        <stp>##V3_BDHV12</stp>
        <stp>XOM US Equity</stp>
        <stp>OTHER_NONCUR_LIABS_SUB_DETAILED</stp>
        <stp>FQ3 2017</stp>
        <stp>FQ3 2017</stp>
        <stp>[FA1_m42y3cpi.xlsx]Bal Sheet - Standardized!R58C39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8" s="3"/>
      </tp>
      <tp>
        <v>17942</v>
        <stp/>
        <stp>##V3_BDHV12</stp>
        <stp>XOM US Equity</stp>
        <stp>BS_PENSION_RSRV</stp>
        <stp>FQ4 2009</stp>
        <stp>FQ4 2009</stp>
        <stp>[FA1_m42y3cpi.xlsx]Bal Sheet - Standardized!R81C8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1" s="3"/>
      </tp>
      <tp>
        <v>72014</v>
        <stp/>
        <stp>##V3_BDHV12</stp>
        <stp>XOM US Equity</stp>
        <stp>OTHER_NONCUR_LIABS_SUB_DETAILED</stp>
        <stp>FQ4 2017</stp>
        <stp>FQ4 2017</stp>
        <stp>[FA1_m42y3cpi.xlsx]Bal Sheet - Standardized!R58C40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8" s="3"/>
      </tp>
      <tp>
        <v>76110</v>
        <stp/>
        <stp>##V3_BDHV12</stp>
        <stp>XOM US Equity</stp>
        <stp>OTHER_NONCUR_LIABS_SUB_DETAILED</stp>
        <stp>FQ1 2011</stp>
        <stp>FQ1 2011</stp>
        <stp>[FA1_m42y3cpi.xlsx]Bal Sheet - Standardized!R58C13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8" s="3"/>
      </tp>
      <tp>
        <v>89843</v>
        <stp/>
        <stp>##V3_BDHV12</stp>
        <stp>XOM US Equity</stp>
        <stp>OTHER_NONCUR_LIABS_SUB_DETAILED</stp>
        <stp>FQ2 2013</stp>
        <stp>FQ2 2013</stp>
        <stp>[FA1_m42y3cpi.xlsx]Bal Sheet - Standardized!R58C22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8" s="3"/>
      </tp>
      <tp>
        <v>89109</v>
        <stp/>
        <stp>##V3_BDHV12</stp>
        <stp>XOM US Equity</stp>
        <stp>OTHER_NONCUR_LIABS_SUB_DETAILED</stp>
        <stp>FQ2 2014</stp>
        <stp>FQ2 2014</stp>
        <stp>[FA1_m42y3cpi.xlsx]Bal Sheet - Standardized!R58C26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8" s="3"/>
      </tp>
      <tp>
        <v>83439</v>
        <stp/>
        <stp>##V3_BDHV12</stp>
        <stp>XOM US Equity</stp>
        <stp>OTHER_NONCUR_LIABS_SUB_DETAILED</stp>
        <stp>FQ3 2016</stp>
        <stp>FQ3 2016</stp>
        <stp>[FA1_m42y3cpi.xlsx]Bal Sheet - Standardized!R58C35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8" s="3"/>
      </tp>
      <tp t="s">
        <v>—</v>
        <stp/>
        <stp>##V3_BDHV12</stp>
        <stp>XOM US Equity</stp>
        <stp>BS_PENSION_RSRV</stp>
        <stp>FQ3 2008</stp>
        <stp>FQ3 2008</stp>
        <stp>[FA1_m42y3cpi.xlsx]Bal Sheet - Standardized!R81C3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1" s="3"/>
      </tp>
      <tp>
        <v>20729</v>
        <stp/>
        <stp>##V3_BDHV12</stp>
        <stp>XOM US Equity</stp>
        <stp>BS_PENSION_RSRV</stp>
        <stp>FQ4 2008</stp>
        <stp>FQ4 2008</stp>
        <stp>[FA1_m42y3cpi.xlsx]Bal Sheet - Standardized!R81C4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1" s="3"/>
      </tp>
      <tp>
        <v>89156</v>
        <stp/>
        <stp>##V3_BDHV12</stp>
        <stp>XOM US Equity</stp>
        <stp>OTHER_NONCUR_LIABS_SUB_DETAILED</stp>
        <stp>FQ3 2015</stp>
        <stp>FQ3 2015</stp>
        <stp>[FA1_m42y3cpi.xlsx]Bal Sheet - Standardized!R58C31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8" s="3"/>
      </tp>
      <tp>
        <v>91810</v>
        <stp/>
        <stp>##V3_BDHV12</stp>
        <stp>XOM US Equity</stp>
        <stp>OTHER_NONCUR_LIABS_SUB_DETAILED</stp>
        <stp>FQ1 2012</stp>
        <stp>FQ1 2012</stp>
        <stp>[FA1_m42y3cpi.xlsx]Bal Sheet - Standardized!R58C17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8" s="3"/>
      </tp>
      <tp>
        <v>18287</v>
        <stp/>
        <stp>##V3_BDHV12</stp>
        <stp>XOM US Equity</stp>
        <stp>BS_PENSION_RSRV</stp>
        <stp>FQ2 2009</stp>
        <stp>FQ2 2009</stp>
        <stp>[FA1_m42y3cpi.xlsx]Bal Sheet - Standardized!R81C6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1" s="3"/>
      </tp>
      <tp>
        <v>18632</v>
        <stp/>
        <stp>##V3_BDHV12</stp>
        <stp>XOM US Equity</stp>
        <stp>BS_PENSION_RSRV</stp>
        <stp>FQ3 2009</stp>
        <stp>FQ3 2009</stp>
        <stp>[FA1_m42y3cpi.xlsx]Bal Sheet - Standardized!R81C7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1" s="3"/>
      </tp>
      <tp>
        <v>20451</v>
        <stp/>
        <stp>##V3_BDHV12</stp>
        <stp>XOM US Equity</stp>
        <stp>BS_PENSION_RSRV</stp>
        <stp>FQ1 2009</stp>
        <stp>FQ1 2009</stp>
        <stp>[FA1_m42y3cpi.xlsx]Bal Sheet - Standardized!R81C5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1" s="3"/>
      </tp>
      <tp>
        <v>-8892</v>
        <stp/>
        <stp>##V3_BDHV12</stp>
        <stp>XOM US Equity</stp>
        <stp>CHG_IN_FXD_&amp;_INTANG_AST_DETAILED</stp>
        <stp>FQ3 2013</stp>
        <stp>FQ3 2013</stp>
        <stp>[FA1_m42y3cpi.xlsx]Cash Flow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4"/>
      </tp>
      <tp>
        <v>-3242</v>
        <stp/>
        <stp>##V3_BDHV12</stp>
        <stp>XOM US Equity</stp>
        <stp>CHG_IN_FXD_&amp;_INTANG_AST_DETAILED</stp>
        <stp>FQ2 2016</stp>
        <stp>FQ2 2016</stp>
        <stp>[FA1_m42y3cpi.xlsx]Cash Flow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4"/>
      </tp>
      <tp>
        <v>-8071</v>
        <stp/>
        <stp>##V3_BDHV12</stp>
        <stp>XOM US Equity</stp>
        <stp>CHG_IN_FXD_&amp;_INTANG_AST_DETAILED</stp>
        <stp>FQ3 2014</stp>
        <stp>FQ3 2014</stp>
        <stp>[FA1_m42y3cpi.xlsx]Cash Flow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4"/>
      </tp>
      <tp>
        <v>-6480</v>
        <stp/>
        <stp>##V3_BDHV12</stp>
        <stp>XOM US Equity</stp>
        <stp>CHG_IN_FXD_&amp;_INTANG_AST_DETAILED</stp>
        <stp>FQ2 2015</stp>
        <stp>FQ2 2015</stp>
        <stp>[FA1_m42y3cpi.xlsx]Cash Flow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4"/>
      </tp>
      <tp>
        <v>-2944</v>
        <stp/>
        <stp>##V3_BDHV12</stp>
        <stp>XOM US Equity</stp>
        <stp>CHG_IN_FXD_&amp;_INTANG_AST_DETAILED</stp>
        <stp>FQ2 2017</stp>
        <stp>FQ2 2017</stp>
        <stp>[FA1_m42y3cpi.xlsx]Cash Flow - Standardized!R20C38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0" s="4"/>
      </tp>
      <tp t="s">
        <v>—</v>
        <stp/>
        <stp>##V3_BDHV12</stp>
        <stp>XOM US Equity</stp>
        <stp>IS_INT_INC</stp>
        <stp>FQ1 2014</stp>
        <stp>FQ1 2014</stp>
        <stp>[FA1_m42y3cpi.xlsx]Income - Adjusted!R20C25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0" s="2"/>
      </tp>
      <tp t="s">
        <v>—</v>
        <stp/>
        <stp>##V3_BDHV12</stp>
        <stp>XOM US Equity</stp>
        <stp>IS_INT_INC</stp>
        <stp>FQ2 2013</stp>
        <stp>FQ2 2013</stp>
        <stp>[FA1_m42y3cpi.xlsx]Income - Adjusted!R20C22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0" s="2"/>
      </tp>
      <tp t="s">
        <v>—</v>
        <stp/>
        <stp>##V3_BDHV12</stp>
        <stp>XOM US Equity</stp>
        <stp>IS_INT_INC</stp>
        <stp>FQ3 2010</stp>
        <stp>FQ3 2010</stp>
        <stp>[FA1_m42y3cpi.xlsx]Income - Adjusted!R20C11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0" s="2"/>
      </tp>
      <tp>
        <v>8894</v>
        <stp/>
        <stp>##V3_BDHV12</stp>
        <stp>XOM US Equity</stp>
        <stp>EBIT</stp>
        <stp>FQ4 2008</stp>
        <stp>FQ4 2008</stp>
        <stp>[FA1_m42y3cpi.xlsx]Income - Adjusted!R64C4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4" s="2"/>
      </tp>
      <tp>
        <v>21359</v>
        <stp/>
        <stp>##V3_BDHV12</stp>
        <stp>XOM US Equity</stp>
        <stp>EBIT</stp>
        <stp>FQ3 2008</stp>
        <stp>FQ3 2008</stp>
        <stp>[FA1_m42y3cpi.xlsx]Income - Adjusted!R64C3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4" s="2"/>
      </tp>
      <tp>
        <v>17.215399999999999</v>
        <stp/>
        <stp>##V3_BDHV12</stp>
        <stp>XOM US Equity</stp>
        <stp>CASH_CONVERSION_CYCLE</stp>
        <stp>FQ4 2014</stp>
        <stp>FQ4 2014</stp>
        <stp>[FA1_m42y3cpi.xlsx]Bal Sheet - Standardized!R90C28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90" s="3"/>
      </tp>
      <tp t="s">
        <v>—</v>
        <stp/>
        <stp>##V3_BDHV12</stp>
        <stp>XOM US Equity</stp>
        <stp>CASH_CONVERSION_CYCLE</stp>
        <stp>FQ3 2014</stp>
        <stp>FQ3 2014</stp>
        <stp>[FA1_m42y3cpi.xlsx]Bal Sheet - Standardized!R90C27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90" s="3"/>
      </tp>
      <tp t="s">
        <v>—</v>
        <stp/>
        <stp>##V3_BDHV12</stp>
        <stp>XOM US Equity</stp>
        <stp>CASH_CONVERSION_CYCLE</stp>
        <stp>FQ2 2014</stp>
        <stp>FQ2 2014</stp>
        <stp>[FA1_m42y3cpi.xlsx]Bal Sheet - Standardized!R90C26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90" s="3"/>
      </tp>
      <tp t="s">
        <v>—</v>
        <stp/>
        <stp>##V3_BDHV12</stp>
        <stp>XOM US Equity</stp>
        <stp>CASH_CONVERSION_CYCLE</stp>
        <stp>FQ1 2014</stp>
        <stp>FQ1 2014</stp>
        <stp>[FA1_m42y3cpi.xlsx]Bal Sheet - Standardized!R90C25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90" s="3"/>
      </tp>
      <tp>
        <v>0.88160000000000005</v>
        <stp/>
        <stp>##V3_BDHV12</stp>
        <stp>XOM US Equity</stp>
        <stp>CASH_ST_INVESTMENTS_PER_SH</stp>
        <stp>FQ4 2016</stp>
        <stp>FQ4 2016</stp>
        <stp>[FA1_m42y3cpi.xlsx]Per Share!R25C36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5" s="5"/>
      </tp>
      <tp>
        <v>1.1557999999999999</v>
        <stp/>
        <stp>##V3_BDHV12</stp>
        <stp>XOM US Equity</stp>
        <stp>CASH_ST_INVESTMENTS_PER_SH</stp>
        <stp>FQ1 2017</stp>
        <stp>FQ1 2017</stp>
        <stp>[FA1_m42y3cpi.xlsx]Per Share!R25C37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5" s="5"/>
      </tp>
      <tp>
        <v>2.6055000000000001</v>
        <stp/>
        <stp>##V3_BDHV12</stp>
        <stp>XOM US Equity</stp>
        <stp>CASH_ST_INVESTMENTS_PER_SH</stp>
        <stp>FQ2 2010</stp>
        <stp>FQ2 2010</stp>
        <stp>[FA1_m42y3cpi.xlsx]Per Share!R25C10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5" s="5"/>
      </tp>
      <tp>
        <v>1.2154</v>
        <stp/>
        <stp>##V3_BDHV12</stp>
        <stp>XOM US Equity</stp>
        <stp>CASH_ST_INVESTMENTS_PER_SH</stp>
        <stp>FQ3 2013</stp>
        <stp>FQ3 2013</stp>
        <stp>[FA1_m42y3cpi.xlsx]Per Share!R25C23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5" s="5"/>
      </tp>
      <tp>
        <v>31718</v>
        <stp/>
        <stp>##V3_BDHV12</stp>
        <stp>XOM US Equity</stp>
        <stp>BS_OTHER_ASSETS_DEF_CHRG_OTHER</stp>
        <stp>FQ4 2009</stp>
        <stp>FQ4 2009</stp>
        <stp>[FA1_m42y3cpi.xlsx]Bal Sheet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3"/>
      </tp>
      <tp>
        <v>40233</v>
        <stp/>
        <stp>##V3_BDHV12</stp>
        <stp>XOM US Equity</stp>
        <stp>BS_OTHER_ASSETS_DEF_CHRG_OTHER</stp>
        <stp>FQ1 2010</stp>
        <stp>FQ1 2010</stp>
        <stp>[FA1_m42y3cpi.xlsx]Bal Sheet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3"/>
      </tp>
      <tp>
        <v>-1.7745</v>
        <stp/>
        <stp>##V3_BDHV12</stp>
        <stp>XOM US Equity</stp>
        <stp>CHG_PCT_PERIOD</stp>
        <stp>FQ1 2010</stp>
        <stp>FQ1 2010</stp>
        <stp>[FA1_m42y3cpi.xlsx]Stock Value!R7C9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6"/>
      </tp>
      <tp>
        <v>1.8047</v>
        <stp/>
        <stp>##V3_BDHV12</stp>
        <stp>XOM US Equity</stp>
        <stp>CASH_FLOW_PER_SH</stp>
        <stp>FQ1 2009</stp>
        <stp>FQ1 2009</stp>
        <stp>[FA1_m42y3cpi.xlsx]Per Share!R22C5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2" s="5"/>
      </tp>
      <tp>
        <v>1.8451</v>
        <stp/>
        <stp>##V3_BDHV12</stp>
        <stp>XOM US Equity</stp>
        <stp>CASH_FLOW_PER_SH</stp>
        <stp>FQ3 2009</stp>
        <stp>FQ3 2009</stp>
        <stp>[FA1_m42y3cpi.xlsx]Per Share!R22C7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2" s="5"/>
      </tp>
      <tp>
        <v>0.45290000000000002</v>
        <stp/>
        <stp>##V3_BDHV12</stp>
        <stp>XOM US Equity</stp>
        <stp>CASH_FLOW_PER_SH</stp>
        <stp>FQ2 2009</stp>
        <stp>FQ2 2009</stp>
        <stp>[FA1_m42y3cpi.xlsx]Per Share!R22C6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2" s="5"/>
      </tp>
      <tp>
        <v>35449</v>
        <stp/>
        <stp>##V3_BDHV12</stp>
        <stp>XOM US Equity</stp>
        <stp>BS_OTHER_ASSETS_DEF_CHRG_OTHER</stp>
        <stp>FQ1 2009</stp>
        <stp>FQ1 2009</stp>
        <stp>[FA1_m42y3cpi.xlsx]Bal Sheet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3"/>
      </tp>
      <tp>
        <v>37304</v>
        <stp/>
        <stp>##V3_BDHV12</stp>
        <stp>XOM US Equity</stp>
        <stp>BS_OTHER_ASSETS_DEF_CHRG_OTHER</stp>
        <stp>FQ2 2009</stp>
        <stp>FQ2 2009</stp>
        <stp>[FA1_m42y3cpi.xlsx]Bal Sheet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3"/>
      </tp>
      <tp>
        <v>39109</v>
        <stp/>
        <stp>##V3_BDHV12</stp>
        <stp>XOM US Equity</stp>
        <stp>BS_OTHER_ASSETS_DEF_CHRG_OTHER</stp>
        <stp>FQ3 2009</stp>
        <stp>FQ3 2009</stp>
        <stp>[FA1_m42y3cpi.xlsx]Bal Sheet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3"/>
      </tp>
      <tp t="s">
        <v>—</v>
        <stp/>
        <stp>##V3_BDHV12</stp>
        <stp>XOM US Equity</stp>
        <stp>BS_OTHER_ASSETS_DEF_CHRG_OTHER</stp>
        <stp>FQ3 2008</stp>
        <stp>FQ3 2008</stp>
        <stp>[FA1_m42y3cpi.xlsx]Bal Sheet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3"/>
      </tp>
      <tp>
        <v>5884</v>
        <stp/>
        <stp>##V3_BDHV12</stp>
        <stp>XOM US Equity</stp>
        <stp>BS_OTHER_ASSETS_DEF_CHRG_OTHER</stp>
        <stp>FQ4 2008</stp>
        <stp>FQ4 2008</stp>
        <stp>[FA1_m42y3cpi.xlsx]Bal Sheet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3"/>
      </tp>
      <tp>
        <v>65870</v>
        <stp/>
        <stp>##V3_BDHV12</stp>
        <stp>XOM US Equity</stp>
        <stp>NON_CUR_LIAB</stp>
        <stp>FQ4 2009</stp>
        <stp>FQ4 2009</stp>
        <stp>[FA1_m42y3cpi.xlsx]Bal Sheet - Standardized!R65C8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5" s="3"/>
      </tp>
      <tp>
        <v>67338</v>
        <stp/>
        <stp>##V3_BDHV12</stp>
        <stp>XOM US Equity</stp>
        <stp>NON_CUR_LIAB</stp>
        <stp>FQ1 2010</stp>
        <stp>FQ1 2010</stp>
        <stp>[FA1_m42y3cpi.xlsx]Bal Sheet - Standardized!R65C9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5" s="3"/>
      </tp>
      <tp>
        <v>61608</v>
        <stp/>
        <stp>##V3_BDHV12</stp>
        <stp>XOM US Equity</stp>
        <stp>NON_CUR_LIAB</stp>
        <stp>FQ1 2009</stp>
        <stp>FQ1 2009</stp>
        <stp>[FA1_m42y3cpi.xlsx]Bal Sheet - Standardized!R65C5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5" s="3"/>
      </tp>
      <tp>
        <v>61894</v>
        <stp/>
        <stp>##V3_BDHV12</stp>
        <stp>XOM US Equity</stp>
        <stp>NON_CUR_LIAB</stp>
        <stp>FQ2 2009</stp>
        <stp>FQ2 2009</stp>
        <stp>[FA1_m42y3cpi.xlsx]Bal Sheet - Standardized!R65C6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5" s="3"/>
      </tp>
      <tp>
        <v>64269</v>
        <stp/>
        <stp>##V3_BDHV12</stp>
        <stp>XOM US Equity</stp>
        <stp>NON_CUR_LIAB</stp>
        <stp>FQ3 2009</stp>
        <stp>FQ3 2009</stp>
        <stp>[FA1_m42y3cpi.xlsx]Bal Sheet - Standardized!R65C7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5" s="3"/>
      </tp>
      <tp>
        <v>2.0708000000000002</v>
        <stp/>
        <stp>##V3_BDHV12</stp>
        <stp>XOM US Equity</stp>
        <stp>CASH_FLOW_TO_NET_INC</stp>
        <stp>FQ1 2010</stp>
        <stp>FQ1 2010</stp>
        <stp>[FA1_m42y3cpi.xlsx]Cash Flow - Standardized!R68C9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68" s="4"/>
      </tp>
      <tp>
        <v>63301</v>
        <stp/>
        <stp>##V3_BDHV12</stp>
        <stp>XOM US Equity</stp>
        <stp>NON_CUR_LIAB</stp>
        <stp>FQ3 2008</stp>
        <stp>FQ3 2008</stp>
        <stp>[FA1_m42y3cpi.xlsx]Bal Sheet - Standardized!R65C3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5" s="3"/>
      </tp>
      <tp>
        <v>61429</v>
        <stp/>
        <stp>##V3_BDHV12</stp>
        <stp>XOM US Equity</stp>
        <stp>NON_CUR_LIAB</stp>
        <stp>FQ4 2008</stp>
        <stp>FQ4 2008</stp>
        <stp>[FA1_m42y3cpi.xlsx]Bal Sheet - Standardized!R65C4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5" s="3"/>
      </tp>
      <tp>
        <v>0.92</v>
        <stp/>
        <stp>##V3_BDHV12</stp>
        <stp>XOM US Equity</stp>
        <stp>IS_DIL_EPS_BEF_XO</stp>
        <stp>FQ1 2009</stp>
        <stp>FQ1 2009</stp>
        <stp>[FA1_m42y3cpi.xlsx]Per Share!R18C5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8" s="5"/>
      </tp>
      <tp>
        <v>0.81</v>
        <stp/>
        <stp>##V3_BDHV12</stp>
        <stp>XOM US Equity</stp>
        <stp>IS_DIL_EPS_BEF_XO</stp>
        <stp>FQ2 2009</stp>
        <stp>FQ2 2009</stp>
        <stp>[FA1_m42y3cpi.xlsx]Per Share!R18C6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8" s="5"/>
      </tp>
      <tp>
        <v>0.98</v>
        <stp/>
        <stp>##V3_BDHV12</stp>
        <stp>XOM US Equity</stp>
        <stp>IS_DIL_EPS_BEF_XO</stp>
        <stp>FQ3 2009</stp>
        <stp>FQ3 2009</stp>
        <stp>[FA1_m42y3cpi.xlsx]Per Share!R18C7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8" s="5"/>
      </tp>
      <tp>
        <v>1025</v>
        <stp/>
        <stp>##V3_BDHV12</stp>
        <stp>XOM US Equity</stp>
        <stp>BS_CURR_PORTION_LT_DEBT</stp>
        <stp>FQ4 2012</stp>
        <stp>FQ4 2012</stp>
        <stp>[FA1_m42y3cpi.xlsx]Bal Sheet - Standardized!R49C20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9" s="3"/>
      </tp>
      <tp>
        <v>1034</v>
        <stp/>
        <stp>##V3_BDHV12</stp>
        <stp>XOM US Equity</stp>
        <stp>BS_CURR_PORTION_LT_DEBT</stp>
        <stp>FQ4 2013</stp>
        <stp>FQ4 2013</stp>
        <stp>[FA1_m42y3cpi.xlsx]Bal Sheet - Standardized!R49C24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9" s="3"/>
      </tp>
      <tp t="s">
        <v>—</v>
        <stp/>
        <stp>##V3_BDHV12</stp>
        <stp>XOM US Equity</stp>
        <stp>BS_CURR_PORTION_LT_DEBT</stp>
        <stp>FQ2 2018</stp>
        <stp>FQ2 2018</stp>
        <stp>[FA1_m42y3cpi.xlsx]Bal Sheet - Standardized!R49C42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9" s="3"/>
      </tp>
      <tp>
        <v>770</v>
        <stp/>
        <stp>##V3_BDHV12</stp>
        <stp>XOM US Equity</stp>
        <stp>BS_CURR_PORTION_LT_DEBT</stp>
        <stp>FQ4 2014</stp>
        <stp>FQ4 2014</stp>
        <stp>[FA1_m42y3cpi.xlsx]Bal Sheet - Standardized!R49C28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9" s="3"/>
      </tp>
      <tp>
        <v>82647</v>
        <stp/>
        <stp>##V3_BDHV12</stp>
        <stp>XOM US Equity</stp>
        <stp>OTHER_NONCUR_LIABS_SUB_DETAILED</stp>
        <stp>FQ2 2012</stp>
        <stp>FQ2 2012</stp>
        <stp>[FA1_m42y3cpi.xlsx]Bal Sheet - Standardized!R58C18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8" s="3"/>
      </tp>
      <tp>
        <v>90088</v>
        <stp/>
        <stp>##V3_BDHV12</stp>
        <stp>XOM US Equity</stp>
        <stp>OTHER_NONCUR_LIABS_SUB_DETAILED</stp>
        <stp>FQ1 2015</stp>
        <stp>FQ1 2015</stp>
        <stp>[FA1_m42y3cpi.xlsx]Bal Sheet - Standardized!R58C29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8" s="3"/>
      </tp>
      <tp>
        <v>70394</v>
        <stp/>
        <stp>##V3_BDHV12</stp>
        <stp>XOM US Equity</stp>
        <stp>OTHER_NONCUR_LIABS_SUB_DETAILED</stp>
        <stp>FQ2 2010</stp>
        <stp>FQ2 2010</stp>
        <stp>[FA1_m42y3cpi.xlsx]Bal Sheet - Standardized!R58C10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8" s="3"/>
      </tp>
      <tp>
        <v>89003</v>
        <stp/>
        <stp>##V3_BDHV12</stp>
        <stp>XOM US Equity</stp>
        <stp>OTHER_NONCUR_LIABS_SUB_DETAILED</stp>
        <stp>FQ1 2013</stp>
        <stp>FQ1 2013</stp>
        <stp>[FA1_m42y3cpi.xlsx]Bal Sheet - Standardized!R58C21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8" s="3"/>
      </tp>
      <tp>
        <v>87890</v>
        <stp/>
        <stp>##V3_BDHV12</stp>
        <stp>XOM US Equity</stp>
        <stp>OTHER_NONCUR_LIABS_SUB_DETAILED</stp>
        <stp>FQ1 2014</stp>
        <stp>FQ1 2014</stp>
        <stp>[FA1_m42y3cpi.xlsx]Bal Sheet - Standardized!R58C25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8" s="3"/>
      </tp>
      <tp>
        <v>77713</v>
        <stp/>
        <stp>##V3_BDHV12</stp>
        <stp>XOM US Equity</stp>
        <stp>OTHER_NONCUR_LIABS_SUB_DETAILED</stp>
        <stp>FQ2 2011</stp>
        <stp>FQ2 2011</stp>
        <stp>[FA1_m42y3cpi.xlsx]Bal Sheet - Standardized!R58C14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8" s="3"/>
      </tp>
      <tp>
        <v>-7046</v>
        <stp/>
        <stp>##V3_BDHV12</stp>
        <stp>XOM US Equity</stp>
        <stp>CHG_IN_FXD_&amp;_INTANG_AST_DETAILED</stp>
        <stp>FQ3 2010</stp>
        <stp>FQ3 2010</stp>
        <stp>[FA1_m42y3cpi.xlsx]Cash Flow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4"/>
      </tp>
      <tp>
        <v>-2203</v>
        <stp/>
        <stp>##V3_BDHV12</stp>
        <stp>XOM US Equity</stp>
        <stp>CHG_IN_FXD_&amp;_INTANG_AST_DETAILED</stp>
        <stp>FQ1 2017</stp>
        <stp>FQ1 2017</stp>
        <stp>[FA1_m42y3cpi.xlsx]Cash Flow - Standardized!R20C37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0" s="4"/>
      </tp>
      <tp>
        <v>-6070</v>
        <stp/>
        <stp>##V3_BDHV12</stp>
        <stp>XOM US Equity</stp>
        <stp>CHG_IN_FXD_&amp;_INTANG_AST_DETAILED</stp>
        <stp>FQ3 2011</stp>
        <stp>FQ3 2011</stp>
        <stp>[FA1_m42y3cpi.xlsx]Cash Flow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4"/>
      </tp>
      <tp>
        <v>-4424</v>
        <stp/>
        <stp>##V3_BDHV12</stp>
        <stp>XOM US Equity</stp>
        <stp>CHG_IN_FXD_&amp;_INTANG_AST_DETAILED</stp>
        <stp>FQ1 2016</stp>
        <stp>FQ1 2016</stp>
        <stp>[FA1_m42y3cpi.xlsx]Cash Flow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4"/>
      </tp>
      <tp>
        <v>-7419</v>
        <stp/>
        <stp>##V3_BDHV12</stp>
        <stp>XOM US Equity</stp>
        <stp>CHG_IN_FXD_&amp;_INTANG_AST_DETAILED</stp>
        <stp>FQ3 2012</stp>
        <stp>FQ3 2012</stp>
        <stp>[FA1_m42y3cpi.xlsx]Cash Flow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4"/>
      </tp>
      <tp>
        <v>10693</v>
        <stp/>
        <stp>##V3_BDHV12</stp>
        <stp>XOM US Equity</stp>
        <stp>BS_CASH_NEAR_CASH_ITEM</stp>
        <stp>FQ4 2009</stp>
        <stp>FQ4 2009</stp>
        <stp>[FA1_m42y3cpi.xlsx]Bal Sheet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3"/>
      </tp>
      <tp t="s">
        <v>—</v>
        <stp/>
        <stp>##V3_BDHV12</stp>
        <stp>XOM US Equity</stp>
        <stp>IS_INT_INC</stp>
        <stp>FQ1 2011</stp>
        <stp>FQ1 2011</stp>
        <stp>[FA1_m42y3cpi.xlsx]Income - Adjusted!R20C13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0" s="2"/>
      </tp>
      <tp t="s">
        <v>—</v>
        <stp/>
        <stp>##V3_BDHV12</stp>
        <stp>XOM US Equity</stp>
        <stp>IS_INT_INC</stp>
        <stp>FQ1 2013</stp>
        <stp>FQ1 2013</stp>
        <stp>[FA1_m42y3cpi.xlsx]Income - Adjusted!R20C21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0" s="2"/>
      </tp>
      <tp t="s">
        <v>—</v>
        <stp/>
        <stp>##V3_BDHV12</stp>
        <stp>XOM US Equity</stp>
        <stp>IS_INT_INC</stp>
        <stp>FQ2 2014</stp>
        <stp>FQ2 2014</stp>
        <stp>[FA1_m42y3cpi.xlsx]Income - Adjusted!R20C26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0" s="2"/>
      </tp>
      <tp t="s">
        <v>—</v>
        <stp/>
        <stp>##V3_BDHV12</stp>
        <stp>XOM US Equity</stp>
        <stp>IS_INT_INC</stp>
        <stp>FQ2 2016</stp>
        <stp>FQ2 2016</stp>
        <stp>[FA1_m42y3cpi.xlsx]Income - Adjusted!R20C34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0" s="2"/>
      </tp>
      <tp t="s">
        <v>—</v>
        <stp/>
        <stp>##V3_BDHV12</stp>
        <stp>XOM US Equity</stp>
        <stp>IS_INT_INC</stp>
        <stp>FQ4 2010</stp>
        <stp>FQ4 2010</stp>
        <stp>[FA1_m42y3cpi.xlsx]Income - Adjusted!R20C12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0" s="2"/>
      </tp>
      <tp t="s">
        <v>—</v>
        <stp/>
        <stp>##V3_BDHV12</stp>
        <stp>XOM US Equity</stp>
        <stp>IS_INT_INC</stp>
        <stp>FQ4 2012</stp>
        <stp>FQ4 2012</stp>
        <stp>[FA1_m42y3cpi.xlsx]Income - Adjusted!R20C20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0" s="2"/>
      </tp>
      <tp>
        <v>24972</v>
        <stp/>
        <stp>##V3_BDHV12</stp>
        <stp>XOM US Equity</stp>
        <stp>BS_CASH_NEAR_CASH_ITEM</stp>
        <stp>FQ1 2009</stp>
        <stp>FQ1 2009</stp>
        <stp>[FA1_m42y3cpi.xlsx]Bal Sheet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3"/>
      </tp>
      <tp>
        <v>15576</v>
        <stp/>
        <stp>##V3_BDHV12</stp>
        <stp>XOM US Equity</stp>
        <stp>BS_CASH_NEAR_CASH_ITEM</stp>
        <stp>FQ2 2009</stp>
        <stp>FQ2 2009</stp>
        <stp>[FA1_m42y3cpi.xlsx]Bal Sheet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3"/>
      </tp>
      <tp>
        <v>12472</v>
        <stp/>
        <stp>##V3_BDHV12</stp>
        <stp>XOM US Equity</stp>
        <stp>BS_CASH_NEAR_CASH_ITEM</stp>
        <stp>FQ3 2009</stp>
        <stp>FQ3 2009</stp>
        <stp>[FA1_m42y3cpi.xlsx]Bal Sheet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3"/>
      </tp>
      <tp>
        <v>14.704800000000001</v>
        <stp/>
        <stp>##V3_BDHV12</stp>
        <stp>XOM US Equity</stp>
        <stp>EBITDA_MARGIN</stp>
        <stp>FQ3 2009</stp>
        <stp>FQ3 2009</stp>
        <stp>[FA1_m42y3cpi.xlsx]Cash Flow - Standardized!R60C7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60" s="4"/>
      </tp>
      <tp t="s">
        <v>—</v>
        <stp/>
        <stp>##V3_BDHV12</stp>
        <stp>XOM US Equity</stp>
        <stp>CASH_CONVERSION_CYCLE</stp>
        <stp>FQ2 2017</stp>
        <stp>FQ2 2017</stp>
        <stp>[FA1_m42y3cpi.xlsx]Bal Sheet - Standardized!R90C38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90" s="3"/>
      </tp>
      <tp>
        <v>30.040099999999999</v>
        <stp/>
        <stp>##V3_BDHV12</stp>
        <stp>XOM US Equity</stp>
        <stp>CASH_CONVERSION_CYCLE</stp>
        <stp>FQ4 2017</stp>
        <stp>FQ4 2017</stp>
        <stp>[FA1_m42y3cpi.xlsx]Bal Sheet - Standardized!R90C40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90" s="3"/>
      </tp>
      <tp t="s">
        <v>—</v>
        <stp/>
        <stp>##V3_BDHV12</stp>
        <stp>XOM US Equity</stp>
        <stp>CASH_CONVERSION_CYCLE</stp>
        <stp>FQ3 2017</stp>
        <stp>FQ3 2017</stp>
        <stp>[FA1_m42y3cpi.xlsx]Bal Sheet - Standardized!R90C39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90" s="3"/>
      </tp>
      <tp t="s">
        <v>—</v>
        <stp/>
        <stp>##V3_BDHV12</stp>
        <stp>XOM US Equity</stp>
        <stp>CASH_CONVERSION_CYCLE</stp>
        <stp>FQ1 2017</stp>
        <stp>FQ1 2017</stp>
        <stp>[FA1_m42y3cpi.xlsx]Bal Sheet - Standardized!R90C37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90" s="3"/>
      </tp>
      <tp>
        <v>1.2281</v>
        <stp/>
        <stp>##V3_BDHV12</stp>
        <stp>XOM US Equity</stp>
        <stp>CASH_ST_INVESTMENTS_PER_SH</stp>
        <stp>FQ3 2016</stp>
        <stp>FQ3 2016</stp>
        <stp>[FA1_m42y3cpi.xlsx]Per Share!R25C35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5" s="5"/>
      </tp>
      <tp>
        <v>1.1717</v>
        <stp/>
        <stp>##V3_BDHV12</stp>
        <stp>XOM US Equity</stp>
        <stp>CASH_ST_INVESTMENTS_PER_SH</stp>
        <stp>FQ3 2014</stp>
        <stp>FQ3 2014</stp>
        <stp>[FA1_m42y3cpi.xlsx]Per Share!R25C27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5" s="5"/>
      </tp>
      <tp>
        <v>82.68</v>
        <stp/>
        <stp>##V3_BDHV12</stp>
        <stp>XOM US Equity</stp>
        <stp>PX_LOW</stp>
        <stp>FQ1 2015</stp>
        <stp>FQ1 2015</stp>
        <stp>[FA1_m42y3cpi.xlsx]Stock Value!R10C29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0" s="6"/>
      </tp>
      <tp>
        <v>-952</v>
        <stp/>
        <stp>##V3_BDHV12</stp>
        <stp>XOM US Equity</stp>
        <stp>NON_CASH_ITEMS_DETAILED</stp>
        <stp>FQ1 2018</stp>
        <stp>FQ1 2018</stp>
        <stp>[FA1_m42y3cpi.xlsx]Cash Flow - Standardized!R9C41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9" s="4"/>
      </tp>
      <tp>
        <v>574</v>
        <stp/>
        <stp>##V3_BDHV12</stp>
        <stp>XOM US Equity</stp>
        <stp>NON_CASH_ITEMS_DETAILED</stp>
        <stp>FQ2 2018</stp>
        <stp>FQ2 2018</stp>
        <stp>[FA1_m42y3cpi.xlsx]Cash Flow - Standardized!R9C42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9" s="4"/>
      </tp>
      <tp>
        <v>-6709</v>
        <stp/>
        <stp>##V3_BDHV12</stp>
        <stp>XOM US Equity</stp>
        <stp>NON_CASH_ITEMS_DETAILED</stp>
        <stp>FQ4 2017</stp>
        <stp>FQ4 2017</stp>
        <stp>[FA1_m42y3cpi.xlsx]Cash Flow - Standardized!R9C40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9" s="4"/>
      </tp>
      <tp>
        <v>52341</v>
        <stp/>
        <stp>##V3_BDHV12</stp>
        <stp>XOM US Equity</stp>
        <stp>IS_COGS_TO_FE_AND_PP_AND_G</stp>
        <stp>FQ1 2015</stp>
        <stp>FQ1 2015</stp>
        <stp>[FA1_m42y3cpi.xlsx]Income - Adjusted!R8C29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>
        <v>51598</v>
        <stp/>
        <stp>##V3_BDHV12</stp>
        <stp>XOM US Equity</stp>
        <stp>IS_COGS_TO_FE_AND_PP_AND_G</stp>
        <stp>FQ3 2017</stp>
        <stp>FQ3 2017</stp>
        <stp>[FA1_m42y3cpi.xlsx]Income - Adjusted!R8C39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8" s="2"/>
      </tp>
      <tp>
        <v>49831</v>
        <stp/>
        <stp>##V3_BDHV12</stp>
        <stp>XOM US Equity</stp>
        <stp>IS_COGS_TO_FE_AND_PP_AND_G</stp>
        <stp>FQ2 2017</stp>
        <stp>FQ2 2017</stp>
        <stp>[FA1_m42y3cpi.xlsx]Income - Adjusted!R8C38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8" s="2"/>
      </tp>
      <tp>
        <v>2960</v>
        <stp/>
        <stp>##V3_BDHV12</stp>
        <stp>XOM US Equity</stp>
        <stp>BS_CURR_PORTION_LT_DEBT</stp>
        <stp>FQ4 2016</stp>
        <stp>FQ4 2016</stp>
        <stp>[FA1_m42y3cpi.xlsx]Bal Sheet - Standardized!R49C36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9" s="3"/>
      </tp>
      <tp>
        <v>558</v>
        <stp/>
        <stp>##V3_BDHV12</stp>
        <stp>XOM US Equity</stp>
        <stp>BS_CURR_PORTION_LT_DEBT</stp>
        <stp>FQ4 2015</stp>
        <stp>FQ4 2015</stp>
        <stp>[FA1_m42y3cpi.xlsx]Bal Sheet - Standardized!R49C32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9" s="3"/>
      </tp>
      <tp>
        <v>54404</v>
        <stp/>
        <stp>##V3_BDHV12</stp>
        <stp>XOM US Equity</stp>
        <stp>OTHER_NONCURRENT_LIABS_DETAILED</stp>
        <stp>FQ4 2008</stp>
        <stp>FQ4 2008</stp>
        <stp>[FA1_m42y3cpi.xlsx]Bal Sheet - Standardized!R64C4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4" s="3"/>
      </tp>
      <tp>
        <v>55918</v>
        <stp/>
        <stp>##V3_BDHV12</stp>
        <stp>XOM US Equity</stp>
        <stp>OTHER_NONCURRENT_LIABS_DETAILED</stp>
        <stp>FQ3 2008</stp>
        <stp>FQ3 2008</stp>
        <stp>[FA1_m42y3cpi.xlsx]Bal Sheet - Standardized!R64C3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4" s="3"/>
      </tp>
      <tp>
        <v>83847</v>
        <stp/>
        <stp>##V3_BDHV12</stp>
        <stp>XOM US Equity</stp>
        <stp>OTHER_NONCUR_LIABS_SUB_DETAILED</stp>
        <stp>FQ3 2012</stp>
        <stp>FQ3 2012</stp>
        <stp>[FA1_m42y3cpi.xlsx]Bal Sheet - Standardized!R58C19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8" s="3"/>
      </tp>
      <tp>
        <v>15214</v>
        <stp/>
        <stp>##V3_BDHV12</stp>
        <stp>XOM US Equity</stp>
        <stp>OTHER_NONCURRENT_LIABS_DETAILED</stp>
        <stp>FQ3 2009</stp>
        <stp>FQ3 2009</stp>
        <stp>[FA1_m42y3cpi.xlsx]Bal Sheet - Standardized!R64C7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4" s="3"/>
      </tp>
      <tp>
        <v>14610</v>
        <stp/>
        <stp>##V3_BDHV12</stp>
        <stp>XOM US Equity</stp>
        <stp>OTHER_NONCURRENT_LIABS_DETAILED</stp>
        <stp>FQ2 2009</stp>
        <stp>FQ2 2009</stp>
        <stp>[FA1_m42y3cpi.xlsx]Bal Sheet - Standardized!R64C6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4" s="3"/>
      </tp>
      <tp>
        <v>14053</v>
        <stp/>
        <stp>##V3_BDHV12</stp>
        <stp>XOM US Equity</stp>
        <stp>OTHER_NONCURRENT_LIABS_DETAILED</stp>
        <stp>FQ1 2009</stp>
        <stp>FQ1 2009</stp>
        <stp>[FA1_m42y3cpi.xlsx]Bal Sheet - Standardized!R64C5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4" s="3"/>
      </tp>
      <tp>
        <v>72406</v>
        <stp/>
        <stp>##V3_BDHV12</stp>
        <stp>XOM US Equity</stp>
        <stp>OTHER_NONCUR_LIABS_SUB_DETAILED</stp>
        <stp>FQ3 2010</stp>
        <stp>FQ3 2010</stp>
        <stp>[FA1_m42y3cpi.xlsx]Bal Sheet - Standardized!R58C11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8" s="3"/>
      </tp>
      <tp>
        <v>19035</v>
        <stp/>
        <stp>##V3_BDHV12</stp>
        <stp>XOM US Equity</stp>
        <stp>OTHER_NONCURRENT_LIABS_DETAILED</stp>
        <stp>FQ1 2010</stp>
        <stp>FQ1 2010</stp>
        <stp>[FA1_m42y3cpi.xlsx]Bal Sheet - Standardized!R64C9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4" s="3"/>
      </tp>
      <tp>
        <v>81940</v>
        <stp/>
        <stp>##V3_BDHV12</stp>
        <stp>XOM US Equity</stp>
        <stp>OTHER_NONCUR_LIABS_SUB_DETAILED</stp>
        <stp>FQ1 2017</stp>
        <stp>FQ1 2017</stp>
        <stp>[FA1_m42y3cpi.xlsx]Bal Sheet - Standardized!R58C37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8" s="3"/>
      </tp>
      <tp>
        <v>17651</v>
        <stp/>
        <stp>##V3_BDHV12</stp>
        <stp>XOM US Equity</stp>
        <stp>OTHER_NONCURRENT_LIABS_DETAILED</stp>
        <stp>FQ4 2009</stp>
        <stp>FQ4 2009</stp>
        <stp>[FA1_m42y3cpi.xlsx]Bal Sheet - Standardized!R64C8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4" s="3"/>
      </tp>
      <tp>
        <v>76713</v>
        <stp/>
        <stp>##V3_BDHV12</stp>
        <stp>XOM US Equity</stp>
        <stp>OTHER_NONCUR_LIABS_SUB_DETAILED</stp>
        <stp>FQ3 2011</stp>
        <stp>FQ3 2011</stp>
        <stp>[FA1_m42y3cpi.xlsx]Bal Sheet - Standardized!R58C15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8" s="3"/>
      </tp>
      <tp>
        <v>85997</v>
        <stp/>
        <stp>##V3_BDHV12</stp>
        <stp>XOM US Equity</stp>
        <stp>OTHER_NONCUR_LIABS_SUB_DETAILED</stp>
        <stp>FQ1 2016</stp>
        <stp>FQ1 2016</stp>
        <stp>[FA1_m42y3cpi.xlsx]Bal Sheet - Standardized!R58C33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8" s="3"/>
      </tp>
      <tp>
        <v>-5216</v>
        <stp/>
        <stp>##V3_BDHV12</stp>
        <stp>XOM US Equity</stp>
        <stp>CHG_IN_FXD_&amp;_INTANG_AST_DETAILED</stp>
        <stp>FQ2 2010</stp>
        <stp>FQ2 2010</stp>
        <stp>[FA1_m42y3cpi.xlsx]Cash Flow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4"/>
      </tp>
      <tp>
        <v>-7134</v>
        <stp/>
        <stp>##V3_BDHV12</stp>
        <stp>XOM US Equity</stp>
        <stp>CHG_IN_FXD_&amp;_INTANG_AST_DETAILED</stp>
        <stp>FQ1 2013</stp>
        <stp>FQ1 2013</stp>
        <stp>[FA1_m42y3cpi.xlsx]Cash Flow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4"/>
      </tp>
      <tp>
        <v>-6217</v>
        <stp/>
        <stp>##V3_BDHV12</stp>
        <stp>XOM US Equity</stp>
        <stp>CHG_IN_FXD_&amp;_INTANG_AST_DETAILED</stp>
        <stp>FQ1 2014</stp>
        <stp>FQ1 2014</stp>
        <stp>[FA1_m42y3cpi.xlsx]Cash Flow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4"/>
      </tp>
      <tp>
        <v>-6315</v>
        <stp/>
        <stp>##V3_BDHV12</stp>
        <stp>XOM US Equity</stp>
        <stp>CHG_IN_FXD_&amp;_INTANG_AST_DETAILED</stp>
        <stp>FQ2 2011</stp>
        <stp>FQ2 2011</stp>
        <stp>[FA1_m42y3cpi.xlsx]Cash Flow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4"/>
      </tp>
      <tp>
        <v>-4615</v>
        <stp/>
        <stp>##V3_BDHV12</stp>
        <stp>XOM US Equity</stp>
        <stp>CHG_IN_FXD_&amp;_INTANG_AST_DETAILED</stp>
        <stp>FQ2 2012</stp>
        <stp>FQ2 2012</stp>
        <stp>[FA1_m42y3cpi.xlsx]Cash Flow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4"/>
      </tp>
      <tp>
        <v>-6360</v>
        <stp/>
        <stp>##V3_BDHV12</stp>
        <stp>XOM US Equity</stp>
        <stp>CHG_IN_FXD_&amp;_INTANG_AST_DETAILED</stp>
        <stp>FQ1 2015</stp>
        <stp>FQ1 2015</stp>
        <stp>[FA1_m42y3cpi.xlsx]Cash Flow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4"/>
      </tp>
      <tp t="s">
        <v>—</v>
        <stp/>
        <stp>##V3_BDHV12</stp>
        <stp>XOM US Equity</stp>
        <stp>IS_INT_INC</stp>
        <stp>FQ3 2014</stp>
        <stp>FQ3 2014</stp>
        <stp>[FA1_m42y3cpi.xlsx]Income - Adjusted!R20C27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0" s="2"/>
      </tp>
      <tp t="s">
        <v>—</v>
        <stp/>
        <stp>##V3_BDHV12</stp>
        <stp>XOM US Equity</stp>
        <stp>IS_INT_INC</stp>
        <stp>FQ3 2016</stp>
        <stp>FQ3 2016</stp>
        <stp>[FA1_m42y3cpi.xlsx]Income - Adjusted!R20C35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0" s="2"/>
      </tp>
      <tp>
        <v>31437</v>
        <stp/>
        <stp>##V3_BDHV12</stp>
        <stp>XOM US Equity</stp>
        <stp>BS_CASH_NEAR_CASH_ITEM</stp>
        <stp>FQ4 2008</stp>
        <stp>FQ4 2008</stp>
        <stp>[FA1_m42y3cpi.xlsx]Bal Sheet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3"/>
      </tp>
      <tp>
        <v>18.723600000000001</v>
        <stp/>
        <stp>##V3_BDHV12</stp>
        <stp>XOM US Equity</stp>
        <stp>EBITDA_MARGIN</stp>
        <stp>FQ3 2008</stp>
        <stp>FQ3 2008</stp>
        <stp>[FA1_m42y3cpi.xlsx]Cash Flow - Standardized!R60C3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60" s="4"/>
      </tp>
      <tp>
        <v>16.926300000000001</v>
        <stp/>
        <stp>##V3_BDHV12</stp>
        <stp>XOM US Equity</stp>
        <stp>EBITDA_MARGIN</stp>
        <stp>FQ2 2009</stp>
        <stp>FQ2 2009</stp>
        <stp>[FA1_m42y3cpi.xlsx]Cash Flow - Standardized!R60C6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60" s="4"/>
      </tp>
      <tp>
        <v>36674</v>
        <stp/>
        <stp>##V3_BDHV12</stp>
        <stp>XOM US Equity</stp>
        <stp>BS_CASH_NEAR_CASH_ITEM</stp>
        <stp>FQ3 2008</stp>
        <stp>FQ3 2008</stp>
        <stp>[FA1_m42y3cpi.xlsx]Bal Sheet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3"/>
      </tp>
      <tp>
        <v>33.491599999999998</v>
        <stp/>
        <stp>##V3_BDHV12</stp>
        <stp>XOM US Equity</stp>
        <stp>CASH_CONVERSION_CYCLE</stp>
        <stp>FQ4 2016</stp>
        <stp>FQ4 2016</stp>
        <stp>[FA1_m42y3cpi.xlsx]Bal Sheet - Standardized!R90C36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90" s="3"/>
      </tp>
      <tp t="s">
        <v>—</v>
        <stp/>
        <stp>##V3_BDHV12</stp>
        <stp>XOM US Equity</stp>
        <stp>CASH_CONVERSION_CYCLE</stp>
        <stp>FQ2 2016</stp>
        <stp>FQ2 2016</stp>
        <stp>[FA1_m42y3cpi.xlsx]Bal Sheet - Standardized!R90C34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90" s="3"/>
      </tp>
      <tp t="s">
        <v>—</v>
        <stp/>
        <stp>##V3_BDHV12</stp>
        <stp>XOM US Equity</stp>
        <stp>CASH_CONVERSION_CYCLE</stp>
        <stp>FQ3 2016</stp>
        <stp>FQ3 2016</stp>
        <stp>[FA1_m42y3cpi.xlsx]Bal Sheet - Standardized!R90C35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90" s="3"/>
      </tp>
      <tp t="s">
        <v>—</v>
        <stp/>
        <stp>##V3_BDHV12</stp>
        <stp>XOM US Equity</stp>
        <stp>CASH_CONVERSION_CYCLE</stp>
        <stp>FQ1 2016</stp>
        <stp>FQ1 2016</stp>
        <stp>[FA1_m42y3cpi.xlsx]Bal Sheet - Standardized!R90C33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90" s="3"/>
      </tp>
      <tp>
        <v>1.5720000000000001</v>
        <stp/>
        <stp>##V3_BDHV12</stp>
        <stp>XOM US Equity</stp>
        <stp>CASH_ST_INVESTMENTS_PER_SH</stp>
        <stp>FQ4 2010</stp>
        <stp>FQ4 2010</stp>
        <stp>[FA1_m42y3cpi.xlsx]Per Share!R25C12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5" s="5"/>
      </tp>
      <tp>
        <v>2.1284000000000001</v>
        <stp/>
        <stp>##V3_BDHV12</stp>
        <stp>XOM US Equity</stp>
        <stp>CASH_ST_INVESTMENTS_PER_SH</stp>
        <stp>FQ4 2012</stp>
        <stp>FQ4 2012</stp>
        <stp>[FA1_m42y3cpi.xlsx]Per Share!R25C20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5" s="5"/>
      </tp>
      <tp>
        <v>2.6052</v>
        <stp/>
        <stp>##V3_BDHV12</stp>
        <stp>XOM US Equity</stp>
        <stp>CASH_ST_INVESTMENTS_PER_SH</stp>
        <stp>FQ1 2011</stp>
        <stp>FQ1 2011</stp>
        <stp>[FA1_m42y3cpi.xlsx]Per Share!R25C13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5" s="5"/>
      </tp>
      <tp>
        <v>1.3976999999999999</v>
        <stp/>
        <stp>##V3_BDHV12</stp>
        <stp>XOM US Equity</stp>
        <stp>CASH_ST_INVESTMENTS_PER_SH</stp>
        <stp>FQ1 2013</stp>
        <stp>FQ1 2013</stp>
        <stp>[FA1_m42y3cpi.xlsx]Per Share!R25C21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5" s="5"/>
      </tp>
      <tp>
        <v>1.0508999999999999</v>
        <stp/>
        <stp>##V3_BDHV12</stp>
        <stp>XOM US Equity</stp>
        <stp>CASH_ST_INVESTMENTS_PER_SH</stp>
        <stp>FQ2 2016</stp>
        <stp>FQ2 2016</stp>
        <stp>[FA1_m42y3cpi.xlsx]Per Share!R25C34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5" s="5"/>
      </tp>
      <tp>
        <v>1.4262999999999999</v>
        <stp/>
        <stp>##V3_BDHV12</stp>
        <stp>XOM US Equity</stp>
        <stp>CASH_ST_INVESTMENTS_PER_SH</stp>
        <stp>FQ2 2014</stp>
        <stp>FQ2 2014</stp>
        <stp>[FA1_m42y3cpi.xlsx]Per Share!R25C26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5" s="5"/>
      </tp>
      <tp>
        <v>-11.8802</v>
        <stp/>
        <stp>##V3_BDHV12</stp>
        <stp>XOM US Equity</stp>
        <stp>CHG_PCT_PERIOD</stp>
        <stp>FQ3 2008</stp>
        <stp>FQ3 2008</stp>
        <stp>[FA1_m42y3cpi.xlsx]Stock Value!R7C3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6"/>
      </tp>
      <tp>
        <v>-7080</v>
        <stp/>
        <stp>##V3_BDHV12</stp>
        <stp>XOM US Equity</stp>
        <stp>CF_CASH_FROM_INV_ACT</stp>
        <stp>FQ4 2010</stp>
        <stp>FQ4 2010</stp>
        <stp>[FA1_m42y3cpi.xlsx]Cash Flow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4"/>
      </tp>
      <tp>
        <v>9341</v>
        <stp/>
        <stp>##V3_BDHV12</stp>
        <stp>XOM US Equity</stp>
        <stp>BS_SH_CAP_AND_APIC</stp>
        <stp>FQ3 2010</stp>
        <stp>FQ3 2010</stp>
        <stp>[FA1_m42y3cpi.xlsx]Bal Sheet - Standardized!R68C11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8" s="3"/>
      </tp>
      <tp>
        <v>14415</v>
        <stp/>
        <stp>##V3_BDHV12</stp>
        <stp>XOM US Equity</stp>
        <stp>BS_SH_CAP_AND_APIC</stp>
        <stp>FQ1 2017</stp>
        <stp>FQ1 2017</stp>
        <stp>[FA1_m42y3cpi.xlsx]Bal Sheet - Standardized!R68C37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8" s="3"/>
      </tp>
      <tp>
        <v>-2012</v>
        <stp/>
        <stp>##V3_BDHV12</stp>
        <stp>XOM US Equity</stp>
        <stp>CF_CASH_FROM_INV_ACT</stp>
        <stp>FQ4 2011</stp>
        <stp>FQ4 2011</stp>
        <stp>[FA1_m42y3cpi.xlsx]Cash Flow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4"/>
      </tp>
      <tp>
        <v>9506</v>
        <stp/>
        <stp>##V3_BDHV12</stp>
        <stp>XOM US Equity</stp>
        <stp>BS_SH_CAP_AND_APIC</stp>
        <stp>FQ3 2011</stp>
        <stp>FQ3 2011</stp>
        <stp>[FA1_m42y3cpi.xlsx]Bal Sheet - Standardized!R68C15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8" s="3"/>
      </tp>
      <tp t="s">
        <v>—</v>
        <stp/>
        <stp>##V3_BDHV12</stp>
        <stp>XOM US Equity</stp>
        <stp>BS_GROSS_FIX_ASSET</stp>
        <stp>FQ3 2012</stp>
        <stp>FQ3 2012</stp>
        <stp>[FA1_m42y3cpi.xlsx]Bal Sheet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3"/>
      </tp>
      <tp>
        <v>11825</v>
        <stp/>
        <stp>##V3_BDHV12</stp>
        <stp>XOM US Equity</stp>
        <stp>BS_SH_CAP_AND_APIC</stp>
        <stp>FQ1 2016</stp>
        <stp>FQ1 2016</stp>
        <stp>[FA1_m42y3cpi.xlsx]Bal Sheet - Standardized!R68C33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8" s="3"/>
      </tp>
      <tp t="s">
        <v>—</v>
        <stp/>
        <stp>##V3_BDHV12</stp>
        <stp>XOM US Equity</stp>
        <stp>BS_GROSS_FIX_ASSET</stp>
        <stp>FQ1 2016</stp>
        <stp>FQ1 2016</stp>
        <stp>[FA1_m42y3cpi.xlsx]Bal Sheet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3"/>
      </tp>
      <tp t="s">
        <v>—</v>
        <stp/>
        <stp>##V3_BDHV12</stp>
        <stp>XOM US Equity</stp>
        <stp>BS_GROSS_FIX_ASSET</stp>
        <stp>FQ3 2011</stp>
        <stp>FQ3 2011</stp>
        <stp>[FA1_m42y3cpi.xlsx]Bal Sheet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3"/>
      </tp>
      <tp>
        <v>17.965800000000002</v>
        <stp/>
        <stp>##V3_BDHV12</stp>
        <stp>XOM US Equity</stp>
        <stp>REVENUE_PER_SH</stp>
        <stp>FQ4 2014</stp>
        <stp>FQ4 2014</stp>
        <stp>[FA1_m42y3cpi.xlsx]Per Share!R11C28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1" s="5"/>
      </tp>
      <tp>
        <v>12.507999999999999</v>
        <stp/>
        <stp>##V3_BDHV12</stp>
        <stp>XOM US Equity</stp>
        <stp>REVENUE_PER_SH</stp>
        <stp>FQ4 2015</stp>
        <stp>FQ4 2015</stp>
        <stp>[FA1_m42y3cpi.xlsx]Per Share!R11C32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1" s="5"/>
      </tp>
      <tp>
        <v>12.6851</v>
        <stp/>
        <stp>##V3_BDHV12</stp>
        <stp>XOM US Equity</stp>
        <stp>REVENUE_PER_SH</stp>
        <stp>FQ4 2016</stp>
        <stp>FQ4 2016</stp>
        <stp>[FA1_m42y3cpi.xlsx]Per Share!R11C36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1" s="5"/>
      </tp>
      <tp>
        <v>15.577299999999999</v>
        <stp/>
        <stp>##V3_BDHV12</stp>
        <stp>XOM US Equity</stp>
        <stp>REVENUE_PER_SH</stp>
        <stp>FQ4 2017</stp>
        <stp>FQ4 2017</stp>
        <stp>[FA1_m42y3cpi.xlsx]Per Share!R11C40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1" s="5"/>
      </tp>
      <tp>
        <v>22.5533</v>
        <stp/>
        <stp>##V3_BDHV12</stp>
        <stp>XOM US Equity</stp>
        <stp>REVENUE_PER_SH</stp>
        <stp>FQ4 2013</stp>
        <stp>FQ4 2013</stp>
        <stp>[FA1_m42y3cpi.xlsx]Per Share!R11C24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1" s="5"/>
      </tp>
      <tp>
        <v>18.787099999999999</v>
        <stp/>
        <stp>##V3_BDHV12</stp>
        <stp>XOM US Equity</stp>
        <stp>REVENUE_PER_SH</stp>
        <stp>FQ4 2010</stp>
        <stp>FQ4 2010</stp>
        <stp>[FA1_m42y3cpi.xlsx]Per Share!R11C12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1" s="5"/>
      </tp>
      <tp>
        <v>22.5123</v>
        <stp/>
        <stp>##V3_BDHV12</stp>
        <stp>XOM US Equity</stp>
        <stp>REVENUE_PER_SH</stp>
        <stp>FQ4 2011</stp>
        <stp>FQ4 2011</stp>
        <stp>[FA1_m42y3cpi.xlsx]Per Share!R11C16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1" s="5"/>
      </tp>
      <tp>
        <v>22.4221</v>
        <stp/>
        <stp>##V3_BDHV12</stp>
        <stp>XOM US Equity</stp>
        <stp>REVENUE_PER_SH</stp>
        <stp>FQ4 2012</stp>
        <stp>FQ4 2012</stp>
        <stp>[FA1_m42y3cpi.xlsx]Per Share!R11C20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1" s="5"/>
      </tp>
      <tp>
        <v>9645</v>
        <stp/>
        <stp>##V3_BDHV12</stp>
        <stp>XOM US Equity</stp>
        <stp>BS_SH_CAP_AND_APIC</stp>
        <stp>FQ3 2012</stp>
        <stp>FQ3 2012</stp>
        <stp>[FA1_m42y3cpi.xlsx]Bal Sheet - Standardized!R68C19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8" s="3"/>
      </tp>
      <tp>
        <v>23.1434</v>
        <stp/>
        <stp>##V3_BDHV12</stp>
        <stp>XOM US Equity</stp>
        <stp>REVENUE_PER_SH</stp>
        <stp>FQ3 2011</stp>
        <stp>FQ3 2011</stp>
        <stp>[FA1_m42y3cpi.xlsx]Per Share!R11C15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1" s="5"/>
      </tp>
      <tp>
        <v>16.781099999999999</v>
        <stp/>
        <stp>##V3_BDHV12</stp>
        <stp>XOM US Equity</stp>
        <stp>REVENUE_PER_SH</stp>
        <stp>FQ3 2010</stp>
        <stp>FQ3 2010</stp>
        <stp>[FA1_m42y3cpi.xlsx]Per Share!R11C11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1" s="5"/>
      </tp>
      <tp>
        <v>22.8687</v>
        <stp/>
        <stp>##V3_BDHV12</stp>
        <stp>XOM US Equity</stp>
        <stp>REVENUE_PER_SH</stp>
        <stp>FQ3 2013</stp>
        <stp>FQ3 2013</stp>
        <stp>[FA1_m42y3cpi.xlsx]Per Share!R11C23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1" s="5"/>
      </tp>
      <tp>
        <v>22.496600000000001</v>
        <stp/>
        <stp>##V3_BDHV12</stp>
        <stp>XOM US Equity</stp>
        <stp>REVENUE_PER_SH</stp>
        <stp>FQ3 2012</stp>
        <stp>FQ3 2012</stp>
        <stp>[FA1_m42y3cpi.xlsx]Per Share!R11C19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1" s="5"/>
      </tp>
      <tp>
        <v>13.709</v>
        <stp/>
        <stp>##V3_BDHV12</stp>
        <stp>XOM US Equity</stp>
        <stp>REVENUE_PER_SH</stp>
        <stp>FQ3 2017</stp>
        <stp>FQ3 2017</stp>
        <stp>[FA1_m42y3cpi.xlsx]Per Share!R11C39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1" s="5"/>
      </tp>
      <tp>
        <v>12.2858</v>
        <stp/>
        <stp>##V3_BDHV12</stp>
        <stp>XOM US Equity</stp>
        <stp>REVENUE_PER_SH</stp>
        <stp>FQ3 2016</stp>
        <stp>FQ3 2016</stp>
        <stp>[FA1_m42y3cpi.xlsx]Per Share!R11C35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1" s="5"/>
      </tp>
      <tp>
        <v>14.287800000000001</v>
        <stp/>
        <stp>##V3_BDHV12</stp>
        <stp>XOM US Equity</stp>
        <stp>REVENUE_PER_SH</stp>
        <stp>FQ3 2015</stp>
        <stp>FQ3 2015</stp>
        <stp>[FA1_m42y3cpi.xlsx]Per Share!R11C31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1" s="5"/>
      </tp>
      <tp>
        <v>22.5093</v>
        <stp/>
        <stp>##V3_BDHV12</stp>
        <stp>XOM US Equity</stp>
        <stp>REVENUE_PER_SH</stp>
        <stp>FQ3 2014</stp>
        <stp>FQ3 2014</stp>
        <stp>[FA1_m42y3cpi.xlsx]Per Share!R11C27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1" s="5"/>
      </tp>
      <tp t="s">
        <v>—</v>
        <stp/>
        <stp>##V3_BDHV12</stp>
        <stp>XOM US Equity</stp>
        <stp>BS_GROSS_FIX_ASSET</stp>
        <stp>FQ1 2017</stp>
        <stp>FQ1 2017</stp>
        <stp>[FA1_m42y3cpi.xlsx]Bal Sheet - Standardized!R24C37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4" s="3"/>
      </tp>
      <tp>
        <v>21.498100000000001</v>
        <stp/>
        <stp>##V3_BDHV12</stp>
        <stp>XOM US Equity</stp>
        <stp>REVENUE_PER_SH</stp>
        <stp>FQ2 2013</stp>
        <stp>FQ2 2013</stp>
        <stp>[FA1_m42y3cpi.xlsx]Per Share!R11C22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1" s="5"/>
      </tp>
      <tp>
        <v>17.545999999999999</v>
        <stp/>
        <stp>##V3_BDHV12</stp>
        <stp>XOM US Equity</stp>
        <stp>REVENUE_PER_SH</stp>
        <stp>FQ2 2010</stp>
        <stp>FQ2 2010</stp>
        <stp>[FA1_m42y3cpi.xlsx]Per Share!R11C10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1" s="5"/>
      </tp>
      <tp>
        <v>22.988399999999999</v>
        <stp/>
        <stp>##V3_BDHV12</stp>
        <stp>XOM US Equity</stp>
        <stp>REVENUE_PER_SH</stp>
        <stp>FQ2 2011</stp>
        <stp>FQ2 2011</stp>
        <stp>[FA1_m42y3cpi.xlsx]Per Share!R11C14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1" s="5"/>
      </tp>
      <tp>
        <v>22.491</v>
        <stp/>
        <stp>##V3_BDHV12</stp>
        <stp>XOM US Equity</stp>
        <stp>REVENUE_PER_SH</stp>
        <stp>FQ2 2012</stp>
        <stp>FQ2 2012</stp>
        <stp>[FA1_m42y3cpi.xlsx]Per Share!R11C18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1" s="5"/>
      </tp>
      <tp>
        <v>12.28</v>
        <stp/>
        <stp>##V3_BDHV12</stp>
        <stp>XOM US Equity</stp>
        <stp>REVENUE_PER_SH</stp>
        <stp>FQ2 2016</stp>
        <stp>FQ2 2016</stp>
        <stp>[FA1_m42y3cpi.xlsx]Per Share!R11C34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1" s="5"/>
      </tp>
      <tp>
        <v>12.9328</v>
        <stp/>
        <stp>##V3_BDHV12</stp>
        <stp>XOM US Equity</stp>
        <stp>REVENUE_PER_SH</stp>
        <stp>FQ2 2017</stp>
        <stp>FQ2 2017</stp>
        <stp>[FA1_m42y3cpi.xlsx]Per Share!R11C38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1" s="5"/>
      </tp>
      <tp>
        <v>15.5702</v>
        <stp/>
        <stp>##V3_BDHV12</stp>
        <stp>XOM US Equity</stp>
        <stp>REVENUE_PER_SH</stp>
        <stp>FQ2 2015</stp>
        <stp>FQ2 2015</stp>
        <stp>[FA1_m42y3cpi.xlsx]Per Share!R11C30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1" s="5"/>
      </tp>
      <tp>
        <v>22.8734</v>
        <stp/>
        <stp>##V3_BDHV12</stp>
        <stp>XOM US Equity</stp>
        <stp>REVENUE_PER_SH</stp>
        <stp>FQ2 2014</stp>
        <stp>FQ2 2014</stp>
        <stp>[FA1_m42y3cpi.xlsx]Per Share!R11C26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1" s="5"/>
      </tp>
      <tp>
        <v>16.730499999999999</v>
        <stp/>
        <stp>##V3_BDHV12</stp>
        <stp>XOM US Equity</stp>
        <stp>REVENUE_PER_SH</stp>
        <stp>FQ2 2018</stp>
        <stp>FQ2 2018</stp>
        <stp>[FA1_m42y3cpi.xlsx]Per Share!R11C42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1" s="5"/>
      </tp>
      <tp>
        <v>23.477399999999999</v>
        <stp/>
        <stp>##V3_BDHV12</stp>
        <stp>XOM US Equity</stp>
        <stp>REVENUE_PER_SH</stp>
        <stp>FQ1 2012</stp>
        <stp>FQ1 2012</stp>
        <stp>[FA1_m42y3cpi.xlsx]Per Share!R11C17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1" s="5"/>
      </tp>
      <tp>
        <v>20.418099999999999</v>
        <stp/>
        <stp>##V3_BDHV12</stp>
        <stp>XOM US Equity</stp>
        <stp>REVENUE_PER_SH</stp>
        <stp>FQ1 2011</stp>
        <stp>FQ1 2011</stp>
        <stp>[FA1_m42y3cpi.xlsx]Per Share!R11C13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1" s="5"/>
      </tp>
      <tp>
        <v>21.479600000000001</v>
        <stp/>
        <stp>##V3_BDHV12</stp>
        <stp>XOM US Equity</stp>
        <stp>REVENUE_PER_SH</stp>
        <stp>FQ1 2013</stp>
        <stp>FQ1 2013</stp>
        <stp>[FA1_m42y3cpi.xlsx]Per Share!R11C21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1" s="5"/>
      </tp>
      <tp>
        <v>21.798500000000001</v>
        <stp/>
        <stp>##V3_BDHV12</stp>
        <stp>XOM US Equity</stp>
        <stp>REVENUE_PER_SH</stp>
        <stp>FQ1 2014</stp>
        <stp>FQ1 2014</stp>
        <stp>[FA1_m42y3cpi.xlsx]Per Share!R11C25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1" s="5"/>
      </tp>
      <tp>
        <v>14.065099999999999</v>
        <stp/>
        <stp>##V3_BDHV12</stp>
        <stp>XOM US Equity</stp>
        <stp>REVENUE_PER_SH</stp>
        <stp>FQ1 2015</stp>
        <stp>FQ1 2015</stp>
        <stp>[FA1_m42y3cpi.xlsx]Per Share!R11C29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1" s="5"/>
      </tp>
      <tp>
        <v>13.201000000000001</v>
        <stp/>
        <stp>##V3_BDHV12</stp>
        <stp>XOM US Equity</stp>
        <stp>REVENUE_PER_SH</stp>
        <stp>FQ1 2017</stp>
        <stp>FQ1 2017</stp>
        <stp>[FA1_m42y3cpi.xlsx]Per Share!R11C37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1" s="5"/>
      </tp>
      <tp>
        <v>10.1221</v>
        <stp/>
        <stp>##V3_BDHV12</stp>
        <stp>XOM US Equity</stp>
        <stp>REVENUE_PER_SH</stp>
        <stp>FQ1 2016</stp>
        <stp>FQ1 2016</stp>
        <stp>[FA1_m42y3cpi.xlsx]Per Share!R11C33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1" s="5"/>
      </tp>
      <tp>
        <v>15.3246</v>
        <stp/>
        <stp>##V3_BDHV12</stp>
        <stp>XOM US Equity</stp>
        <stp>REVENUE_PER_SH</stp>
        <stp>FQ1 2018</stp>
        <stp>FQ1 2018</stp>
        <stp>[FA1_m42y3cpi.xlsx]Per Share!R11C41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1" s="5"/>
      </tp>
      <tp>
        <v>-1859</v>
        <stp/>
        <stp>##V3_BDHV12</stp>
        <stp>XOM US Equity</stp>
        <stp>CF_CASH_FROM_INV_ACT</stp>
        <stp>FQ1 2018</stp>
        <stp>FQ1 2018</stp>
        <stp>[FA1_m42y3cpi.xlsx]Cash Flow - Standardized!R36C41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4"/>
      </tp>
      <tp t="s">
        <v>—</v>
        <stp/>
        <stp>##V3_BDHV12</stp>
        <stp>XOM US Equity</stp>
        <stp>BS_GROSS_FIX_ASSET</stp>
        <stp>FQ3 2010</stp>
        <stp>FQ3 2010</stp>
        <stp>[FA1_m42y3cpi.xlsx]Bal Sheet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3"/>
      </tp>
      <tp>
        <v>71007</v>
        <stp/>
        <stp>##V3_BDHV12</stp>
        <stp>XOM US Equity</stp>
        <stp>IS_COGS_TO_FE_AND_PP_AND_G</stp>
        <stp>FQ3 2010</stp>
        <stp>FQ3 2010</stp>
        <stp>[FA1_m42y3cpi.xlsx]Income - Adjusted!R8C11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>
        <v>68780</v>
        <stp/>
        <stp>##V3_BDHV12</stp>
        <stp>XOM US Equity</stp>
        <stp>IS_COGS_TO_FE_AND_PP_AND_G</stp>
        <stp>FQ2 2010</stp>
        <stp>FQ2 2010</stp>
        <stp>[FA1_m42y3cpi.xlsx]Income - Adjusted!R8C10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>
        <v>33969</v>
        <stp/>
        <stp>##V3_BDHV12</stp>
        <stp>XOM US Equity</stp>
        <stp>BS_ACCT_PAYABLE</stp>
        <stp>FQ4 2011</stp>
        <stp>FQ4 2011</stp>
        <stp>[FA1_m42y3cpi.xlsx]Bal Sheet - Standardized!R43C16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3" s="3"/>
      </tp>
      <tp>
        <v>-1450</v>
        <stp/>
        <stp>##V3_BDHV12</stp>
        <stp>XOM US Equity</stp>
        <stp>IS_ABNORMAL_ITEM</stp>
        <stp>FQ3 2008</stp>
        <stp>FQ3 2008</stp>
        <stp>[FA1_m42y3cpi.xlsx]Income - Adjusted!R25C3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2"/>
      </tp>
      <tp>
        <v>30780</v>
        <stp/>
        <stp>##V3_BDHV12</stp>
        <stp>XOM US Equity</stp>
        <stp>BS_ACCT_PAYABLE</stp>
        <stp>FQ4 2010</stp>
        <stp>FQ4 2010</stp>
        <stp>[FA1_m42y3cpi.xlsx]Bal Sheet - Standardized!R43C12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3" s="3"/>
      </tp>
      <tp>
        <v>0</v>
        <stp/>
        <stp>##V3_BDHV12</stp>
        <stp>XOM US Equity</stp>
        <stp>IS_ABNORMAL_ITEM</stp>
        <stp>FQ3 2009</stp>
        <stp>FQ3 2009</stp>
        <stp>[FA1_m42y3cpi.xlsx]Income - Adjusted!R25C7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2"/>
      </tp>
      <tp>
        <v>4147</v>
        <stp/>
        <stp>##V3_BDHV12</stp>
        <stp>XOM US Equity</stp>
        <stp>BS_SH_OUT</stp>
        <stp>FQ1 2016</stp>
        <stp>FQ1 2016</stp>
        <stp>[FA1_m42y3cpi.xlsx]Per Share!R6C33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5"/>
      </tp>
      <tp>
        <v>4148</v>
        <stp/>
        <stp>##V3_BDHV12</stp>
        <stp>XOM US Equity</stp>
        <stp>BS_SH_OUT</stp>
        <stp>FQ4 2016</stp>
        <stp>FQ4 2016</stp>
        <stp>[FA1_m42y3cpi.xlsx]Per Share!R6C36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5"/>
      </tp>
      <tp t="s">
        <v>—</v>
        <stp/>
        <stp>##V3_BDHV12</stp>
        <stp>XOM US Equity</stp>
        <stp>BS_ACCT_PAYABLE</stp>
        <stp>FQ1 2018</stp>
        <stp>FQ1 2018</stp>
        <stp>[FA1_m42y3cpi.xlsx]Bal Sheet - Standardized!R43C41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3" s="3"/>
      </tp>
      <tp>
        <v>4676</v>
        <stp/>
        <stp>##V3_BDHV12</stp>
        <stp>XOM US Equity</stp>
        <stp>BS_SH_OUT</stp>
        <stp>FQ1 2012</stp>
        <stp>FQ1 2012</stp>
        <stp>[FA1_m42y3cpi.xlsx]Per Share!R6C17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5"/>
      </tp>
      <tp>
        <v>0</v>
        <stp/>
        <stp>##V3_BDHV12</stp>
        <stp>XOM US Equity</stp>
        <stp>XO_GL_NET_OF_TAX</stp>
        <stp>FQ3 2017</stp>
        <stp>FQ3 2017</stp>
        <stp>[FA1_m42y3cpi.xlsx]Income - Adjusted!R47C39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7" s="2"/>
      </tp>
      <tp>
        <v>0</v>
        <stp/>
        <stp>##V3_BDHV12</stp>
        <stp>XOM US Equity</stp>
        <stp>XO_GL_NET_OF_TAX</stp>
        <stp>FQ3 2017</stp>
        <stp>FQ3 2017</stp>
        <stp>[FA1_m42y3cpi.xlsx]Income - Adjusted!R35C39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5" s="2"/>
      </tp>
      <tp>
        <v>0</v>
        <stp/>
        <stp>##V3_BDHV12</stp>
        <stp>XOM US Equity</stp>
        <stp>XO_GL_NET_OF_TAX</stp>
        <stp>FQ1 2014</stp>
        <stp>FQ1 2014</stp>
        <stp>[FA1_m42y3cpi.xlsx]Income - Adjusted!R35C25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2"/>
      </tp>
      <tp>
        <v>0</v>
        <stp/>
        <stp>##V3_BDHV12</stp>
        <stp>XOM US Equity</stp>
        <stp>XO_GL_NET_OF_TAX</stp>
        <stp>FQ4 2017</stp>
        <stp>FQ4 2017</stp>
        <stp>[FA1_m42y3cpi.xlsx]Income - Adjusted!R47C40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7" s="2"/>
      </tp>
      <tp>
        <v>0</v>
        <stp/>
        <stp>##V3_BDHV12</stp>
        <stp>XOM US Equity</stp>
        <stp>XO_GL_NET_OF_TAX</stp>
        <stp>FQ2 2016</stp>
        <stp>FQ2 2016</stp>
        <stp>[FA1_m42y3cpi.xlsx]Income - Adjusted!R35C34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2"/>
      </tp>
      <tp>
        <v>0</v>
        <stp/>
        <stp>##V3_BDHV12</stp>
        <stp>XOM US Equity</stp>
        <stp>XO_GL_NET_OF_TAX</stp>
        <stp>FQ2 2016</stp>
        <stp>FQ2 2016</stp>
        <stp>[FA1_m42y3cpi.xlsx]Income - Adjusted!R47C34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2"/>
      </tp>
      <tp>
        <v>0</v>
        <stp/>
        <stp>##V3_BDHV12</stp>
        <stp>XOM US Equity</stp>
        <stp>XO_GL_NET_OF_TAX</stp>
        <stp>FQ4 2017</stp>
        <stp>FQ4 2017</stp>
        <stp>[FA1_m42y3cpi.xlsx]Income - Adjusted!R35C40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5" s="2"/>
      </tp>
      <tp>
        <v>0</v>
        <stp/>
        <stp>##V3_BDHV12</stp>
        <stp>XOM US Equity</stp>
        <stp>XO_GL_NET_OF_TAX</stp>
        <stp>FQ1 2014</stp>
        <stp>FQ1 2014</stp>
        <stp>[FA1_m42y3cpi.xlsx]Income - Adjusted!R47C25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2"/>
      </tp>
      <tp t="s">
        <v>—</v>
        <stp/>
        <stp>##V3_BDHV12</stp>
        <stp>XOM US Equity</stp>
        <stp>IS_INT_INC</stp>
        <stp>FQ1 2015</stp>
        <stp>FQ1 2015</stp>
        <stp>[FA1_m42y3cpi.xlsx]Income - Adjusted!R20C29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0" s="2"/>
      </tp>
      <tp t="s">
        <v>—</v>
        <stp/>
        <stp>##V3_BDHV12</stp>
        <stp>XOM US Equity</stp>
        <stp>IS_INT_INC</stp>
        <stp>FQ4 2014</stp>
        <stp>FQ4 2014</stp>
        <stp>[FA1_m42y3cpi.xlsx]Income - Adjusted!R20C28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0" s="2"/>
      </tp>
      <tp>
        <v>7516</v>
        <stp/>
        <stp>##V3_BDHV12</stp>
        <stp>XOM US Equity</stp>
        <stp>EBIT</stp>
        <stp>FQ4 2009</stp>
        <stp>FQ4 2009</stp>
        <stp>[FA1_m42y3cpi.xlsx]Income - Adjusted!R64C8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4" s="2"/>
      </tp>
      <tp>
        <v>73.03</v>
        <stp/>
        <stp>##V3_BDHV12</stp>
        <stp>XOM US Equity</stp>
        <stp>PX_LOW</stp>
        <stp>FQ4 2015</stp>
        <stp>FQ4 2015</stp>
        <stp>[FA1_m42y3cpi.xlsx]Stock Value!R10C32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0" s="6"/>
      </tp>
      <tp>
        <v>67.03</v>
        <stp/>
        <stp>##V3_BDHV12</stp>
        <stp>XOM US Equity</stp>
        <stp>PX_LOW</stp>
        <stp>FQ3 2011</stp>
        <stp>FQ3 2011</stp>
        <stp>[FA1_m42y3cpi.xlsx]Stock Value!R10C15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0" s="6"/>
      </tp>
      <tp>
        <v>76.72</v>
        <stp/>
        <stp>##V3_BDHV12</stp>
        <stp>XOM US Equity</stp>
        <stp>PX_LOW</stp>
        <stp>FQ2 2011</stp>
        <stp>FQ2 2011</stp>
        <stp>[FA1_m42y3cpi.xlsx]Stock Value!R10C14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0" s="6"/>
      </tp>
      <tp>
        <v>83.19</v>
        <stp/>
        <stp>##V3_BDHV12</stp>
        <stp>XOM US Equity</stp>
        <stp>PX_LOW</stp>
        <stp>FQ1 2012</stp>
        <stp>FQ1 2012</stp>
        <stp>[FA1_m42y3cpi.xlsx]Stock Value!R10C17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0" s="6"/>
      </tp>
      <tp>
        <v>61.8</v>
        <stp/>
        <stp>##V3_BDHV12</stp>
        <stp>XOM US Equity</stp>
        <stp>PX_LOW</stp>
        <stp>FQ4 2010</stp>
        <stp>FQ4 2010</stp>
        <stp>[FA1_m42y3cpi.xlsx]Stock Value!R10C12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0" s="6"/>
      </tp>
      <tp>
        <v>81.99</v>
        <stp/>
        <stp>##V3_BDHV12</stp>
        <stp>XOM US Equity</stp>
        <stp>PX_LOW</stp>
        <stp>FQ2 2016</stp>
        <stp>FQ2 2016</stp>
        <stp>[FA1_m42y3cpi.xlsx]Stock Value!R10C34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0" s="6"/>
      </tp>
      <tp>
        <v>82.29</v>
        <stp/>
        <stp>##V3_BDHV12</stp>
        <stp>XOM US Equity</stp>
        <stp>PX_LOW</stp>
        <stp>FQ3 2016</stp>
        <stp>FQ3 2016</stp>
        <stp>[FA1_m42y3cpi.xlsx]Stock Value!R10C35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0" s="6"/>
      </tp>
      <tp>
        <v>1.4114</v>
        <stp/>
        <stp>##V3_BDHV12</stp>
        <stp>XOM US Equity</stp>
        <stp>CASH_FLOW_TO_NET_INC</stp>
        <stp>FQ4 2010</stp>
        <stp>FQ4 2010</stp>
        <stp>[FA1_m42y3cpi.xlsx]Cash Flow - Standardized!R68C12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68" s="4"/>
      </tp>
      <tp>
        <v>1.7791999999999999</v>
        <stp/>
        <stp>##V3_BDHV12</stp>
        <stp>XOM US Equity</stp>
        <stp>CASH_FLOW_TO_NET_INC</stp>
        <stp>FQ3 2010</stp>
        <stp>FQ3 2010</stp>
        <stp>[FA1_m42y3cpi.xlsx]Cash Flow - Standardized!R68C11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68" s="4"/>
      </tp>
      <tp>
        <v>1.2216</v>
        <stp/>
        <stp>##V3_BDHV12</stp>
        <stp>XOM US Equity</stp>
        <stp>CASH_FLOW_TO_NET_INC</stp>
        <stp>FQ2 2010</stp>
        <stp>FQ2 2010</stp>
        <stp>[FA1_m42y3cpi.xlsx]Cash Flow - Standardized!R68C10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68" s="4"/>
      </tp>
      <tp>
        <v>80.31</v>
        <stp/>
        <stp>##V3_BDHV12</stp>
        <stp>XOM US Equity</stp>
        <stp>PX_LOW</stp>
        <stp>FQ1 2017</stp>
        <stp>FQ1 2017</stp>
        <stp>[FA1_m42y3cpi.xlsx]Stock Value!R10C37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0" s="6"/>
      </tp>
      <tp t="s">
        <v>—</v>
        <stp/>
        <stp>##V3_BDHV12</stp>
        <stp>XOM US Equity</stp>
        <stp>BS_GROSS_FIX_ASSET</stp>
        <stp>FQ1 2015</stp>
        <stp>FQ1 2015</stp>
        <stp>[FA1_m42y3cpi.xlsx]Bal Sheet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3"/>
      </tp>
      <tp>
        <v>9665</v>
        <stp/>
        <stp>##V3_BDHV12</stp>
        <stp>XOM US Equity</stp>
        <stp>BS_SH_CAP_AND_APIC</stp>
        <stp>FQ1 2013</stp>
        <stp>FQ1 2013</stp>
        <stp>[FA1_m42y3cpi.xlsx]Bal Sheet - Standardized!R68C21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8" s="3"/>
      </tp>
      <tp>
        <v>9002</v>
        <stp/>
        <stp>##V3_BDHV12</stp>
        <stp>XOM US Equity</stp>
        <stp>BS_SH_CAP_AND_APIC</stp>
        <stp>FQ2 2010</stp>
        <stp>FQ2 2010</stp>
        <stp>[FA1_m42y3cpi.xlsx]Bal Sheet - Standardized!R68C10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8" s="3"/>
      </tp>
      <tp>
        <v>2418</v>
        <stp/>
        <stp>##V3_BDHV12</stp>
        <stp>XOM US Equity</stp>
        <stp>BS_ST_BORROW</stp>
        <stp>FQ3 2009</stp>
        <stp>FQ3 2009</stp>
        <stp>[FA1_m42y3cpi.xlsx]Bal Sheet - Standardized!R47C7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3"/>
      </tp>
      <tp>
        <v>2157</v>
        <stp/>
        <stp>##V3_BDHV12</stp>
        <stp>XOM US Equity</stp>
        <stp>BS_ST_BORROW</stp>
        <stp>FQ2 2009</stp>
        <stp>FQ2 2009</stp>
        <stp>[FA1_m42y3cpi.xlsx]Bal Sheet - Standardized!R47C6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3"/>
      </tp>
      <tp>
        <v>2163</v>
        <stp/>
        <stp>##V3_BDHV12</stp>
        <stp>XOM US Equity</stp>
        <stp>BS_ST_BORROW</stp>
        <stp>FQ1 2009</stp>
        <stp>FQ1 2009</stp>
        <stp>[FA1_m42y3cpi.xlsx]Bal Sheet - Standardized!R47C5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3"/>
      </tp>
      <tp>
        <v>10276</v>
        <stp/>
        <stp>##V3_BDHV12</stp>
        <stp>XOM US Equity</stp>
        <stp>BS_SH_CAP_AND_APIC</stp>
        <stp>FQ1 2014</stp>
        <stp>FQ1 2014</stp>
        <stp>[FA1_m42y3cpi.xlsx]Bal Sheet - Standardized!R68C25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8" s="3"/>
      </tp>
      <tp>
        <v>9352</v>
        <stp/>
        <stp>##V3_BDHV12</stp>
        <stp>XOM US Equity</stp>
        <stp>BS_SH_CAP_AND_APIC</stp>
        <stp>FQ2 2011</stp>
        <stp>FQ2 2011</stp>
        <stp>[FA1_m42y3cpi.xlsx]Bal Sheet - Standardized!R68C14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8" s="3"/>
      </tp>
      <tp>
        <v>49</v>
        <stp/>
        <stp>##V3_BDHV12</stp>
        <stp>XOM US Equity</stp>
        <stp>OTHER_INVESTING_ACT_DETAILED</stp>
        <stp>FQ1 2018</stp>
        <stp>FQ1 2018</stp>
        <stp>[FA1_m42y3cpi.xlsx]Cash Flow - Standardized!R34C41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4" s="4"/>
      </tp>
      <tp t="s">
        <v>—</v>
        <stp/>
        <stp>##V3_BDHV12</stp>
        <stp>XOM US Equity</stp>
        <stp>BS_GROSS_FIX_ASSET</stp>
        <stp>FQ2 2012</stp>
        <stp>FQ2 2012</stp>
        <stp>[FA1_m42y3cpi.xlsx]Bal Sheet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3"/>
      </tp>
      <tp>
        <v>2400</v>
        <stp/>
        <stp>##V3_BDHV12</stp>
        <stp>XOM US Equity</stp>
        <stp>BS_ST_BORROW</stp>
        <stp>FQ4 2008</stp>
        <stp>FQ4 2008</stp>
        <stp>[FA1_m42y3cpi.xlsx]Bal Sheet - Standardized!R47C4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3"/>
      </tp>
      <tp>
        <v>2881</v>
        <stp/>
        <stp>##V3_BDHV12</stp>
        <stp>XOM US Equity</stp>
        <stp>BS_ST_BORROW</stp>
        <stp>FQ3 2008</stp>
        <stp>FQ3 2008</stp>
        <stp>[FA1_m42y3cpi.xlsx]Bal Sheet - Standardized!R47C3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3"/>
      </tp>
      <tp t="s">
        <v>—</v>
        <stp/>
        <stp>##V3_BDHV12</stp>
        <stp>XOM US Equity</stp>
        <stp>BS_GROSS_FIX_ASSET</stp>
        <stp>FQ2 2011</stp>
        <stp>FQ2 2011</stp>
        <stp>[FA1_m42y3cpi.xlsx]Bal Sheet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3"/>
      </tp>
      <tp>
        <v>-1204</v>
        <stp/>
        <stp>##V3_BDHV12</stp>
        <stp>XOM US Equity</stp>
        <stp>OTHER_INVESTING_ACT_DETAILED</stp>
        <stp>FQ4 2010</stp>
        <stp>FQ4 2010</stp>
        <stp>[FA1_m42y3cpi.xlsx]Cash Flow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4"/>
      </tp>
      <tp>
        <v>2476</v>
        <stp/>
        <stp>##V3_BDHV12</stp>
        <stp>XOM US Equity</stp>
        <stp>BS_ST_BORROW</stp>
        <stp>FQ4 2009</stp>
        <stp>FQ4 2009</stp>
        <stp>[FA1_m42y3cpi.xlsx]Bal Sheet - Standardized!R47C8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3"/>
      </tp>
      <tp>
        <v>9221</v>
        <stp/>
        <stp>##V3_BDHV12</stp>
        <stp>XOM US Equity</stp>
        <stp>BS_SH_CAP_AND_APIC</stp>
        <stp>FQ2 2012</stp>
        <stp>FQ2 2012</stp>
        <stp>[FA1_m42y3cpi.xlsx]Bal Sheet - Standardized!R68C18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8" s="3"/>
      </tp>
      <tp t="s">
        <v>—</v>
        <stp/>
        <stp>##V3_BDHV12</stp>
        <stp>XOM US Equity</stp>
        <stp>BS_GROSS_FIX_ASSET</stp>
        <stp>FQ1 2014</stp>
        <stp>FQ1 2014</stp>
        <stp>[FA1_m42y3cpi.xlsx]Bal Sheet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3"/>
      </tp>
      <tp>
        <v>2396</v>
        <stp/>
        <stp>##V3_BDHV12</stp>
        <stp>XOM US Equity</stp>
        <stp>BS_ST_BORROW</stp>
        <stp>FQ1 2010</stp>
        <stp>FQ1 2010</stp>
        <stp>[FA1_m42y3cpi.xlsx]Bal Sheet - Standardized!R47C9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3"/>
      </tp>
      <tp>
        <v>-265</v>
        <stp/>
        <stp>##V3_BDHV12</stp>
        <stp>XOM US Equity</stp>
        <stp>OTHER_INVESTING_ACT_DETAILED</stp>
        <stp>FQ4 2011</stp>
        <stp>FQ4 2011</stp>
        <stp>[FA1_m42y3cpi.xlsx]Cash Flow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4"/>
      </tp>
      <tp t="s">
        <v>—</v>
        <stp/>
        <stp>##V3_BDHV12</stp>
        <stp>XOM US Equity</stp>
        <stp>BS_GROSS_FIX_ASSET</stp>
        <stp>FQ1 2013</stp>
        <stp>FQ1 2013</stp>
        <stp>[FA1_m42y3cpi.xlsx]Bal Sheet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3"/>
      </tp>
      <tp>
        <v>11006</v>
        <stp/>
        <stp>##V3_BDHV12</stp>
        <stp>XOM US Equity</stp>
        <stp>BS_SH_CAP_AND_APIC</stp>
        <stp>FQ1 2015</stp>
        <stp>FQ1 2015</stp>
        <stp>[FA1_m42y3cpi.xlsx]Bal Sheet - Standardized!R68C29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8" s="3"/>
      </tp>
      <tp t="s">
        <v>—</v>
        <stp/>
        <stp>##V3_BDHV12</stp>
        <stp>XOM US Equity</stp>
        <stp>BS_GROSS_FIX_ASSET</stp>
        <stp>FQ2 2010</stp>
        <stp>FQ2 2010</stp>
        <stp>[FA1_m42y3cpi.xlsx]Bal Sheet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3"/>
      </tp>
      <tp>
        <v>4991</v>
        <stp/>
        <stp>##V3_BDHV12</stp>
        <stp>XOM US Equity</stp>
        <stp>CF_CASH_PAID_FOR_TAX</stp>
        <stp>FQ4 2010</stp>
        <stp>FQ4 2010</stp>
        <stp>[FA1_m42y3cpi.xlsx]Cash Flow - Standardized!R55C12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5" s="4"/>
      </tp>
      <tp>
        <v>7054</v>
        <stp/>
        <stp>##V3_BDHV12</stp>
        <stp>XOM US Equity</stp>
        <stp>BS_LT_BORROW</stp>
        <stp>FQ1 2010</stp>
        <stp>FQ1 2010</stp>
        <stp>[FA1_m42y3cpi.xlsx]Bal Sheet - Standardized!R56C9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6" s="3"/>
      </tp>
      <tp>
        <v>6905</v>
        <stp/>
        <stp>##V3_BDHV12</stp>
        <stp>XOM US Equity</stp>
        <stp>CF_CASH_PAID_FOR_TAX</stp>
        <stp>FQ4 2011</stp>
        <stp>FQ4 2011</stp>
        <stp>[FA1_m42y3cpi.xlsx]Cash Flow - Standardized!R55C16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5" s="4"/>
      </tp>
      <tp>
        <v>7129</v>
        <stp/>
        <stp>##V3_BDHV12</stp>
        <stp>XOM US Equity</stp>
        <stp>BS_LT_BORROW</stp>
        <stp>FQ4 2009</stp>
        <stp>FQ4 2009</stp>
        <stp>[FA1_m42y3cpi.xlsx]Bal Sheet - Standardized!R56C8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6" s="3"/>
      </tp>
      <tp>
        <v>83181</v>
        <stp/>
        <stp>##V3_BDHV12</stp>
        <stp>XOM US Equity</stp>
        <stp>IS_COGS_TO_FE_AND_PP_AND_G</stp>
        <stp>FQ1 2011</stp>
        <stp>FQ1 2011</stp>
        <stp>[FA1_m42y3cpi.xlsx]Income - Adjusted!R8C13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>
        <v>91665</v>
        <stp/>
        <stp>##V3_BDHV12</stp>
        <stp>XOM US Equity</stp>
        <stp>IS_COGS_TO_FE_AND_PP_AND_G</stp>
        <stp>FQ4 2011</stp>
        <stp>FQ4 2011</stp>
        <stp>[FA1_m42y3cpi.xlsx]Income - Adjusted!R8C16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>
        <v>7025</v>
        <stp/>
        <stp>##V3_BDHV12</stp>
        <stp>XOM US Equity</stp>
        <stp>BS_LT_BORROW</stp>
        <stp>FQ4 2008</stp>
        <stp>FQ4 2008</stp>
        <stp>[FA1_m42y3cpi.xlsx]Bal Sheet - Standardized!R56C4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6" s="3"/>
      </tp>
      <tp>
        <v>7383</v>
        <stp/>
        <stp>##V3_BDHV12</stp>
        <stp>XOM US Equity</stp>
        <stp>BS_LT_BORROW</stp>
        <stp>FQ3 2008</stp>
        <stp>FQ3 2008</stp>
        <stp>[FA1_m42y3cpi.xlsx]Bal Sheet - Standardized!R56C3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6" s="3"/>
      </tp>
      <tp>
        <v>81690</v>
        <stp/>
        <stp>##V3_BDHV12</stp>
        <stp>XOM US Equity</stp>
        <stp>IS_COGS_TO_FE_AND_PP_AND_G</stp>
        <stp>FQ1 2013</stp>
        <stp>FQ1 2013</stp>
        <stp>[FA1_m42y3cpi.xlsx]Income - Adjusted!R8C21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>
        <v>82342</v>
        <stp/>
        <stp>##V3_BDHV12</stp>
        <stp>XOM US Equity</stp>
        <stp>IS_COGS_TO_FE_AND_PP_AND_G</stp>
        <stp>FQ2 2013</stp>
        <stp>FQ2 2013</stp>
        <stp>[FA1_m42y3cpi.xlsx]Income - Adjusted!R8C22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86613</v>
        <stp/>
        <stp>##V3_BDHV12</stp>
        <stp>XOM US Equity</stp>
        <stp>IS_COGS_TO_FE_AND_PP_AND_G</stp>
        <stp>FQ3 2013</stp>
        <stp>FQ3 2013</stp>
        <stp>[FA1_m42y3cpi.xlsx]Income - Adjusted!R8C23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>
        <v>84701</v>
        <stp/>
        <stp>##V3_BDHV12</stp>
        <stp>XOM US Equity</stp>
        <stp>IS_COGS_TO_FE_AND_PP_AND_G</stp>
        <stp>FQ4 2013</stp>
        <stp>FQ4 2013</stp>
        <stp>[FA1_m42y3cpi.xlsx]Income - Adjusted!R8C24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48241</v>
        <stp/>
        <stp>##V3_BDHV12</stp>
        <stp>XOM US Equity</stp>
        <stp>IS_COGS_TO_FE_AND_PP_AND_G</stp>
        <stp>FQ4 2015</stp>
        <stp>FQ4 2015</stp>
        <stp>[FA1_m42y3cpi.xlsx]Income - Adjusted!R8C32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8" s="2"/>
      </tp>
      <tp>
        <v>7117</v>
        <stp/>
        <stp>##V3_BDHV12</stp>
        <stp>XOM US Equity</stp>
        <stp>BS_LT_BORROW</stp>
        <stp>FQ2 2009</stp>
        <stp>FQ2 2009</stp>
        <stp>[FA1_m42y3cpi.xlsx]Bal Sheet - Standardized!R56C6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6" s="3"/>
      </tp>
      <tp>
        <v>7185</v>
        <stp/>
        <stp>##V3_BDHV12</stp>
        <stp>XOM US Equity</stp>
        <stp>BS_LT_BORROW</stp>
        <stp>FQ3 2009</stp>
        <stp>FQ3 2009</stp>
        <stp>[FA1_m42y3cpi.xlsx]Bal Sheet - Standardized!R56C7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6" s="3"/>
      </tp>
      <tp>
        <v>7041</v>
        <stp/>
        <stp>##V3_BDHV12</stp>
        <stp>XOM US Equity</stp>
        <stp>BS_LT_BORROW</stp>
        <stp>FQ1 2009</stp>
        <stp>FQ1 2009</stp>
        <stp>[FA1_m42y3cpi.xlsx]Bal Sheet - Standardized!R56C5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6" s="3"/>
      </tp>
      <tp>
        <v>61920</v>
        <stp/>
        <stp>##V3_BDHV12</stp>
        <stp>XOM US Equity</stp>
        <stp>IS_COGS_TO_FE_AND_PP_AND_G</stp>
        <stp>FQ4 2017</stp>
        <stp>FQ4 2017</stp>
        <stp>[FA1_m42y3cpi.xlsx]Income - Adjusted!R8C40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8" s="2"/>
      </tp>
      <tp>
        <v>2117</v>
        <stp/>
        <stp>##V3_BDHV12</stp>
        <stp>XOM US Equity</stp>
        <stp>CF_CASH_PAID_FOR_TAX</stp>
        <stp>FQ1 2018</stp>
        <stp>FQ1 2018</stp>
        <stp>[FA1_m42y3cpi.xlsx]Cash Flow - Standardized!R55C41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5" s="4"/>
      </tp>
      <tp>
        <v>215.38460000000001</v>
        <stp/>
        <stp>##V3_BDHV12</stp>
        <stp>XOM US Equity</stp>
        <stp>IS_ABNORMAL_ITEM</stp>
        <stp>FQ2 2009</stp>
        <stp>FQ2 2009</stp>
        <stp>[FA1_m42y3cpi.xlsx]Income - Adjusted!R25C6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2"/>
      </tp>
      <tp>
        <v>0</v>
        <stp/>
        <stp>##V3_BDHV12</stp>
        <stp>XOM US Equity</stp>
        <stp>XO_GL_NET_OF_TAX</stp>
        <stp>FQ2 2017</stp>
        <stp>FQ2 2017</stp>
        <stp>[FA1_m42y3cpi.xlsx]Income - Adjusted!R47C38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7" s="2"/>
      </tp>
      <tp>
        <v>0</v>
        <stp/>
        <stp>##V3_BDHV12</stp>
        <stp>XOM US Equity</stp>
        <stp>XO_GL_NET_OF_TAX</stp>
        <stp>FQ1 2015</stp>
        <stp>FQ1 2015</stp>
        <stp>[FA1_m42y3cpi.xlsx]Income - Adjusted!R47C29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2"/>
      </tp>
      <tp>
        <v>0</v>
        <stp/>
        <stp>##V3_BDHV12</stp>
        <stp>XOM US Equity</stp>
        <stp>XO_GL_NET_OF_TAX</stp>
        <stp>FQ1 2015</stp>
        <stp>FQ1 2015</stp>
        <stp>[FA1_m42y3cpi.xlsx]Income - Adjusted!R35C29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2"/>
      </tp>
      <tp>
        <v>0</v>
        <stp/>
        <stp>##V3_BDHV12</stp>
        <stp>XOM US Equity</stp>
        <stp>XO_GL_NET_OF_TAX</stp>
        <stp>FQ2 2017</stp>
        <stp>FQ2 2017</stp>
        <stp>[FA1_m42y3cpi.xlsx]Income - Adjusted!R35C38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5" s="2"/>
      </tp>
      <tp>
        <v>0</v>
        <stp/>
        <stp>##V3_BDHV12</stp>
        <stp>XOM US Equity</stp>
        <stp>XO_GL_NET_OF_TAX</stp>
        <stp>FQ3 2016</stp>
        <stp>FQ3 2016</stp>
        <stp>[FA1_m42y3cpi.xlsx]Income - Adjusted!R35C35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2"/>
      </tp>
      <tp>
        <v>0</v>
        <stp/>
        <stp>##V3_BDHV12</stp>
        <stp>XOM US Equity</stp>
        <stp>XO_GL_NET_OF_TAX</stp>
        <stp>FQ3 2016</stp>
        <stp>FQ3 2016</stp>
        <stp>[FA1_m42y3cpi.xlsx]Income - Adjusted!R47C35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2"/>
      </tp>
      <tp t="s">
        <v>—</v>
        <stp/>
        <stp>##V3_BDHV12</stp>
        <stp>XOM US Equity</stp>
        <stp>CASH_CONVERSION_CYCLE</stp>
        <stp>FQ1 2018</stp>
        <stp>FQ1 2018</stp>
        <stp>[FA1_m42y3cpi.xlsx]Bal Sheet - Standardized!R90C41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90" s="3"/>
      </tp>
      <tp t="s">
        <v>—</v>
        <stp/>
        <stp>##V3_BDHV12</stp>
        <stp>XOM US Equity</stp>
        <stp>CASH_CONVERSION_CYCLE</stp>
        <stp>FQ2 2018</stp>
        <stp>FQ2 2018</stp>
        <stp>[FA1_m42y3cpi.xlsx]Bal Sheet - Standardized!R90C42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90" s="3"/>
      </tp>
      <tp>
        <v>1.0988</v>
        <stp/>
        <stp>##V3_BDHV12</stp>
        <stp>XOM US Equity</stp>
        <stp>CASH_ST_INVESTMENTS_PER_SH</stp>
        <stp>FQ4 2014</stp>
        <stp>FQ4 2014</stp>
        <stp>[FA1_m42y3cpi.xlsx]Per Share!R25C28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5" s="5"/>
      </tp>
      <tp>
        <v>1.2399</v>
        <stp/>
        <stp>##V3_BDHV12</stp>
        <stp>XOM US Equity</stp>
        <stp>CASH_ST_INVESTMENTS_PER_SH</stp>
        <stp>FQ1 2015</stp>
        <stp>FQ1 2015</stp>
        <stp>[FA1_m42y3cpi.xlsx]Per Share!R25C29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5" s="5"/>
      </tp>
      <tp>
        <v>13488</v>
        <stp/>
        <stp>##V3_BDHV12</stp>
        <stp>XOM US Equity</stp>
        <stp>BS_INVENTORIES</stp>
        <stp>FQ1 2010</stp>
        <stp>FQ1 2010</stp>
        <stp>[FA1_m42y3cpi.xlsx]Bal Sheet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3"/>
      </tp>
      <tp>
        <v>11553</v>
        <stp/>
        <stp>##V3_BDHV12</stp>
        <stp>XOM US Equity</stp>
        <stp>BS_INVENTORIES</stp>
        <stp>FQ4 2009</stp>
        <stp>FQ4 2009</stp>
        <stp>[FA1_m42y3cpi.xlsx]Bal Sheet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3"/>
      </tp>
      <tp>
        <v>1.1436999999999999</v>
        <stp/>
        <stp>##V3_BDHV12</stp>
        <stp>XOM US Equity</stp>
        <stp>CASH_FLOW_TO_NET_INC</stp>
        <stp>FQ4 2011</stp>
        <stp>FQ4 2011</stp>
        <stp>[FA1_m42y3cpi.xlsx]Cash Flow - Standardized!R68C16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68" s="4"/>
      </tp>
      <tp>
        <v>1.5827</v>
        <stp/>
        <stp>##V3_BDHV12</stp>
        <stp>XOM US Equity</stp>
        <stp>CASH_FLOW_TO_NET_INC</stp>
        <stp>FQ1 2011</stp>
        <stp>FQ1 2011</stp>
        <stp>[FA1_m42y3cpi.xlsx]Cash Flow - Standardized!R68C13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68" s="4"/>
      </tp>
      <tp>
        <v>1.4375</v>
        <stp/>
        <stp>##V3_BDHV12</stp>
        <stp>XOM US Equity</stp>
        <stp>CASH_FLOW_TO_NET_INC</stp>
        <stp>FQ3 2011</stp>
        <stp>FQ3 2011</stp>
        <stp>[FA1_m42y3cpi.xlsx]Cash Flow - Standardized!R68C15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68" s="4"/>
      </tp>
      <tp>
        <v>1.2068000000000001</v>
        <stp/>
        <stp>##V3_BDHV12</stp>
        <stp>XOM US Equity</stp>
        <stp>CASH_FLOW_TO_NET_INC</stp>
        <stp>FQ2 2011</stp>
        <stp>FQ2 2011</stp>
        <stp>[FA1_m42y3cpi.xlsx]Cash Flow - Standardized!R68C14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68" s="4"/>
      </tp>
      <tp>
        <v>15940</v>
        <stp/>
        <stp>##V3_BDHV12</stp>
        <stp>XOM US Equity</stp>
        <stp>BS_INVENTORIES</stp>
        <stp>FQ3 2008</stp>
        <stp>FQ3 2008</stp>
        <stp>[FA1_m42y3cpi.xlsx]Bal Sheet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3"/>
      </tp>
      <tp>
        <v>11646</v>
        <stp/>
        <stp>##V3_BDHV12</stp>
        <stp>XOM US Equity</stp>
        <stp>BS_INVENTORIES</stp>
        <stp>FQ4 2008</stp>
        <stp>FQ4 2008</stp>
        <stp>[FA1_m42y3cpi.xlsx]Bal Sheet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3"/>
      </tp>
      <tp>
        <v>12717</v>
        <stp/>
        <stp>##V3_BDHV12</stp>
        <stp>XOM US Equity</stp>
        <stp>BS_INVENTORIES</stp>
        <stp>FQ1 2009</stp>
        <stp>FQ1 2009</stp>
        <stp>[FA1_m42y3cpi.xlsx]Bal Sheet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3"/>
      </tp>
      <tp>
        <v>12585</v>
        <stp/>
        <stp>##V3_BDHV12</stp>
        <stp>XOM US Equity</stp>
        <stp>BS_INVENTORIES</stp>
        <stp>FQ3 2009</stp>
        <stp>FQ3 2009</stp>
        <stp>[FA1_m42y3cpi.xlsx]Bal Sheet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3"/>
      </tp>
      <tp>
        <v>12441</v>
        <stp/>
        <stp>##V3_BDHV12</stp>
        <stp>XOM US Equity</stp>
        <stp>BS_INVENTORIES</stp>
        <stp>FQ2 2009</stp>
        <stp>FQ2 2009</stp>
        <stp>[FA1_m42y3cpi.xlsx]Bal Sheet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3"/>
      </tp>
      <tp t="s">
        <v>—</v>
        <stp/>
        <stp>##V3_BDHV12</stp>
        <stp>XOM US Equity</stp>
        <stp>BS_OPTIONS_OUTSTANDING</stp>
        <stp>FQ3 2009</stp>
        <stp>FQ3 2009</stp>
        <stp>[FA1_m42y3cpi.xlsx]Bal Sheet - Standardized!R85C7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5" s="3"/>
      </tp>
      <tp t="s">
        <v>—</v>
        <stp/>
        <stp>##V3_BDHV12</stp>
        <stp>XOM US Equity</stp>
        <stp>BS_OPTIONS_OUTSTANDING</stp>
        <stp>FQ2 2009</stp>
        <stp>FQ2 2009</stp>
        <stp>[FA1_m42y3cpi.xlsx]Bal Sheet - Standardized!R85C6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5" s="3"/>
      </tp>
      <tp t="s">
        <v>—</v>
        <stp/>
        <stp>##V3_BDHV12</stp>
        <stp>XOM US Equity</stp>
        <stp>BS_OPTIONS_OUTSTANDING</stp>
        <stp>FQ1 2009</stp>
        <stp>FQ1 2009</stp>
        <stp>[FA1_m42y3cpi.xlsx]Bal Sheet - Standardized!R85C5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5" s="3"/>
      </tp>
      <tp t="s">
        <v>—</v>
        <stp/>
        <stp>##V3_BDHV12</stp>
        <stp>XOM US Equity</stp>
        <stp>BS_GROSS_FIX_ASSET</stp>
        <stp>FQ3 2017</stp>
        <stp>FQ3 2017</stp>
        <stp>[FA1_m42y3cpi.xlsx]Bal Sheet - Standardized!R24C39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4" s="3"/>
      </tp>
      <tp>
        <v>9156</v>
        <stp/>
        <stp>##V3_BDHV12</stp>
        <stp>XOM US Equity</stp>
        <stp>BS_SH_CAP_AND_APIC</stp>
        <stp>FQ1 2011</stp>
        <stp>FQ1 2011</stp>
        <stp>[FA1_m42y3cpi.xlsx]Bal Sheet - Standardized!R68C13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8" s="3"/>
      </tp>
      <tp>
        <v>9882</v>
        <stp/>
        <stp>##V3_BDHV12</stp>
        <stp>XOM US Equity</stp>
        <stp>BS_SH_CAP_AND_APIC</stp>
        <stp>FQ2 2013</stp>
        <stp>FQ2 2013</stp>
        <stp>[FA1_m42y3cpi.xlsx]Bal Sheet - Standardized!R68C22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8" s="3"/>
      </tp>
      <tp>
        <v>14656</v>
        <stp/>
        <stp>##V3_BDHV12</stp>
        <stp>XOM US Equity</stp>
        <stp>BS_SH_CAP_AND_APIC</stp>
        <stp>FQ4 2017</stp>
        <stp>FQ4 2017</stp>
        <stp>[FA1_m42y3cpi.xlsx]Bal Sheet - Standardized!R68C40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8" s="3"/>
      </tp>
      <tp>
        <v>1.3407</v>
        <stp/>
        <stp>##V3_BDHV12</stp>
        <stp>XOM US Equity</stp>
        <stp>CASH_FLOW_TO_NET_INC</stp>
        <stp>FQ4 2008</stp>
        <stp>FQ4 2008</stp>
        <stp>[FA1_m42y3cpi.xlsx]Cash Flow - Standardized!R68C4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68" s="4"/>
      </tp>
      <tp>
        <v>-1672</v>
        <stp/>
        <stp>##V3_BDHV12</stp>
        <stp>XOM US Equity</stp>
        <stp>CF_CASH_FROM_INV_ACT</stp>
        <stp>FQ4 2016</stp>
        <stp>FQ4 2016</stp>
        <stp>[FA1_m42y3cpi.xlsx]Cash Flow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4"/>
      </tp>
      <tp>
        <v>10487</v>
        <stp/>
        <stp>##V3_BDHV12</stp>
        <stp>XOM US Equity</stp>
        <stp>BS_SH_CAP_AND_APIC</stp>
        <stp>FQ2 2014</stp>
        <stp>FQ2 2014</stp>
        <stp>[FA1_m42y3cpi.xlsx]Bal Sheet - Standardized!R68C26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8" s="3"/>
      </tp>
      <tp>
        <v>12228</v>
        <stp/>
        <stp>##V3_BDHV12</stp>
        <stp>XOM US Equity</stp>
        <stp>BS_SH_CAP_AND_APIC</stp>
        <stp>FQ3 2016</stp>
        <stp>FQ3 2016</stp>
        <stp>[FA1_m42y3cpi.xlsx]Bal Sheet - Standardized!R68C35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8" s="3"/>
      </tp>
      <tp>
        <v>-5324</v>
        <stp/>
        <stp>##V3_BDHV12</stp>
        <stp>XOM US Equity</stp>
        <stp>CF_CASH_FROM_INV_ACT</stp>
        <stp>FQ4 2015</stp>
        <stp>FQ4 2015</stp>
        <stp>[FA1_m42y3cpi.xlsx]Cash Flow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4"/>
      </tp>
      <tp>
        <v>11443</v>
        <stp/>
        <stp>##V3_BDHV12</stp>
        <stp>XOM US Equity</stp>
        <stp>BS_SH_CAP_AND_APIC</stp>
        <stp>FQ3 2015</stp>
        <stp>FQ3 2015</stp>
        <stp>[FA1_m42y3cpi.xlsx]Bal Sheet - Standardized!R68C31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8" s="3"/>
      </tp>
      <tp>
        <v>-476</v>
        <stp/>
        <stp>##V3_BDHV12</stp>
        <stp>XOM US Equity</stp>
        <stp>OTHER_INVESTING_ACT_DETAILED</stp>
        <stp>FQ2 2018</stp>
        <stp>FQ2 2018</stp>
        <stp>[FA1_m42y3cpi.xlsx]Cash Flow - Standardized!R34C42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4" s="4"/>
      </tp>
      <tp>
        <v>-204</v>
        <stp/>
        <stp>##V3_BDHV12</stp>
        <stp>XOM US Equity</stp>
        <stp>OTHER_INVESTING_ACT_DETAILED</stp>
        <stp>FQ4 2014</stp>
        <stp>FQ4 2014</stp>
        <stp>[FA1_m42y3cpi.xlsx]Cash Flow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4"/>
      </tp>
      <tp>
        <v>9007</v>
        <stp/>
        <stp>##V3_BDHV12</stp>
        <stp>XOM US Equity</stp>
        <stp>BS_SH_CAP_AND_APIC</stp>
        <stp>FQ1 2012</stp>
        <stp>FQ1 2012</stp>
        <stp>[FA1_m42y3cpi.xlsx]Bal Sheet - Standardized!R68C17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8" s="3"/>
      </tp>
      <tp t="s">
        <v>—</v>
        <stp/>
        <stp>##V3_BDHV12</stp>
        <stp>XOM US Equity</stp>
        <stp>BS_GROSS_FIX_ASSET</stp>
        <stp>FQ1 2012</stp>
        <stp>FQ1 2012</stp>
        <stp>[FA1_m42y3cpi.xlsx]Bal Sheet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3"/>
      </tp>
      <tp t="s">
        <v>—</v>
        <stp/>
        <stp>##V3_BDHV12</stp>
        <stp>XOM US Equity</stp>
        <stp>IS_INT_INC</stp>
        <stp>FQ1 2009</stp>
        <stp>FQ1 2009</stp>
        <stp>[FA1_m42y3cpi.xlsx]Income - Adjusted!R20C5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0" s="2"/>
      </tp>
      <tp t="s">
        <v>—</v>
        <stp/>
        <stp>##V3_BDHV12</stp>
        <stp>XOM US Equity</stp>
        <stp>IS_INT_INC</stp>
        <stp>FQ3 2009</stp>
        <stp>FQ3 2009</stp>
        <stp>[FA1_m42y3cpi.xlsx]Income - Adjusted!R20C7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0" s="2"/>
      </tp>
      <tp t="s">
        <v>—</v>
        <stp/>
        <stp>##V3_BDHV12</stp>
        <stp>XOM US Equity</stp>
        <stp>IS_INT_INC</stp>
        <stp>FQ2 2009</stp>
        <stp>FQ2 2009</stp>
        <stp>[FA1_m42y3cpi.xlsx]Income - Adjusted!R20C6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0" s="2"/>
      </tp>
      <tp t="s">
        <v>—</v>
        <stp/>
        <stp>##V3_BDHV12</stp>
        <stp>XOM US Equity</stp>
        <stp>BS_GROSS_FIX_ASSET</stp>
        <stp>FQ3 2015</stp>
        <stp>FQ3 2015</stp>
        <stp>[FA1_m42y3cpi.xlsx]Bal Sheet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3"/>
      </tp>
      <tp>
        <v>250</v>
        <stp/>
        <stp>##V3_BDHV12</stp>
        <stp>XOM US Equity</stp>
        <stp>OTHER_INVESTING_ACT_DETAILED</stp>
        <stp>FQ4 2012</stp>
        <stp>FQ4 2012</stp>
        <stp>[FA1_m42y3cpi.xlsx]Cash Flow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4"/>
      </tp>
      <tp t="s">
        <v>—</v>
        <stp/>
        <stp>##V3_BDHV12</stp>
        <stp>XOM US Equity</stp>
        <stp>BS_GROSS_FIX_ASSET</stp>
        <stp>FQ3 2016</stp>
        <stp>FQ3 2016</stp>
        <stp>[FA1_m42y3cpi.xlsx]Bal Sheet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3"/>
      </tp>
      <tp t="s">
        <v>—</v>
        <stp/>
        <stp>##V3_BDHV12</stp>
        <stp>XOM US Equity</stp>
        <stp>BS_GROSS_FIX_ASSET</stp>
        <stp>FQ2 2014</stp>
        <stp>FQ2 2014</stp>
        <stp>[FA1_m42y3cpi.xlsx]Bal Sheet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3"/>
      </tp>
      <tp>
        <v>-122</v>
        <stp/>
        <stp>##V3_BDHV12</stp>
        <stp>XOM US Equity</stp>
        <stp>OTHER_INVESTING_ACT_DETAILED</stp>
        <stp>FQ4 2013</stp>
        <stp>FQ4 2013</stp>
        <stp>[FA1_m42y3cpi.xlsx]Cash Flow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4"/>
      </tp>
      <tp>
        <v>477185</v>
        <stp/>
        <stp>##V3_BDHV12</stp>
        <stp>XOM US Equity</stp>
        <stp>BS_GROSS_FIX_ASSET</stp>
        <stp>FQ4 2017</stp>
        <stp>FQ4 2017</stp>
        <stp>[FA1_m42y3cpi.xlsx]Bal Sheet - Standardized!R24C40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4" s="3"/>
      </tp>
      <tp t="s">
        <v>—</v>
        <stp/>
        <stp>##V3_BDHV12</stp>
        <stp>XOM US Equity</stp>
        <stp>BS_GROSS_FIX_ASSET</stp>
        <stp>FQ2 2013</stp>
        <stp>FQ2 2013</stp>
        <stp>[FA1_m42y3cpi.xlsx]Bal Sheet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3"/>
      </tp>
      <tp t="s">
        <v>—</v>
        <stp/>
        <stp>##V3_BDHV12</stp>
        <stp>XOM US Equity</stp>
        <stp>BS_GROSS_FIX_ASSET</stp>
        <stp>FQ1 2011</stp>
        <stp>FQ1 2011</stp>
        <stp>[FA1_m42y3cpi.xlsx]Bal Sheet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3"/>
      </tp>
      <tp>
        <v>14783</v>
        <stp/>
        <stp>##V3_BDHV12</stp>
        <stp>XOM US Equity</stp>
        <stp>BS_SH_CAP_AND_APIC</stp>
        <stp>FQ3 2017</stp>
        <stp>FQ3 2017</stp>
        <stp>[FA1_m42y3cpi.xlsx]Bal Sheet - Standardized!R68C39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8" s="3"/>
      </tp>
      <tp>
        <v>6454</v>
        <stp/>
        <stp>##V3_BDHV12</stp>
        <stp>XOM US Equity</stp>
        <stp>CF_CASH_PAID_FOR_TAX</stp>
        <stp>FQ4 2012</stp>
        <stp>FQ4 2012</stp>
        <stp>[FA1_m42y3cpi.xlsx]Cash Flow - Standardized!R55C20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5" s="4"/>
      </tp>
      <tp>
        <v>5195</v>
        <stp/>
        <stp>##V3_BDHV12</stp>
        <stp>XOM US Equity</stp>
        <stp>CF_CASH_PAID_FOR_TAX</stp>
        <stp>FQ4 2013</stp>
        <stp>FQ4 2013</stp>
        <stp>[FA1_m42y3cpi.xlsx]Cash Flow - Standardized!R55C24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5" s="4"/>
      </tp>
      <tp>
        <v>80615</v>
        <stp/>
        <stp>##V3_BDHV12</stp>
        <stp>XOM US Equity</stp>
        <stp>IS_COGS_TO_FE_AND_PP_AND_G</stp>
        <stp>FQ1 2014</stp>
        <stp>FQ1 2014</stp>
        <stp>[FA1_m42y3cpi.xlsx]Income - Adjusted!R8C25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>
        <v>85896</v>
        <stp/>
        <stp>##V3_BDHV12</stp>
        <stp>XOM US Equity</stp>
        <stp>IS_COGS_TO_FE_AND_PP_AND_G</stp>
        <stp>FQ2 2014</stp>
        <stp>FQ2 2014</stp>
        <stp>[FA1_m42y3cpi.xlsx]Income - Adjusted!R8C26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>
        <v>82985</v>
        <stp/>
        <stp>##V3_BDHV12</stp>
        <stp>XOM US Equity</stp>
        <stp>IS_COGS_TO_FE_AND_PP_AND_G</stp>
        <stp>FQ3 2014</stp>
        <stp>FQ3 2014</stp>
        <stp>[FA1_m42y3cpi.xlsx]Income - Adjusted!R8C27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>
        <v>3747</v>
        <stp/>
        <stp>##V3_BDHV12</stp>
        <stp>XOM US Equity</stp>
        <stp>CF_CASH_PAID_FOR_TAX</stp>
        <stp>FQ4 2014</stp>
        <stp>FQ4 2014</stp>
        <stp>[FA1_m42y3cpi.xlsx]Cash Flow - Standardized!R55C28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5" s="4"/>
      </tp>
      <tp>
        <v>46845</v>
        <stp/>
        <stp>##V3_BDHV12</stp>
        <stp>XOM US Equity</stp>
        <stp>IS_COGS_TO_FE_AND_PP_AND_G</stp>
        <stp>FQ3 2016</stp>
        <stp>FQ3 2016</stp>
        <stp>[FA1_m42y3cpi.xlsx]Income - Adjusted!R8C35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8" s="2"/>
      </tp>
      <tp>
        <v>46697</v>
        <stp/>
        <stp>##V3_BDHV12</stp>
        <stp>XOM US Equity</stp>
        <stp>IS_COGS_TO_FE_AND_PP_AND_G</stp>
        <stp>FQ2 2016</stp>
        <stp>FQ2 2016</stp>
        <stp>[FA1_m42y3cpi.xlsx]Income - Adjusted!R8C34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8" s="2"/>
      </tp>
      <tp>
        <v>2309</v>
        <stp/>
        <stp>##V3_BDHV12</stp>
        <stp>XOM US Equity</stp>
        <stp>CF_CASH_PAID_FOR_TAX</stp>
        <stp>FQ2 2018</stp>
        <stp>FQ2 2018</stp>
        <stp>[FA1_m42y3cpi.xlsx]Cash Flow - Standardized!R55C42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5" s="4"/>
      </tp>
      <tp>
        <v>18074</v>
        <stp/>
        <stp>##V3_BDHV12</stp>
        <stp>XOM US Equity</stp>
        <stp>BS_ACCT_PAYABLE</stp>
        <stp>FQ4 2015</stp>
        <stp>FQ4 2015</stp>
        <stp>[FA1_m42y3cpi.xlsx]Bal Sheet - Standardized!R43C32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3" s="3"/>
      </tp>
      <tp>
        <v>0</v>
        <stp/>
        <stp>##V3_BDHV12</stp>
        <stp>XOM US Equity</stp>
        <stp>IS_ABNORMAL_ITEM</stp>
        <stp>FQ1 2009</stp>
        <stp>FQ1 2009</stp>
        <stp>[FA1_m42y3cpi.xlsx]Income - Adjusted!R25C5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2"/>
      </tp>
      <tp>
        <v>17801</v>
        <stp/>
        <stp>##V3_BDHV12</stp>
        <stp>XOM US Equity</stp>
        <stp>BS_ACCT_PAYABLE</stp>
        <stp>FQ4 2016</stp>
        <stp>FQ4 2016</stp>
        <stp>[FA1_m42y3cpi.xlsx]Bal Sheet - Standardized!R43C36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3" s="3"/>
      </tp>
      <tp>
        <v>4502</v>
        <stp/>
        <stp>##V3_BDHV12</stp>
        <stp>XOM US Equity</stp>
        <stp>BS_SH_OUT</stp>
        <stp>FQ4 2012</stp>
        <stp>FQ4 2012</stp>
        <stp>[FA1_m42y3cpi.xlsx]Per Share!R6C20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5"/>
      </tp>
      <tp>
        <v>4979</v>
        <stp/>
        <stp>##V3_BDHV12</stp>
        <stp>XOM US Equity</stp>
        <stp>BS_SH_OUT</stp>
        <stp>FQ4 2010</stp>
        <stp>FQ4 2010</stp>
        <stp>[FA1_m42y3cpi.xlsx]Per Share!R6C12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5"/>
      </tp>
      <tp>
        <v>7617</v>
        <stp/>
        <stp>##V3_BDHV12</stp>
        <stp>XOM US Equity</stp>
        <stp>FREE_CASH_FLOW_EQUITY</stp>
        <stp>FQ1 2010</stp>
        <stp>FQ1 2010</stp>
        <stp>[FA1_m42y3cpi.xlsx]Cash Flow - Standardized!R65C9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5" s="4"/>
      </tp>
      <tp>
        <v>2087</v>
        <stp/>
        <stp>##V3_BDHV12</stp>
        <stp>XOM US Equity</stp>
        <stp>FREE_CASH_FLOW_EQUITY</stp>
        <stp>FQ4 2009</stp>
        <stp>FQ4 2009</stp>
        <stp>[FA1_m42y3cpi.xlsx]Cash Flow - Standardized!R65C8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5" s="4"/>
      </tp>
      <tp>
        <v>12442</v>
        <stp/>
        <stp>##V3_BDHV12</stp>
        <stp>XOM US Equity</stp>
        <stp>FREE_CASH_FLOW_EQUITY</stp>
        <stp>FQ3 2008</stp>
        <stp>FQ3 2008</stp>
        <stp>[FA1_m42y3cpi.xlsx]Cash Flow - Standardized!R65C3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5" s="4"/>
      </tp>
      <tp>
        <v>6096</v>
        <stp/>
        <stp>##V3_BDHV12</stp>
        <stp>XOM US Equity</stp>
        <stp>FREE_CASH_FLOW_EQUITY</stp>
        <stp>FQ4 2008</stp>
        <stp>FQ4 2008</stp>
        <stp>[FA1_m42y3cpi.xlsx]Cash Flow - Standardized!R65C4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5" s="4"/>
      </tp>
      <tp>
        <v>0</v>
        <stp/>
        <stp>##V3_BDHV12</stp>
        <stp>XOM US Equity</stp>
        <stp>XO_GL_NET_OF_TAX</stp>
        <stp>FQ4 2013</stp>
        <stp>FQ4 2013</stp>
        <stp>[FA1_m42y3cpi.xlsx]Income - Adjusted!R47C24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2"/>
      </tp>
      <tp>
        <v>0</v>
        <stp/>
        <stp>##V3_BDHV12</stp>
        <stp>XOM US Equity</stp>
        <stp>XO_GL_NET_OF_TAX</stp>
        <stp>FQ1 2017</stp>
        <stp>FQ1 2017</stp>
        <stp>[FA1_m42y3cpi.xlsx]Income - Adjusted!R35C37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5" s="2"/>
      </tp>
      <tp>
        <v>0</v>
        <stp/>
        <stp>##V3_BDHV12</stp>
        <stp>XOM US Equity</stp>
        <stp>XO_GL_NET_OF_TAX</stp>
        <stp>FQ3 2015</stp>
        <stp>FQ3 2015</stp>
        <stp>[FA1_m42y3cpi.xlsx]Income - Adjusted!R47C31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2"/>
      </tp>
      <tp>
        <v>0</v>
        <stp/>
        <stp>##V3_BDHV12</stp>
        <stp>XOM US Equity</stp>
        <stp>XO_GL_NET_OF_TAX</stp>
        <stp>FQ3 2014</stp>
        <stp>FQ3 2014</stp>
        <stp>[FA1_m42y3cpi.xlsx]Income - Adjusted!R35C27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2"/>
      </tp>
      <tp>
        <v>0</v>
        <stp/>
        <stp>##V3_BDHV12</stp>
        <stp>XOM US Equity</stp>
        <stp>XO_GL_NET_OF_TAX</stp>
        <stp>FQ4 2010</stp>
        <stp>FQ4 2010</stp>
        <stp>[FA1_m42y3cpi.xlsx]Income - Adjusted!R35C12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2"/>
      </tp>
      <tp>
        <v>0</v>
        <stp/>
        <stp>##V3_BDHV12</stp>
        <stp>XOM US Equity</stp>
        <stp>XO_GL_NET_OF_TAX</stp>
        <stp>FQ4 2010</stp>
        <stp>FQ4 2010</stp>
        <stp>[FA1_m42y3cpi.xlsx]Income - Adjusted!R47C12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2"/>
      </tp>
      <tp>
        <v>3697</v>
        <stp/>
        <stp>##V3_BDHV12</stp>
        <stp>XOM US Equity</stp>
        <stp>FREE_CASH_FLOW_EQUITY</stp>
        <stp>FQ3 2009</stp>
        <stp>FQ3 2009</stp>
        <stp>[FA1_m42y3cpi.xlsx]Cash Flow - Standardized!R65C7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5" s="4"/>
      </tp>
      <tp>
        <v>-2631</v>
        <stp/>
        <stp>##V3_BDHV12</stp>
        <stp>XOM US Equity</stp>
        <stp>FREE_CASH_FLOW_EQUITY</stp>
        <stp>FQ2 2009</stp>
        <stp>FQ2 2009</stp>
        <stp>[FA1_m42y3cpi.xlsx]Cash Flow - Standardized!R65C6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5" s="4"/>
      </tp>
      <tp>
        <v>4186</v>
        <stp/>
        <stp>##V3_BDHV12</stp>
        <stp>XOM US Equity</stp>
        <stp>FREE_CASH_FLOW_EQUITY</stp>
        <stp>FQ1 2009</stp>
        <stp>FQ1 2009</stp>
        <stp>[FA1_m42y3cpi.xlsx]Cash Flow - Standardized!R65C5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5" s="4"/>
      </tp>
      <tp>
        <v>0</v>
        <stp/>
        <stp>##V3_BDHV12</stp>
        <stp>XOM US Equity</stp>
        <stp>XO_GL_NET_OF_TAX</stp>
        <stp>FQ3 2014</stp>
        <stp>FQ3 2014</stp>
        <stp>[FA1_m42y3cpi.xlsx]Income - Adjusted!R47C27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2"/>
      </tp>
      <tp>
        <v>0</v>
        <stp/>
        <stp>##V3_BDHV12</stp>
        <stp>XOM US Equity</stp>
        <stp>XO_GL_NET_OF_TAX</stp>
        <stp>FQ3 2015</stp>
        <stp>FQ3 2015</stp>
        <stp>[FA1_m42y3cpi.xlsx]Income - Adjusted!R35C31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2"/>
      </tp>
      <tp>
        <v>0</v>
        <stp/>
        <stp>##V3_BDHV12</stp>
        <stp>XOM US Equity</stp>
        <stp>XO_GL_NET_OF_TAX</stp>
        <stp>FQ1 2017</stp>
        <stp>FQ1 2017</stp>
        <stp>[FA1_m42y3cpi.xlsx]Income - Adjusted!R47C37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7" s="2"/>
      </tp>
      <tp>
        <v>0</v>
        <stp/>
        <stp>##V3_BDHV12</stp>
        <stp>XOM US Equity</stp>
        <stp>XO_GL_NET_OF_TAX</stp>
        <stp>FQ4 2013</stp>
        <stp>FQ4 2013</stp>
        <stp>[FA1_m42y3cpi.xlsx]Income - Adjusted!R35C24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2"/>
      </tp>
      <tp t="s">
        <v>—</v>
        <stp/>
        <stp>##V3_BDHV12</stp>
        <stp>XOM US Equity</stp>
        <stp>ACTUAL_SALES_PER_EMPL</stp>
        <stp>FQ1 2010</stp>
        <stp>FQ1 2010</stp>
        <stp>[FA1_m42y3cpi.xlsx]Income - Adjusted!R68C9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68" s="2"/>
      </tp>
      <tp t="s">
        <v>—</v>
        <stp/>
        <stp>##V3_BDHV12</stp>
        <stp>XOM US Equity</stp>
        <stp>IS_INT_INC</stp>
        <stp>FQ3 2017</stp>
        <stp>FQ3 2017</stp>
        <stp>[FA1_m42y3cpi.xlsx]Income - Adjusted!R20C39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20" s="2"/>
      </tp>
      <tp>
        <v>0.95399999999999996</v>
        <stp/>
        <stp>##V3_BDHV12</stp>
        <stp>XOM US Equity</stp>
        <stp>CASH_ST_INVESTMENTS_PER_SH</stp>
        <stp>FQ2 2017</stp>
        <stp>FQ2 2017</stp>
        <stp>[FA1_m42y3cpi.xlsx]Per Share!R25C38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5" s="5"/>
      </tp>
      <tp>
        <v>80.010000000000005</v>
        <stp/>
        <stp>##V3_BDHV12</stp>
        <stp>XOM US Equity</stp>
        <stp>PX_LOW</stp>
        <stp>FQ4 2017</stp>
        <stp>FQ4 2017</stp>
        <stp>[FA1_m42y3cpi.xlsx]Stock Value!R10C40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0" s="6"/>
      </tp>
      <tp>
        <v>89.25</v>
        <stp/>
        <stp>##V3_BDHV12</stp>
        <stp>XOM US Equity</stp>
        <stp>PX_LOW</stp>
        <stp>FQ1 2014</stp>
        <stp>FQ1 2014</stp>
        <stp>[FA1_m42y3cpi.xlsx]Stock Value!R10C25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0" s="6"/>
      </tp>
      <tp>
        <v>1.329</v>
        <stp/>
        <stp>##V3_BDHV12</stp>
        <stp>XOM US Equity</stp>
        <stp>CASH_FLOW_TO_NET_INC</stp>
        <stp>FQ4 2012</stp>
        <stp>FQ4 2012</stp>
        <stp>[FA1_m42y3cpi.xlsx]Cash Flow - Standardized!R68C20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68" s="4"/>
      </tp>
      <tp>
        <v>2.0409999999999999</v>
        <stp/>
        <stp>##V3_BDHV12</stp>
        <stp>XOM US Equity</stp>
        <stp>CASH_FLOW_TO_NET_INC</stp>
        <stp>FQ1 2012</stp>
        <stp>FQ1 2012</stp>
        <stp>[FA1_m42y3cpi.xlsx]Cash Flow - Standardized!R68C17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68" s="4"/>
      </tp>
      <tp>
        <v>1.4046000000000001</v>
        <stp/>
        <stp>##V3_BDHV12</stp>
        <stp>XOM US Equity</stp>
        <stp>CASH_FLOW_TO_NET_INC</stp>
        <stp>FQ3 2012</stp>
        <stp>FQ3 2012</stp>
        <stp>[FA1_m42y3cpi.xlsx]Cash Flow - Standardized!R68C19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68" s="4"/>
      </tp>
      <tp>
        <v>0.64219999999999999</v>
        <stp/>
        <stp>##V3_BDHV12</stp>
        <stp>XOM US Equity</stp>
        <stp>CASH_FLOW_TO_NET_INC</stp>
        <stp>FQ2 2012</stp>
        <stp>FQ2 2012</stp>
        <stp>[FA1_m42y3cpi.xlsx]Cash Flow - Standardized!R68C18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68" s="4"/>
      </tp>
      <tp>
        <v>84.7</v>
        <stp/>
        <stp>##V3_BDHV12</stp>
        <stp>XOM US Equity</stp>
        <stp>PX_LOW</stp>
        <stp>FQ4 2012</stp>
        <stp>FQ4 2012</stp>
        <stp>[FA1_m42y3cpi.xlsx]Stock Value!R10C20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0" s="6"/>
      </tp>
      <tp>
        <v>96.234999999999999</v>
        <stp/>
        <stp>##V3_BDHV12</stp>
        <stp>XOM US Equity</stp>
        <stp>PX_LOW</stp>
        <stp>FQ2 2014</stp>
        <stp>FQ2 2014</stp>
        <stp>[FA1_m42y3cpi.xlsx]Stock Value!R10C26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0" s="6"/>
      </tp>
      <tp>
        <v>93.62</v>
        <stp/>
        <stp>##V3_BDHV12</stp>
        <stp>XOM US Equity</stp>
        <stp>PX_LOW</stp>
        <stp>FQ3 2014</stp>
        <stp>FQ3 2014</stp>
        <stp>[FA1_m42y3cpi.xlsx]Stock Value!R10C27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0" s="6"/>
      </tp>
      <tp t="s">
        <v>—</v>
        <stp/>
        <stp>##V3_BDHV12</stp>
        <stp>XOM US Equity</stp>
        <stp>BS_GROSS_FIX_ASSET</stp>
        <stp>FQ2 2017</stp>
        <stp>FQ2 2017</stp>
        <stp>[FA1_m42y3cpi.xlsx]Bal Sheet - Standardized!R24C38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4" s="3"/>
      </tp>
      <tp>
        <v>10062</v>
        <stp/>
        <stp>##V3_BDHV12</stp>
        <stp>XOM US Equity</stp>
        <stp>BS_SH_CAP_AND_APIC</stp>
        <stp>FQ3 2013</stp>
        <stp>FQ3 2013</stp>
        <stp>[FA1_m42y3cpi.xlsx]Bal Sheet - Standardized!R68C23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8" s="3"/>
      </tp>
      <tp>
        <v>-9002</v>
        <stp/>
        <stp>##V3_BDHV12</stp>
        <stp>XOM US Equity</stp>
        <stp>CF_CASH_FROM_INV_ACT</stp>
        <stp>FQ4 2012</stp>
        <stp>FQ4 2012</stp>
        <stp>[FA1_m42y3cpi.xlsx]Cash Flow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4"/>
      </tp>
      <tp>
        <v>1.4056</v>
        <stp/>
        <stp>##V3_BDHV12</stp>
        <stp>XOM US Equity</stp>
        <stp>CASH_FLOW_TO_NET_INC</stp>
        <stp>FQ4 2009</stp>
        <stp>FQ4 2009</stp>
        <stp>[FA1_m42y3cpi.xlsx]Cash Flow - Standardized!R68C8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68" s="4"/>
      </tp>
      <tp>
        <v>10681</v>
        <stp/>
        <stp>##V3_BDHV12</stp>
        <stp>XOM US Equity</stp>
        <stp>BS_SH_CAP_AND_APIC</stp>
        <stp>FQ3 2014</stp>
        <stp>FQ3 2014</stp>
        <stp>[FA1_m42y3cpi.xlsx]Bal Sheet - Standardized!R68C27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8" s="3"/>
      </tp>
      <tp>
        <v>12019</v>
        <stp/>
        <stp>##V3_BDHV12</stp>
        <stp>XOM US Equity</stp>
        <stp>BS_SH_CAP_AND_APIC</stp>
        <stp>FQ2 2016</stp>
        <stp>FQ2 2016</stp>
        <stp>[FA1_m42y3cpi.xlsx]Bal Sheet - Standardized!R68C34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8" s="3"/>
      </tp>
      <tp>
        <v>-6712</v>
        <stp/>
        <stp>##V3_BDHV12</stp>
        <stp>XOM US Equity</stp>
        <stp>CF_CASH_FROM_INV_ACT</stp>
        <stp>FQ4 2013</stp>
        <stp>FQ4 2013</stp>
        <stp>[FA1_m42y3cpi.xlsx]Cash Flow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4"/>
      </tp>
      <tp>
        <v>11224</v>
        <stp/>
        <stp>##V3_BDHV12</stp>
        <stp>XOM US Equity</stp>
        <stp>BS_SH_CAP_AND_APIC</stp>
        <stp>FQ2 2015</stp>
        <stp>FQ2 2015</stp>
        <stp>[FA1_m42y3cpi.xlsx]Bal Sheet - Standardized!R68C30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8" s="3"/>
      </tp>
      <tp>
        <v>122</v>
        <stp/>
        <stp>##V3_BDHV12</stp>
        <stp>XOM US Equity</stp>
        <stp>OTHER_INVESTING_ACT_DETAILED</stp>
        <stp>FQ4 2016</stp>
        <stp>FQ4 2016</stp>
        <stp>[FA1_m42y3cpi.xlsx]Cash Flow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4"/>
      </tp>
      <tp t="s">
        <v>—</v>
        <stp/>
        <stp>##V3_BDHV12</stp>
        <stp>XOM US Equity</stp>
        <stp>BS_GROSS_FIX_ASSET</stp>
        <stp>FQ2 2015</stp>
        <stp>FQ2 2015</stp>
        <stp>[FA1_m42y3cpi.xlsx]Bal Sheet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3"/>
      </tp>
      <tp t="s">
        <v>—</v>
        <stp/>
        <stp>##V3_BDHV12</stp>
        <stp>XOM US Equity</stp>
        <stp>BS_GROSS_FIX_ASSET</stp>
        <stp>FQ2 2016</stp>
        <stp>FQ2 2016</stp>
        <stp>[FA1_m42y3cpi.xlsx]Bal Sheet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3"/>
      </tp>
      <tp t="s">
        <v>—</v>
        <stp/>
        <stp>##V3_BDHV12</stp>
        <stp>XOM US Equity</stp>
        <stp>BS_GROSS_FIX_ASSET</stp>
        <stp>FQ3 2014</stp>
        <stp>FQ3 2014</stp>
        <stp>[FA1_m42y3cpi.xlsx]Bal Sheet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3"/>
      </tp>
      <tp>
        <v>27</v>
        <stp/>
        <stp>##V3_BDHV12</stp>
        <stp>XOM US Equity</stp>
        <stp>OTHER_INVESTING_ACT_DETAILED</stp>
        <stp>FQ4 2015</stp>
        <stp>FQ4 2015</stp>
        <stp>[FA1_m42y3cpi.xlsx]Cash Flow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4"/>
      </tp>
      <tp t="s">
        <v>—</v>
        <stp/>
        <stp>##V3_BDHV12</stp>
        <stp>XOM US Equity</stp>
        <stp>BS_GROSS_FIX_ASSET</stp>
        <stp>FQ3 2013</stp>
        <stp>FQ3 2013</stp>
        <stp>[FA1_m42y3cpi.xlsx]Bal Sheet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3"/>
      </tp>
      <tp>
        <v>14617</v>
        <stp/>
        <stp>##V3_BDHV12</stp>
        <stp>XOM US Equity</stp>
        <stp>BS_SH_CAP_AND_APIC</stp>
        <stp>FQ2 2017</stp>
        <stp>FQ2 2017</stp>
        <stp>[FA1_m42y3cpi.xlsx]Bal Sheet - Standardized!R68C38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8" s="3"/>
      </tp>
      <tp>
        <v>-5096</v>
        <stp/>
        <stp>##V3_BDHV12</stp>
        <stp>XOM US Equity</stp>
        <stp>CF_CASH_FROM_INV_ACT</stp>
        <stp>FQ2 2018</stp>
        <stp>FQ2 2018</stp>
        <stp>[FA1_m42y3cpi.xlsx]Cash Flow - Standardized!R36C42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4"/>
      </tp>
      <tp>
        <v>-8847</v>
        <stp/>
        <stp>##V3_BDHV12</stp>
        <stp>XOM US Equity</stp>
        <stp>CF_CASH_FROM_INV_ACT</stp>
        <stp>FQ4 2014</stp>
        <stp>FQ4 2014</stp>
        <stp>[FA1_m42y3cpi.xlsx]Cash Flow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4"/>
      </tp>
      <tp>
        <v>0.92</v>
        <stp/>
        <stp>##V3_BDHV12</stp>
        <stp>XOM US Equity</stp>
        <stp>IS_EPS</stp>
        <stp>FQ2 2018</stp>
        <stp>FQ2 2018</stp>
        <stp>[FA1_m42y3cpi.xlsx]Per Share!R14C42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4" s="5"/>
      </tp>
      <tp>
        <v>1</v>
        <stp/>
        <stp>##V3_BDHV12</stp>
        <stp>XOM US Equity</stp>
        <stp>IS_EPS</stp>
        <stp>FQ2 2015</stp>
        <stp>FQ2 2015</stp>
        <stp>[FA1_m42y3cpi.xlsx]Per Share!R14C30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4" s="5"/>
      </tp>
      <tp>
        <v>2.0499999999999998</v>
        <stp/>
        <stp>##V3_BDHV12</stp>
        <stp>XOM US Equity</stp>
        <stp>IS_EPS</stp>
        <stp>FQ2 2014</stp>
        <stp>FQ2 2014</stp>
        <stp>[FA1_m42y3cpi.xlsx]Per Share!R14C26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4" s="5"/>
      </tp>
      <tp>
        <v>0.41</v>
        <stp/>
        <stp>##V3_BDHV12</stp>
        <stp>XOM US Equity</stp>
        <stp>IS_EPS</stp>
        <stp>FQ2 2016</stp>
        <stp>FQ2 2016</stp>
        <stp>[FA1_m42y3cpi.xlsx]Per Share!R14C34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4" s="5"/>
      </tp>
      <tp>
        <v>0.78</v>
        <stp/>
        <stp>##V3_BDHV12</stp>
        <stp>XOM US Equity</stp>
        <stp>IS_EPS</stp>
        <stp>FQ2 2017</stp>
        <stp>FQ2 2017</stp>
        <stp>[FA1_m42y3cpi.xlsx]Per Share!R14C38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4" s="5"/>
      </tp>
      <tp>
        <v>3.41</v>
        <stp/>
        <stp>##V3_BDHV12</stp>
        <stp>XOM US Equity</stp>
        <stp>IS_EPS</stp>
        <stp>FQ2 2012</stp>
        <stp>FQ2 2012</stp>
        <stp>[FA1_m42y3cpi.xlsx]Per Share!R14C18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4" s="5"/>
      </tp>
      <tp>
        <v>1.55</v>
        <stp/>
        <stp>##V3_BDHV12</stp>
        <stp>XOM US Equity</stp>
        <stp>IS_EPS</stp>
        <stp>FQ2 2013</stp>
        <stp>FQ2 2013</stp>
        <stp>[FA1_m42y3cpi.xlsx]Per Share!R14C22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4" s="5"/>
      </tp>
      <tp>
        <v>1.6099999999999999</v>
        <stp/>
        <stp>##V3_BDHV12</stp>
        <stp>XOM US Equity</stp>
        <stp>IS_EPS</stp>
        <stp>FQ2 2010</stp>
        <stp>FQ2 2010</stp>
        <stp>[FA1_m42y3cpi.xlsx]Per Share!R14C10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4" s="5"/>
      </tp>
      <tp>
        <v>2.19</v>
        <stp/>
        <stp>##V3_BDHV12</stp>
        <stp>XOM US Equity</stp>
        <stp>IS_EPS</stp>
        <stp>FQ2 2011</stp>
        <stp>FQ2 2011</stp>
        <stp>[FA1_m42y3cpi.xlsx]Per Share!R14C14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4" s="5"/>
      </tp>
      <tp>
        <v>1.01</v>
        <stp/>
        <stp>##V3_BDHV12</stp>
        <stp>XOM US Equity</stp>
        <stp>IS_EPS</stp>
        <stp>FQ3 2015</stp>
        <stp>FQ3 2015</stp>
        <stp>[FA1_m42y3cpi.xlsx]Per Share!R14C31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4" s="5"/>
      </tp>
      <tp>
        <v>1.8900000000000001</v>
        <stp/>
        <stp>##V3_BDHV12</stp>
        <stp>XOM US Equity</stp>
        <stp>IS_EPS</stp>
        <stp>FQ3 2014</stp>
        <stp>FQ3 2014</stp>
        <stp>[FA1_m42y3cpi.xlsx]Per Share!R14C27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4" s="5"/>
      </tp>
      <tp>
        <v>0.93</v>
        <stp/>
        <stp>##V3_BDHV12</stp>
        <stp>XOM US Equity</stp>
        <stp>IS_EPS</stp>
        <stp>FQ3 2017</stp>
        <stp>FQ3 2017</stp>
        <stp>[FA1_m42y3cpi.xlsx]Per Share!R14C39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4" s="5"/>
      </tp>
      <tp>
        <v>0.63</v>
        <stp/>
        <stp>##V3_BDHV12</stp>
        <stp>XOM US Equity</stp>
        <stp>IS_EPS</stp>
        <stp>FQ3 2016</stp>
        <stp>FQ3 2016</stp>
        <stp>[FA1_m42y3cpi.xlsx]Per Share!R14C35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4" s="5"/>
      </tp>
      <tp>
        <v>2.09</v>
        <stp/>
        <stp>##V3_BDHV12</stp>
        <stp>XOM US Equity</stp>
        <stp>IS_EPS</stp>
        <stp>FQ3 2012</stp>
        <stp>FQ3 2012</stp>
        <stp>[FA1_m42y3cpi.xlsx]Per Share!R14C19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4" s="5"/>
      </tp>
      <tp>
        <v>2.13</v>
        <stp/>
        <stp>##V3_BDHV12</stp>
        <stp>XOM US Equity</stp>
        <stp>IS_EPS</stp>
        <stp>FQ3 2011</stp>
        <stp>FQ3 2011</stp>
        <stp>[FA1_m42y3cpi.xlsx]Per Share!R14C15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4" s="5"/>
      </tp>
      <tp>
        <v>1.44</v>
        <stp/>
        <stp>##V3_BDHV12</stp>
        <stp>XOM US Equity</stp>
        <stp>IS_EPS</stp>
        <stp>FQ3 2010</stp>
        <stp>FQ3 2010</stp>
        <stp>[FA1_m42y3cpi.xlsx]Per Share!R14C11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4" s="5"/>
      </tp>
      <tp>
        <v>1.79</v>
        <stp/>
        <stp>##V3_BDHV12</stp>
        <stp>XOM US Equity</stp>
        <stp>IS_EPS</stp>
        <stp>FQ3 2013</stp>
        <stp>FQ3 2013</stp>
        <stp>[FA1_m42y3cpi.xlsx]Per Share!R14C23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4" s="5"/>
      </tp>
      <tp>
        <v>1.0900000000000001</v>
        <stp/>
        <stp>##V3_BDHV12</stp>
        <stp>XOM US Equity</stp>
        <stp>IS_EPS</stp>
        <stp>FQ1 2018</stp>
        <stp>FQ1 2018</stp>
        <stp>[FA1_m42y3cpi.xlsx]Per Share!R14C41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4" s="5"/>
      </tp>
      <tp>
        <v>0.95</v>
        <stp/>
        <stp>##V3_BDHV12</stp>
        <stp>XOM US Equity</stp>
        <stp>IS_EPS</stp>
        <stp>FQ1 2017</stp>
        <stp>FQ1 2017</stp>
        <stp>[FA1_m42y3cpi.xlsx]Per Share!R14C37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4" s="5"/>
      </tp>
      <tp>
        <v>0.43</v>
        <stp/>
        <stp>##V3_BDHV12</stp>
        <stp>XOM US Equity</stp>
        <stp>IS_EPS</stp>
        <stp>FQ1 2016</stp>
        <stp>FQ1 2016</stp>
        <stp>[FA1_m42y3cpi.xlsx]Per Share!R14C33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4" s="5"/>
      </tp>
      <tp>
        <v>2.1</v>
        <stp/>
        <stp>##V3_BDHV12</stp>
        <stp>XOM US Equity</stp>
        <stp>IS_EPS</stp>
        <stp>FQ1 2014</stp>
        <stp>FQ1 2014</stp>
        <stp>[FA1_m42y3cpi.xlsx]Per Share!R14C25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4" s="5"/>
      </tp>
      <tp>
        <v>1.17</v>
        <stp/>
        <stp>##V3_BDHV12</stp>
        <stp>XOM US Equity</stp>
        <stp>IS_EPS</stp>
        <stp>FQ1 2015</stp>
        <stp>FQ1 2015</stp>
        <stp>[FA1_m42y3cpi.xlsx]Per Share!R14C29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4" s="5"/>
      </tp>
      <tp>
        <v>2.14</v>
        <stp/>
        <stp>##V3_BDHV12</stp>
        <stp>XOM US Equity</stp>
        <stp>IS_EPS</stp>
        <stp>FQ1 2011</stp>
        <stp>FQ1 2011</stp>
        <stp>[FA1_m42y3cpi.xlsx]Per Share!R14C13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4" s="5"/>
      </tp>
      <tp>
        <v>2.12</v>
        <stp/>
        <stp>##V3_BDHV12</stp>
        <stp>XOM US Equity</stp>
        <stp>IS_EPS</stp>
        <stp>FQ1 2013</stp>
        <stp>FQ1 2013</stp>
        <stp>[FA1_m42y3cpi.xlsx]Per Share!R14C21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4" s="5"/>
      </tp>
      <tp>
        <v>2</v>
        <stp/>
        <stp>##V3_BDHV12</stp>
        <stp>XOM US Equity</stp>
        <stp>IS_EPS</stp>
        <stp>FQ1 2012</stp>
        <stp>FQ1 2012</stp>
        <stp>[FA1_m42y3cpi.xlsx]Per Share!R14C17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4" s="5"/>
      </tp>
      <tp>
        <v>1165</v>
        <stp/>
        <stp>##V3_BDHV12</stp>
        <stp>XOM US Equity</stp>
        <stp>CF_CASH_PAID_FOR_TAX</stp>
        <stp>FQ4 2016</stp>
        <stp>FQ4 2016</stp>
        <stp>[FA1_m42y3cpi.xlsx]Cash Flow - Standardized!R55C36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5" s="4"/>
      </tp>
      <tp>
        <v>1675</v>
        <stp/>
        <stp>##V3_BDHV12</stp>
        <stp>XOM US Equity</stp>
        <stp>CF_CASH_PAID_FOR_TAX</stp>
        <stp>FQ4 2015</stp>
        <stp>FQ4 2015</stp>
        <stp>[FA1_m42y3cpi.xlsx]Cash Flow - Standardized!R55C32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5" s="4"/>
      </tp>
      <tp>
        <v>1.9100000000000001</v>
        <stp/>
        <stp>##V3_BDHV12</stp>
        <stp>XOM US Equity</stp>
        <stp>IS_EPS</stp>
        <stp>FQ4 2013</stp>
        <stp>FQ4 2013</stp>
        <stp>[FA1_m42y3cpi.xlsx]Per Share!R14C24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4" s="5"/>
      </tp>
      <tp>
        <v>1.8599999999999999</v>
        <stp/>
        <stp>##V3_BDHV12</stp>
        <stp>XOM US Equity</stp>
        <stp>IS_EPS</stp>
        <stp>FQ4 2010</stp>
        <stp>FQ4 2010</stp>
        <stp>[FA1_m42y3cpi.xlsx]Per Share!R14C12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4" s="5"/>
      </tp>
      <tp>
        <v>1.97</v>
        <stp/>
        <stp>##V3_BDHV12</stp>
        <stp>XOM US Equity</stp>
        <stp>IS_EPS</stp>
        <stp>FQ4 2011</stp>
        <stp>FQ4 2011</stp>
        <stp>[FA1_m42y3cpi.xlsx]Per Share!R14C16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4" s="5"/>
      </tp>
      <tp>
        <v>2.2000000000000002</v>
        <stp/>
        <stp>##V3_BDHV12</stp>
        <stp>XOM US Equity</stp>
        <stp>IS_EPS</stp>
        <stp>FQ4 2012</stp>
        <stp>FQ4 2012</stp>
        <stp>[FA1_m42y3cpi.xlsx]Per Share!R14C20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4" s="5"/>
      </tp>
      <tp>
        <v>1.97</v>
        <stp/>
        <stp>##V3_BDHV12</stp>
        <stp>XOM US Equity</stp>
        <stp>IS_EPS</stp>
        <stp>FQ4 2017</stp>
        <stp>FQ4 2017</stp>
        <stp>[FA1_m42y3cpi.xlsx]Per Share!R14C40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4" s="5"/>
      </tp>
      <tp>
        <v>0.41</v>
        <stp/>
        <stp>##V3_BDHV12</stp>
        <stp>XOM US Equity</stp>
        <stp>IS_EPS</stp>
        <stp>FQ4 2016</stp>
        <stp>FQ4 2016</stp>
        <stp>[FA1_m42y3cpi.xlsx]Per Share!R14C36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4" s="5"/>
      </tp>
      <tp>
        <v>0.67</v>
        <stp/>
        <stp>##V3_BDHV12</stp>
        <stp>XOM US Equity</stp>
        <stp>IS_EPS</stp>
        <stp>FQ4 2015</stp>
        <stp>FQ4 2015</stp>
        <stp>[FA1_m42y3cpi.xlsx]Per Share!R14C32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4" s="5"/>
      </tp>
      <tp>
        <v>1.56</v>
        <stp/>
        <stp>##V3_BDHV12</stp>
        <stp>XOM US Equity</stp>
        <stp>IS_EPS</stp>
        <stp>FQ4 2014</stp>
        <stp>FQ4 2014</stp>
        <stp>[FA1_m42y3cpi.xlsx]Per Share!R14C28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4" s="5"/>
      </tp>
      <tp>
        <v>5183.348</v>
        <stp/>
        <stp>##V3_BDHV12</stp>
        <stp>XOM US Equity</stp>
        <stp>EQY_FLOAT</stp>
        <stp>FQ3 2008</stp>
        <stp>FQ3 2008</stp>
        <stp>[FA1_m42y3cpi.xlsx]Stock Value!R14C3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4" s="6"/>
      </tp>
      <tp>
        <v>48993</v>
        <stp/>
        <stp>##V3_BDHV12</stp>
        <stp>XOM US Equity</stp>
        <stp>IS_COGS_TO_FE_AND_PP_AND_G</stp>
        <stp>FQ1 2017</stp>
        <stp>FQ1 2017</stp>
        <stp>[FA1_m42y3cpi.xlsx]Income - Adjusted!R8C37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8" s="2"/>
      </tp>
      <tp>
        <v>30920</v>
        <stp/>
        <stp>##V3_BDHV12</stp>
        <stp>XOM US Equity</stp>
        <stp>BS_ACCT_PAYABLE</stp>
        <stp>FQ4 2013</stp>
        <stp>FQ4 2013</stp>
        <stp>[FA1_m42y3cpi.xlsx]Bal Sheet - Standardized!R43C24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3" s="3"/>
      </tp>
      <tp>
        <v>0</v>
        <stp/>
        <stp>##V3_BDHV12</stp>
        <stp>XOM US Equity</stp>
        <stp>IS_ABNORMAL_ITEM</stp>
        <stp>FQ1 2010</stp>
        <stp>FQ1 2010</stp>
        <stp>[FA1_m42y3cpi.xlsx]Income - Adjusted!R25C9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2"/>
      </tp>
      <tp>
        <v>33789</v>
        <stp/>
        <stp>##V3_BDHV12</stp>
        <stp>XOM US Equity</stp>
        <stp>BS_ACCT_PAYABLE</stp>
        <stp>FQ4 2012</stp>
        <stp>FQ4 2012</stp>
        <stp>[FA1_m42y3cpi.xlsx]Bal Sheet - Standardized!R43C20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3" s="3"/>
      </tp>
      <tp>
        <v>4163</v>
        <stp/>
        <stp>##V3_BDHV12</stp>
        <stp>XOM US Equity</stp>
        <stp>BS_SH_OUT</stp>
        <stp>FQ3 2015</stp>
        <stp>FQ3 2015</stp>
        <stp>[FA1_m42y3cpi.xlsx]Per Share!R6C31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5"/>
      </tp>
      <tp>
        <v>4169</v>
        <stp/>
        <stp>##V3_BDHV12</stp>
        <stp>XOM US Equity</stp>
        <stp>BS_SH_OUT</stp>
        <stp>FQ2 2015</stp>
        <stp>FQ2 2015</stp>
        <stp>[FA1_m42y3cpi.xlsx]Per Share!R6C30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5"/>
      </tp>
      <tp>
        <v>25286</v>
        <stp/>
        <stp>##V3_BDHV12</stp>
        <stp>XOM US Equity</stp>
        <stp>BS_ACCT_PAYABLE</stp>
        <stp>FQ4 2014</stp>
        <stp>FQ4 2014</stp>
        <stp>[FA1_m42y3cpi.xlsx]Bal Sheet - Standardized!R43C28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3" s="3"/>
      </tp>
      <tp t="s">
        <v>—</v>
        <stp/>
        <stp>##V3_BDHV12</stp>
        <stp>XOM US Equity</stp>
        <stp>BS_ACCT_PAYABLE</stp>
        <stp>FQ2 2018</stp>
        <stp>FQ2 2018</stp>
        <stp>[FA1_m42y3cpi.xlsx]Bal Sheet - Standardized!R43C42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3" s="3"/>
      </tp>
      <tp>
        <v>4793</v>
        <stp/>
        <stp>##V3_BDHV12</stp>
        <stp>XOM US Equity</stp>
        <stp>BS_SH_OUT</stp>
        <stp>FQ3 2011</stp>
        <stp>FQ3 2011</stp>
        <stp>[FA1_m42y3cpi.xlsx]Per Share!R6C15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5"/>
      </tp>
      <tp>
        <v>4862</v>
        <stp/>
        <stp>##V3_BDHV12</stp>
        <stp>XOM US Equity</stp>
        <stp>BS_SH_OUT</stp>
        <stp>FQ2 2011</stp>
        <stp>FQ2 2011</stp>
        <stp>[FA1_m42y3cpi.xlsx]Per Share!R6C14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5"/>
      </tp>
      <tp>
        <v>0</v>
        <stp/>
        <stp>##V3_BDHV12</stp>
        <stp>XOM US Equity</stp>
        <stp>XO_GL_NET_OF_TAX</stp>
        <stp>FQ4 2011</stp>
        <stp>FQ4 2011</stp>
        <stp>[FA1_m42y3cpi.xlsx]Income - Adjusted!R47C16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2"/>
      </tp>
      <tp>
        <v>0</v>
        <stp/>
        <stp>##V3_BDHV12</stp>
        <stp>XOM US Equity</stp>
        <stp>XO_GL_NET_OF_TAX</stp>
        <stp>FQ1 2016</stp>
        <stp>FQ1 2016</stp>
        <stp>[FA1_m42y3cpi.xlsx]Income - Adjusted!R47C33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2"/>
      </tp>
      <tp>
        <v>0</v>
        <stp/>
        <stp>##V3_BDHV12</stp>
        <stp>XOM US Equity</stp>
        <stp>XO_GL_NET_OF_TAX</stp>
        <stp>FQ2 2015</stp>
        <stp>FQ2 2015</stp>
        <stp>[FA1_m42y3cpi.xlsx]Income - Adjusted!R47C30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2"/>
      </tp>
      <tp>
        <v>0</v>
        <stp/>
        <stp>##V3_BDHV12</stp>
        <stp>XOM US Equity</stp>
        <stp>XO_GL_NET_OF_TAX</stp>
        <stp>FQ2 2014</stp>
        <stp>FQ2 2014</stp>
        <stp>[FA1_m42y3cpi.xlsx]Income - Adjusted!R35C26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2"/>
      </tp>
      <tp>
        <v>0</v>
        <stp/>
        <stp>##V3_BDHV12</stp>
        <stp>XOM US Equity</stp>
        <stp>XO_GL_NET_OF_TAX</stp>
        <stp>FQ4 2012</stp>
        <stp>FQ4 2012</stp>
        <stp>[FA1_m42y3cpi.xlsx]Income - Adjusted!R35C20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2"/>
      </tp>
      <tp>
        <v>0</v>
        <stp/>
        <stp>##V3_BDHV12</stp>
        <stp>XOM US Equity</stp>
        <stp>XO_GL_NET_OF_TAX</stp>
        <stp>FQ2 2014</stp>
        <stp>FQ2 2014</stp>
        <stp>[FA1_m42y3cpi.xlsx]Income - Adjusted!R47C26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2"/>
      </tp>
      <tp>
        <v>0</v>
        <stp/>
        <stp>##V3_BDHV12</stp>
        <stp>XOM US Equity</stp>
        <stp>XO_GL_NET_OF_TAX</stp>
        <stp>FQ4 2012</stp>
        <stp>FQ4 2012</stp>
        <stp>[FA1_m42y3cpi.xlsx]Income - Adjusted!R47C20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2"/>
      </tp>
      <tp>
        <v>0</v>
        <stp/>
        <stp>##V3_BDHV12</stp>
        <stp>XOM US Equity</stp>
        <stp>XO_GL_NET_OF_TAX</stp>
        <stp>FQ1 2016</stp>
        <stp>FQ1 2016</stp>
        <stp>[FA1_m42y3cpi.xlsx]Income - Adjusted!R35C33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2"/>
      </tp>
      <tp>
        <v>0</v>
        <stp/>
        <stp>##V3_BDHV12</stp>
        <stp>XOM US Equity</stp>
        <stp>XO_GL_NET_OF_TAX</stp>
        <stp>FQ2 2015</stp>
        <stp>FQ2 2015</stp>
        <stp>[FA1_m42y3cpi.xlsx]Income - Adjusted!R35C30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2"/>
      </tp>
      <tp>
        <v>0</v>
        <stp/>
        <stp>##V3_BDHV12</stp>
        <stp>XOM US Equity</stp>
        <stp>XO_GL_NET_OF_TAX</stp>
        <stp>FQ4 2011</stp>
        <stp>FQ4 2011</stp>
        <stp>[FA1_m42y3cpi.xlsx]Income - Adjusted!R35C16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2"/>
      </tp>
      <tp t="s">
        <v>—</v>
        <stp/>
        <stp>##V3_BDHV12</stp>
        <stp>XOM US Equity</stp>
        <stp>IS_INT_INC</stp>
        <stp>FQ2 2017</stp>
        <stp>FQ2 2017</stp>
        <stp>[FA1_m42y3cpi.xlsx]Income - Adjusted!R20C38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20" s="2"/>
      </tp>
      <tp>
        <v>1.0067999999999999</v>
        <stp/>
        <stp>##V3_BDHV12</stp>
        <stp>XOM US Equity</stp>
        <stp>CASH_ST_INVESTMENTS_PER_SH</stp>
        <stp>FQ3 2017</stp>
        <stp>FQ3 2017</stp>
        <stp>[FA1_m42y3cpi.xlsx]Per Share!R25C39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5" s="5"/>
      </tp>
      <tp>
        <v>1.2224999999999999</v>
        <stp/>
        <stp>##V3_BDHV12</stp>
        <stp>XOM US Equity</stp>
        <stp>CASH_FLOW_TO_NET_INC</stp>
        <stp>FQ4 2013</stp>
        <stp>FQ4 2013</stp>
        <stp>[FA1_m42y3cpi.xlsx]Cash Flow - Standardized!R68C24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68" s="4"/>
      </tp>
      <tp>
        <v>1.1200000000000001</v>
        <stp/>
        <stp>##V3_BDHV12</stp>
        <stp>XOM US Equity</stp>
        <stp>CASH_FLOW_TO_NET_INC</stp>
        <stp>FQ2 2013</stp>
        <stp>FQ2 2013</stp>
        <stp>[FA1_m42y3cpi.xlsx]Cash Flow - Standardized!R68C22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68" s="4"/>
      </tp>
      <tp>
        <v>1.7065999999999999</v>
        <stp/>
        <stp>##V3_BDHV12</stp>
        <stp>XOM US Equity</stp>
        <stp>CASH_FLOW_TO_NET_INC</stp>
        <stp>FQ3 2013</stp>
        <stp>FQ3 2013</stp>
        <stp>[FA1_m42y3cpi.xlsx]Cash Flow - Standardized!R68C23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68" s="4"/>
      </tp>
      <tp>
        <v>1.4307000000000001</v>
        <stp/>
        <stp>##V3_BDHV12</stp>
        <stp>XOM US Equity</stp>
        <stp>CASH_FLOW_TO_NET_INC</stp>
        <stp>FQ1 2013</stp>
        <stp>FQ1 2013</stp>
        <stp>[FA1_m42y3cpi.xlsx]Cash Flow - Standardized!R68C21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68" s="4"/>
      </tp>
      <tp>
        <v>-6491</v>
        <stp/>
        <stp>##V3_BDHV12</stp>
        <stp>XOM US Equity</stp>
        <stp>CF_CASH_FROM_INV_ACT</stp>
        <stp>FQ2 2015</stp>
        <stp>FQ2 2015</stp>
        <stp>[FA1_m42y3cpi.xlsx]Cash Flow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4"/>
      </tp>
      <tp>
        <v>1504</v>
        <stp/>
        <stp>##V3_BDHV12</stp>
        <stp>XOM US Equity</stp>
        <stp>OTHER_INVESTING_ACT_DETAILED</stp>
        <stp>FQ3 2017</stp>
        <stp>FQ3 2017</stp>
        <stp>[FA1_m42y3cpi.xlsx]Cash Flow - Standardized!R34C39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4" s="4"/>
      </tp>
      <tp>
        <v>10077</v>
        <stp/>
        <stp>##V3_BDHV12</stp>
        <stp>XOM US Equity</stp>
        <stp>BS_SH_CAP_AND_APIC</stp>
        <stp>FQ4 2013</stp>
        <stp>FQ4 2013</stp>
        <stp>[FA1_m42y3cpi.xlsx]Bal Sheet - Standardized!R68C24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8" s="3"/>
      </tp>
      <tp>
        <v>1.8662000000000001</v>
        <stp/>
        <stp>##V3_BDHV12</stp>
        <stp>XOM US Equity</stp>
        <stp>CASH_FLOW_TO_NET_INC</stp>
        <stp>FQ3 2009</stp>
        <stp>FQ3 2009</stp>
        <stp>[FA1_m42y3cpi.xlsx]Cash Flow - Standardized!R68C7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68" s="4"/>
      </tp>
      <tp>
        <v>-8942</v>
        <stp/>
        <stp>##V3_BDHV12</stp>
        <stp>XOM US Equity</stp>
        <stp>CF_CASH_FROM_INV_ACT</stp>
        <stp>FQ3 2013</stp>
        <stp>FQ3 2013</stp>
        <stp>[FA1_m42y3cpi.xlsx]Cash Flow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4"/>
      </tp>
      <tp t="s">
        <v>—</v>
        <stp/>
        <stp>##V3_BDHV12</stp>
        <stp>XOM US Equity</stp>
        <stp>BS_GROSS_FIX_ASSET</stp>
        <stp>FQ2 2018</stp>
        <stp>FQ2 2018</stp>
        <stp>[FA1_m42y3cpi.xlsx]Bal Sheet - Standardized!R24C42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4" s="3"/>
      </tp>
      <tp>
        <v>446789</v>
        <stp/>
        <stp>##V3_BDHV12</stp>
        <stp>XOM US Equity</stp>
        <stp>BS_GROSS_FIX_ASSET</stp>
        <stp>FQ4 2014</stp>
        <stp>FQ4 2014</stp>
        <stp>[FA1_m42y3cpi.xlsx]Bal Sheet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3"/>
      </tp>
      <tp>
        <v>9653</v>
        <stp/>
        <stp>##V3_BDHV12</stp>
        <stp>XOM US Equity</stp>
        <stp>BS_SH_CAP_AND_APIC</stp>
        <stp>FQ4 2012</stp>
        <stp>FQ4 2012</stp>
        <stp>[FA1_m42y3cpi.xlsx]Bal Sheet - Standardized!R68C20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8" s="3"/>
      </tp>
      <tp>
        <v>-7645</v>
        <stp/>
        <stp>##V3_BDHV12</stp>
        <stp>XOM US Equity</stp>
        <stp>CF_CASH_FROM_INV_ACT</stp>
        <stp>FQ3 2014</stp>
        <stp>FQ3 2014</stp>
        <stp>[FA1_m42y3cpi.xlsx]Cash Flow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4"/>
      </tp>
      <tp>
        <v>-3147</v>
        <stp/>
        <stp>##V3_BDHV12</stp>
        <stp>XOM US Equity</stp>
        <stp>CF_CASH_FROM_INV_ACT</stp>
        <stp>FQ2 2016</stp>
        <stp>FQ2 2016</stp>
        <stp>[FA1_m42y3cpi.xlsx]Cash Flow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4"/>
      </tp>
      <tp>
        <v>-21</v>
        <stp/>
        <stp>##V3_BDHV12</stp>
        <stp>XOM US Equity</stp>
        <stp>OTHER_INVESTING_ACT_DETAILED</stp>
        <stp>FQ1 2012</stp>
        <stp>FQ1 2012</stp>
        <stp>[FA1_m42y3cpi.xlsx]Cash Flow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4"/>
      </tp>
      <tp>
        <v>-2878</v>
        <stp/>
        <stp>##V3_BDHV12</stp>
        <stp>XOM US Equity</stp>
        <stp>CF_CASH_FROM_INV_ACT</stp>
        <stp>FQ2 2017</stp>
        <stp>FQ2 2017</stp>
        <stp>[FA1_m42y3cpi.xlsx]Cash Flow - Standardized!R36C38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4"/>
      </tp>
      <tp>
        <v>253</v>
        <stp/>
        <stp>##V3_BDHV12</stp>
        <stp>XOM US Equity</stp>
        <stp>OTHER_INVESTING_ACT_DETAILED</stp>
        <stp>FQ3 2015</stp>
        <stp>FQ3 2015</stp>
        <stp>[FA1_m42y3cpi.xlsx]Cash Flow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4"/>
      </tp>
      <tp>
        <v>409314</v>
        <stp/>
        <stp>##V3_BDHV12</stp>
        <stp>XOM US Equity</stp>
        <stp>BS_GROSS_FIX_ASSET</stp>
        <stp>FQ4 2012</stp>
        <stp>FQ4 2012</stp>
        <stp>[FA1_m42y3cpi.xlsx]Bal Sheet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3"/>
      </tp>
      <tp>
        <v>10792</v>
        <stp/>
        <stp>##V3_BDHV12</stp>
        <stp>XOM US Equity</stp>
        <stp>BS_SH_CAP_AND_APIC</stp>
        <stp>FQ4 2014</stp>
        <stp>FQ4 2014</stp>
        <stp>[FA1_m42y3cpi.xlsx]Bal Sheet - Standardized!R68C28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8" s="3"/>
      </tp>
      <tp>
        <v>15086</v>
        <stp/>
        <stp>##V3_BDHV12</stp>
        <stp>XOM US Equity</stp>
        <stp>BS_SH_CAP_AND_APIC</stp>
        <stp>FQ2 2018</stp>
        <stp>FQ2 2018</stp>
        <stp>[FA1_m42y3cpi.xlsx]Bal Sheet - Standardized!R68C42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8" s="3"/>
      </tp>
      <tp>
        <v>-807</v>
        <stp/>
        <stp>##V3_BDHV12</stp>
        <stp>XOM US Equity</stp>
        <stp>OTHER_INVESTING_ACT_DETAILED</stp>
        <stp>FQ3 2016</stp>
        <stp>FQ3 2016</stp>
        <stp>[FA1_m42y3cpi.xlsx]Cash Flow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4"/>
      </tp>
      <tp>
        <v>1809</v>
        <stp/>
        <stp>##V3_BDHV12</stp>
        <stp>XOM US Equity</stp>
        <stp>OTHER_INVESTING_ACT_DETAILED</stp>
        <stp>FQ2 2014</stp>
        <stp>FQ2 2014</stp>
        <stp>[FA1_m42y3cpi.xlsx]Cash Flow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4"/>
      </tp>
      <tp>
        <v>-147</v>
        <stp/>
        <stp>##V3_BDHV12</stp>
        <stp>XOM US Equity</stp>
        <stp>OTHER_INVESTING_ACT_DETAILED</stp>
        <stp>FQ2 2013</stp>
        <stp>FQ2 2013</stp>
        <stp>[FA1_m42y3cpi.xlsx]Cash Flow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4"/>
      </tp>
      <tp>
        <v>357</v>
        <stp/>
        <stp>##V3_BDHV12</stp>
        <stp>XOM US Equity</stp>
        <stp>OTHER_INVESTING_ACT_DETAILED</stp>
        <stp>FQ1 2011</stp>
        <stp>FQ1 2011</stp>
        <stp>[FA1_m42y3cpi.xlsx]Cash Flow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4"/>
      </tp>
      <tp>
        <v>-3443</v>
        <stp/>
        <stp>##V3_BDHV12</stp>
        <stp>XOM US Equity</stp>
        <stp>OTHER_INVESTING_ACT_DETAILED</stp>
        <stp>FQ4 2017</stp>
        <stp>FQ4 2017</stp>
        <stp>[FA1_m42y3cpi.xlsx]Cash Flow - Standardized!R34C40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4" s="4"/>
      </tp>
      <tp>
        <v>434517</v>
        <stp/>
        <stp>##V3_BDHV12</stp>
        <stp>XOM US Equity</stp>
        <stp>BS_GROSS_FIX_ASSET</stp>
        <stp>FQ4 2013</stp>
        <stp>FQ4 2013</stp>
        <stp>[FA1_m42y3cpi.xlsx]Bal Sheet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3"/>
      </tp>
      <tp>
        <v>1522</v>
        <stp/>
        <stp>##V3_BDHV12</stp>
        <stp>XOM US Equity</stp>
        <stp>CF_CASH_PAID_FOR_TAX</stp>
        <stp>FQ3 2015</stp>
        <stp>FQ3 2015</stp>
        <stp>[FA1_m42y3cpi.xlsx]Cash Flow - Standardized!R55C31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5" s="4"/>
      </tp>
      <tp>
        <v>5416</v>
        <stp/>
        <stp>##V3_BDHV12</stp>
        <stp>XOM US Equity</stp>
        <stp>CF_CASH_PAID_FOR_TAX</stp>
        <stp>FQ1 2012</stp>
        <stp>FQ1 2012</stp>
        <stp>[FA1_m42y3cpi.xlsx]Cash Flow - Standardized!R55C17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5" s="4"/>
      </tp>
      <tp>
        <v>2899</v>
        <stp/>
        <stp>##V3_BDHV12</stp>
        <stp>XOM US Equity</stp>
        <stp>CF_CASH_PAID_FOR_TAX</stp>
        <stp>FQ4 2017</stp>
        <stp>FQ4 2017</stp>
        <stp>[FA1_m42y3cpi.xlsx]Cash Flow - Standardized!R55C40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5" s="4"/>
      </tp>
      <tp>
        <v>7440</v>
        <stp/>
        <stp>##V3_BDHV12</stp>
        <stp>XOM US Equity</stp>
        <stp>CF_CASH_PAID_FOR_TAX</stp>
        <stp>FQ2 2013</stp>
        <stp>FQ2 2013</stp>
        <stp>[FA1_m42y3cpi.xlsx]Cash Flow - Standardized!R55C22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5" s="4"/>
      </tp>
      <tp>
        <v>5173</v>
        <stp/>
        <stp>##V3_BDHV12</stp>
        <stp>XOM US Equity</stp>
        <stp>CF_CASH_PAID_FOR_TAX</stp>
        <stp>FQ1 2011</stp>
        <stp>FQ1 2011</stp>
        <stp>[FA1_m42y3cpi.xlsx]Cash Flow - Standardized!R55C13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5" s="4"/>
      </tp>
      <tp>
        <v>905</v>
        <stp/>
        <stp>##V3_BDHV12</stp>
        <stp>XOM US Equity</stp>
        <stp>CF_CASH_PAID_FOR_TAX</stp>
        <stp>FQ3 2016</stp>
        <stp>FQ3 2016</stp>
        <stp>[FA1_m42y3cpi.xlsx]Cash Flow - Standardized!R55C35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5" s="4"/>
      </tp>
      <tp>
        <v>6221</v>
        <stp/>
        <stp>##V3_BDHV12</stp>
        <stp>XOM US Equity</stp>
        <stp>CF_CASH_PAID_FOR_TAX</stp>
        <stp>FQ2 2014</stp>
        <stp>FQ2 2014</stp>
        <stp>[FA1_m42y3cpi.xlsx]Cash Flow - Standardized!R55C26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5" s="4"/>
      </tp>
      <tp>
        <v>77729</v>
        <stp/>
        <stp>##V3_BDHV12</stp>
        <stp>XOM US Equity</stp>
        <stp>IS_COGS_TO_FE_AND_PP_AND_G</stp>
        <stp>FQ4 2010</stp>
        <stp>FQ4 2010</stp>
        <stp>[FA1_m42y3cpi.xlsx]Income - Adjusted!R8C12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>
        <v>1364</v>
        <stp/>
        <stp>##V3_BDHV12</stp>
        <stp>XOM US Equity</stp>
        <stp>CF_CASH_PAID_FOR_TAX</stp>
        <stp>FQ3 2017</stp>
        <stp>FQ3 2017</stp>
        <stp>[FA1_m42y3cpi.xlsx]Cash Flow - Standardized!R55C39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5" s="4"/>
      </tp>
      <tp>
        <v>85362</v>
        <stp/>
        <stp>##V3_BDHV12</stp>
        <stp>XOM US Equity</stp>
        <stp>IS_COGS_TO_FE_AND_PP_AND_G</stp>
        <stp>FQ4 2012</stp>
        <stp>FQ4 2012</stp>
        <stp>[FA1_m42y3cpi.xlsx]Income - Adjusted!R8C20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>
        <v>5074.951</v>
        <stp/>
        <stp>##V3_BDHV12</stp>
        <stp>XOM US Equity</stp>
        <stp>EQY_FLOAT</stp>
        <stp>FQ4 2008</stp>
        <stp>FQ4 2008</stp>
        <stp>[FA1_m42y3cpi.xlsx]Stock Value!R14C4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4" s="6"/>
      </tp>
      <tp t="s">
        <v>—</v>
        <stp/>
        <stp>##V3_BDHV12</stp>
        <stp>XOM US Equity</stp>
        <stp>BS_ACCT_PAYABLE</stp>
        <stp>FQ3 2013</stp>
        <stp>FQ3 2013</stp>
        <stp>[FA1_m42y3cpi.xlsx]Bal Sheet - Standardized!R43C23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3" s="3"/>
      </tp>
      <tp t="s">
        <v>—</v>
        <stp/>
        <stp>##V3_BDHV12</stp>
        <stp>XOM US Equity</stp>
        <stp>BS_ACCT_PAYABLE</stp>
        <stp>FQ2 2016</stp>
        <stp>FQ2 2016</stp>
        <stp>[FA1_m42y3cpi.xlsx]Bal Sheet - Standardized!R43C34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3" s="3"/>
      </tp>
      <tp t="s">
        <v>—</v>
        <stp/>
        <stp>##V3_BDHV12</stp>
        <stp>XOM US Equity</stp>
        <stp>BS_ACCT_PAYABLE</stp>
        <stp>FQ3 2014</stp>
        <stp>FQ3 2014</stp>
        <stp>[FA1_m42y3cpi.xlsx]Bal Sheet - Standardized!R43C27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3" s="3"/>
      </tp>
      <tp t="s">
        <v>—</v>
        <stp/>
        <stp>##V3_BDHV12</stp>
        <stp>XOM US Equity</stp>
        <stp>BS_ACCT_PAYABLE</stp>
        <stp>FQ2 2015</stp>
        <stp>FQ2 2015</stp>
        <stp>[FA1_m42y3cpi.xlsx]Bal Sheet - Standardized!R43C30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3" s="3"/>
      </tp>
      <tp>
        <v>4147</v>
        <stp/>
        <stp>##V3_BDHV12</stp>
        <stp>XOM US Equity</stp>
        <stp>BS_SH_OUT</stp>
        <stp>FQ3 2016</stp>
        <stp>FQ3 2016</stp>
        <stp>[FA1_m42y3cpi.xlsx]Per Share!R6C35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5"/>
      </tp>
      <tp>
        <v>4147</v>
        <stp/>
        <stp>##V3_BDHV12</stp>
        <stp>XOM US Equity</stp>
        <stp>BS_SH_OUT</stp>
        <stp>FQ2 2016</stp>
        <stp>FQ2 2016</stp>
        <stp>[FA1_m42y3cpi.xlsx]Per Share!R6C34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5"/>
      </tp>
      <tp>
        <v>4294</v>
        <stp/>
        <stp>##V3_BDHV12</stp>
        <stp>XOM US Equity</stp>
        <stp>BS_SH_OUT</stp>
        <stp>FQ1 2014</stp>
        <stp>FQ1 2014</stp>
        <stp>[FA1_m42y3cpi.xlsx]Per Share!R6C25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5"/>
      </tp>
      <tp>
        <v>4265</v>
        <stp/>
        <stp>##V3_BDHV12</stp>
        <stp>XOM US Equity</stp>
        <stp>BS_SH_OUT</stp>
        <stp>FQ2 2014</stp>
        <stp>FQ2 2014</stp>
        <stp>[FA1_m42y3cpi.xlsx]Per Share!R6C26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5"/>
      </tp>
      <tp>
        <v>4235</v>
        <stp/>
        <stp>##V3_BDHV12</stp>
        <stp>XOM US Equity</stp>
        <stp>BS_SH_OUT</stp>
        <stp>FQ3 2014</stp>
        <stp>FQ3 2014</stp>
        <stp>[FA1_m42y3cpi.xlsx]Per Share!R6C27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5"/>
      </tp>
      <tp t="s">
        <v>—</v>
        <stp/>
        <stp>##V3_BDHV12</stp>
        <stp>XOM US Equity</stp>
        <stp>BS_ACCT_PAYABLE</stp>
        <stp>FQ2 2017</stp>
        <stp>FQ2 2017</stp>
        <stp>[FA1_m42y3cpi.xlsx]Bal Sheet - Standardized!R43C38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3" s="3"/>
      </tp>
      <tp>
        <v>0</v>
        <stp/>
        <stp>##V3_BDHV12</stp>
        <stp>XOM US Equity</stp>
        <stp>XO_GL_NET_OF_TAX</stp>
        <stp>FQ2 2013</stp>
        <stp>FQ2 2013</stp>
        <stp>[FA1_m42y3cpi.xlsx]Income - Adjusted!R35C22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2"/>
      </tp>
      <tp>
        <v>0</v>
        <stp/>
        <stp>##V3_BDHV12</stp>
        <stp>XOM US Equity</stp>
        <stp>XO_GL_NET_OF_TAX</stp>
        <stp>FQ2 2010</stp>
        <stp>FQ2 2010</stp>
        <stp>[FA1_m42y3cpi.xlsx]Income - Adjusted!R35C10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2"/>
      </tp>
      <tp>
        <v>0</v>
        <stp/>
        <stp>##V3_BDHV12</stp>
        <stp>XOM US Equity</stp>
        <stp>XO_GL_NET_OF_TAX</stp>
        <stp>FQ3 2011</stp>
        <stp>FQ3 2011</stp>
        <stp>[FA1_m42y3cpi.xlsx]Income - Adjusted!R47C15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2"/>
      </tp>
      <tp>
        <v>0</v>
        <stp/>
        <stp>##V3_BDHV12</stp>
        <stp>XOM US Equity</stp>
        <stp>XO_GL_NET_OF_TAX</stp>
        <stp>FQ3 2011</stp>
        <stp>FQ3 2011</stp>
        <stp>[FA1_m42y3cpi.xlsx]Income - Adjusted!R35C15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2"/>
      </tp>
      <tp>
        <v>0</v>
        <stp/>
        <stp>##V3_BDHV12</stp>
        <stp>XOM US Equity</stp>
        <stp>XO_GL_NET_OF_TAX</stp>
        <stp>FQ2 2010</stp>
        <stp>FQ2 2010</stp>
        <stp>[FA1_m42y3cpi.xlsx]Income - Adjusted!R47C10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2"/>
      </tp>
      <tp>
        <v>0</v>
        <stp/>
        <stp>##V3_BDHV12</stp>
        <stp>XOM US Equity</stp>
        <stp>XO_GL_NET_OF_TAX</stp>
        <stp>FQ2 2013</stp>
        <stp>FQ2 2013</stp>
        <stp>[FA1_m42y3cpi.xlsx]Income - Adjusted!R47C22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2"/>
      </tp>
      <tp>
        <v>13.851800000000001</v>
        <stp/>
        <stp>##V3_BDHV12</stp>
        <stp>XOM US Equity</stp>
        <stp>EBITDA_MARGIN</stp>
        <stp>FQ1 2010</stp>
        <stp>FQ1 2010</stp>
        <stp>[FA1_m42y3cpi.xlsx]Cash Flow - Standardized!R60C9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60" s="4"/>
      </tp>
      <tp>
        <v>0.97430000000000005</v>
        <stp/>
        <stp>##V3_BDHV12</stp>
        <stp>XOM US Equity</stp>
        <stp>CASH_ST_INVESTMENTS_PER_SH</stp>
        <stp>FQ1 2018</stp>
        <stp>FQ1 2018</stp>
        <stp>[FA1_m42y3cpi.xlsx]Per Share!R25C41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5" s="5"/>
      </tp>
      <tp>
        <v>73.64</v>
        <stp/>
        <stp>##V3_BDHV12</stp>
        <stp>XOM US Equity</stp>
        <stp>PX_LOW</stp>
        <stp>FQ1 2011</stp>
        <stp>FQ1 2011</stp>
        <stp>[FA1_m42y3cpi.xlsx]Stock Value!R10C13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0" s="6"/>
      </tp>
      <tp>
        <v>56.92</v>
        <stp/>
        <stp>##V3_BDHV12</stp>
        <stp>XOM US Equity</stp>
        <stp>PX_LOW</stp>
        <stp>FQ2 2010</stp>
        <stp>FQ2 2010</stp>
        <stp>[FA1_m42y3cpi.xlsx]Stock Value!R10C10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0" s="6"/>
      </tp>
      <tp>
        <v>82.76</v>
        <stp/>
        <stp>##V3_BDHV12</stp>
        <stp>XOM US Equity</stp>
        <stp>PX_LOW</stp>
        <stp>FQ4 2016</stp>
        <stp>FQ4 2016</stp>
        <stp>[FA1_m42y3cpi.xlsx]Stock Value!R10C36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0" s="6"/>
      </tp>
      <tp>
        <v>55.94</v>
        <stp/>
        <stp>##V3_BDHV12</stp>
        <stp>XOM US Equity</stp>
        <stp>PX_LOW</stp>
        <stp>FQ3 2010</stp>
        <stp>FQ3 2010</stp>
        <stp>[FA1_m42y3cpi.xlsx]Stock Value!R10C11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0" s="6"/>
      </tp>
      <tp>
        <v>69.209999999999994</v>
        <stp/>
        <stp>##V3_BDHV12</stp>
        <stp>XOM US Equity</stp>
        <stp>PX_LOW</stp>
        <stp>FQ4 2011</stp>
        <stp>FQ4 2011</stp>
        <stp>[FA1_m42y3cpi.xlsx]Stock Value!R10C16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0" s="6"/>
      </tp>
      <tp>
        <v>1.1286</v>
        <stp/>
        <stp>##V3_BDHV12</stp>
        <stp>XOM US Equity</stp>
        <stp>CASH_FLOW_TO_NET_INC</stp>
        <stp>FQ4 2014</stp>
        <stp>FQ4 2014</stp>
        <stp>[FA1_m42y3cpi.xlsx]Cash Flow - Standardized!R68C28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68" s="4"/>
      </tp>
      <tp>
        <v>1.1619999999999999</v>
        <stp/>
        <stp>##V3_BDHV12</stp>
        <stp>XOM US Equity</stp>
        <stp>CASH_FLOW_TO_NET_INC</stp>
        <stp>FQ2 2014</stp>
        <stp>FQ2 2014</stp>
        <stp>[FA1_m42y3cpi.xlsx]Cash Flow - Standardized!R68C26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68" s="4"/>
      </tp>
      <tp>
        <v>1.5361</v>
        <stp/>
        <stp>##V3_BDHV12</stp>
        <stp>XOM US Equity</stp>
        <stp>CASH_FLOW_TO_NET_INC</stp>
        <stp>FQ3 2014</stp>
        <stp>FQ3 2014</stp>
        <stp>[FA1_m42y3cpi.xlsx]Cash Flow - Standardized!R68C27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68" s="4"/>
      </tp>
      <tp>
        <v>1.6597</v>
        <stp/>
        <stp>##V3_BDHV12</stp>
        <stp>XOM US Equity</stp>
        <stp>CASH_FLOW_TO_NET_INC</stp>
        <stp>FQ1 2014</stp>
        <stp>FQ1 2014</stp>
        <stp>[FA1_m42y3cpi.xlsx]Cash Flow - Standardized!R68C25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68" s="4"/>
      </tp>
      <tp>
        <v>66.55</v>
        <stp/>
        <stp>##V3_BDHV12</stp>
        <stp>XOM US Equity</stp>
        <stp>PX_LOW</stp>
        <stp>FQ3 2015</stp>
        <stp>FQ3 2015</stp>
        <stp>[FA1_m42y3cpi.xlsx]Stock Value!R10C31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0" s="6"/>
      </tp>
      <tp>
        <v>82.8</v>
        <stp/>
        <stp>##V3_BDHV12</stp>
        <stp>XOM US Equity</stp>
        <stp>PX_LOW</stp>
        <stp>FQ2 2015</stp>
        <stp>FQ2 2015</stp>
        <stp>[FA1_m42y3cpi.xlsx]Stock Value!R10C30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0" s="6"/>
      </tp>
      <tp>
        <v>71.55</v>
        <stp/>
        <stp>##V3_BDHV12</stp>
        <stp>XOM US Equity</stp>
        <stp>PX_LOW</stp>
        <stp>FQ1 2016</stp>
        <stp>FQ1 2016</stp>
        <stp>[FA1_m42y3cpi.xlsx]Stock Value!R10C33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0" s="6"/>
      </tp>
      <tp>
        <v>-5657</v>
        <stp/>
        <stp>##V3_BDHV12</stp>
        <stp>XOM US Equity</stp>
        <stp>CF_CASH_FROM_INV_ACT</stp>
        <stp>FQ3 2015</stp>
        <stp>FQ3 2015</stp>
        <stp>[FA1_m42y3cpi.xlsx]Cash Flow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4"/>
      </tp>
      <tp>
        <v>66</v>
        <stp/>
        <stp>##V3_BDHV12</stp>
        <stp>XOM US Equity</stp>
        <stp>OTHER_INVESTING_ACT_DETAILED</stp>
        <stp>FQ2 2017</stp>
        <stp>FQ2 2017</stp>
        <stp>[FA1_m42y3cpi.xlsx]Cash Flow - Standardized!R34C38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4" s="4"/>
      </tp>
      <tp>
        <v>11612</v>
        <stp/>
        <stp>##V3_BDHV12</stp>
        <stp>XOM US Equity</stp>
        <stp>BS_SH_CAP_AND_APIC</stp>
        <stp>FQ4 2015</stp>
        <stp>FQ4 2015</stp>
        <stp>[FA1_m42y3cpi.xlsx]Bal Sheet - Standardized!R68C32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8" s="3"/>
      </tp>
      <tp>
        <v>0.55620000000000003</v>
        <stp/>
        <stp>##V3_BDHV12</stp>
        <stp>XOM US Equity</stp>
        <stp>CASH_FLOW_TO_NET_INC</stp>
        <stp>FQ2 2009</stp>
        <stp>FQ2 2009</stp>
        <stp>[FA1_m42y3cpi.xlsx]Cash Flow - Standardized!R68C6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68" s="4"/>
      </tp>
      <tp>
        <v>0.97119999999999995</v>
        <stp/>
        <stp>##V3_BDHV12</stp>
        <stp>XOM US Equity</stp>
        <stp>CASH_FLOW_TO_NET_INC</stp>
        <stp>FQ3 2008</stp>
        <stp>FQ3 2008</stp>
        <stp>[FA1_m42y3cpi.xlsx]Cash Flow - Standardized!R68C3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68" s="4"/>
      </tp>
      <tp>
        <v>-5351</v>
        <stp/>
        <stp>##V3_BDHV12</stp>
        <stp>XOM US Equity</stp>
        <stp>CF_CASH_FROM_INV_ACT</stp>
        <stp>FQ1 2012</stp>
        <stp>FQ1 2012</stp>
        <stp>[FA1_m42y3cpi.xlsx]Cash Flow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4"/>
      </tp>
      <tp>
        <v>-6536</v>
        <stp/>
        <stp>##V3_BDHV12</stp>
        <stp>XOM US Equity</stp>
        <stp>CF_CASH_FROM_INV_ACT</stp>
        <stp>FQ4 2017</stp>
        <stp>FQ4 2017</stp>
        <stp>[FA1_m42y3cpi.xlsx]Cash Flow - Standardized!R36C40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4"/>
      </tp>
      <tp>
        <v>-5353</v>
        <stp/>
        <stp>##V3_BDHV12</stp>
        <stp>XOM US Equity</stp>
        <stp>CF_CASH_FROM_INV_ACT</stp>
        <stp>FQ1 2011</stp>
        <stp>FQ1 2011</stp>
        <stp>[FA1_m42y3cpi.xlsx]Cash Flow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4"/>
      </tp>
      <tp>
        <v>-8493</v>
        <stp/>
        <stp>##V3_BDHV12</stp>
        <stp>XOM US Equity</stp>
        <stp>CF_CASH_FROM_INV_ACT</stp>
        <stp>FQ2 2013</stp>
        <stp>FQ2 2013</stp>
        <stp>[FA1_m42y3cpi.xlsx]Cash Flow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4"/>
      </tp>
      <tp>
        <v>-4177</v>
        <stp/>
        <stp>##V3_BDHV12</stp>
        <stp>XOM US Equity</stp>
        <stp>CF_CASH_FROM_INV_ACT</stp>
        <stp>FQ2 2014</stp>
        <stp>FQ2 2014</stp>
        <stp>[FA1_m42y3cpi.xlsx]Cash Flow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4"/>
      </tp>
      <tp>
        <v>-3235</v>
        <stp/>
        <stp>##V3_BDHV12</stp>
        <stp>XOM US Equity</stp>
        <stp>CF_CASH_FROM_INV_ACT</stp>
        <stp>FQ3 2016</stp>
        <stp>FQ3 2016</stp>
        <stp>[FA1_m42y3cpi.xlsx]Cash Flow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4"/>
      </tp>
      <tp>
        <v>12157</v>
        <stp/>
        <stp>##V3_BDHV12</stp>
        <stp>XOM US Equity</stp>
        <stp>BS_SH_CAP_AND_APIC</stp>
        <stp>FQ4 2016</stp>
        <stp>FQ4 2016</stp>
        <stp>[FA1_m42y3cpi.xlsx]Bal Sheet - Standardized!R68C36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8" s="3"/>
      </tp>
      <tp>
        <v>453915</v>
        <stp/>
        <stp>##V3_BDHV12</stp>
        <stp>XOM US Equity</stp>
        <stp>BS_GROSS_FIX_ASSET</stp>
        <stp>FQ4 2016</stp>
        <stp>FQ4 2016</stp>
        <stp>[FA1_m42y3cpi.xlsx]Bal Sheet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3"/>
      </tp>
      <tp>
        <v>-2555</v>
        <stp/>
        <stp>##V3_BDHV12</stp>
        <stp>XOM US Equity</stp>
        <stp>CF_CASH_FROM_INV_ACT</stp>
        <stp>FQ3 2017</stp>
        <stp>FQ3 2017</stp>
        <stp>[FA1_m42y3cpi.xlsx]Cash Flow - Standardized!R36C39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4"/>
      </tp>
      <tp>
        <v>-11</v>
        <stp/>
        <stp>##V3_BDHV12</stp>
        <stp>XOM US Equity</stp>
        <stp>OTHER_INVESTING_ACT_DETAILED</stp>
        <stp>FQ2 2015</stp>
        <stp>FQ2 2015</stp>
        <stp>[FA1_m42y3cpi.xlsx]Cash Flow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4"/>
      </tp>
      <tp>
        <v>95</v>
        <stp/>
        <stp>##V3_BDHV12</stp>
        <stp>XOM US Equity</stp>
        <stp>OTHER_INVESTING_ACT_DETAILED</stp>
        <stp>FQ2 2016</stp>
        <stp>FQ2 2016</stp>
        <stp>[FA1_m42y3cpi.xlsx]Cash Flow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4"/>
      </tp>
      <tp>
        <v>426</v>
        <stp/>
        <stp>##V3_BDHV12</stp>
        <stp>XOM US Equity</stp>
        <stp>OTHER_INVESTING_ACT_DETAILED</stp>
        <stp>FQ3 2014</stp>
        <stp>FQ3 2014</stp>
        <stp>[FA1_m42y3cpi.xlsx]Cash Flow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4"/>
      </tp>
      <tp>
        <v>-50</v>
        <stp/>
        <stp>##V3_BDHV12</stp>
        <stp>XOM US Equity</stp>
        <stp>OTHER_INVESTING_ACT_DETAILED</stp>
        <stp>FQ3 2013</stp>
        <stp>FQ3 2013</stp>
        <stp>[FA1_m42y3cpi.xlsx]Cash Flow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4"/>
      </tp>
      <tp>
        <v>447337</v>
        <stp/>
        <stp>##V3_BDHV12</stp>
        <stp>XOM US Equity</stp>
        <stp>BS_GROSS_FIX_ASSET</stp>
        <stp>FQ4 2015</stp>
        <stp>FQ4 2015</stp>
        <stp>[FA1_m42y3cpi.xlsx]Bal Sheet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3"/>
      </tp>
      <tp>
        <v>2846</v>
        <stp/>
        <stp>##V3_BDHV12</stp>
        <stp>XOM US Equity</stp>
        <stp>CF_CASH_PAID_FOR_TAX</stp>
        <stp>FQ2 2015</stp>
        <stp>FQ2 2015</stp>
        <stp>[FA1_m42y3cpi.xlsx]Cash Flow - Standardized!R55C30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5" s="4"/>
      </tp>
      <tp>
        <v>5211</v>
        <stp/>
        <stp>##V3_BDHV12</stp>
        <stp>XOM US Equity</stp>
        <stp>CF_CASH_PAID_FOR_TAX</stp>
        <stp>FQ3 2013</stp>
        <stp>FQ3 2013</stp>
        <stp>[FA1_m42y3cpi.xlsx]Cash Flow - Standardized!R55C23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5" s="4"/>
      </tp>
      <tp>
        <v>1395</v>
        <stp/>
        <stp>##V3_BDHV12</stp>
        <stp>XOM US Equity</stp>
        <stp>CF_CASH_PAID_FOR_TAX</stp>
        <stp>FQ2 2016</stp>
        <stp>FQ2 2016</stp>
        <stp>[FA1_m42y3cpi.xlsx]Cash Flow - Standardized!R55C34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5" s="4"/>
      </tp>
      <tp>
        <v>3972</v>
        <stp/>
        <stp>##V3_BDHV12</stp>
        <stp>XOM US Equity</stp>
        <stp>CF_CASH_PAID_FOR_TAX</stp>
        <stp>FQ3 2014</stp>
        <stp>FQ3 2014</stp>
        <stp>[FA1_m42y3cpi.xlsx]Cash Flow - Standardized!R55C27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5" s="4"/>
      </tp>
      <tp>
        <v>93576</v>
        <stp/>
        <stp>##V3_BDHV12</stp>
        <stp>XOM US Equity</stp>
        <stp>IS_COGS_TO_FE_AND_PP_AND_G</stp>
        <stp>FQ3 2011</stp>
        <stp>FQ3 2011</stp>
        <stp>[FA1_m42y3cpi.xlsx]Income - Adjusted!R8C15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>
        <v>93936</v>
        <stp/>
        <stp>##V3_BDHV12</stp>
        <stp>XOM US Equity</stp>
        <stp>IS_COGS_TO_FE_AND_PP_AND_G</stp>
        <stp>FQ2 2011</stp>
        <stp>FQ2 2011</stp>
        <stp>[FA1_m42y3cpi.xlsx]Income - Adjusted!R8C14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>
        <v>1277</v>
        <stp/>
        <stp>##V3_BDHV12</stp>
        <stp>XOM US Equity</stp>
        <stp>CF_CASH_PAID_FOR_TAX</stp>
        <stp>FQ2 2017</stp>
        <stp>FQ2 2017</stp>
        <stp>[FA1_m42y3cpi.xlsx]Cash Flow - Standardized!R55C38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5" s="4"/>
      </tp>
      <tp>
        <v>4929.7969999999996</v>
        <stp/>
        <stp>##V3_BDHV12</stp>
        <stp>XOM US Equity</stp>
        <stp>EQY_FLOAT</stp>
        <stp>FQ1 2009</stp>
        <stp>FQ1 2009</stp>
        <stp>[FA1_m42y3cpi.xlsx]Stock Value!R14C5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4" s="6"/>
      </tp>
      <tp>
        <v>52413</v>
        <stp/>
        <stp>##V3_BDHV12</stp>
        <stp>XOM US Equity</stp>
        <stp>IS_COGS_TO_FE_AND_PP_AND_G</stp>
        <stp>FQ3 2015</stp>
        <stp>FQ3 2015</stp>
        <stp>[FA1_m42y3cpi.xlsx]Income - Adjusted!R8C31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8" s="2"/>
      </tp>
      <tp>
        <v>57908</v>
        <stp/>
        <stp>##V3_BDHV12</stp>
        <stp>XOM US Equity</stp>
        <stp>IS_COGS_TO_FE_AND_PP_AND_G</stp>
        <stp>FQ2 2015</stp>
        <stp>FQ2 2015</stp>
        <stp>[FA1_m42y3cpi.xlsx]Income - Adjusted!R8C30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8" s="2"/>
      </tp>
      <tp>
        <v>21701</v>
        <stp/>
        <stp>##V3_BDHV12</stp>
        <stp>XOM US Equity</stp>
        <stp>BS_ACCT_PAYABLE</stp>
        <stp>FQ4 2017</stp>
        <stp>FQ4 2017</stp>
        <stp>[FA1_m42y3cpi.xlsx]Bal Sheet - Standardized!R43C40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3" s="3"/>
      </tp>
      <tp t="s">
        <v>—</v>
        <stp/>
        <stp>##V3_BDHV12</stp>
        <stp>XOM US Equity</stp>
        <stp>BS_ACCT_PAYABLE</stp>
        <stp>FQ2 2013</stp>
        <stp>FQ2 2013</stp>
        <stp>[FA1_m42y3cpi.xlsx]Bal Sheet - Standardized!R43C22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3" s="3"/>
      </tp>
      <tp t="s">
        <v>—</v>
        <stp/>
        <stp>##V3_BDHV12</stp>
        <stp>XOM US Equity</stp>
        <stp>BS_ACCT_PAYABLE</stp>
        <stp>FQ1 2011</stp>
        <stp>FQ1 2011</stp>
        <stp>[FA1_m42y3cpi.xlsx]Bal Sheet - Standardized!R43C13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3" s="3"/>
      </tp>
      <tp t="s">
        <v>—</v>
        <stp/>
        <stp>##V3_BDHV12</stp>
        <stp>XOM US Equity</stp>
        <stp>BS_ACCT_PAYABLE</stp>
        <stp>FQ3 2016</stp>
        <stp>FQ3 2016</stp>
        <stp>[FA1_m42y3cpi.xlsx]Bal Sheet - Standardized!R43C35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3" s="3"/>
      </tp>
      <tp t="s">
        <v>—</v>
        <stp/>
        <stp>##V3_BDHV12</stp>
        <stp>XOM US Equity</stp>
        <stp>BS_ACCT_PAYABLE</stp>
        <stp>FQ2 2014</stp>
        <stp>FQ2 2014</stp>
        <stp>[FA1_m42y3cpi.xlsx]Bal Sheet - Standardized!R43C26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3" s="3"/>
      </tp>
      <tp t="s">
        <v>—</v>
        <stp/>
        <stp>##V3_BDHV12</stp>
        <stp>XOM US Equity</stp>
        <stp>BS_ACCT_PAYABLE</stp>
        <stp>FQ3 2015</stp>
        <stp>FQ3 2015</stp>
        <stp>[FA1_m42y3cpi.xlsx]Bal Sheet - Standardized!R43C31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3" s="3"/>
      </tp>
      <tp t="s">
        <v>—</v>
        <stp/>
        <stp>##V3_BDHV12</stp>
        <stp>XOM US Equity</stp>
        <stp>BS_ACCT_PAYABLE</stp>
        <stp>FQ1 2012</stp>
        <stp>FQ1 2012</stp>
        <stp>[FA1_m42y3cpi.xlsx]Bal Sheet - Standardized!R43C17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3" s="3"/>
      </tp>
      <tp>
        <v>4237</v>
        <stp/>
        <stp>##V3_BDHV12</stp>
        <stp>XOM US Equity</stp>
        <stp>BS_SH_OUT</stp>
        <stp>FQ1 2017</stp>
        <stp>FQ1 2017</stp>
        <stp>[FA1_m42y3cpi.xlsx]Per Share!R6C37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" s="5"/>
      </tp>
      <tp t="s">
        <v>—</v>
        <stp/>
        <stp>##V3_BDHV12</stp>
        <stp>XOM US Equity</stp>
        <stp>BS_ACCT_PAYABLE</stp>
        <stp>FQ3 2017</stp>
        <stp>FQ3 2017</stp>
        <stp>[FA1_m42y3cpi.xlsx]Bal Sheet - Standardized!R43C39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3" s="3"/>
      </tp>
      <tp>
        <v>0</v>
        <stp/>
        <stp>##V3_BDHV12</stp>
        <stp>XOM US Equity</stp>
        <stp>XO_GL_NET_OF_TAX</stp>
        <stp>FQ4 2014</stp>
        <stp>FQ4 2014</stp>
        <stp>[FA1_m42y3cpi.xlsx]Income - Adjusted!R47C28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2"/>
      </tp>
      <tp>
        <v>0</v>
        <stp/>
        <stp>##V3_BDHV12</stp>
        <stp>XOM US Equity</stp>
        <stp>XO_GL_NET_OF_TAX</stp>
        <stp>FQ4 2014</stp>
        <stp>FQ4 2014</stp>
        <stp>[FA1_m42y3cpi.xlsx]Income - Adjusted!R35C28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2"/>
      </tp>
      <tp>
        <v>0</v>
        <stp/>
        <stp>##V3_BDHV12</stp>
        <stp>XOM US Equity</stp>
        <stp>XO_GL_NET_OF_TAX</stp>
        <stp>FQ3 2010</stp>
        <stp>FQ3 2010</stp>
        <stp>[FA1_m42y3cpi.xlsx]Income - Adjusted!R35C11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2"/>
      </tp>
      <tp>
        <v>0</v>
        <stp/>
        <stp>##V3_BDHV12</stp>
        <stp>XOM US Equity</stp>
        <stp>XO_GL_NET_OF_TAX</stp>
        <stp>FQ4 2015</stp>
        <stp>FQ4 2015</stp>
        <stp>[FA1_m42y3cpi.xlsx]Income - Adjusted!R47C32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2"/>
      </tp>
      <tp>
        <v>0</v>
        <stp/>
        <stp>##V3_BDHV12</stp>
        <stp>XOM US Equity</stp>
        <stp>XO_GL_NET_OF_TAX</stp>
        <stp>FQ3 2013</stp>
        <stp>FQ3 2013</stp>
        <stp>[FA1_m42y3cpi.xlsx]Income - Adjusted!R35C23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2"/>
      </tp>
      <tp>
        <v>0</v>
        <stp/>
        <stp>##V3_BDHV12</stp>
        <stp>XOM US Equity</stp>
        <stp>XO_GL_NET_OF_TAX</stp>
        <stp>FQ1 2012</stp>
        <stp>FQ1 2012</stp>
        <stp>[FA1_m42y3cpi.xlsx]Income - Adjusted!R47C17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2"/>
      </tp>
      <tp>
        <v>0</v>
        <stp/>
        <stp>##V3_BDHV12</stp>
        <stp>XOM US Equity</stp>
        <stp>XO_GL_NET_OF_TAX</stp>
        <stp>FQ2 2011</stp>
        <stp>FQ2 2011</stp>
        <stp>[FA1_m42y3cpi.xlsx]Income - Adjusted!R47C14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2"/>
      </tp>
      <tp>
        <v>0</v>
        <stp/>
        <stp>##V3_BDHV12</stp>
        <stp>XOM US Equity</stp>
        <stp>XO_GL_NET_OF_TAX</stp>
        <stp>FQ1 2012</stp>
        <stp>FQ1 2012</stp>
        <stp>[FA1_m42y3cpi.xlsx]Income - Adjusted!R35C17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2"/>
      </tp>
      <tp>
        <v>0</v>
        <stp/>
        <stp>##V3_BDHV12</stp>
        <stp>XOM US Equity</stp>
        <stp>XO_GL_NET_OF_TAX</stp>
        <stp>FQ2 2011</stp>
        <stp>FQ2 2011</stp>
        <stp>[FA1_m42y3cpi.xlsx]Income - Adjusted!R35C14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2"/>
      </tp>
      <tp>
        <v>0</v>
        <stp/>
        <stp>##V3_BDHV12</stp>
        <stp>XOM US Equity</stp>
        <stp>XO_GL_NET_OF_TAX</stp>
        <stp>FQ3 2013</stp>
        <stp>FQ3 2013</stp>
        <stp>[FA1_m42y3cpi.xlsx]Income - Adjusted!R47C23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2"/>
      </tp>
      <tp>
        <v>0</v>
        <stp/>
        <stp>##V3_BDHV12</stp>
        <stp>XOM US Equity</stp>
        <stp>XO_GL_NET_OF_TAX</stp>
        <stp>FQ4 2015</stp>
        <stp>FQ4 2015</stp>
        <stp>[FA1_m42y3cpi.xlsx]Income - Adjusted!R35C32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2"/>
      </tp>
      <tp>
        <v>0</v>
        <stp/>
        <stp>##V3_BDHV12</stp>
        <stp>XOM US Equity</stp>
        <stp>XO_GL_NET_OF_TAX</stp>
        <stp>FQ3 2010</stp>
        <stp>FQ3 2010</stp>
        <stp>[FA1_m42y3cpi.xlsx]Income - Adjusted!R47C11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2"/>
      </tp>
      <tp t="s">
        <v>—</v>
        <stp/>
        <stp>##V3_BDHV12</stp>
        <stp>XOM US Equity</stp>
        <stp>IS_INT_INC</stp>
        <stp>FQ1 2018</stp>
        <stp>FQ1 2018</stp>
        <stp>[FA1_m42y3cpi.xlsx]Income - Adjusted!R20C41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20" s="2"/>
      </tp>
      <tp>
        <v>1.5754999999999999</v>
        <stp/>
        <stp>##V3_BDHV12</stp>
        <stp>XOM US Equity</stp>
        <stp>CASH_FLOW_TO_NET_INC</stp>
        <stp>FQ4 2015</stp>
        <stp>FQ4 2015</stp>
        <stp>[FA1_m42y3cpi.xlsx]Cash Flow - Standardized!R68C32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68" s="4"/>
      </tp>
      <tp>
        <v>2.1637</v>
        <stp/>
        <stp>##V3_BDHV12</stp>
        <stp>XOM US Equity</stp>
        <stp>CASH_FLOW_TO_NET_INC</stp>
        <stp>FQ3 2015</stp>
        <stp>FQ3 2015</stp>
        <stp>[FA1_m42y3cpi.xlsx]Cash Flow - Standardized!R68C31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68" s="4"/>
      </tp>
      <tp>
        <v>2.0983000000000001</v>
        <stp/>
        <stp>##V3_BDHV12</stp>
        <stp>XOM US Equity</stp>
        <stp>CASH_FLOW_TO_NET_INC</stp>
        <stp>FQ2 2015</stp>
        <stp>FQ2 2015</stp>
        <stp>[FA1_m42y3cpi.xlsx]Cash Flow - Standardized!R68C30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68" s="4"/>
      </tp>
      <tp>
        <v>1.619</v>
        <stp/>
        <stp>##V3_BDHV12</stp>
        <stp>XOM US Equity</stp>
        <stp>CASH_FLOW_TO_NET_INC</stp>
        <stp>FQ1 2015</stp>
        <stp>FQ1 2015</stp>
        <stp>[FA1_m42y3cpi.xlsx]Cash Flow - Standardized!R68C29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68" s="4"/>
      </tp>
      <tp>
        <v>-0.61219999999999997</v>
        <stp/>
        <stp>##V3_BDHV12</stp>
        <stp>XOM US Equity</stp>
        <stp>CHG_PCT_PERIOD</stp>
        <stp>FQ4 2009</stp>
        <stp>FQ4 2009</stp>
        <stp>[FA1_m42y3cpi.xlsx]Stock Value!R7C8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6"/>
      </tp>
      <tp>
        <v>59.993000000000002</v>
        <stp/>
        <stp>##V3_BDHV12</stp>
        <stp>XOM US Equity</stp>
        <stp>BS_OPTIONS_OUTSTANDING</stp>
        <stp>FQ4 2008</stp>
        <stp>FQ4 2008</stp>
        <stp>[FA1_m42y3cpi.xlsx]Bal Sheet - Standardized!R85C4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5" s="3"/>
      </tp>
      <tp>
        <v>1.7866</v>
        <stp/>
        <stp>##V3_BDHV12</stp>
        <stp>XOM US Equity</stp>
        <stp>CASH_FLOW_PER_SH</stp>
        <stp>FQ4 2009</stp>
        <stp>FQ4 2009</stp>
        <stp>[FA1_m42y3cpi.xlsx]Per Share!R22C8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2" s="5"/>
      </tp>
      <tp t="s">
        <v>—</v>
        <stp/>
        <stp>##V3_BDHV12</stp>
        <stp>XOM US Equity</stp>
        <stp>BS_OPTIONS_OUTSTANDING</stp>
        <stp>FQ3 2008</stp>
        <stp>FQ3 2008</stp>
        <stp>[FA1_m42y3cpi.xlsx]Bal Sheet - Standardized!R85C3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5" s="3"/>
      </tp>
      <tp>
        <v>-10504</v>
        <stp/>
        <stp>##V3_BDHV12</stp>
        <stp>XOM US Equity</stp>
        <stp>CF_CASH_FROM_INV_ACT</stp>
        <stp>FQ2 2011</stp>
        <stp>FQ2 2011</stp>
        <stp>[FA1_m42y3cpi.xlsx]Cash Flow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4"/>
      </tp>
      <tp>
        <v>1.9582000000000002</v>
        <stp/>
        <stp>##V3_BDHV12</stp>
        <stp>XOM US Equity</stp>
        <stp>CASH_FLOW_TO_NET_INC</stp>
        <stp>FQ1 2009</stp>
        <stp>FQ1 2009</stp>
        <stp>[FA1_m42y3cpi.xlsx]Cash Flow - Standardized!R68C5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68" s="4"/>
      </tp>
      <tp t="s">
        <v>—</v>
        <stp/>
        <stp>##V3_BDHV12</stp>
        <stp>XOM US Equity</stp>
        <stp>IS_INT_INC</stp>
        <stp>FQ1 2010</stp>
        <stp>FQ1 2010</stp>
        <stp>[FA1_m42y3cpi.xlsx]Income - Adjusted!R20C9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0" s="2"/>
      </tp>
      <tp>
        <v>-10054</v>
        <stp/>
        <stp>##V3_BDHV12</stp>
        <stp>XOM US Equity</stp>
        <stp>CF_CASH_FROM_INV_ACT</stp>
        <stp>FQ1 2013</stp>
        <stp>FQ1 2013</stp>
        <stp>[FA1_m42y3cpi.xlsx]Cash Flow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4"/>
      </tp>
      <tp>
        <v>-73</v>
        <stp/>
        <stp>##V3_BDHV12</stp>
        <stp>XOM US Equity</stp>
        <stp>OTHER_INVESTING_ACT_DETAILED</stp>
        <stp>FQ3 2012</stp>
        <stp>FQ3 2012</stp>
        <stp>[FA1_m42y3cpi.xlsx]Cash Flow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4"/>
      </tp>
      <tp>
        <v>-5078</v>
        <stp/>
        <stp>##V3_BDHV12</stp>
        <stp>XOM US Equity</stp>
        <stp>CF_CASH_FROM_INV_ACT</stp>
        <stp>FQ2 2010</stp>
        <stp>FQ2 2010</stp>
        <stp>[FA1_m42y3cpi.xlsx]Cash Flow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4"/>
      </tp>
      <tp>
        <v>-6306</v>
        <stp/>
        <stp>##V3_BDHV12</stp>
        <stp>XOM US Equity</stp>
        <stp>CF_CASH_FROM_INV_ACT</stp>
        <stp>FQ1 2014</stp>
        <stp>FQ1 2014</stp>
        <stp>[FA1_m42y3cpi.xlsx]Cash Flow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4"/>
      </tp>
      <tp>
        <v>75</v>
        <stp/>
        <stp>##V3_BDHV12</stp>
        <stp>XOM US Equity</stp>
        <stp>OTHER_INVESTING_ACT_DETAILED</stp>
        <stp>FQ1 2016</stp>
        <stp>FQ1 2016</stp>
        <stp>[FA1_m42y3cpi.xlsx]Cash Flow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4"/>
      </tp>
      <tp>
        <v>-6352</v>
        <stp/>
        <stp>##V3_BDHV12</stp>
        <stp>XOM US Equity</stp>
        <stp>CF_CASH_FROM_INV_ACT</stp>
        <stp>FQ1 2015</stp>
        <stp>FQ1 2015</stp>
        <stp>[FA1_m42y3cpi.xlsx]Cash Flow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4"/>
      </tp>
      <tp>
        <v>100</v>
        <stp/>
        <stp>##V3_BDHV12</stp>
        <stp>XOM US Equity</stp>
        <stp>OTHER_INVESTING_ACT_DETAILED</stp>
        <stp>FQ3 2011</stp>
        <stp>FQ3 2011</stp>
        <stp>[FA1_m42y3cpi.xlsx]Cash Flow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4"/>
      </tp>
      <tp>
        <v>-1558</v>
        <stp/>
        <stp>##V3_BDHV12</stp>
        <stp>XOM US Equity</stp>
        <stp>OTHER_INVESTING_ACT_DETAILED</stp>
        <stp>FQ1 2017</stp>
        <stp>FQ1 2017</stp>
        <stp>[FA1_m42y3cpi.xlsx]Cash Flow - Standardized!R34C37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4" s="4"/>
      </tp>
      <tp>
        <v>167</v>
        <stp/>
        <stp>##V3_BDHV12</stp>
        <stp>XOM US Equity</stp>
        <stp>OTHER_INVESTING_ACT_DETAILED</stp>
        <stp>FQ3 2010</stp>
        <stp>FQ3 2010</stp>
        <stp>[FA1_m42y3cpi.xlsx]Cash Flow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4"/>
      </tp>
      <tp>
        <v>-3756</v>
        <stp/>
        <stp>##V3_BDHV12</stp>
        <stp>XOM US Equity</stp>
        <stp>CF_CASH_FROM_INV_ACT</stp>
        <stp>FQ2 2012</stp>
        <stp>FQ2 2012</stp>
        <stp>[FA1_m42y3cpi.xlsx]Cash Flow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4"/>
      </tp>
      <tp>
        <v>6802</v>
        <stp/>
        <stp>##V3_BDHV12</stp>
        <stp>XOM US Equity</stp>
        <stp>CF_CASH_PAID_FOR_TAX</stp>
        <stp>FQ3 2011</stp>
        <stp>FQ3 2011</stp>
        <stp>[FA1_m42y3cpi.xlsx]Cash Flow - Standardized!R55C15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5" s="4"/>
      </tp>
      <tp>
        <v>749</v>
        <stp/>
        <stp>##V3_BDHV12</stp>
        <stp>XOM US Equity</stp>
        <stp>CF_CASH_PAID_FOR_TAX</stp>
        <stp>FQ1 2016</stp>
        <stp>FQ1 2016</stp>
        <stp>[FA1_m42y3cpi.xlsx]Cash Flow - Standardized!R55C33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5" s="4"/>
      </tp>
      <tp>
        <v>4463</v>
        <stp/>
        <stp>##V3_BDHV12</stp>
        <stp>XOM US Equity</stp>
        <stp>CF_CASH_PAID_FOR_TAX</stp>
        <stp>FQ3 2010</stp>
        <stp>FQ3 2010</stp>
        <stp>[FA1_m42y3cpi.xlsx]Cash Flow - Standardized!R55C11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5" s="4"/>
      </tp>
      <tp>
        <v>1970</v>
        <stp/>
        <stp>##V3_BDHV12</stp>
        <stp>XOM US Equity</stp>
        <stp>CF_CASH_PAID_FOR_TAX</stp>
        <stp>FQ1 2017</stp>
        <stp>FQ1 2017</stp>
        <stp>[FA1_m42y3cpi.xlsx]Cash Flow - Standardized!R55C37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5" s="4"/>
      </tp>
      <tp>
        <v>4867.4679999999998</v>
        <stp/>
        <stp>##V3_BDHV12</stp>
        <stp>XOM US Equity</stp>
        <stp>EQY_FLOAT</stp>
        <stp>FQ2 2009</stp>
        <stp>FQ2 2009</stp>
        <stp>[FA1_m42y3cpi.xlsx]Stock Value!R14C6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4" s="6"/>
      </tp>
      <tp>
        <v>93815</v>
        <stp/>
        <stp>##V3_BDHV12</stp>
        <stp>XOM US Equity</stp>
        <stp>IS_COGS_TO_FE_AND_PP_AND_G</stp>
        <stp>FQ1 2012</stp>
        <stp>FQ1 2012</stp>
        <stp>[FA1_m42y3cpi.xlsx]Income - Adjusted!R8C17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>
        <v>39137</v>
        <stp/>
        <stp>##V3_BDHV12</stp>
        <stp>XOM US Equity</stp>
        <stp>IS_COGS_TO_FE_AND_PP_AND_G</stp>
        <stp>FQ1 2016</stp>
        <stp>FQ1 2016</stp>
        <stp>[FA1_m42y3cpi.xlsx]Income - Adjusted!R8C33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8" s="2"/>
      </tp>
      <tp>
        <v>51637</v>
        <stp/>
        <stp>##V3_BDHV12</stp>
        <stp>XOM US Equity</stp>
        <stp>IS_COGS_TO_FE_AND_PP_AND_G</stp>
        <stp>FQ4 2016</stp>
        <stp>FQ4 2016</stp>
        <stp>[FA1_m42y3cpi.xlsx]Income - Adjusted!R8C36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8" s="2"/>
      </tp>
      <tp>
        <v>5568</v>
        <stp/>
        <stp>##V3_BDHV12</stp>
        <stp>XOM US Equity</stp>
        <stp>CF_CASH_PAID_FOR_TAX</stp>
        <stp>FQ3 2012</stp>
        <stp>FQ3 2012</stp>
        <stp>[FA1_m42y3cpi.xlsx]Cash Flow - Standardized!R55C19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5" s="4"/>
      </tp>
      <tp>
        <v>1.27</v>
        <stp/>
        <stp>##V3_BDHV12</stp>
        <stp>XOM US Equity</stp>
        <stp>IS_DIL_EPS_BEF_XO</stp>
        <stp>FQ4 2009</stp>
        <stp>FQ4 2009</stp>
        <stp>[FA1_m42y3cpi.xlsx]Per Share!R18C8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8" s="5"/>
      </tp>
      <tp t="s">
        <v>—</v>
        <stp/>
        <stp>##V3_BDHV12</stp>
        <stp>XOM US Equity</stp>
        <stp>BS_ACCT_PAYABLE</stp>
        <stp>FQ1 2013</stp>
        <stp>FQ1 2013</stp>
        <stp>[FA1_m42y3cpi.xlsx]Bal Sheet - Standardized!R43C21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3" s="3"/>
      </tp>
      <tp t="s">
        <v>—</v>
        <stp/>
        <stp>##V3_BDHV12</stp>
        <stp>XOM US Equity</stp>
        <stp>BS_ACCT_PAYABLE</stp>
        <stp>FQ2 2010</stp>
        <stp>FQ2 2010</stp>
        <stp>[FA1_m42y3cpi.xlsx]Bal Sheet - Standardized!R43C10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3" s="3"/>
      </tp>
      <tp t="s">
        <v>—</v>
        <stp/>
        <stp>##V3_BDHV12</stp>
        <stp>XOM US Equity</stp>
        <stp>BS_ACCT_PAYABLE</stp>
        <stp>FQ1 2014</stp>
        <stp>FQ1 2014</stp>
        <stp>[FA1_m42y3cpi.xlsx]Bal Sheet - Standardized!R43C25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3" s="3"/>
      </tp>
      <tp t="s">
        <v>—</v>
        <stp/>
        <stp>##V3_BDHV12</stp>
        <stp>XOM US Equity</stp>
        <stp>BS_ACCT_PAYABLE</stp>
        <stp>FQ2 2011</stp>
        <stp>FQ2 2011</stp>
        <stp>[FA1_m42y3cpi.xlsx]Bal Sheet - Standardized!R43C14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3" s="3"/>
      </tp>
      <tp t="s">
        <v>—</v>
        <stp/>
        <stp>##V3_BDHV12</stp>
        <stp>XOM US Equity</stp>
        <stp>BS_ACCT_PAYABLE</stp>
        <stp>FQ2 2012</stp>
        <stp>FQ2 2012</stp>
        <stp>[FA1_m42y3cpi.xlsx]Bal Sheet - Standardized!R43C18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3" s="3"/>
      </tp>
      <tp t="s">
        <v>—</v>
        <stp/>
        <stp>##V3_BDHV12</stp>
        <stp>XOM US Equity</stp>
        <stp>BS_ACCT_PAYABLE</stp>
        <stp>FQ1 2015</stp>
        <stp>FQ1 2015</stp>
        <stp>[FA1_m42y3cpi.xlsx]Bal Sheet - Standardized!R43C29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3" s="3"/>
      </tp>
      <tp>
        <v>5043</v>
        <stp/>
        <stp>##V3_BDHV12</stp>
        <stp>XOM US Equity</stp>
        <stp>BS_SH_OUT</stp>
        <stp>FQ3 2010</stp>
        <stp>FQ3 2010</stp>
        <stp>[FA1_m42y3cpi.xlsx]Per Share!R6C11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5"/>
      </tp>
      <tp>
        <v>5092</v>
        <stp/>
        <stp>##V3_BDHV12</stp>
        <stp>XOM US Equity</stp>
        <stp>BS_SH_OUT</stp>
        <stp>FQ2 2010</stp>
        <stp>FQ2 2010</stp>
        <stp>[FA1_m42y3cpi.xlsx]Per Share!R6C10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5"/>
      </tp>
      <tp>
        <v>-245</v>
        <stp/>
        <stp>##V3_BDHV12</stp>
        <stp>XOM US Equity</stp>
        <stp>NET_CHG_IN_LT_INVEST_DETAILED</stp>
        <stp>FQ4 2008</stp>
        <stp>FQ4 2008</stp>
        <stp>[FA1_m42y3cpi.xlsx]Cash Flow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4"/>
      </tp>
      <tp>
        <v>0</v>
        <stp/>
        <stp>##V3_BDHV12</stp>
        <stp>XOM US Equity</stp>
        <stp>NET_CHG_IN_LT_INVEST_DETAILED</stp>
        <stp>FQ3 2008</stp>
        <stp>FQ3 2008</stp>
        <stp>[FA1_m42y3cpi.xlsx]Cash Flow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4"/>
      </tp>
      <tp>
        <v>0</v>
        <stp/>
        <stp>##V3_BDHV12</stp>
        <stp>XOM US Equity</stp>
        <stp>XO_GL_NET_OF_TAX</stp>
        <stp>FQ2 2012</stp>
        <stp>FQ2 2012</stp>
        <stp>[FA1_m42y3cpi.xlsx]Income - Adjusted!R35C18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2"/>
      </tp>
      <tp>
        <v>0</v>
        <stp/>
        <stp>##V3_BDHV12</stp>
        <stp>XOM US Equity</stp>
        <stp>XO_GL_NET_OF_TAX</stp>
        <stp>FQ2 2012</stp>
        <stp>FQ2 2012</stp>
        <stp>[FA1_m42y3cpi.xlsx]Income - Adjusted!R47C18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2"/>
      </tp>
      <tp>
        <v>0</v>
        <stp/>
        <stp>##V3_BDHV12</stp>
        <stp>XOM US Equity</stp>
        <stp>NET_CHG_IN_LT_INVEST_DETAILED</stp>
        <stp>FQ3 2009</stp>
        <stp>FQ3 2009</stp>
        <stp>[FA1_m42y3cpi.xlsx]Cash Flow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4"/>
      </tp>
      <tp>
        <v>0</v>
        <stp/>
        <stp>##V3_BDHV12</stp>
        <stp>XOM US Equity</stp>
        <stp>NET_CHG_IN_LT_INVEST_DETAILED</stp>
        <stp>FQ2 2009</stp>
        <stp>FQ2 2009</stp>
        <stp>[FA1_m42y3cpi.xlsx]Cash Flow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4"/>
      </tp>
      <tp>
        <v>0</v>
        <stp/>
        <stp>##V3_BDHV12</stp>
        <stp>XOM US Equity</stp>
        <stp>NET_CHG_IN_LT_INVEST_DETAILED</stp>
        <stp>FQ1 2009</stp>
        <stp>FQ1 2009</stp>
        <stp>[FA1_m42y3cpi.xlsx]Cash Flow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4"/>
      </tp>
      <tp>
        <v>0</v>
        <stp/>
        <stp>##V3_BDHV12</stp>
        <stp>XOM US Equity</stp>
        <stp>XO_GL_NET_OF_TAX</stp>
        <stp>FQ4 2016</stp>
        <stp>FQ4 2016</stp>
        <stp>[FA1_m42y3cpi.xlsx]Income - Adjusted!R35C36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2"/>
      </tp>
      <tp>
        <v>0</v>
        <stp/>
        <stp>##V3_BDHV12</stp>
        <stp>XOM US Equity</stp>
        <stp>NET_CHG_IN_LT_INVEST_DETAILED</stp>
        <stp>FQ1 2010</stp>
        <stp>FQ1 2010</stp>
        <stp>[FA1_m42y3cpi.xlsx]Cash Flow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4"/>
      </tp>
      <tp>
        <v>0</v>
        <stp/>
        <stp>##V3_BDHV12</stp>
        <stp>XOM US Equity</stp>
        <stp>XO_GL_NET_OF_TAX</stp>
        <stp>FQ1 2011</stp>
        <stp>FQ1 2011</stp>
        <stp>[FA1_m42y3cpi.xlsx]Income - Adjusted!R35C13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2"/>
      </tp>
      <tp>
        <v>0</v>
        <stp/>
        <stp>##V3_BDHV12</stp>
        <stp>XOM US Equity</stp>
        <stp>XO_GL_NET_OF_TAX</stp>
        <stp>FQ1 2011</stp>
        <stp>FQ1 2011</stp>
        <stp>[FA1_m42y3cpi.xlsx]Income - Adjusted!R47C13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2"/>
      </tp>
      <tp>
        <v>0</v>
        <stp/>
        <stp>##V3_BDHV12</stp>
        <stp>XOM US Equity</stp>
        <stp>XO_GL_NET_OF_TAX</stp>
        <stp>FQ4 2016</stp>
        <stp>FQ4 2016</stp>
        <stp>[FA1_m42y3cpi.xlsx]Income - Adjusted!R47C36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2"/>
      </tp>
      <tp>
        <v>555</v>
        <stp/>
        <stp>##V3_BDHV12</stp>
        <stp>XOM US Equity</stp>
        <stp>NET_CHG_IN_LT_INVEST_DETAILED</stp>
        <stp>FQ4 2009</stp>
        <stp>FQ4 2009</stp>
        <stp>[FA1_m42y3cpi.xlsx]Cash Flow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4"/>
      </tp>
      <tp t="s">
        <v>—</v>
        <stp/>
        <stp>##V3_BDHV12</stp>
        <stp>XOM US Equity</stp>
        <stp>IS_INT_INC</stp>
        <stp>FQ2 2012</stp>
        <stp>FQ2 2012</stp>
        <stp>[FA1_m42y3cpi.xlsx]Income - Adjusted!R20C18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0" s="2"/>
      </tp>
      <tp t="s">
        <v>—</v>
        <stp/>
        <stp>##V3_BDHV12</stp>
        <stp>XOM US Equity</stp>
        <stp>IS_INT_INC</stp>
        <stp>FQ2 2018</stp>
        <stp>FQ2 2018</stp>
        <stp>[FA1_m42y3cpi.xlsx]Income - Adjusted!R20C42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20" s="2"/>
      </tp>
      <tp>
        <v>2.8635999999999999</v>
        <stp/>
        <stp>##V3_BDHV12</stp>
        <stp>XOM US Equity</stp>
        <stp>CASH_ST_INVESTMENTS_PER_SH</stp>
        <stp>FQ3 2012</stp>
        <stp>FQ3 2012</stp>
        <stp>[FA1_m42y3cpi.xlsx]Per Share!R25C19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5" s="5"/>
      </tp>
      <tp>
        <v>85.61</v>
        <stp/>
        <stp>##V3_BDHV12</stp>
        <stp>XOM US Equity</stp>
        <stp>PX_LOW</stp>
        <stp>FQ3 2013</stp>
        <stp>FQ3 2013</stp>
        <stp>[FA1_m42y3cpi.xlsx]Stock Value!R10C23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0" s="6"/>
      </tp>
      <tp>
        <v>85.02</v>
        <stp/>
        <stp>##V3_BDHV12</stp>
        <stp>XOM US Equity</stp>
        <stp>PX_LOW</stp>
        <stp>FQ2 2013</stp>
        <stp>FQ2 2013</stp>
        <stp>[FA1_m42y3cpi.xlsx]Stock Value!R10C22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0" s="6"/>
      </tp>
      <tp>
        <v>86.587500000000006</v>
        <stp/>
        <stp>##V3_BDHV12</stp>
        <stp>XOM US Equity</stp>
        <stp>PX_LOW</stp>
        <stp>FQ1 2013</stp>
        <stp>FQ1 2013</stp>
        <stp>[FA1_m42y3cpi.xlsx]Stock Value!R10C21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0" s="6"/>
      </tp>
      <tp>
        <v>4.4024000000000001</v>
        <stp/>
        <stp>##V3_BDHV12</stp>
        <stp>XOM US Equity</stp>
        <stp>CASH_FLOW_TO_NET_INC</stp>
        <stp>FQ4 2016</stp>
        <stp>FQ4 2016</stp>
        <stp>[FA1_m42y3cpi.xlsx]Cash Flow - Standardized!R68C36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68" s="4"/>
      </tp>
      <tp>
        <v>2.0207999999999999</v>
        <stp/>
        <stp>##V3_BDHV12</stp>
        <stp>XOM US Equity</stp>
        <stp>CASH_FLOW_TO_NET_INC</stp>
        <stp>FQ3 2016</stp>
        <stp>FQ3 2016</stp>
        <stp>[FA1_m42y3cpi.xlsx]Cash Flow - Standardized!R68C35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68" s="4"/>
      </tp>
      <tp>
        <v>2.6581999999999999</v>
        <stp/>
        <stp>##V3_BDHV12</stp>
        <stp>XOM US Equity</stp>
        <stp>CASH_FLOW_TO_NET_INC</stp>
        <stp>FQ2 2016</stp>
        <stp>FQ2 2016</stp>
        <stp>[FA1_m42y3cpi.xlsx]Cash Flow - Standardized!R68C34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68" s="4"/>
      </tp>
      <tp>
        <v>2.6585999999999999</v>
        <stp/>
        <stp>##V3_BDHV12</stp>
        <stp>XOM US Equity</stp>
        <stp>CASH_FLOW_TO_NET_INC</stp>
        <stp>FQ1 2016</stp>
        <stp>FQ1 2016</stp>
        <stp>[FA1_m42y3cpi.xlsx]Cash Flow - Standardized!R68C33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68" s="4"/>
      </tp>
      <tp>
        <v>84.79</v>
        <stp/>
        <stp>##V3_BDHV12</stp>
        <stp>XOM US Equity</stp>
        <stp>PX_LOW</stp>
        <stp>FQ4 2013</stp>
        <stp>FQ4 2013</stp>
        <stp>[FA1_m42y3cpi.xlsx]Stock Value!R10C24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0" s="6"/>
      </tp>
      <tp>
        <v>72.67</v>
        <stp/>
        <stp>##V3_BDHV12</stp>
        <stp>XOM US Equity</stp>
        <stp>PX_LOW</stp>
        <stp>FQ1 2018</stp>
        <stp>FQ1 2018</stp>
        <stp>[FA1_m42y3cpi.xlsx]Stock Value!R10C41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0" s="6"/>
      </tp>
      <tp>
        <v>72.155000000000001</v>
        <stp/>
        <stp>##V3_BDHV12</stp>
        <stp>XOM US Equity</stp>
        <stp>PX_LOW</stp>
        <stp>FQ2 2018</stp>
        <stp>FQ2 2018</stp>
        <stp>[FA1_m42y3cpi.xlsx]Stock Value!R10C42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0" s="6"/>
      </tp>
      <tp>
        <v>-4296</v>
        <stp/>
        <stp>##V3_BDHV12</stp>
        <stp>XOM US Equity</stp>
        <stp>CF_CASH_FROM_INV_ACT</stp>
        <stp>FQ3 2011</stp>
        <stp>FQ3 2011</stp>
        <stp>[FA1_m42y3cpi.xlsx]Cash Flow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4"/>
      </tp>
      <tp>
        <v>8</v>
        <stp/>
        <stp>##V3_BDHV12</stp>
        <stp>XOM US Equity</stp>
        <stp>OTHER_INVESTING_ACT_DETAILED</stp>
        <stp>FQ1 2015</stp>
        <stp>FQ1 2015</stp>
        <stp>[FA1_m42y3cpi.xlsx]Cash Flow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4"/>
      </tp>
      <tp>
        <v>9512</v>
        <stp/>
        <stp>##V3_BDHV12</stp>
        <stp>XOM US Equity</stp>
        <stp>BS_SH_CAP_AND_APIC</stp>
        <stp>FQ4 2011</stp>
        <stp>FQ4 2011</stp>
        <stp>[FA1_m42y3cpi.xlsx]Bal Sheet - Standardized!R68C16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8" s="3"/>
      </tp>
      <tp>
        <v>2725</v>
        <stp/>
        <stp>##V3_BDHV12</stp>
        <stp>XOM US Equity</stp>
        <stp>BS_OTHER_INV</stp>
        <stp>FQ3 2009</stp>
        <stp>FQ3 2009</stp>
        <stp>[FA1_m42y3cpi.xlsx]Bal Sheet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2586</v>
        <stp/>
        <stp>##V3_BDHV12</stp>
        <stp>XOM US Equity</stp>
        <stp>BS_OTHER_INV</stp>
        <stp>FQ2 2009</stp>
        <stp>FQ2 2009</stp>
        <stp>[FA1_m42y3cpi.xlsx]Bal Sheet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2421</v>
        <stp/>
        <stp>##V3_BDHV12</stp>
        <stp>XOM US Equity</stp>
        <stp>BS_OTHER_INV</stp>
        <stp>FQ1 2009</stp>
        <stp>FQ1 2009</stp>
        <stp>[FA1_m42y3cpi.xlsx]Bal Sheet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-4349</v>
        <stp/>
        <stp>##V3_BDHV12</stp>
        <stp>XOM US Equity</stp>
        <stp>CF_CASH_FROM_INV_ACT</stp>
        <stp>FQ1 2016</stp>
        <stp>FQ1 2016</stp>
        <stp>[FA1_m42y3cpi.xlsx]Cash Flow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4"/>
      </tp>
      <tp>
        <v>859</v>
        <stp/>
        <stp>##V3_BDHV12</stp>
        <stp>XOM US Equity</stp>
        <stp>OTHER_INVESTING_ACT_DETAILED</stp>
        <stp>FQ2 2012</stp>
        <stp>FQ2 2012</stp>
        <stp>[FA1_m42y3cpi.xlsx]Cash Flow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4"/>
      </tp>
      <tp>
        <v>-6879</v>
        <stp/>
        <stp>##V3_BDHV12</stp>
        <stp>XOM US Equity</stp>
        <stp>CF_CASH_FROM_INV_ACT</stp>
        <stp>FQ3 2010</stp>
        <stp>FQ3 2010</stp>
        <stp>[FA1_m42y3cpi.xlsx]Cash Flow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4"/>
      </tp>
      <tp t="s">
        <v>—</v>
        <stp/>
        <stp>##V3_BDHV12</stp>
        <stp>XOM US Equity</stp>
        <stp>BS_GROSS_FIX_ASSET</stp>
        <stp>FQ1 2018</stp>
        <stp>FQ1 2018</stp>
        <stp>[FA1_m42y3cpi.xlsx]Bal Sheet - Standardized!R24C41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4" s="3"/>
      </tp>
      <tp>
        <v>9371</v>
        <stp/>
        <stp>##V3_BDHV12</stp>
        <stp>XOM US Equity</stp>
        <stp>BS_SH_CAP_AND_APIC</stp>
        <stp>FQ4 2010</stp>
        <stp>FQ4 2010</stp>
        <stp>[FA1_m42y3cpi.xlsx]Bal Sheet - Standardized!R68C12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8" s="3"/>
      </tp>
      <tp>
        <v>-3761</v>
        <stp/>
        <stp>##V3_BDHV12</stp>
        <stp>XOM US Equity</stp>
        <stp>CF_CASH_FROM_INV_ACT</stp>
        <stp>FQ1 2017</stp>
        <stp>FQ1 2017</stp>
        <stp>[FA1_m42y3cpi.xlsx]Cash Flow - Standardized!R36C37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4"/>
      </tp>
      <tp>
        <v>0</v>
        <stp/>
        <stp>##V3_BDHV12</stp>
        <stp>XOM US Equity</stp>
        <stp>BS_OTHER_INV</stp>
        <stp>FQ4 2008</stp>
        <stp>FQ4 2008</stp>
        <stp>[FA1_m42y3cpi.xlsx]Bal Sheet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3"/>
      </tp>
      <tp>
        <v>0</v>
        <stp/>
        <stp>##V3_BDHV12</stp>
        <stp>XOM US Equity</stp>
        <stp>BS_OTHER_INV</stp>
        <stp>FQ3 2008</stp>
        <stp>FQ3 2008</stp>
        <stp>[FA1_m42y3cpi.xlsx]Bal Sheet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-2435</v>
        <stp/>
        <stp>##V3_BDHV12</stp>
        <stp>XOM US Equity</stp>
        <stp>OTHER_INVESTING_ACT_DETAILED</stp>
        <stp>FQ2 2011</stp>
        <stp>FQ2 2011</stp>
        <stp>[FA1_m42y3cpi.xlsx]Cash Flow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4"/>
      </tp>
      <tp t="s">
        <v>—</v>
        <stp/>
        <stp>##V3_BDHV12</stp>
        <stp>XOM US Equity</stp>
        <stp>IS_INT_INC</stp>
        <stp>FQ3 2008</stp>
        <stp>FQ3 2008</stp>
        <stp>[FA1_m42y3cpi.xlsx]Income - Adjusted!R20C3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0" s="2"/>
      </tp>
      <tp t="s">
        <v>—</v>
        <stp/>
        <stp>##V3_BDHV12</stp>
        <stp>XOM US Equity</stp>
        <stp>IS_INT_INC</stp>
        <stp>FQ4 2008</stp>
        <stp>FQ4 2008</stp>
        <stp>[FA1_m42y3cpi.xlsx]Income - Adjusted!R20C4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0" s="2"/>
      </tp>
      <tp>
        <v>2835</v>
        <stp/>
        <stp>##V3_BDHV12</stp>
        <stp>XOM US Equity</stp>
        <stp>BS_OTHER_INV</stp>
        <stp>FQ4 2009</stp>
        <stp>FQ4 2009</stp>
        <stp>[FA1_m42y3cpi.xlsx]Bal Sheet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373938</v>
        <stp/>
        <stp>##V3_BDHV12</stp>
        <stp>XOM US Equity</stp>
        <stp>BS_GROSS_FIX_ASSET</stp>
        <stp>FQ4 2010</stp>
        <stp>FQ4 2010</stp>
        <stp>[FA1_m42y3cpi.xlsx]Bal Sheet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3"/>
      </tp>
      <tp>
        <v>14888</v>
        <stp/>
        <stp>##V3_BDHV12</stp>
        <stp>XOM US Equity</stp>
        <stp>BS_SH_CAP_AND_APIC</stp>
        <stp>FQ1 2018</stp>
        <stp>FQ1 2018</stp>
        <stp>[FA1_m42y3cpi.xlsx]Bal Sheet - Standardized!R68C41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8" s="3"/>
      </tp>
      <tp>
        <v>-89</v>
        <stp/>
        <stp>##V3_BDHV12</stp>
        <stp>XOM US Equity</stp>
        <stp>OTHER_INVESTING_ACT_DETAILED</stp>
        <stp>FQ1 2014</stp>
        <stp>FQ1 2014</stp>
        <stp>[FA1_m42y3cpi.xlsx]Cash Flow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4"/>
      </tp>
      <tp>
        <v>-2920</v>
        <stp/>
        <stp>##V3_BDHV12</stp>
        <stp>XOM US Equity</stp>
        <stp>OTHER_INVESTING_ACT_DETAILED</stp>
        <stp>FQ1 2013</stp>
        <stp>FQ1 2013</stp>
        <stp>[FA1_m42y3cpi.xlsx]Cash Flow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4"/>
      </tp>
      <tp>
        <v>2857</v>
        <stp/>
        <stp>##V3_BDHV12</stp>
        <stp>XOM US Equity</stp>
        <stp>BS_OTHER_INV</stp>
        <stp>FQ1 2010</stp>
        <stp>FQ1 2010</stp>
        <stp>[FA1_m42y3cpi.xlsx]Bal Sheet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393995</v>
        <stp/>
        <stp>##V3_BDHV12</stp>
        <stp>XOM US Equity</stp>
        <stp>BS_GROSS_FIX_ASSET</stp>
        <stp>FQ4 2011</stp>
        <stp>FQ4 2011</stp>
        <stp>[FA1_m42y3cpi.xlsx]Bal Sheet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3"/>
      </tp>
      <tp>
        <v>138</v>
        <stp/>
        <stp>##V3_BDHV12</stp>
        <stp>XOM US Equity</stp>
        <stp>OTHER_INVESTING_ACT_DETAILED</stp>
        <stp>FQ2 2010</stp>
        <stp>FQ2 2010</stp>
        <stp>[FA1_m42y3cpi.xlsx]Cash Flow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4"/>
      </tp>
      <tp>
        <v>-7492</v>
        <stp/>
        <stp>##V3_BDHV12</stp>
        <stp>XOM US Equity</stp>
        <stp>CF_CASH_FROM_INV_ACT</stp>
        <stp>FQ3 2012</stp>
        <stp>FQ3 2012</stp>
        <stp>[FA1_m42y3cpi.xlsx]Cash Flow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4"/>
      </tp>
      <tp>
        <v>8374</v>
        <stp/>
        <stp>##V3_BDHV12</stp>
        <stp>XOM US Equity</stp>
        <stp>CF_CASH_PAID_FOR_TAX</stp>
        <stp>FQ2 2011</stp>
        <stp>FQ2 2011</stp>
        <stp>[FA1_m42y3cpi.xlsx]Cash Flow - Standardized!R55C14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5" s="4"/>
      </tp>
      <tp>
        <v>7220</v>
        <stp/>
        <stp>##V3_BDHV12</stp>
        <stp>XOM US Equity</stp>
        <stp>CF_CASH_PAID_FOR_TAX</stp>
        <stp>FQ1 2013</stp>
        <stp>FQ1 2013</stp>
        <stp>[FA1_m42y3cpi.xlsx]Cash Flow - Standardized!R55C21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5" s="4"/>
      </tp>
      <tp>
        <v>5591</v>
        <stp/>
        <stp>##V3_BDHV12</stp>
        <stp>XOM US Equity</stp>
        <stp>CF_CASH_PAID_FOR_TAX</stp>
        <stp>FQ2 2010</stp>
        <stp>FQ2 2010</stp>
        <stp>[FA1_m42y3cpi.xlsx]Cash Flow - Standardized!R55C10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5" s="4"/>
      </tp>
      <tp>
        <v>4145</v>
        <stp/>
        <stp>##V3_BDHV12</stp>
        <stp>XOM US Equity</stp>
        <stp>CF_CASH_PAID_FOR_TAX</stp>
        <stp>FQ1 2014</stp>
        <stp>FQ1 2014</stp>
        <stp>[FA1_m42y3cpi.xlsx]Cash Flow - Standardized!R55C25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5" s="4"/>
      </tp>
      <tp>
        <v>4798.3469999999998</v>
        <stp/>
        <stp>##V3_BDHV12</stp>
        <stp>XOM US Equity</stp>
        <stp>EQY_FLOAT</stp>
        <stp>FQ3 2009</stp>
        <stp>FQ3 2009</stp>
        <stp>[FA1_m42y3cpi.xlsx]Stock Value!R14C7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4" s="6"/>
      </tp>
      <tp>
        <v>1226</v>
        <stp/>
        <stp>##V3_BDHV12</stp>
        <stp>XOM US Equity</stp>
        <stp>CF_CASH_PAID_FOR_TAX</stp>
        <stp>FQ1 2015</stp>
        <stp>FQ1 2015</stp>
        <stp>[FA1_m42y3cpi.xlsx]Cash Flow - Standardized!R55C29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5" s="4"/>
      </tp>
      <tp>
        <v>6911</v>
        <stp/>
        <stp>##V3_BDHV12</stp>
        <stp>XOM US Equity</stp>
        <stp>CF_CASH_PAID_FOR_TAX</stp>
        <stp>FQ2 2012</stp>
        <stp>FQ2 2012</stp>
        <stp>[FA1_m42y3cpi.xlsx]Cash Flow - Standardized!R55C18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5" s="4"/>
      </tp>
      <tp t="s">
        <v>—</v>
        <stp/>
        <stp>##V3_BDHV12</stp>
        <stp>XOM US Equity</stp>
        <stp>BS_ACCT_PAYABLE</stp>
        <stp>FQ3 2010</stp>
        <stp>FQ3 2010</stp>
        <stp>[FA1_m42y3cpi.xlsx]Bal Sheet - Standardized!R43C11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3" s="3"/>
      </tp>
      <tp t="s">
        <v>—</v>
        <stp/>
        <stp>##V3_BDHV12</stp>
        <stp>XOM US Equity</stp>
        <stp>BS_ACCT_PAYABLE</stp>
        <stp>FQ1 2017</stp>
        <stp>FQ1 2017</stp>
        <stp>[FA1_m42y3cpi.xlsx]Bal Sheet - Standardized!R43C37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3" s="3"/>
      </tp>
      <tp t="s">
        <v>—</v>
        <stp/>
        <stp>##V3_BDHV12</stp>
        <stp>XOM US Equity</stp>
        <stp>IS_ABNORMAL_ITEM</stp>
        <stp>FQ4 2008</stp>
        <stp>FQ4 2008</stp>
        <stp>[FA1_m42y3cpi.xlsx]Income - Adjusted!R25C4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2"/>
      </tp>
      <tp>
        <v>0</v>
        <stp/>
        <stp>##V3_BDHV12</stp>
        <stp>XOM US Equity</stp>
        <stp>BS_INTEREST_&amp;_DIVIDENDS_PAYABLE</stp>
        <stp>FQ4 2009</stp>
        <stp>FQ4 2009</stp>
        <stp>[FA1_m42y3cpi.xlsx]Bal Sheet - Standardized!R45C8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5" s="3"/>
      </tp>
      <tp t="s">
        <v>—</v>
        <stp/>
        <stp>##V3_BDHV12</stp>
        <stp>XOM US Equity</stp>
        <stp>BS_ACCT_PAYABLE</stp>
        <stp>FQ3 2011</stp>
        <stp>FQ3 2011</stp>
        <stp>[FA1_m42y3cpi.xlsx]Bal Sheet - Standardized!R43C15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3" s="3"/>
      </tp>
      <tp t="s">
        <v>—</v>
        <stp/>
        <stp>##V3_BDHV12</stp>
        <stp>XOM US Equity</stp>
        <stp>BS_INTEREST_&amp;_DIVIDENDS_PAYABLE</stp>
        <stp>FQ1 2010</stp>
        <stp>FQ1 2010</stp>
        <stp>[FA1_m42y3cpi.xlsx]Bal Sheet - Standardized!R45C9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5" s="3"/>
      </tp>
      <tp t="s">
        <v>—</v>
        <stp/>
        <stp>##V3_BDHV12</stp>
        <stp>XOM US Equity</stp>
        <stp>BS_ACCT_PAYABLE</stp>
        <stp>FQ1 2016</stp>
        <stp>FQ1 2016</stp>
        <stp>[FA1_m42y3cpi.xlsx]Bal Sheet - Standardized!R43C33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3" s="3"/>
      </tp>
      <tp>
        <v>4239</v>
        <stp/>
        <stp>##V3_BDHV12</stp>
        <stp>XOM US Equity</stp>
        <stp>BS_SH_OUT</stp>
        <stp>FQ4 2017</stp>
        <stp>FQ4 2017</stp>
        <stp>[FA1_m42y3cpi.xlsx]Per Share!R6C40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" s="5"/>
      </tp>
      <tp>
        <v>4156</v>
        <stp/>
        <stp>##V3_BDHV12</stp>
        <stp>XOM US Equity</stp>
        <stp>BS_SH_OUT</stp>
        <stp>FQ4 2015</stp>
        <stp>FQ4 2015</stp>
        <stp>[FA1_m42y3cpi.xlsx]Per Share!R6C32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5"/>
      </tp>
      <tp t="s">
        <v>—</v>
        <stp/>
        <stp>##V3_BDHV12</stp>
        <stp>XOM US Equity</stp>
        <stp>BS_ACCT_PAYABLE</stp>
        <stp>FQ3 2012</stp>
        <stp>FQ3 2012</stp>
        <stp>[FA1_m42y3cpi.xlsx]Bal Sheet - Standardized!R43C19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3" s="3"/>
      </tp>
      <tp t="s">
        <v>—</v>
        <stp/>
        <stp>##V3_BDHV12</stp>
        <stp>XOM US Equity</stp>
        <stp>BS_INTEREST_&amp;_DIVIDENDS_PAYABLE</stp>
        <stp>FQ3 2009</stp>
        <stp>FQ3 2009</stp>
        <stp>[FA1_m42y3cpi.xlsx]Bal Sheet - Standardized!R45C7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5" s="3"/>
      </tp>
      <tp t="s">
        <v>—</v>
        <stp/>
        <stp>##V3_BDHV12</stp>
        <stp>XOM US Equity</stp>
        <stp>BS_INTEREST_&amp;_DIVIDENDS_PAYABLE</stp>
        <stp>FQ2 2009</stp>
        <stp>FQ2 2009</stp>
        <stp>[FA1_m42y3cpi.xlsx]Bal Sheet - Standardized!R45C6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5" s="3"/>
      </tp>
      <tp t="s">
        <v>—</v>
        <stp/>
        <stp>##V3_BDHV12</stp>
        <stp>XOM US Equity</stp>
        <stp>BS_INTEREST_&amp;_DIVIDENDS_PAYABLE</stp>
        <stp>FQ1 2009</stp>
        <stp>FQ1 2009</stp>
        <stp>[FA1_m42y3cpi.xlsx]Bal Sheet - Standardized!R45C5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5" s="3"/>
      </tp>
      <tp>
        <v>4446</v>
        <stp/>
        <stp>##V3_BDHV12</stp>
        <stp>XOM US Equity</stp>
        <stp>BS_SH_OUT</stp>
        <stp>FQ1 2013</stp>
        <stp>FQ1 2013</stp>
        <stp>[FA1_m42y3cpi.xlsx]Per Share!R6C21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5"/>
      </tp>
      <tp>
        <v>4402</v>
        <stp/>
        <stp>##V3_BDHV12</stp>
        <stp>XOM US Equity</stp>
        <stp>BS_SH_OUT</stp>
        <stp>FQ2 2013</stp>
        <stp>FQ2 2013</stp>
        <stp>[FA1_m42y3cpi.xlsx]Per Share!R6C22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5"/>
      </tp>
      <tp>
        <v>4369</v>
        <stp/>
        <stp>##V3_BDHV12</stp>
        <stp>XOM US Equity</stp>
        <stp>BS_SH_OUT</stp>
        <stp>FQ3 2013</stp>
        <stp>FQ3 2013</stp>
        <stp>[FA1_m42y3cpi.xlsx]Per Share!R6C23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5"/>
      </tp>
      <tp>
        <v>4335</v>
        <stp/>
        <stp>##V3_BDHV12</stp>
        <stp>XOM US Equity</stp>
        <stp>BS_SH_OUT</stp>
        <stp>FQ4 2013</stp>
        <stp>FQ4 2013</stp>
        <stp>[FA1_m42y3cpi.xlsx]Per Share!R6C24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5"/>
      </tp>
      <tp>
        <v>0</v>
        <stp/>
        <stp>##V3_BDHV12</stp>
        <stp>XOM US Equity</stp>
        <stp>IS_ABNORMAL_ITEM</stp>
        <stp>FQ4 2009</stp>
        <stp>FQ4 2009</stp>
        <stp>[FA1_m42y3cpi.xlsx]Income - Adjusted!R25C8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2"/>
      </tp>
      <tp>
        <v>4926</v>
        <stp/>
        <stp>##V3_BDHV12</stp>
        <stp>XOM US Equity</stp>
        <stp>BS_SH_OUT</stp>
        <stp>FQ1 2011</stp>
        <stp>FQ1 2011</stp>
        <stp>[FA1_m42y3cpi.xlsx]Per Share!R6C13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5"/>
      </tp>
      <tp>
        <v>4734</v>
        <stp/>
        <stp>##V3_BDHV12</stp>
        <stp>XOM US Equity</stp>
        <stp>BS_SH_OUT</stp>
        <stp>FQ4 2011</stp>
        <stp>FQ4 2011</stp>
        <stp>[FA1_m42y3cpi.xlsx]Per Share!R6C16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5"/>
      </tp>
      <tp t="s">
        <v>—</v>
        <stp/>
        <stp>##V3_BDHV12</stp>
        <stp>XOM US Equity</stp>
        <stp>BS_INTEREST_&amp;_DIVIDENDS_PAYABLE</stp>
        <stp>FQ3 2008</stp>
        <stp>FQ3 2008</stp>
        <stp>[FA1_m42y3cpi.xlsx]Bal Sheet - Standardized!R45C3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5" s="3"/>
      </tp>
      <tp t="s">
        <v>—</v>
        <stp/>
        <stp>##V3_BDHV12</stp>
        <stp>XOM US Equity</stp>
        <stp>BS_INTEREST_&amp;_DIVIDENDS_PAYABLE</stp>
        <stp>FQ4 2008</stp>
        <stp>FQ4 2008</stp>
        <stp>[FA1_m42y3cpi.xlsx]Bal Sheet - Standardized!R45C4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5" s="3"/>
      </tp>
      <tp>
        <v>0</v>
        <stp/>
        <stp>##V3_BDHV12</stp>
        <stp>XOM US Equity</stp>
        <stp>XO_GL_NET_OF_TAX</stp>
        <stp>FQ3 2012</stp>
        <stp>FQ3 2012</stp>
        <stp>[FA1_m42y3cpi.xlsx]Income - Adjusted!R35C19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2"/>
      </tp>
      <tp>
        <v>0</v>
        <stp/>
        <stp>##V3_BDHV12</stp>
        <stp>XOM US Equity</stp>
        <stp>XO_GL_NET_OF_TAX</stp>
        <stp>FQ3 2012</stp>
        <stp>FQ3 2012</stp>
        <stp>[FA1_m42y3cpi.xlsx]Income - Adjusted!R47C19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2"/>
      </tp>
      <tp>
        <v>0</v>
        <stp/>
        <stp>##V3_BDHV12</stp>
        <stp>XOM US Equity</stp>
        <stp>XO_GL_NET_OF_TAX</stp>
        <stp>FQ1 2013</stp>
        <stp>FQ1 2013</stp>
        <stp>[FA1_m42y3cpi.xlsx]Income - Adjusted!R35C21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2"/>
      </tp>
      <tp>
        <v>0</v>
        <stp/>
        <stp>##V3_BDHV12</stp>
        <stp>XOM US Equity</stp>
        <stp>XO_GL_NET_OF_TAX</stp>
        <stp>FQ1 2013</stp>
        <stp>FQ1 2013</stp>
        <stp>[FA1_m42y3cpi.xlsx]Income - Adjusted!R47C21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2"/>
      </tp>
      <tp>
        <v>13742</v>
        <stp/>
        <stp>##V3_BDHV12</stp>
        <stp>XOM US Equity</stp>
        <stp>BS_CASH_NEAR_CASH_ITEM</stp>
        <stp>FQ1 2010</stp>
        <stp>FQ1 2010</stp>
        <stp>[FA1_m42y3cpi.xlsx]Bal Sheet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3"/>
      </tp>
      <tp t="s">
        <v>—</v>
        <stp/>
        <stp>##V3_BDHV12</stp>
        <stp>XOM US Equity</stp>
        <stp>IS_INT_INC</stp>
        <stp>FQ3 2012</stp>
        <stp>FQ3 2012</stp>
        <stp>[FA1_m42y3cpi.xlsx]Income - Adjusted!R20C19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0" s="2"/>
      </tp>
      <tp>
        <v>3.8566000000000003</v>
        <stp/>
        <stp>##V3_BDHV12</stp>
        <stp>XOM US Equity</stp>
        <stp>CASH_ST_INVESTMENTS_PER_SH</stp>
        <stp>FQ2 2012</stp>
        <stp>FQ2 2012</stp>
        <stp>[FA1_m42y3cpi.xlsx]Per Share!R25C18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5" s="5"/>
      </tp>
      <tp>
        <v>0.81010000000000004</v>
        <stp/>
        <stp>##V3_BDHV12</stp>
        <stp>XOM US Equity</stp>
        <stp>CASH_ST_INVESTMENTS_PER_SH</stp>
        <stp>FQ2 2018</stp>
        <stp>FQ2 2018</stp>
        <stp>[FA1_m42y3cpi.xlsx]Per Share!R25C42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5" s="5"/>
      </tp>
      <tp>
        <v>0.88439999999999996</v>
        <stp/>
        <stp>##V3_BDHV12</stp>
        <stp>XOM US Equity</stp>
        <stp>CASH_FLOW_TO_NET_INC</stp>
        <stp>FQ4 2017</stp>
        <stp>FQ4 2017</stp>
        <stp>[FA1_m42y3cpi.xlsx]Cash Flow - Standardized!R68C40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68" s="4"/>
      </tp>
      <tp>
        <v>1.8980000000000001</v>
        <stp/>
        <stp>##V3_BDHV12</stp>
        <stp>XOM US Equity</stp>
        <stp>CASH_FLOW_TO_NET_INC</stp>
        <stp>FQ3 2017</stp>
        <stp>FQ3 2017</stp>
        <stp>[FA1_m42y3cpi.xlsx]Cash Flow - Standardized!R68C39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68" s="4"/>
      </tp>
      <tp>
        <v>2.0737000000000001</v>
        <stp/>
        <stp>##V3_BDHV12</stp>
        <stp>XOM US Equity</stp>
        <stp>CASH_FLOW_TO_NET_INC</stp>
        <stp>FQ2 2017</stp>
        <stp>FQ2 2017</stp>
        <stp>[FA1_m42y3cpi.xlsx]Cash Flow - Standardized!R68C38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68" s="4"/>
      </tp>
      <tp>
        <v>2.0381999999999998</v>
        <stp/>
        <stp>##V3_BDHV12</stp>
        <stp>XOM US Equity</stp>
        <stp>CASH_FLOW_TO_NET_INC</stp>
        <stp>FQ1 2017</stp>
        <stp>FQ1 2017</stp>
        <stp>[FA1_m42y3cpi.xlsx]Cash Flow - Standardized!R68C37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68" s="4"/>
      </tp>
      <tp>
        <v>0</v>
        <stp/>
        <stp>##V3_BDHV12</stp>
        <stp>XOM US Equity</stp>
        <stp>CF_NET_CASH_DISCONT_OPS_OPER</stp>
        <stp>FQ1 2018</stp>
        <stp>FQ1 2018</stp>
        <stp>[FA1_m42y3cpi.xlsx]Cash Flow - Standardized!R16C41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6" s="4"/>
      </tp>
      <tp>
        <v>0</v>
        <stp/>
        <stp>##V3_BDHV12</stp>
        <stp>XOM US Equity</stp>
        <stp>CF_NET_CASH_DISCONT_OPS_OPER</stp>
        <stp>FQ4 2010</stp>
        <stp>FQ4 2010</stp>
        <stp>[FA1_m42y3cpi.xlsx]Cash Flow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4"/>
      </tp>
      <tp>
        <v>0</v>
        <stp/>
        <stp>##V3_BDHV12</stp>
        <stp>XOM US Equity</stp>
        <stp>CF_NET_CASH_DISCONT_OPS_OPER</stp>
        <stp>FQ4 2011</stp>
        <stp>FQ4 2011</stp>
        <stp>[FA1_m42y3cpi.xlsx]Cash Flow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4"/>
      </tp>
      <tp>
        <v>7850</v>
        <stp/>
        <stp>##V3_BDHV12</stp>
        <stp>XOM US Equity</stp>
        <stp>PRETAX_INC</stp>
        <stp>FQ1 2009</stp>
        <stp>FQ1 2009</stp>
        <stp>[FA1_m42y3cpi.xlsx]Income - Adjusted!R24C5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4" s="2"/>
      </tp>
      <tp>
        <v>7732.3846000000003</v>
        <stp/>
        <stp>##V3_BDHV12</stp>
        <stp>XOM US Equity</stp>
        <stp>PRETAX_INC</stp>
        <stp>FQ2 2009</stp>
        <stp>FQ2 2009</stp>
        <stp>[FA1_m42y3cpi.xlsx]Income - Adjusted!R24C6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4" s="2"/>
      </tp>
      <tp>
        <v>9204</v>
        <stp/>
        <stp>##V3_BDHV12</stp>
        <stp>XOM US Equity</stp>
        <stp>PRETAX_INC</stp>
        <stp>FQ3 2009</stp>
        <stp>FQ3 2009</stp>
        <stp>[FA1_m42y3cpi.xlsx]Income - Adjusted!R24C7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4" s="2"/>
      </tp>
      <tp t="s">
        <v>—</v>
        <stp/>
        <stp>##V3_BDHV12</stp>
        <stp>XOM US Equity</stp>
        <stp>IS_LEGAL_LITIGATION_SETTLEMENT</stp>
        <stp>FQ2 2018</stp>
        <stp>FQ2 2018</stp>
        <stp>[FA1_m42y3cpi.xlsx]Income - Adjusted!R30C42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0" s="2"/>
      </tp>
      <tp t="s">
        <v>—</v>
        <stp/>
        <stp>##V3_BDHV12</stp>
        <stp>XOM US Equity</stp>
        <stp>BS_TOTAL_CAPITAL_LEASES</stp>
        <stp>FQ3 2012</stp>
        <stp>FQ3 2012</stp>
        <stp>[FA1_m42y3cpi.xlsx]Bal Sheet - Standardized!R83C19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3" s="3"/>
      </tp>
      <tp t="s">
        <v>—</v>
        <stp/>
        <stp>##V3_BDHV12</stp>
        <stp>XOM US Equity</stp>
        <stp>BS_TOTAL_CAPITAL_LEASES</stp>
        <stp>FQ1 2016</stp>
        <stp>FQ1 2016</stp>
        <stp>[FA1_m42y3cpi.xlsx]Bal Sheet - Standardized!R83C33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3" s="3"/>
      </tp>
      <tp t="s">
        <v>—</v>
        <stp/>
        <stp>##V3_BDHV12</stp>
        <stp>XOM US Equity</stp>
        <stp>BS_TOTAL_CAPITAL_LEASES</stp>
        <stp>FQ3 2011</stp>
        <stp>FQ3 2011</stp>
        <stp>[FA1_m42y3cpi.xlsx]Bal Sheet - Standardized!R83C15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3" s="3"/>
      </tp>
      <tp t="s">
        <v>—</v>
        <stp/>
        <stp>##V3_BDHV12</stp>
        <stp>XOM US Equity</stp>
        <stp>BS_TOTAL_CAPITAL_LEASES</stp>
        <stp>FQ1 2017</stp>
        <stp>FQ1 2017</stp>
        <stp>[FA1_m42y3cpi.xlsx]Bal Sheet - Standardized!R83C37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3" s="3"/>
      </tp>
      <tp t="s">
        <v>—</v>
        <stp/>
        <stp>##V3_BDHV12</stp>
        <stp>XOM US Equity</stp>
        <stp>BS_TOTAL_CAPITAL_LEASES</stp>
        <stp>FQ3 2010</stp>
        <stp>FQ3 2010</stp>
        <stp>[FA1_m42y3cpi.xlsx]Bal Sheet - Standardized!R83C11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3" s="3"/>
      </tp>
      <tp>
        <v>80106</v>
        <stp/>
        <stp>##V3_BDHV12</stp>
        <stp>XOM US Equity</stp>
        <stp>IS_SALES_AND_SERVICES_REVENUES</stp>
        <stp>FQ4 2009</stp>
        <stp>FQ4 2009</stp>
        <stp>[FA1_m42y3cpi.xlsx]Income - Adjusted!R7C8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7" s="2"/>
      </tp>
      <tp>
        <v>-5392</v>
        <stp/>
        <stp>##V3_BDHV12</stp>
        <stp>XOM US Equity</stp>
        <stp>IS_INC_TAX_EXP</stp>
        <stp>FQ4 2017</stp>
        <stp>FQ4 2017</stp>
        <stp>[FA1_m42y3cpi.xlsx]Income - Adjusted!R33C40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33" s="2"/>
      </tp>
      <tp>
        <v>6073</v>
        <stp/>
        <stp>##V3_BDHV12</stp>
        <stp>XOM US Equity</stp>
        <stp>IS_INC_TAX_EXP</stp>
        <stp>FQ4 2013</stp>
        <stp>FQ4 2013</stp>
        <stp>[FA1_m42y3cpi.xlsx]Income - Adjusted!R33C24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33" s="2"/>
      </tp>
      <tp>
        <v>7317</v>
        <stp/>
        <stp>##V3_BDHV12</stp>
        <stp>XOM US Equity</stp>
        <stp>IS_INC_TAX_EXP</stp>
        <stp>FQ4 2011</stp>
        <stp>FQ4 2011</stp>
        <stp>[FA1_m42y3cpi.xlsx]Income - Adjusted!R33C16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33" s="2"/>
      </tp>
      <tp>
        <v>-202</v>
        <stp/>
        <stp>##V3_BDHV12</stp>
        <stp>XOM US Equity</stp>
        <stp>IS_INC_TAX_EXP</stp>
        <stp>FQ4 2015</stp>
        <stp>FQ4 2015</stp>
        <stp>[FA1_m42y3cpi.xlsx]Income - Adjusted!R33C32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33" s="2"/>
      </tp>
      <tp t="s">
        <v>—</v>
        <stp/>
        <stp>##V3_BDHV12</stp>
        <stp>XOM US Equity</stp>
        <stp>BS_LT_RECEIVABLES</stp>
        <stp>FQ3 2012</stp>
        <stp>FQ3 2012</stp>
        <stp>[FA1_m42y3cpi.xlsx]Bal Sheet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3"/>
      </tp>
      <tp>
        <v>7240</v>
        <stp/>
        <stp>##V3_BDHV12</stp>
        <stp>XOM US Equity</stp>
        <stp>PRETAX_INC</stp>
        <stp>FQ1 2018</stp>
        <stp>FQ1 2018</stp>
        <stp>[FA1_m42y3cpi.xlsx]Income - Adjusted!R24C41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24" s="2"/>
      </tp>
      <tp t="s">
        <v>—</v>
        <stp/>
        <stp>##V3_BDHV12</stp>
        <stp>XOM US Equity</stp>
        <stp>BS_LT_RECEIVABLES</stp>
        <stp>FQ3 2011</stp>
        <stp>FQ3 2011</stp>
        <stp>[FA1_m42y3cpi.xlsx]Bal Sheet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3"/>
      </tp>
      <tp t="s">
        <v>—</v>
        <stp/>
        <stp>##V3_BDHV12</stp>
        <stp>XOM US Equity</stp>
        <stp>BS_LT_RECEIVABLES</stp>
        <stp>FQ1 2016</stp>
        <stp>FQ1 2016</stp>
        <stp>[FA1_m42y3cpi.xlsx]Bal Sheet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3"/>
      </tp>
      <tp t="s">
        <v>—</v>
        <stp/>
        <stp>##V3_BDHV12</stp>
        <stp>XOM US Equity</stp>
        <stp>BS_LT_RECEIVABLES</stp>
        <stp>FQ3 2010</stp>
        <stp>FQ3 2010</stp>
        <stp>[FA1_m42y3cpi.xlsx]Bal Sheet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3"/>
      </tp>
      <tp t="s">
        <v>—</v>
        <stp/>
        <stp>##V3_BDHV12</stp>
        <stp>XOM US Equity</stp>
        <stp>BS_LT_RECEIVABLES</stp>
        <stp>FQ1 2017</stp>
        <stp>FQ1 2017</stp>
        <stp>[FA1_m42y3cpi.xlsx]Bal Sheet - Standardized!R28C37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3"/>
      </tp>
      <tp t="s">
        <v>—</v>
        <stp/>
        <stp>##V3_BDHV12</stp>
        <stp>XOM US Equity</stp>
        <stp>BS_DEFERRED_TAX_ASSETS_LT</stp>
        <stp>FQ4 2010</stp>
        <stp>FQ4 2010</stp>
        <stp>[FA1_m42y3cpi.xlsx]Bal Sheet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3"/>
      </tp>
      <tp t="s">
        <v>—</v>
        <stp/>
        <stp>##V3_BDHV12</stp>
        <stp>XOM US Equity</stp>
        <stp>BS_DEFERRED_TAX_ASSETS_ST</stp>
        <stp>FQ4 2010</stp>
        <stp>FQ4 2010</stp>
        <stp>[FA1_m42y3cpi.xlsx]Bal Sheet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3"/>
      </tp>
      <tp t="s">
        <v>—</v>
        <stp/>
        <stp>##V3_BDHV12</stp>
        <stp>XOM US Equity</stp>
        <stp>BS_DEFERRED_TAX_ASSETS_ST</stp>
        <stp>FQ4 2011</stp>
        <stp>FQ4 2011</stp>
        <stp>[FA1_m42y3cpi.xlsx]Bal Sheet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3"/>
      </tp>
      <tp t="s">
        <v>—</v>
        <stp/>
        <stp>##V3_BDHV12</stp>
        <stp>XOM US Equity</stp>
        <stp>BS_DEFERRED_TAX_ASSETS_LT</stp>
        <stp>FQ4 2011</stp>
        <stp>FQ4 2011</stp>
        <stp>[FA1_m42y3cpi.xlsx]Bal Sheet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3"/>
      </tp>
      <tp t="s">
        <v>—</v>
        <stp/>
        <stp>##V3_BDHV12</stp>
        <stp>XOM US Equity</stp>
        <stp>BS_DEFERRED_TAX_ASSETS_LT</stp>
        <stp>FQ1 2018</stp>
        <stp>FQ1 2018</stp>
        <stp>[FA1_m42y3cpi.xlsx]Bal Sheet - Standardized!R33C41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3" s="3"/>
      </tp>
      <tp t="s">
        <v>—</v>
        <stp/>
        <stp>##V3_BDHV12</stp>
        <stp>XOM US Equity</stp>
        <stp>BS_DEFERRED_TAX_ASSETS_ST</stp>
        <stp>FQ1 2018</stp>
        <stp>FQ1 2018</stp>
        <stp>[FA1_m42y3cpi.xlsx]Bal Sheet - Standardized!R20C41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0" s="3"/>
      </tp>
      <tp>
        <v>0</v>
        <stp/>
        <stp>##V3_BDHV12</stp>
        <stp>XOM US Equity</stp>
        <stp>BS_ACCRUED_LIABILITIES</stp>
        <stp>FQ4 2009</stp>
        <stp>FQ4 2009</stp>
        <stp>[FA1_m42y3cpi.xlsx]Bal Sheet - Standardized!R59C8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9" s="3"/>
      </tp>
      <tp t="s">
        <v>—</v>
        <stp/>
        <stp>##V3_BDHV12</stp>
        <stp>XOM US Equity</stp>
        <stp>IS_FOREIGN_EXCH_LOSS</stp>
        <stp>FQ2 2009</stp>
        <stp>FQ2 2009</stp>
        <stp>[FA1_m42y3cpi.xlsx]Income - Adjusted!R21C6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1" s="2"/>
      </tp>
      <tp t="s">
        <v>—</v>
        <stp/>
        <stp>##V3_BDHV12</stp>
        <stp>XOM US Equity</stp>
        <stp>IS_FOREIGN_EXCH_LOSS</stp>
        <stp>FQ3 2009</stp>
        <stp>FQ3 2009</stp>
        <stp>[FA1_m42y3cpi.xlsx]Income - Adjusted!R21C7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1" s="2"/>
      </tp>
      <tp t="s">
        <v>—</v>
        <stp/>
        <stp>##V3_BDHV12</stp>
        <stp>XOM US Equity</stp>
        <stp>IS_FOREIGN_EXCH_LOSS</stp>
        <stp>FQ1 2009</stp>
        <stp>FQ1 2009</stp>
        <stp>[FA1_m42y3cpi.xlsx]Income - Adjusted!R21C5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1" s="2"/>
      </tp>
      <tp>
        <v>5102</v>
        <stp/>
        <stp>##V3_BDHV12</stp>
        <stp>XOM US Equity</stp>
        <stp>IS_AVG_NUM_SH_FOR_EPS</stp>
        <stp>FQ3 2008</stp>
        <stp>FQ3 2008</stp>
        <stp>[FA1_m42y3cpi.xlsx]Income - Adjusted!R49C3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9" s="2"/>
      </tp>
      <tp>
        <v>4980.8900000000003</v>
        <stp/>
        <stp>##V3_BDHV12</stp>
        <stp>XOM US Equity</stp>
        <stp>IS_AVG_NUM_SH_FOR_EPS</stp>
        <stp>FQ4 2008</stp>
        <stp>FQ4 2008</stp>
        <stp>[FA1_m42y3cpi.xlsx]Income - Adjusted!R49C4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9" s="2"/>
      </tp>
      <tp t="s">
        <v>—</v>
        <stp/>
        <stp>##V3_BDHV12</stp>
        <stp>XOM US Equity</stp>
        <stp>BS_ACCRUED_LIABILITIES</stp>
        <stp>FQ1 2010</stp>
        <stp>FQ1 2010</stp>
        <stp>[FA1_m42y3cpi.xlsx]Bal Sheet - Standardized!R59C9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9" s="3"/>
      </tp>
      <tp t="s">
        <v>—</v>
        <stp/>
        <stp>##V3_BDHV12</stp>
        <stp>XOM US Equity</stp>
        <stp>BS_ACCRUED_LIABILITIES</stp>
        <stp>FQ1 2009</stp>
        <stp>FQ1 2009</stp>
        <stp>[FA1_m42y3cpi.xlsx]Bal Sheet - Standardized!R59C5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9" s="3"/>
      </tp>
      <tp t="s">
        <v>—</v>
        <stp/>
        <stp>##V3_BDHV12</stp>
        <stp>XOM US Equity</stp>
        <stp>BS_ACCRUED_LIABILITIES</stp>
        <stp>FQ3 2009</stp>
        <stp>FQ3 2009</stp>
        <stp>[FA1_m42y3cpi.xlsx]Bal Sheet - Standardized!R59C7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9" s="3"/>
      </tp>
      <tp t="s">
        <v>—</v>
        <stp/>
        <stp>##V3_BDHV12</stp>
        <stp>XOM US Equity</stp>
        <stp>BS_ACCRUED_LIABILITIES</stp>
        <stp>FQ2 2009</stp>
        <stp>FQ2 2009</stp>
        <stp>[FA1_m42y3cpi.xlsx]Bal Sheet - Standardized!R59C6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9" s="3"/>
      </tp>
      <tp t="s">
        <v>—</v>
        <stp/>
        <stp>##V3_BDHV12</stp>
        <stp>XOM US Equity</stp>
        <stp>BS_ACCRUED_LIABILITIES</stp>
        <stp>FQ3 2008</stp>
        <stp>FQ3 2008</stp>
        <stp>[FA1_m42y3cpi.xlsx]Bal Sheet - Standardized!R59C3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9" s="3"/>
      </tp>
      <tp t="s">
        <v>—</v>
        <stp/>
        <stp>##V3_BDHV12</stp>
        <stp>XOM US Equity</stp>
        <stp>BS_ACCRUED_LIABILITIES</stp>
        <stp>FQ4 2008</stp>
        <stp>FQ4 2008</stp>
        <stp>[FA1_m42y3cpi.xlsx]Bal Sheet - Standardized!R59C4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9" s="3"/>
      </tp>
      <tp>
        <v>5160</v>
        <stp/>
        <stp>##V3_BDHV12</stp>
        <stp>XOM US Equity</stp>
        <stp>IS_SH_FOR_DILUTED_EPS</stp>
        <stp>FQ3 2008</stp>
        <stp>FQ3 2008</stp>
        <stp>[FA1_m42y3cpi.xlsx]Income - Adjusted!R54C3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4" s="2"/>
      </tp>
      <tp>
        <v>5045</v>
        <stp/>
        <stp>##V3_BDHV12</stp>
        <stp>XOM US Equity</stp>
        <stp>IS_SH_FOR_DILUTED_EPS</stp>
        <stp>FQ4 2008</stp>
        <stp>FQ4 2008</stp>
        <stp>[FA1_m42y3cpi.xlsx]Income - Adjusted!R54C4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4" s="2"/>
      </tp>
      <tp>
        <v>1.5699999999999998</v>
        <stp/>
        <stp>##V3_BDHV12</stp>
        <stp>XOM US Equity</stp>
        <stp>IS_BASIC_EPS_CONT_OPS</stp>
        <stp>FQ4 2008</stp>
        <stp>FQ4 2008</stp>
        <stp>[FA1_m42y3cpi.xlsx]Income - Adjusted!R52C4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2" s="2"/>
      </tp>
      <tp>
        <v>2.61</v>
        <stp/>
        <stp>##V3_BDHV12</stp>
        <stp>XOM US Equity</stp>
        <stp>IS_BASIC_EPS_CONT_OPS</stp>
        <stp>FQ3 2008</stp>
        <stp>FQ3 2008</stp>
        <stp>[FA1_m42y3cpi.xlsx]Income - Adjusted!R52C3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2" s="2"/>
      </tp>
      <tp t="s">
        <v>—</v>
        <stp/>
        <stp>##V3_BDHV12</stp>
        <stp>XOM US Equity</stp>
        <stp>BS_TOTAL_CAPITAL_LEASES</stp>
        <stp>FQ1 2015</stp>
        <stp>FQ1 2015</stp>
        <stp>[FA1_m42y3cpi.xlsx]Bal Sheet - Standardized!R83C29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3" s="3"/>
      </tp>
      <tp t="s">
        <v>—</v>
        <stp/>
        <stp>##V3_BDHV12</stp>
        <stp>XOM US Equity</stp>
        <stp>BS_TOTAL_CAPITAL_LEASES</stp>
        <stp>FQ2 2012</stp>
        <stp>FQ2 2012</stp>
        <stp>[FA1_m42y3cpi.xlsx]Bal Sheet - Standardized!R83C18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3" s="3"/>
      </tp>
      <tp>
        <v>24372</v>
        <stp/>
        <stp>##V3_BDHV12</stp>
        <stp>XOM US Equity</stp>
        <stp>OTHER_NONCURRENT_LIABS_DETAILED</stp>
        <stp>FQ1 2018</stp>
        <stp>FQ1 2018</stp>
        <stp>[FA1_m42y3cpi.xlsx]Bal Sheet - Standardized!R64C41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4" s="3"/>
      </tp>
      <tp>
        <v>20454</v>
        <stp/>
        <stp>##V3_BDHV12</stp>
        <stp>XOM US Equity</stp>
        <stp>OTHER_NONCURRENT_LIABS_DETAILED</stp>
        <stp>FQ4 2010</stp>
        <stp>FQ4 2010</stp>
        <stp>[FA1_m42y3cpi.xlsx]Bal Sheet - Standardized!R64C12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4" s="3"/>
      </tp>
      <tp t="s">
        <v>—</v>
        <stp/>
        <stp>##V3_BDHV12</stp>
        <stp>XOM US Equity</stp>
        <stp>BS_TOTAL_CAPITAL_LEASES</stp>
        <stp>FQ2 2011</stp>
        <stp>FQ2 2011</stp>
        <stp>[FA1_m42y3cpi.xlsx]Bal Sheet - Standardized!R83C14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3" s="3"/>
      </tp>
      <tp>
        <v>21869</v>
        <stp/>
        <stp>##V3_BDHV12</stp>
        <stp>XOM US Equity</stp>
        <stp>OTHER_NONCURRENT_LIABS_DETAILED</stp>
        <stp>FQ4 2011</stp>
        <stp>FQ4 2011</stp>
        <stp>[FA1_m42y3cpi.xlsx]Bal Sheet - Standardized!R64C16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4" s="3"/>
      </tp>
      <tp t="s">
        <v>—</v>
        <stp/>
        <stp>##V3_BDHV12</stp>
        <stp>XOM US Equity</stp>
        <stp>BS_TOTAL_CAPITAL_LEASES</stp>
        <stp>FQ1 2014</stp>
        <stp>FQ1 2014</stp>
        <stp>[FA1_m42y3cpi.xlsx]Bal Sheet - Standardized!R83C25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3" s="3"/>
      </tp>
      <tp t="s">
        <v>—</v>
        <stp/>
        <stp>##V3_BDHV12</stp>
        <stp>XOM US Equity</stp>
        <stp>BS_TOTAL_CAPITAL_LEASES</stp>
        <stp>FQ1 2013</stp>
        <stp>FQ1 2013</stp>
        <stp>[FA1_m42y3cpi.xlsx]Bal Sheet - Standardized!R83C21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3" s="3"/>
      </tp>
      <tp t="s">
        <v>—</v>
        <stp/>
        <stp>##V3_BDHV12</stp>
        <stp>XOM US Equity</stp>
        <stp>BS_TOTAL_CAPITAL_LEASES</stp>
        <stp>FQ2 2010</stp>
        <stp>FQ2 2010</stp>
        <stp>[FA1_m42y3cpi.xlsx]Bal Sheet - Standardized!R83C10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3" s="3"/>
      </tp>
      <tp t="s">
        <v>—</v>
        <stp/>
        <stp>##V3_BDHV12</stp>
        <stp>XOM US Equity</stp>
        <stp>BS_LT_RECEIVABLES</stp>
        <stp>FQ1 2015</stp>
        <stp>FQ1 2015</stp>
        <stp>[FA1_m42y3cpi.xlsx]Bal Sheet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3"/>
      </tp>
      <tp t="s">
        <v>—</v>
        <stp/>
        <stp>##V3_BDHV12</stp>
        <stp>XOM US Equity</stp>
        <stp>BS_LT_RECEIVABLES</stp>
        <stp>FQ2 2012</stp>
        <stp>FQ2 2012</stp>
        <stp>[FA1_m42y3cpi.xlsx]Bal Sheet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3"/>
      </tp>
      <tp t="s">
        <v>—</v>
        <stp/>
        <stp>##V3_BDHV12</stp>
        <stp>XOM US Equity</stp>
        <stp>BS_LT_RECEIVABLES</stp>
        <stp>FQ2 2011</stp>
        <stp>FQ2 2011</stp>
        <stp>[FA1_m42y3cpi.xlsx]Bal Sheet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3"/>
      </tp>
      <tp t="s">
        <v>—</v>
        <stp/>
        <stp>##V3_BDHV12</stp>
        <stp>XOM US Equity</stp>
        <stp>BS_LT_RECEIVABLES</stp>
        <stp>FQ1 2013</stp>
        <stp>FQ1 2013</stp>
        <stp>[FA1_m42y3cpi.xlsx]Bal Sheet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3"/>
      </tp>
      <tp t="s">
        <v>—</v>
        <stp/>
        <stp>##V3_BDHV12</stp>
        <stp>XOM US Equity</stp>
        <stp>BS_LT_RECEIVABLES</stp>
        <stp>FQ2 2010</stp>
        <stp>FQ2 2010</stp>
        <stp>[FA1_m42y3cpi.xlsx]Bal Sheet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3"/>
      </tp>
      <tp t="s">
        <v>—</v>
        <stp/>
        <stp>##V3_BDHV12</stp>
        <stp>XOM US Equity</stp>
        <stp>BS_LT_RECEIVABLES</stp>
        <stp>FQ1 2014</stp>
        <stp>FQ1 2014</stp>
        <stp>[FA1_m42y3cpi.xlsx]Bal Sheet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3"/>
      </tp>
      <tp>
        <v>0</v>
        <stp/>
        <stp>##V3_BDHV12</stp>
        <stp>XOM US Equity</stp>
        <stp>IS_ABNORMAL_ITEM</stp>
        <stp>FQ2 2018</stp>
        <stp>FQ2 2018</stp>
        <stp>[FA1_m42y3cpi.xlsx]Income - Adjusted!R25C42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2"/>
      </tp>
      <tp>
        <v>4722</v>
        <stp/>
        <stp>##V3_BDHV12</stp>
        <stp>XOM US Equity</stp>
        <stp>IS_AVG_NUM_SH_FOR_EPS</stp>
        <stp>FQ1 2010</stp>
        <stp>FQ1 2010</stp>
        <stp>[FA1_m42y3cpi.xlsx]Income - Adjusted!R49C9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9" s="2"/>
      </tp>
      <tp>
        <v>354549.96</v>
        <stp/>
        <stp>##V3_BDHV12</stp>
        <stp>XOM US Equity</stp>
        <stp>HISTORICAL_MARKET_CAP</stp>
        <stp>FQ4 2017</stp>
        <stp>FQ4 2017</stp>
        <stp>[FA1_m42y3cpi.xlsx]Stock Value!R12C40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6"/>
      </tp>
      <tp>
        <v>1.3765000000000001</v>
        <stp/>
        <stp>##V3_BDHV12</stp>
        <stp>XOM US Equity</stp>
        <stp>IS_BASIC_EPS_CONT_OPS</stp>
        <stp>FQ1 2010</stp>
        <stp>FQ1 2010</stp>
        <stp>[FA1_m42y3cpi.xlsx]Income - Adjusted!R52C9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2" s="2"/>
      </tp>
      <tp>
        <v>315898.74</v>
        <stp/>
        <stp>##V3_BDHV12</stp>
        <stp>XOM US Equity</stp>
        <stp>HISTORICAL_MARKET_CAP</stp>
        <stp>FQ1 2018</stp>
        <stp>FQ1 2018</stp>
        <stp>[FA1_m42y3cpi.xlsx]Stock Value!R12C41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6"/>
      </tp>
      <tp>
        <v>350278.82</v>
        <stp/>
        <stp>##V3_BDHV12</stp>
        <stp>XOM US Equity</stp>
        <stp>HISTORICAL_MARKET_CAP</stp>
        <stp>FQ2 2018</stp>
        <stp>FQ2 2018</stp>
        <stp>[FA1_m42y3cpi.xlsx]Stock Value!R12C42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6"/>
      </tp>
      <tp>
        <v>4736</v>
        <stp/>
        <stp>##V3_BDHV12</stp>
        <stp>XOM US Equity</stp>
        <stp>IS_SH_FOR_DILUTED_EPS</stp>
        <stp>FQ1 2010</stp>
        <stp>FQ1 2010</stp>
        <stp>[FA1_m42y3cpi.xlsx]Income - Adjusted!R54C9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4" s="2"/>
      </tp>
      <tp>
        <v>0</v>
        <stp/>
        <stp>##V3_BDHV12</stp>
        <stp>XOM US Equity</stp>
        <stp>CF_NET_CASH_DISCONT_OPS_OPER</stp>
        <stp>FQ4 2016</stp>
        <stp>FQ4 2016</stp>
        <stp>[FA1_m42y3cpi.xlsx]Cash Flow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4"/>
      </tp>
      <tp>
        <v>0</v>
        <stp/>
        <stp>##V3_BDHV12</stp>
        <stp>XOM US Equity</stp>
        <stp>CF_NET_CASH_DISCONT_OPS_OPER</stp>
        <stp>FQ4 2015</stp>
        <stp>FQ4 2015</stp>
        <stp>[FA1_m42y3cpi.xlsx]Cash Flow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4"/>
      </tp>
      <tp>
        <v>0</v>
        <stp/>
        <stp>##V3_BDHV12</stp>
        <stp>XOM US Equity</stp>
        <stp>XO_GL_NET_OF_TAX</stp>
        <stp>FQ4 2008</stp>
        <stp>FQ4 2008</stp>
        <stp>[FA1_m42y3cpi.xlsx]Income - Adjusted!R35C4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2"/>
      </tp>
      <tp>
        <v>0</v>
        <stp/>
        <stp>##V3_BDHV12</stp>
        <stp>XOM US Equity</stp>
        <stp>XO_GL_NET_OF_TAX</stp>
        <stp>FQ4 2008</stp>
        <stp>FQ4 2008</stp>
        <stp>[FA1_m42y3cpi.xlsx]Income - Adjusted!R47C4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2"/>
      </tp>
      <tp>
        <v>0</v>
        <stp/>
        <stp>##V3_BDHV12</stp>
        <stp>XOM US Equity</stp>
        <stp>XO_GL_NET_OF_TAX</stp>
        <stp>FQ4 2009</stp>
        <stp>FQ4 2009</stp>
        <stp>[FA1_m42y3cpi.xlsx]Income - Adjusted!R35C8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2"/>
      </tp>
      <tp>
        <v>0</v>
        <stp/>
        <stp>##V3_BDHV12</stp>
        <stp>XOM US Equity</stp>
        <stp>XO_GL_NET_OF_TAX</stp>
        <stp>FQ4 2009</stp>
        <stp>FQ4 2009</stp>
        <stp>[FA1_m42y3cpi.xlsx]Income - Adjusted!R47C8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2"/>
      </tp>
      <tp t="s">
        <v>—</v>
        <stp/>
        <stp>##V3_BDHV12</stp>
        <stp>XOM US Equity</stp>
        <stp>BS_TOTAL_CAPITAL_LEASES</stp>
        <stp>FQ3 2017</stp>
        <stp>FQ3 2017</stp>
        <stp>[FA1_m42y3cpi.xlsx]Bal Sheet - Standardized!R83C39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3" s="3"/>
      </tp>
      <tp>
        <v>21359</v>
        <stp/>
        <stp>##V3_BDHV12</stp>
        <stp>XOM US Equity</stp>
        <stp>EBITA</stp>
        <stp>FQ3 2008</stp>
        <stp>FQ3 2008</stp>
        <stp>[FA1_m42y3cpi.xlsx]Income - Adjusted!R63C3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3" s="2"/>
      </tp>
      <tp>
        <v>8894</v>
        <stp/>
        <stp>##V3_BDHV12</stp>
        <stp>XOM US Equity</stp>
        <stp>EBITA</stp>
        <stp>FQ4 2008</stp>
        <stp>FQ4 2008</stp>
        <stp>[FA1_m42y3cpi.xlsx]Income - Adjusted!R63C4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3" s="2"/>
      </tp>
      <tp>
        <v>27111</v>
        <stp/>
        <stp>##V3_BDHV12</stp>
        <stp>XOM US Equity</stp>
        <stp>OTHER_NONCURRENT_LIABS_DETAILED</stp>
        <stp>FQ4 2014</stp>
        <stp>FQ4 2014</stp>
        <stp>[FA1_m42y3cpi.xlsx]Bal Sheet - Standardized!R64C28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4" s="3"/>
      </tp>
      <tp>
        <v>23803</v>
        <stp/>
        <stp>##V3_BDHV12</stp>
        <stp>XOM US Equity</stp>
        <stp>OTHER_NONCURRENT_LIABS_DETAILED</stp>
        <stp>FQ2 2018</stp>
        <stp>FQ2 2018</stp>
        <stp>[FA1_m42y3cpi.xlsx]Bal Sheet - Standardized!R64C42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4" s="3"/>
      </tp>
      <tp>
        <v>27231</v>
        <stp/>
        <stp>##V3_BDHV12</stp>
        <stp>XOM US Equity</stp>
        <stp>OTHER_NONCURRENT_LIABS_DETAILED</stp>
        <stp>FQ4 2012</stp>
        <stp>FQ4 2012</stp>
        <stp>[FA1_m42y3cpi.xlsx]Bal Sheet - Standardized!R64C20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4" s="3"/>
      </tp>
      <tp t="s">
        <v>—</v>
        <stp/>
        <stp>##V3_BDHV12</stp>
        <stp>XOM US Equity</stp>
        <stp>BS_TOTAL_CAPITAL_LEASES</stp>
        <stp>FQ1 2012</stp>
        <stp>FQ1 2012</stp>
        <stp>[FA1_m42y3cpi.xlsx]Bal Sheet - Standardized!R83C17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3" s="3"/>
      </tp>
      <tp t="s">
        <v>—</v>
        <stp/>
        <stp>##V3_BDHV12</stp>
        <stp>XOM US Equity</stp>
        <stp>BS_TOTAL_CAPITAL_LEASES</stp>
        <stp>FQ3 2015</stp>
        <stp>FQ3 2015</stp>
        <stp>[FA1_m42y3cpi.xlsx]Bal Sheet - Standardized!R83C31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3" s="3"/>
      </tp>
      <tp>
        <v>26522</v>
        <stp/>
        <stp>##V3_BDHV12</stp>
        <stp>XOM US Equity</stp>
        <stp>OTHER_NONCURRENT_LIABS_DETAILED</stp>
        <stp>FQ4 2013</stp>
        <stp>FQ4 2013</stp>
        <stp>[FA1_m42y3cpi.xlsx]Bal Sheet - Standardized!R64C24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4" s="3"/>
      </tp>
      <tp t="s">
        <v>—</v>
        <stp/>
        <stp>##V3_BDHV12</stp>
        <stp>XOM US Equity</stp>
        <stp>BS_TOTAL_CAPITAL_LEASES</stp>
        <stp>FQ3 2016</stp>
        <stp>FQ3 2016</stp>
        <stp>[FA1_m42y3cpi.xlsx]Bal Sheet - Standardized!R83C35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3" s="3"/>
      </tp>
      <tp t="s">
        <v>—</v>
        <stp/>
        <stp>##V3_BDHV12</stp>
        <stp>XOM US Equity</stp>
        <stp>BS_TOTAL_CAPITAL_LEASES</stp>
        <stp>FQ2 2014</stp>
        <stp>FQ2 2014</stp>
        <stp>[FA1_m42y3cpi.xlsx]Bal Sheet - Standardized!R83C26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3" s="3"/>
      </tp>
      <tp t="s">
        <v>—</v>
        <stp/>
        <stp>##V3_BDHV12</stp>
        <stp>XOM US Equity</stp>
        <stp>BS_TOTAL_CAPITAL_LEASES</stp>
        <stp>FQ2 2013</stp>
        <stp>FQ2 2013</stp>
        <stp>[FA1_m42y3cpi.xlsx]Bal Sheet - Standardized!R83C22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3" s="3"/>
      </tp>
      <tp t="s">
        <v>—</v>
        <stp/>
        <stp>##V3_BDHV12</stp>
        <stp>XOM US Equity</stp>
        <stp>BS_TOTAL_CAPITAL_LEASES</stp>
        <stp>FQ1 2011</stp>
        <stp>FQ1 2011</stp>
        <stp>[FA1_m42y3cpi.xlsx]Bal Sheet - Standardized!R83C13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3" s="3"/>
      </tp>
      <tp>
        <v>1327</v>
        <stp/>
        <stp>##V3_BDHV12</stp>
        <stp>XOM US Equity</stp>
        <stp>BS_TOTAL_CAPITAL_LEASES</stp>
        <stp>FQ4 2017</stp>
        <stp>FQ4 2017</stp>
        <stp>[FA1_m42y3cpi.xlsx]Bal Sheet - Standardized!R83C40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3" s="3"/>
      </tp>
      <tp t="s">
        <v>—</v>
        <stp/>
        <stp>##V3_BDHV12</stp>
        <stp>XOM US Equity</stp>
        <stp>BS_LT_RECEIVABLES</stp>
        <stp>FQ3 2017</stp>
        <stp>FQ3 2017</stp>
        <stp>[FA1_m42y3cpi.xlsx]Bal Sheet - Standardized!R28C39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3"/>
      </tp>
      <tp>
        <v>-51</v>
        <stp/>
        <stp>##V3_BDHV12</stp>
        <stp>XOM US Equity</stp>
        <stp>IS_INC_TAX_EXP</stp>
        <stp>FQ1 2016</stp>
        <stp>FQ1 2016</stp>
        <stp>[FA1_m42y3cpi.xlsx]Income - Adjusted!R33C33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33" s="2"/>
      </tp>
      <tp>
        <v>7716</v>
        <stp/>
        <stp>##V3_BDHV12</stp>
        <stp>XOM US Equity</stp>
        <stp>IS_INC_TAX_EXP</stp>
        <stp>FQ1 2012</stp>
        <stp>FQ1 2012</stp>
        <stp>[FA1_m42y3cpi.xlsx]Income - Adjusted!R33C17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33" s="2"/>
      </tp>
      <tp>
        <v>2692</v>
        <stp/>
        <stp>##V3_BDHV12</stp>
        <stp>XOM US Equity</stp>
        <stp>IS_INC_TAX_EXP</stp>
        <stp>FQ2 2015</stp>
        <stp>FQ2 2015</stp>
        <stp>[FA1_m42y3cpi.xlsx]Income - Adjusted!R33C30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33" s="2"/>
      </tp>
      <tp>
        <v>7721</v>
        <stp/>
        <stp>##V3_BDHV12</stp>
        <stp>XOM US Equity</stp>
        <stp>IS_INC_TAX_EXP</stp>
        <stp>FQ2 2011</stp>
        <stp>FQ2 2011</stp>
        <stp>[FA1_m42y3cpi.xlsx]Income - Adjusted!R33C14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33" s="2"/>
      </tp>
      <tp>
        <v>80106</v>
        <stp/>
        <stp>##V3_BDHV12</stp>
        <stp>XOM US Equity</stp>
        <stp>SALES_REV_TURN</stp>
        <stp>FQ4 2009</stp>
        <stp>FQ4 2009</stp>
        <stp>[FA1_m42y3cpi.xlsx]Income - Adjusted!R6C8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17320</v>
        <stp/>
        <stp>##V3_BDHV12</stp>
        <stp>XOM US Equity</stp>
        <stp>PRETAX_INC</stp>
        <stp>FQ3 2012</stp>
        <stp>FQ3 2012</stp>
        <stp>[FA1_m42y3cpi.xlsx]Income - Adjusted!R24C19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4" s="2"/>
      </tp>
      <tp t="s">
        <v>—</v>
        <stp/>
        <stp>##V3_BDHV12</stp>
        <stp>XOM US Equity</stp>
        <stp>BS_LT_RECEIVABLES</stp>
        <stp>FQ3 2015</stp>
        <stp>FQ3 2015</stp>
        <stp>[FA1_m42y3cpi.xlsx]Bal Sheet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3"/>
      </tp>
      <tp t="s">
        <v>—</v>
        <stp/>
        <stp>##V3_BDHV12</stp>
        <stp>XOM US Equity</stp>
        <stp>BS_LT_RECEIVABLES</stp>
        <stp>FQ1 2012</stp>
        <stp>FQ1 2012</stp>
        <stp>[FA1_m42y3cpi.xlsx]Bal Sheet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3"/>
      </tp>
      <tp t="s">
        <v>—</v>
        <stp/>
        <stp>##V3_BDHV12</stp>
        <stp>XOM US Equity</stp>
        <stp>BS_LT_RECEIVABLES</stp>
        <stp>FQ1 2011</stp>
        <stp>FQ1 2011</stp>
        <stp>[FA1_m42y3cpi.xlsx]Bal Sheet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3"/>
      </tp>
      <tp t="s">
        <v>—</v>
        <stp/>
        <stp>##V3_BDHV12</stp>
        <stp>XOM US Equity</stp>
        <stp>BS_LT_RECEIVABLES</stp>
        <stp>FQ2 2013</stp>
        <stp>FQ2 2013</stp>
        <stp>[FA1_m42y3cpi.xlsx]Bal Sheet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3"/>
      </tp>
      <tp>
        <v>5520</v>
        <stp/>
        <stp>##V3_BDHV12</stp>
        <stp>XOM US Equity</stp>
        <stp>BS_LT_RECEIVABLES</stp>
        <stp>FQ4 2017</stp>
        <stp>FQ4 2017</stp>
        <stp>[FA1_m42y3cpi.xlsx]Bal Sheet - Standardized!R28C40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3"/>
      </tp>
      <tp t="s">
        <v>—</v>
        <stp/>
        <stp>##V3_BDHV12</stp>
        <stp>XOM US Equity</stp>
        <stp>BS_LT_RECEIVABLES</stp>
        <stp>FQ2 2014</stp>
        <stp>FQ2 2014</stp>
        <stp>[FA1_m42y3cpi.xlsx]Bal Sheet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3"/>
      </tp>
      <tp t="s">
        <v>—</v>
        <stp/>
        <stp>##V3_BDHV12</stp>
        <stp>XOM US Equity</stp>
        <stp>BS_LT_RECEIVABLES</stp>
        <stp>FQ3 2016</stp>
        <stp>FQ3 2016</stp>
        <stp>[FA1_m42y3cpi.xlsx]Bal Sheet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3"/>
      </tp>
      <tp t="s">
        <v>—</v>
        <stp/>
        <stp>##V3_BDHV12</stp>
        <stp>XOM US Equity</stp>
        <stp>BS_DEFERRED_TAX_ASSETS_LT</stp>
        <stp>FQ4 2016</stp>
        <stp>FQ4 2016</stp>
        <stp>[FA1_m42y3cpi.xlsx]Bal Sheet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3"/>
      </tp>
      <tp t="s">
        <v>—</v>
        <stp/>
        <stp>##V3_BDHV12</stp>
        <stp>XOM US Equity</stp>
        <stp>BS_DEFERRED_TAX_ASSETS_ST</stp>
        <stp>FQ4 2016</stp>
        <stp>FQ4 2016</stp>
        <stp>[FA1_m42y3cpi.xlsx]Bal Sheet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3"/>
      </tp>
      <tp>
        <v>0</v>
        <stp/>
        <stp>##V3_BDHV12</stp>
        <stp>XOM US Equity</stp>
        <stp>IS_ABNORMAL_ITEM</stp>
        <stp>FQ1 2018</stp>
        <stp>FQ1 2018</stp>
        <stp>[FA1_m42y3cpi.xlsx]Income - Adjusted!R25C41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2"/>
      </tp>
      <tp t="s">
        <v>—</v>
        <stp/>
        <stp>##V3_BDHV12</stp>
        <stp>XOM US Equity</stp>
        <stp>BS_DEFERRED_TAX_ASSETS_ST</stp>
        <stp>FQ4 2015</stp>
        <stp>FQ4 2015</stp>
        <stp>[FA1_m42y3cpi.xlsx]Bal Sheet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3"/>
      </tp>
      <tp t="s">
        <v>—</v>
        <stp/>
        <stp>##V3_BDHV12</stp>
        <stp>XOM US Equity</stp>
        <stp>BS_DEFERRED_TAX_ASSETS_LT</stp>
        <stp>FQ4 2015</stp>
        <stp>FQ4 2015</stp>
        <stp>[FA1_m42y3cpi.xlsx]Bal Sheet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3"/>
      </tp>
      <tp>
        <v>0</v>
        <stp/>
        <stp>##V3_BDHV12</stp>
        <stp>XOM US Equity</stp>
        <stp>CF_NET_CASH_DISCONT_OPS_OPER</stp>
        <stp>FQ4 2014</stp>
        <stp>FQ4 2014</stp>
        <stp>[FA1_m42y3cpi.xlsx]Cash Flow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4"/>
      </tp>
      <tp>
        <v>0</v>
        <stp/>
        <stp>##V3_BDHV12</stp>
        <stp>XOM US Equity</stp>
        <stp>CF_NET_CASH_DISCONT_OPS_OPER</stp>
        <stp>FQ2 2018</stp>
        <stp>FQ2 2018</stp>
        <stp>[FA1_m42y3cpi.xlsx]Cash Flow - Standardized!R16C42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6" s="4"/>
      </tp>
      <tp>
        <v>0</v>
        <stp/>
        <stp>##V3_BDHV12</stp>
        <stp>XOM US Equity</stp>
        <stp>CF_NET_CASH_DISCONT_OPS_OPER</stp>
        <stp>FQ4 2012</stp>
        <stp>FQ4 2012</stp>
        <stp>[FA1_m42y3cpi.xlsx]Cash Flow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4"/>
      </tp>
      <tp>
        <v>0</v>
        <stp/>
        <stp>##V3_BDHV12</stp>
        <stp>XOM US Equity</stp>
        <stp>CF_NET_CASH_DISCONT_OPS_OPER</stp>
        <stp>FQ4 2013</stp>
        <stp>FQ4 2013</stp>
        <stp>[FA1_m42y3cpi.xlsx]Cash Flow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4"/>
      </tp>
      <tp>
        <v>4067</v>
        <stp/>
        <stp>##V3_BDHV12</stp>
        <stp>XOM US Equity</stp>
        <stp>IS_INC_TAX_EXP</stp>
        <stp>FQ4 2009</stp>
        <stp>FQ4 2009</stp>
        <stp>[FA1_m42y3cpi.xlsx]Income - Adjusted!R33C8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33" s="2"/>
      </tp>
      <tp t="s">
        <v>—</v>
        <stp/>
        <stp>##V3_BDHV12</stp>
        <stp>XOM US Equity</stp>
        <stp>BS_CURR_PORTION_LT_DEBT</stp>
        <stp>FQ2 2009</stp>
        <stp>FQ2 2009</stp>
        <stp>[FA1_m42y3cpi.xlsx]Bal Sheet - Standardized!R49C6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9" s="3"/>
      </tp>
      <tp t="s">
        <v>—</v>
        <stp/>
        <stp>##V3_BDHV12</stp>
        <stp>XOM US Equity</stp>
        <stp>BS_CURR_PORTION_LT_DEBT</stp>
        <stp>FQ3 2009</stp>
        <stp>FQ3 2009</stp>
        <stp>[FA1_m42y3cpi.xlsx]Bal Sheet - Standardized!R49C7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9" s="3"/>
      </tp>
      <tp t="s">
        <v>—</v>
        <stp/>
        <stp>##V3_BDHV12</stp>
        <stp>XOM US Equity</stp>
        <stp>BS_CURR_PORTION_LT_DEBT</stp>
        <stp>FQ1 2009</stp>
        <stp>FQ1 2009</stp>
        <stp>[FA1_m42y3cpi.xlsx]Bal Sheet - Standardized!R49C5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9" s="3"/>
      </tp>
      <tp t="s">
        <v>—</v>
        <stp/>
        <stp>##V3_BDHV12</stp>
        <stp>XOM US Equity</stp>
        <stp>BS_CURR_PORTION_LT_DEBT</stp>
        <stp>FQ4 2008</stp>
        <stp>FQ4 2008</stp>
        <stp>[FA1_m42y3cpi.xlsx]Bal Sheet - Standardized!R49C4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9" s="3"/>
      </tp>
      <tp t="s">
        <v>—</v>
        <stp/>
        <stp>##V3_BDHV12</stp>
        <stp>XOM US Equity</stp>
        <stp>BS_CURR_PORTION_LT_DEBT</stp>
        <stp>FQ3 2008</stp>
        <stp>FQ3 2008</stp>
        <stp>[FA1_m42y3cpi.xlsx]Bal Sheet - Standardized!R49C3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9" s="3"/>
      </tp>
      <tp>
        <v>348</v>
        <stp/>
        <stp>##V3_BDHV12</stp>
        <stp>XOM US Equity</stp>
        <stp>BS_CURR_PORTION_LT_DEBT</stp>
        <stp>FQ4 2009</stp>
        <stp>FQ4 2009</stp>
        <stp>[FA1_m42y3cpi.xlsx]Bal Sheet - Standardized!R49C8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9" s="3"/>
      </tp>
      <tp t="s">
        <v>—</v>
        <stp/>
        <stp>##V3_BDHV12</stp>
        <stp>XOM US Equity</stp>
        <stp>IS_LEGAL_LITIGATION_SETTLEMENT</stp>
        <stp>FQ1 2018</stp>
        <stp>FQ1 2018</stp>
        <stp>[FA1_m42y3cpi.xlsx]Income - Adjusted!R30C41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0" s="2"/>
      </tp>
      <tp t="s">
        <v>#N/A Requesting Data...</v>
        <stp/>
        <stp>##V3_BDHV12</stp>
        <stp>XOM US Equity</stp>
        <stp>BS_CURR_PORTION_LT_DEBT</stp>
        <stp>FQ1 2010</stp>
        <stp>FQ1 2010</stp>
        <stp>[FA1_m42y3cpi.xlsx]Bal Sheet - Standardized!R49C9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9" s="3"/>
      </tp>
      <tp t="s">
        <v>—</v>
        <stp/>
        <stp>##V3_BDHV12</stp>
        <stp>XOM US Equity</stp>
        <stp>BS_TOTAL_CAPITAL_LEASES</stp>
        <stp>FQ2 2017</stp>
        <stp>FQ2 2017</stp>
        <stp>[FA1_m42y3cpi.xlsx]Bal Sheet - Standardized!R83C38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3" s="3"/>
      </tp>
      <tp>
        <v>8909</v>
        <stp/>
        <stp>##V3_BDHV12</stp>
        <stp>XOM US Equity</stp>
        <stp>EBITA</stp>
        <stp>FQ1 2010</stp>
        <stp>FQ1 2010</stp>
        <stp>[FA1_m42y3cpi.xlsx]Income - Adjusted!R63C9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3" s="2"/>
      </tp>
      <tp>
        <v>25193</v>
        <stp/>
        <stp>##V3_BDHV12</stp>
        <stp>XOM US Equity</stp>
        <stp>OTHER_NONCURRENT_LIABS_DETAILED</stp>
        <stp>FQ4 2016</stp>
        <stp>FQ4 2016</stp>
        <stp>[FA1_m42y3cpi.xlsx]Bal Sheet - Standardized!R64C36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4" s="3"/>
      </tp>
      <tp t="s">
        <v>—</v>
        <stp/>
        <stp>##V3_BDHV12</stp>
        <stp>XOM US Equity</stp>
        <stp>BS_TOTAL_CAPITAL_LEASES</stp>
        <stp>FQ2 2015</stp>
        <stp>FQ2 2015</stp>
        <stp>[FA1_m42y3cpi.xlsx]Bal Sheet - Standardized!R83C30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3" s="3"/>
      </tp>
      <tp>
        <v>26582</v>
        <stp/>
        <stp>##V3_BDHV12</stp>
        <stp>XOM US Equity</stp>
        <stp>OTHER_NONCURRENT_LIABS_DETAILED</stp>
        <stp>FQ4 2015</stp>
        <stp>FQ4 2015</stp>
        <stp>[FA1_m42y3cpi.xlsx]Bal Sheet - Standardized!R64C32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4" s="3"/>
      </tp>
      <tp t="s">
        <v>—</v>
        <stp/>
        <stp>##V3_BDHV12</stp>
        <stp>XOM US Equity</stp>
        <stp>BS_TOTAL_CAPITAL_LEASES</stp>
        <stp>FQ2 2016</stp>
        <stp>FQ2 2016</stp>
        <stp>[FA1_m42y3cpi.xlsx]Bal Sheet - Standardized!R83C34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3" s="3"/>
      </tp>
      <tp t="s">
        <v>—</v>
        <stp/>
        <stp>##V3_BDHV12</stp>
        <stp>XOM US Equity</stp>
        <stp>BS_TOTAL_CAPITAL_LEASES</stp>
        <stp>FQ3 2014</stp>
        <stp>FQ3 2014</stp>
        <stp>[FA1_m42y3cpi.xlsx]Bal Sheet - Standardized!R83C27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3" s="3"/>
      </tp>
      <tp t="s">
        <v>—</v>
        <stp/>
        <stp>##V3_BDHV12</stp>
        <stp>XOM US Equity</stp>
        <stp>BS_TOTAL_CAPITAL_LEASES</stp>
        <stp>FQ3 2013</stp>
        <stp>FQ3 2013</stp>
        <stp>[FA1_m42y3cpi.xlsx]Bal Sheet - Standardized!R83C23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3" s="3"/>
      </tp>
      <tp t="s">
        <v>—</v>
        <stp/>
        <stp>##V3_BDHV12</stp>
        <stp>XOM US Equity</stp>
        <stp>BS_LT_RECEIVABLES</stp>
        <stp>FQ2 2017</stp>
        <stp>FQ2 2017</stp>
        <stp>[FA1_m42y3cpi.xlsx]Bal Sheet - Standardized!R28C38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3"/>
      </tp>
      <tp>
        <v>1365</v>
        <stp/>
        <stp>##V3_BDHV12</stp>
        <stp>XOM US Equity</stp>
        <stp>IS_INC_TAX_EXP</stp>
        <stp>FQ3 2015</stp>
        <stp>FQ3 2015</stp>
        <stp>[FA1_m42y3cpi.xlsx]Income - Adjusted!R33C31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33" s="2"/>
      </tp>
      <tp>
        <v>8009</v>
        <stp/>
        <stp>##V3_BDHV12</stp>
        <stp>XOM US Equity</stp>
        <stp>IS_INC_TAX_EXP</stp>
        <stp>FQ3 2011</stp>
        <stp>FQ3 2011</stp>
        <stp>[FA1_m42y3cpi.xlsx]Income - Adjusted!R33C15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33" s="2"/>
      </tp>
      <tp>
        <v>6512</v>
        <stp/>
        <stp>##V3_BDHV12</stp>
        <stp>XOM US Equity</stp>
        <stp>PRETAX_INC</stp>
        <stp>FQ2 2018</stp>
        <stp>FQ2 2018</stp>
        <stp>[FA1_m42y3cpi.xlsx]Income - Adjusted!R24C42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24" s="2"/>
      </tp>
      <tp>
        <v>16191</v>
        <stp/>
        <stp>##V3_BDHV12</stp>
        <stp>XOM US Equity</stp>
        <stp>PRETAX_INC</stp>
        <stp>FQ2 2012</stp>
        <stp>FQ2 2012</stp>
        <stp>[FA1_m42y3cpi.xlsx]Income - Adjusted!R24C18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4" s="2"/>
      </tp>
      <tp t="s">
        <v>—</v>
        <stp/>
        <stp>##V3_BDHV12</stp>
        <stp>XOM US Equity</stp>
        <stp>BS_LT_RECEIVABLES</stp>
        <stp>FQ2 2015</stp>
        <stp>FQ2 2015</stp>
        <stp>[FA1_m42y3cpi.xlsx]Bal Sheet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3"/>
      </tp>
      <tp t="s">
        <v>—</v>
        <stp/>
        <stp>##V3_BDHV12</stp>
        <stp>XOM US Equity</stp>
        <stp>BS_LT_RECEIVABLES</stp>
        <stp>FQ3 2013</stp>
        <stp>FQ3 2013</stp>
        <stp>[FA1_m42y3cpi.xlsx]Bal Sheet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3"/>
      </tp>
      <tp t="s">
        <v>—</v>
        <stp/>
        <stp>##V3_BDHV12</stp>
        <stp>XOM US Equity</stp>
        <stp>BS_LT_RECEIVABLES</stp>
        <stp>FQ3 2014</stp>
        <stp>FQ3 2014</stp>
        <stp>[FA1_m42y3cpi.xlsx]Bal Sheet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3"/>
      </tp>
      <tp t="s">
        <v>—</v>
        <stp/>
        <stp>##V3_BDHV12</stp>
        <stp>XOM US Equity</stp>
        <stp>BS_LT_RECEIVABLES</stp>
        <stp>FQ2 2016</stp>
        <stp>FQ2 2016</stp>
        <stp>[FA1_m42y3cpi.xlsx]Bal Sheet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3"/>
      </tp>
      <tp t="s">
        <v>—</v>
        <stp/>
        <stp>##V3_BDHV12</stp>
        <stp>XOM US Equity</stp>
        <stp>BS_DEFERRED_TAX_ASSETS_LT</stp>
        <stp>FQ4 2012</stp>
        <stp>FQ4 2012</stp>
        <stp>[FA1_m42y3cpi.xlsx]Bal Sheet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3"/>
      </tp>
      <tp t="s">
        <v>—</v>
        <stp/>
        <stp>##V3_BDHV12</stp>
        <stp>XOM US Equity</stp>
        <stp>BS_DEFERRED_TAX_ASSETS_ST</stp>
        <stp>FQ4 2012</stp>
        <stp>FQ4 2012</stp>
        <stp>[FA1_m42y3cpi.xlsx]Bal Sheet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3"/>
      </tp>
      <tp t="s">
        <v>—</v>
        <stp/>
        <stp>##V3_BDHV12</stp>
        <stp>XOM US Equity</stp>
        <stp>BS_DEFERRED_TAX_ASSETS_ST</stp>
        <stp>FQ4 2013</stp>
        <stp>FQ4 2013</stp>
        <stp>[FA1_m42y3cpi.xlsx]Bal Sheet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3"/>
      </tp>
      <tp t="s">
        <v>—</v>
        <stp/>
        <stp>##V3_BDHV12</stp>
        <stp>XOM US Equity</stp>
        <stp>BS_DEFERRED_TAX_ASSETS_LT</stp>
        <stp>FQ4 2013</stp>
        <stp>FQ4 2013</stp>
        <stp>[FA1_m42y3cpi.xlsx]Bal Sheet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3"/>
      </tp>
      <tp t="s">
        <v>—</v>
        <stp/>
        <stp>##V3_BDHV12</stp>
        <stp>XOM US Equity</stp>
        <stp>BS_DEFERRED_TAX_ASSETS_LT</stp>
        <stp>FQ4 2014</stp>
        <stp>FQ4 2014</stp>
        <stp>[FA1_m42y3cpi.xlsx]Bal Sheet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3"/>
      </tp>
      <tp t="s">
        <v>—</v>
        <stp/>
        <stp>##V3_BDHV12</stp>
        <stp>XOM US Equity</stp>
        <stp>BS_DEFERRED_TAX_ASSETS_LT</stp>
        <stp>FQ2 2018</stp>
        <stp>FQ2 2018</stp>
        <stp>[FA1_m42y3cpi.xlsx]Bal Sheet - Standardized!R33C42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3" s="3"/>
      </tp>
      <tp t="s">
        <v>—</v>
        <stp/>
        <stp>##V3_BDHV12</stp>
        <stp>XOM US Equity</stp>
        <stp>BS_DEFERRED_TAX_ASSETS_ST</stp>
        <stp>FQ4 2014</stp>
        <stp>FQ4 2014</stp>
        <stp>[FA1_m42y3cpi.xlsx]Bal Sheet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3"/>
      </tp>
      <tp t="s">
        <v>—</v>
        <stp/>
        <stp>##V3_BDHV12</stp>
        <stp>XOM US Equity</stp>
        <stp>BS_DEFERRED_TAX_ASSETS_ST</stp>
        <stp>FQ2 2018</stp>
        <stp>FQ2 2018</stp>
        <stp>[FA1_m42y3cpi.xlsx]Bal Sheet - Standardized!R20C42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0" s="3"/>
      </tp>
      <tp>
        <v>5179</v>
        <stp/>
        <stp>##V3_BDHV12</stp>
        <stp>XOM US Equity</stp>
        <stp>BS_OTHER_CUR_ASSET_LESS_PREPAY</stp>
        <stp>FQ3 2009</stp>
        <stp>FQ3 2009</stp>
        <stp>[FA1_m42y3cpi.xlsx]Bal Sheet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3"/>
      </tp>
      <tp>
        <v>4464</v>
        <stp/>
        <stp>##V3_BDHV12</stp>
        <stp>XOM US Equity</stp>
        <stp>BS_OTHER_CUR_ASSET_LESS_PREPAY</stp>
        <stp>FQ2 2009</stp>
        <stp>FQ2 2009</stp>
        <stp>[FA1_m42y3cpi.xlsx]Bal Sheet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3"/>
      </tp>
      <tp>
        <v>4019</v>
        <stp/>
        <stp>##V3_BDHV12</stp>
        <stp>XOM US Equity</stp>
        <stp>BS_OTHER_CUR_ASSET_LESS_PREPAY</stp>
        <stp>FQ1 2009</stp>
        <stp>FQ1 2009</stp>
        <stp>[FA1_m42y3cpi.xlsx]Bal Sheet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3"/>
      </tp>
      <tp t="s">
        <v>—</v>
        <stp/>
        <stp>##V3_BDHV12</stp>
        <stp>XOM US Equity</stp>
        <stp>BS_OTHER_CUR_ASSET_LESS_PREPAY</stp>
        <stp>FQ4 2008</stp>
        <stp>FQ4 2008</stp>
        <stp>[FA1_m42y3cpi.xlsx]Bal Sheet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3"/>
      </tp>
      <tp t="s">
        <v>—</v>
        <stp/>
        <stp>##V3_BDHV12</stp>
        <stp>XOM US Equity</stp>
        <stp>BS_OTHER_CUR_ASSET_LESS_PREPAY</stp>
        <stp>FQ3 2008</stp>
        <stp>FQ3 2008</stp>
        <stp>[FA1_m42y3cpi.xlsx]Bal Sheet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3"/>
      </tp>
      <tp>
        <v>5175</v>
        <stp/>
        <stp>##V3_BDHV12</stp>
        <stp>XOM US Equity</stp>
        <stp>BS_OTHER_CUR_ASSET_LESS_PREPAY</stp>
        <stp>FQ4 2009</stp>
        <stp>FQ4 2009</stp>
        <stp>[FA1_m42y3cpi.xlsx]Bal Sheet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3"/>
      </tp>
      <tp>
        <v>5329</v>
        <stp/>
        <stp>##V3_BDHV12</stp>
        <stp>XOM US Equity</stp>
        <stp>BS_OTHER_CUR_ASSET_LESS_PREPAY</stp>
        <stp>FQ1 2010</stp>
        <stp>FQ1 2010</stp>
        <stp>[FA1_m42y3cpi.xlsx]Bal Sheet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3"/>
      </tp>
      <tp>
        <v>0</v>
        <stp/>
        <stp>##V3_BDHV12</stp>
        <stp>XOM US Equity</stp>
        <stp>CF_NET_CASH_DISCONT_OPS_OPER</stp>
        <stp>FQ2 2017</stp>
        <stp>FQ2 2017</stp>
        <stp>[FA1_m42y3cpi.xlsx]Cash Flow - Standardized!R16C38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6" s="4"/>
      </tp>
      <tp>
        <v>0</v>
        <stp/>
        <stp>##V3_BDHV12</stp>
        <stp>XOM US Equity</stp>
        <stp>CF_NET_CASH_DISCONT_OPS_OPER</stp>
        <stp>FQ2 2015</stp>
        <stp>FQ2 2015</stp>
        <stp>[FA1_m42y3cpi.xlsx]Cash Flow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4"/>
      </tp>
      <tp>
        <v>0</v>
        <stp/>
        <stp>##V3_BDHV12</stp>
        <stp>XOM US Equity</stp>
        <stp>CF_NET_CASH_DISCONT_OPS_OPER</stp>
        <stp>FQ3 2014</stp>
        <stp>FQ3 2014</stp>
        <stp>[FA1_m42y3cpi.xlsx]Cash Flow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4"/>
      </tp>
      <tp>
        <v>0</v>
        <stp/>
        <stp>##V3_BDHV12</stp>
        <stp>XOM US Equity</stp>
        <stp>CF_NET_CASH_DISCONT_OPS_OPER</stp>
        <stp>FQ2 2016</stp>
        <stp>FQ2 2016</stp>
        <stp>[FA1_m42y3cpi.xlsx]Cash Flow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4"/>
      </tp>
      <tp>
        <v>0</v>
        <stp/>
        <stp>##V3_BDHV12</stp>
        <stp>XOM US Equity</stp>
        <stp>CF_NET_CASH_DISCONT_OPS_OPER</stp>
        <stp>FQ3 2013</stp>
        <stp>FQ3 2013</stp>
        <stp>[FA1_m42y3cpi.xlsx]Cash Flow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4"/>
      </tp>
      <tp>
        <v>12068</v>
        <stp/>
        <stp>##V3_BDHV12</stp>
        <stp>XOM US Equity</stp>
        <stp>PRETAX_INC</stp>
        <stp>FQ1 2010</stp>
        <stp>FQ1 2010</stp>
        <stp>[FA1_m42y3cpi.xlsx]Income - Adjusted!R24C9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4" s="2"/>
      </tp>
      <tp>
        <v>0</v>
        <stp/>
        <stp>##V3_BDHV12</stp>
        <stp>XOM US Equity</stp>
        <stp>XO_GL_NET_OF_TAX</stp>
        <stp>FQ2 2009</stp>
        <stp>FQ2 2009</stp>
        <stp>[FA1_m42y3cpi.xlsx]Income - Adjusted!R35C6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2"/>
      </tp>
      <tp>
        <v>0</v>
        <stp/>
        <stp>##V3_BDHV12</stp>
        <stp>XOM US Equity</stp>
        <stp>XO_GL_NET_OF_TAX</stp>
        <stp>FQ2 2009</stp>
        <stp>FQ2 2009</stp>
        <stp>[FA1_m42y3cpi.xlsx]Income - Adjusted!R47C6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2"/>
      </tp>
      <tp>
        <v>26279</v>
        <stp/>
        <stp>##V3_BDHV12</stp>
        <stp>XOM US Equity</stp>
        <stp>OTHER_NONCURRENT_LIABS_DETAILED</stp>
        <stp>FQ3 2017</stp>
        <stp>FQ3 2017</stp>
        <stp>[FA1_m42y3cpi.xlsx]Bal Sheet - Standardized!R64C39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4" s="3"/>
      </tp>
      <tp>
        <v>375</v>
        <stp/>
        <stp>##V3_BDHV12</stp>
        <stp>XOM US Equity</stp>
        <stp>BS_TOTAL_CAPITAL_LEASES</stp>
        <stp>FQ4 2014</stp>
        <stp>FQ4 2014</stp>
        <stp>[FA1_m42y3cpi.xlsx]Bal Sheet - Standardized!R83C28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3" s="3"/>
      </tp>
      <tp t="s">
        <v>—</v>
        <stp/>
        <stp>##V3_BDHV12</stp>
        <stp>XOM US Equity</stp>
        <stp>BS_TOTAL_CAPITAL_LEASES</stp>
        <stp>FQ2 2018</stp>
        <stp>FQ2 2018</stp>
        <stp>[FA1_m42y3cpi.xlsx]Bal Sheet - Standardized!R83C42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3" s="3"/>
      </tp>
      <tp>
        <v>26524</v>
        <stp/>
        <stp>##V3_BDHV12</stp>
        <stp>XOM US Equity</stp>
        <stp>OTHER_NONCURRENT_LIABS_DETAILED</stp>
        <stp>FQ3 2015</stp>
        <stp>FQ3 2015</stp>
        <stp>[FA1_m42y3cpi.xlsx]Bal Sheet - Standardized!R64C31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4" s="3"/>
      </tp>
      <tp>
        <v>31965</v>
        <stp/>
        <stp>##V3_BDHV12</stp>
        <stp>XOM US Equity</stp>
        <stp>OTHER_NONCURRENT_LIABS_DETAILED</stp>
        <stp>FQ1 2012</stp>
        <stp>FQ1 2012</stp>
        <stp>[FA1_m42y3cpi.xlsx]Bal Sheet - Standardized!R64C17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4" s="3"/>
      </tp>
      <tp>
        <v>431</v>
        <stp/>
        <stp>##V3_BDHV12</stp>
        <stp>XOM US Equity</stp>
        <stp>BS_TOTAL_CAPITAL_LEASES</stp>
        <stp>FQ4 2012</stp>
        <stp>FQ4 2012</stp>
        <stp>[FA1_m42y3cpi.xlsx]Bal Sheet - Standardized!R83C20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3" s="3"/>
      </tp>
      <tp>
        <v>23989</v>
        <stp/>
        <stp>##V3_BDHV12</stp>
        <stp>XOM US Equity</stp>
        <stp>OTHER_NONCURRENT_LIABS_DETAILED</stp>
        <stp>FQ4 2017</stp>
        <stp>FQ4 2017</stp>
        <stp>[FA1_m42y3cpi.xlsx]Bal Sheet - Standardized!R64C40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4" s="3"/>
      </tp>
      <tp>
        <v>25615</v>
        <stp/>
        <stp>##V3_BDHV12</stp>
        <stp>XOM US Equity</stp>
        <stp>OTHER_NONCURRENT_LIABS_DETAILED</stp>
        <stp>FQ2 2013</stp>
        <stp>FQ2 2013</stp>
        <stp>[FA1_m42y3cpi.xlsx]Bal Sheet - Standardized!R64C22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4" s="3"/>
      </tp>
      <tp>
        <v>19913</v>
        <stp/>
        <stp>##V3_BDHV12</stp>
        <stp>XOM US Equity</stp>
        <stp>OTHER_NONCURRENT_LIABS_DETAILED</stp>
        <stp>FQ1 2011</stp>
        <stp>FQ1 2011</stp>
        <stp>[FA1_m42y3cpi.xlsx]Bal Sheet - Standardized!R64C13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4" s="3"/>
      </tp>
      <tp>
        <v>27563</v>
        <stp/>
        <stp>##V3_BDHV12</stp>
        <stp>XOM US Equity</stp>
        <stp>OTHER_NONCURRENT_LIABS_DETAILED</stp>
        <stp>FQ3 2016</stp>
        <stp>FQ3 2016</stp>
        <stp>[FA1_m42y3cpi.xlsx]Bal Sheet - Standardized!R64C35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4" s="3"/>
      </tp>
      <tp>
        <v>375</v>
        <stp/>
        <stp>##V3_BDHV12</stp>
        <stp>XOM US Equity</stp>
        <stp>BS_TOTAL_CAPITAL_LEASES</stp>
        <stp>FQ4 2013</stp>
        <stp>FQ4 2013</stp>
        <stp>[FA1_m42y3cpi.xlsx]Bal Sheet - Standardized!R83C24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3" s="3"/>
      </tp>
      <tp>
        <v>27948</v>
        <stp/>
        <stp>##V3_BDHV12</stp>
        <stp>XOM US Equity</stp>
        <stp>OTHER_NONCURRENT_LIABS_DETAILED</stp>
        <stp>FQ2 2014</stp>
        <stp>FQ2 2014</stp>
        <stp>[FA1_m42y3cpi.xlsx]Bal Sheet - Standardized!R64C26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4" s="3"/>
      </tp>
      <tp>
        <v>528</v>
        <stp/>
        <stp>##V3_BDHV12</stp>
        <stp>XOM US Equity</stp>
        <stp>CF_ACT_CASH_PAID_FOR_INT_DEBT</stp>
        <stp>FQ3 2009</stp>
        <stp>FQ3 2009</stp>
        <stp>[FA1_m42y3cpi.xlsx]Cash Flow - Standardized!R56C7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6" s="4"/>
      </tp>
      <tp>
        <v>94</v>
        <stp/>
        <stp>##V3_BDHV12</stp>
        <stp>XOM US Equity</stp>
        <stp>CF_ACT_CASH_PAID_FOR_INT_DEBT</stp>
        <stp>FQ2 2009</stp>
        <stp>FQ2 2009</stp>
        <stp>[FA1_m42y3cpi.xlsx]Cash Flow - Standardized!R56C6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6" s="4"/>
      </tp>
      <tp>
        <v>101</v>
        <stp/>
        <stp>##V3_BDHV12</stp>
        <stp>XOM US Equity</stp>
        <stp>CF_ACT_CASH_PAID_FOR_INT_DEBT</stp>
        <stp>FQ1 2009</stp>
        <stp>FQ1 2009</stp>
        <stp>[FA1_m42y3cpi.xlsx]Cash Flow - Standardized!R56C5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6" s="4"/>
      </tp>
      <tp>
        <v>13.846500000000001</v>
        <stp/>
        <stp>##V3_BDHV12</stp>
        <stp>XOM US Equity</stp>
        <stp>EBITDA_MARGIN</stp>
        <stp>FQ4 2009</stp>
        <stp>FQ4 2009</stp>
        <stp>[FA1_m42y3cpi.xlsx]Income - Adjusted!R62C8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62" s="2"/>
      </tp>
      <tp>
        <v>17.694500000000001</v>
        <stp/>
        <stp>##V3_BDHV12</stp>
        <stp>XOM US Equity</stp>
        <stp>EBITDA_MARGIN</stp>
        <stp>FQ1 2009</stp>
        <stp>FQ1 2009</stp>
        <stp>[FA1_m42y3cpi.xlsx]Income - Adjusted!R62C5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62" s="2"/>
      </tp>
      <tp>
        <v>14.704800000000001</v>
        <stp/>
        <stp>##V3_BDHV12</stp>
        <stp>XOM US Equity</stp>
        <stp>EBITDA_MARGIN</stp>
        <stp>FQ3 2009</stp>
        <stp>FQ3 2009</stp>
        <stp>[FA1_m42y3cpi.xlsx]Income - Adjusted!R62C7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62" s="2"/>
      </tp>
      <tp>
        <v>16.926300000000001</v>
        <stp/>
        <stp>##V3_BDHV12</stp>
        <stp>XOM US Equity</stp>
        <stp>EBITDA_MARGIN</stp>
        <stp>FQ2 2009</stp>
        <stp>FQ2 2009</stp>
        <stp>[FA1_m42y3cpi.xlsx]Income - Adjusted!R62C6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62" s="2"/>
      </tp>
      <tp>
        <v>337</v>
        <stp/>
        <stp>##V3_BDHV12</stp>
        <stp>XOM US Equity</stp>
        <stp>IS_INC_TAX_EXP</stp>
        <stp>FQ3 2016</stp>
        <stp>FQ3 2016</stp>
        <stp>[FA1_m42y3cpi.xlsx]Income - Adjusted!R33C35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33" s="2"/>
      </tp>
      <tp>
        <v>5064</v>
        <stp/>
        <stp>##V3_BDHV12</stp>
        <stp>XOM US Equity</stp>
        <stp>IS_INC_TAX_EXP</stp>
        <stp>FQ3 2014</stp>
        <stp>FQ3 2014</stp>
        <stp>[FA1_m42y3cpi.xlsx]Income - Adjusted!R33C27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33" s="2"/>
      </tp>
      <tp>
        <v>162</v>
        <stp/>
        <stp>##V3_BDHV12</stp>
        <stp>XOM US Equity</stp>
        <stp>CF_ACT_CASH_PAID_FOR_INT_DEBT</stp>
        <stp>FQ4 2008</stp>
        <stp>FQ4 2008</stp>
        <stp>[FA1_m42y3cpi.xlsx]Cash Flow - Standardized!R56C4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6" s="4"/>
      </tp>
      <tp>
        <v>151</v>
        <stp/>
        <stp>##V3_BDHV12</stp>
        <stp>XOM US Equity</stp>
        <stp>CF_ACT_CASH_PAID_FOR_INT_DEBT</stp>
        <stp>FQ3 2008</stp>
        <stp>FQ3 2008</stp>
        <stp>[FA1_m42y3cpi.xlsx]Cash Flow - Standardized!R56C3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6" s="4"/>
      </tp>
      <tp t="s">
        <v>—</v>
        <stp/>
        <stp>##V3_BDHV12</stp>
        <stp>XOM US Equity</stp>
        <stp>BS_LT_RECEIVABLES</stp>
        <stp>FQ2 2018</stp>
        <stp>FQ2 2018</stp>
        <stp>[FA1_m42y3cpi.xlsx]Bal Sheet - Standardized!R28C42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3"/>
      </tp>
      <tp>
        <v>4878</v>
        <stp/>
        <stp>##V3_BDHV12</stp>
        <stp>XOM US Equity</stp>
        <stp>BS_LT_RECEIVABLES</stp>
        <stp>FQ4 2014</stp>
        <stp>FQ4 2014</stp>
        <stp>[FA1_m42y3cpi.xlsx]Bal Sheet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3"/>
      </tp>
      <tp>
        <v>5792</v>
        <stp/>
        <stp>##V3_BDHV12</stp>
        <stp>XOM US Equity</stp>
        <stp>BS_LT_RECEIVABLES</stp>
        <stp>FQ4 2012</stp>
        <stp>FQ4 2012</stp>
        <stp>[FA1_m42y3cpi.xlsx]Bal Sheet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3"/>
      </tp>
      <tp>
        <v>97</v>
        <stp/>
        <stp>##V3_BDHV12</stp>
        <stp>XOM US Equity</stp>
        <stp>CF_ACT_CASH_PAID_FOR_INT_DEBT</stp>
        <stp>FQ4 2009</stp>
        <stp>FQ4 2009</stp>
        <stp>[FA1_m42y3cpi.xlsx]Cash Flow - Standardized!R56C8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6" s="4"/>
      </tp>
      <tp>
        <v>6118</v>
        <stp/>
        <stp>##V3_BDHV12</stp>
        <stp>XOM US Equity</stp>
        <stp>BS_LT_RECEIVABLES</stp>
        <stp>FQ4 2013</stp>
        <stp>FQ4 2013</stp>
        <stp>[FA1_m42y3cpi.xlsx]Bal Sheet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3"/>
      </tp>
      <tp>
        <v>130</v>
        <stp/>
        <stp>##V3_BDHV12</stp>
        <stp>XOM US Equity</stp>
        <stp>CF_ACT_CASH_PAID_FOR_INT_DEBT</stp>
        <stp>FQ1 2010</stp>
        <stp>FQ1 2010</stp>
        <stp>[FA1_m42y3cpi.xlsx]Cash Flow - Standardized!R56C9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6" s="4"/>
      </tp>
      <tp t="s">
        <v>—</v>
        <stp/>
        <stp>##V3_BDHV12</stp>
        <stp>XOM US Equity</stp>
        <stp>BS_DEFERRED_TAX_ASSETS_ST</stp>
        <stp>FQ2 2015</stp>
        <stp>FQ2 2015</stp>
        <stp>[FA1_m42y3cpi.xlsx]Bal Sheet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3"/>
      </tp>
      <tp t="s">
        <v>—</v>
        <stp/>
        <stp>##V3_BDHV12</stp>
        <stp>XOM US Equity</stp>
        <stp>BS_DEFERRED_TAX_ASSETS_LT</stp>
        <stp>FQ2 2015</stp>
        <stp>FQ2 2015</stp>
        <stp>[FA1_m42y3cpi.xlsx]Bal Sheet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3"/>
      </tp>
      <tp t="s">
        <v>—</v>
        <stp/>
        <stp>##V3_BDHV12</stp>
        <stp>XOM US Equity</stp>
        <stp>BS_DEFERRED_TAX_ASSETS_LT</stp>
        <stp>FQ3 2014</stp>
        <stp>FQ3 2014</stp>
        <stp>[FA1_m42y3cpi.xlsx]Bal Sheet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3"/>
      </tp>
      <tp t="s">
        <v>—</v>
        <stp/>
        <stp>##V3_BDHV12</stp>
        <stp>XOM US Equity</stp>
        <stp>BS_DEFERRED_TAX_ASSETS_LT</stp>
        <stp>FQ2 2016</stp>
        <stp>FQ2 2016</stp>
        <stp>[FA1_m42y3cpi.xlsx]Bal Sheet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3"/>
      </tp>
      <tp t="s">
        <v>—</v>
        <stp/>
        <stp>##V3_BDHV12</stp>
        <stp>XOM US Equity</stp>
        <stp>BS_DEFERRED_TAX_ASSETS_ST</stp>
        <stp>FQ2 2016</stp>
        <stp>FQ2 2016</stp>
        <stp>[FA1_m42y3cpi.xlsx]Bal Sheet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3"/>
      </tp>
      <tp t="s">
        <v>—</v>
        <stp/>
        <stp>##V3_BDHV12</stp>
        <stp>XOM US Equity</stp>
        <stp>BS_DEFERRED_TAX_ASSETS_ST</stp>
        <stp>FQ3 2014</stp>
        <stp>FQ3 2014</stp>
        <stp>[FA1_m42y3cpi.xlsx]Bal Sheet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3"/>
      </tp>
      <tp t="s">
        <v>—</v>
        <stp/>
        <stp>##V3_BDHV12</stp>
        <stp>XOM US Equity</stp>
        <stp>BS_DEFERRED_TAX_ASSETS_ST</stp>
        <stp>FQ3 2013</stp>
        <stp>FQ3 2013</stp>
        <stp>[FA1_m42y3cpi.xlsx]Bal Sheet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3"/>
      </tp>
      <tp t="s">
        <v>—</v>
        <stp/>
        <stp>##V3_BDHV12</stp>
        <stp>XOM US Equity</stp>
        <stp>BS_DEFERRED_TAX_ASSETS_LT</stp>
        <stp>FQ3 2013</stp>
        <stp>FQ3 2013</stp>
        <stp>[FA1_m42y3cpi.xlsx]Bal Sheet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3"/>
      </tp>
      <tp t="s">
        <v>—</v>
        <stp/>
        <stp>##V3_BDHV12</stp>
        <stp>XOM US Equity</stp>
        <stp>BS_DEFERRED_TAX_ASSETS_ST</stp>
        <stp>FQ2 2017</stp>
        <stp>FQ2 2017</stp>
        <stp>[FA1_m42y3cpi.xlsx]Bal Sheet - Standardized!R20C38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0" s="3"/>
      </tp>
      <tp t="s">
        <v>—</v>
        <stp/>
        <stp>##V3_BDHV12</stp>
        <stp>XOM US Equity</stp>
        <stp>BS_DEFERRED_TAX_ASSETS_LT</stp>
        <stp>FQ2 2017</stp>
        <stp>FQ2 2017</stp>
        <stp>[FA1_m42y3cpi.xlsx]Bal Sheet - Standardized!R33C38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3" s="3"/>
      </tp>
      <tp t="s">
        <v>—</v>
        <stp/>
        <stp>##V3_BDHV12</stp>
        <stp>XOM US Equity</stp>
        <stp>IS_FOREIGN_EXCH_LOSS</stp>
        <stp>FQ1 2010</stp>
        <stp>FQ1 2010</stp>
        <stp>[FA1_m42y3cpi.xlsx]Income - Adjusted!R21C9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1" s="2"/>
      </tp>
      <tp>
        <v>395669.56</v>
        <stp/>
        <stp>##V3_BDHV12</stp>
        <stp>XOM US Equity</stp>
        <stp>HISTORICAL_MARKET_CAP</stp>
        <stp>FQ2 2011</stp>
        <stp>FQ2 2011</stp>
        <stp>[FA1_m42y3cpi.xlsx]Stock Value!R12C14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6"/>
      </tp>
      <tp>
        <v>405549.48</v>
        <stp/>
        <stp>##V3_BDHV12</stp>
        <stp>XOM US Equity</stp>
        <stp>HISTORICAL_MARKET_CAP</stp>
        <stp>FQ1 2012</stp>
        <stp>FQ1 2012</stp>
        <stp>[FA1_m42y3cpi.xlsx]Stock Value!R12C17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6"/>
      </tp>
      <tp>
        <v>348115.59</v>
        <stp/>
        <stp>##V3_BDHV12</stp>
        <stp>XOM US Equity</stp>
        <stp>HISTORICAL_MARKET_CAP</stp>
        <stp>FQ3 2011</stp>
        <stp>FQ3 2011</stp>
        <stp>[FA1_m42y3cpi.xlsx]Stock Value!R12C15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6"/>
      </tp>
      <tp>
        <v>364064.48</v>
        <stp/>
        <stp>##V3_BDHV12</stp>
        <stp>XOM US Equity</stp>
        <stp>HISTORICAL_MARKET_CAP</stp>
        <stp>FQ4 2010</stp>
        <stp>FQ4 2010</stp>
        <stp>[FA1_m42y3cpi.xlsx]Stock Value!R12C12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6"/>
      </tp>
      <tp>
        <v>414424.38</v>
        <stp/>
        <stp>##V3_BDHV12</stp>
        <stp>XOM US Equity</stp>
        <stp>HISTORICAL_MARKET_CAP</stp>
        <stp>FQ1 2011</stp>
        <stp>FQ1 2011</stp>
        <stp>[FA1_m42y3cpi.xlsx]Stock Value!R12C13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6"/>
      </tp>
      <tp>
        <v>311606.96999999997</v>
        <stp/>
        <stp>##V3_BDHV12</stp>
        <stp>XOM US Equity</stp>
        <stp>HISTORICAL_MARKET_CAP</stp>
        <stp>FQ3 2010</stp>
        <stp>FQ3 2010</stp>
        <stp>[FA1_m42y3cpi.xlsx]Stock Value!R12C11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6"/>
      </tp>
      <tp>
        <v>290600.44</v>
        <stp/>
        <stp>##V3_BDHV12</stp>
        <stp>XOM US Equity</stp>
        <stp>HISTORICAL_MARKET_CAP</stp>
        <stp>FQ2 2010</stp>
        <stp>FQ2 2010</stp>
        <stp>[FA1_m42y3cpi.xlsx]Stock Value!R12C10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6"/>
      </tp>
      <tp>
        <v>401253.84</v>
        <stp/>
        <stp>##V3_BDHV12</stp>
        <stp>XOM US Equity</stp>
        <stp>HISTORICAL_MARKET_CAP</stp>
        <stp>FQ4 2011</stp>
        <stp>FQ4 2011</stp>
        <stp>[FA1_m42y3cpi.xlsx]Stock Value!R12C16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6"/>
      </tp>
      <tp>
        <v>416920.55</v>
        <stp/>
        <stp>##V3_BDHV12</stp>
        <stp>XOM US Equity</stp>
        <stp>HISTORICAL_MARKET_CAP</stp>
        <stp>FQ3 2012</stp>
        <stp>FQ3 2012</stp>
        <stp>[FA1_m42y3cpi.xlsx]Stock Value!R12C19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6"/>
      </tp>
      <tp>
        <v>394991.12</v>
        <stp/>
        <stp>##V3_BDHV12</stp>
        <stp>XOM US Equity</stp>
        <stp>HISTORICAL_MARKET_CAP</stp>
        <stp>FQ2 2012</stp>
        <stp>FQ2 2012</stp>
        <stp>[FA1_m42y3cpi.xlsx]Stock Value!R12C18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6"/>
      </tp>
      <tp>
        <v>0</v>
        <stp/>
        <stp>##V3_BDHV12</stp>
        <stp>XOM US Equity</stp>
        <stp>CF_NET_CASH_DISCONT_OPS_OPER</stp>
        <stp>FQ3 2017</stp>
        <stp>FQ3 2017</stp>
        <stp>[FA1_m42y3cpi.xlsx]Cash Flow - Standardized!R16C39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6" s="4"/>
      </tp>
      <tp t="s">
        <v>—</v>
        <stp/>
        <stp>##V3_BDHV12</stp>
        <stp>XOM US Equity</stp>
        <stp>CASH_CONVERSION_CYCLE</stp>
        <stp>FQ1 2010</stp>
        <stp>FQ1 2010</stp>
        <stp>[FA1_m42y3cpi.xlsx]Bal Sheet - Standardized!R90C9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90" s="3"/>
      </tp>
      <tp>
        <v>0</v>
        <stp/>
        <stp>##V3_BDHV12</stp>
        <stp>XOM US Equity</stp>
        <stp>CF_NET_CASH_DISCONT_OPS_OPER</stp>
        <stp>FQ1 2012</stp>
        <stp>FQ1 2012</stp>
        <stp>[FA1_m42y3cpi.xlsx]Cash Flow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4"/>
      </tp>
      <tp>
        <v>0</v>
        <stp/>
        <stp>##V3_BDHV12</stp>
        <stp>XOM US Equity</stp>
        <stp>CF_NET_CASH_DISCONT_OPS_OPER</stp>
        <stp>FQ3 2015</stp>
        <stp>FQ3 2015</stp>
        <stp>[FA1_m42y3cpi.xlsx]Cash Flow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4"/>
      </tp>
      <tp>
        <v>0</v>
        <stp/>
        <stp>##V3_BDHV12</stp>
        <stp>XOM US Equity</stp>
        <stp>CF_NET_CASH_DISCONT_OPS_OPER</stp>
        <stp>FQ2 2014</stp>
        <stp>FQ2 2014</stp>
        <stp>[FA1_m42y3cpi.xlsx]Cash Flow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4"/>
      </tp>
      <tp>
        <v>0</v>
        <stp/>
        <stp>##V3_BDHV12</stp>
        <stp>XOM US Equity</stp>
        <stp>CF_NET_CASH_DISCONT_OPS_OPER</stp>
        <stp>FQ3 2016</stp>
        <stp>FQ3 2016</stp>
        <stp>[FA1_m42y3cpi.xlsx]Cash Flow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4"/>
      </tp>
      <tp>
        <v>0</v>
        <stp/>
        <stp>##V3_BDHV12</stp>
        <stp>XOM US Equity</stp>
        <stp>CF_NET_CASH_DISCONT_OPS_OPER</stp>
        <stp>FQ4 2017</stp>
        <stp>FQ4 2017</stp>
        <stp>[FA1_m42y3cpi.xlsx]Cash Flow - Standardized!R16C40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6" s="4"/>
      </tp>
      <tp>
        <v>0</v>
        <stp/>
        <stp>##V3_BDHV12</stp>
        <stp>XOM US Equity</stp>
        <stp>CF_NET_CASH_DISCONT_OPS_OPER</stp>
        <stp>FQ1 2011</stp>
        <stp>FQ1 2011</stp>
        <stp>[FA1_m42y3cpi.xlsx]Cash Flow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4"/>
      </tp>
      <tp>
        <v>0</v>
        <stp/>
        <stp>##V3_BDHV12</stp>
        <stp>XOM US Equity</stp>
        <stp>CF_NET_CASH_DISCONT_OPS_OPER</stp>
        <stp>FQ2 2013</stp>
        <stp>FQ2 2013</stp>
        <stp>[FA1_m42y3cpi.xlsx]Cash Flow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4"/>
      </tp>
      <tp>
        <v>0</v>
        <stp/>
        <stp>##V3_BDHV12</stp>
        <stp>XOM US Equity</stp>
        <stp>OTHER_ADJUSTMENTS</stp>
        <stp>FQ2 2018</stp>
        <stp>FQ2 2018</stp>
        <stp>[FA1_m42y3cpi.xlsx]Income - Adjusted!R42C42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2" s="2"/>
      </tp>
      <tp>
        <v>13799</v>
        <stp/>
        <stp>##V3_BDHV12</stp>
        <stp>XOM US Equity</stp>
        <stp>PRETAX_INC</stp>
        <stp>FQ4 2008</stp>
        <stp>FQ4 2008</stp>
        <stp>[FA1_m42y3cpi.xlsx]Income - Adjusted!R24C4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4" s="2"/>
      </tp>
      <tp>
        <v>26693</v>
        <stp/>
        <stp>##V3_BDHV12</stp>
        <stp>XOM US Equity</stp>
        <stp>PRETAX_INC</stp>
        <stp>FQ3 2008</stp>
        <stp>FQ3 2008</stp>
        <stp>[FA1_m42y3cpi.xlsx]Income - Adjusted!R24C3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4" s="2"/>
      </tp>
      <tp>
        <v>0</v>
        <stp/>
        <stp>##V3_BDHV12</stp>
        <stp>XOM US Equity</stp>
        <stp>XO_GL_NET_OF_TAX</stp>
        <stp>FQ3 2008</stp>
        <stp>FQ3 2008</stp>
        <stp>[FA1_m42y3cpi.xlsx]Income - Adjusted!R35C3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2"/>
      </tp>
      <tp>
        <v>0</v>
        <stp/>
        <stp>##V3_BDHV12</stp>
        <stp>XOM US Equity</stp>
        <stp>XO_GL_NET_OF_TAX</stp>
        <stp>FQ3 2008</stp>
        <stp>FQ3 2008</stp>
        <stp>[FA1_m42y3cpi.xlsx]Income - Adjusted!R47C3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2"/>
      </tp>
      <tp>
        <v>0</v>
        <stp/>
        <stp>##V3_BDHV12</stp>
        <stp>XOM US Equity</stp>
        <stp>XO_GL_NET_OF_TAX</stp>
        <stp>FQ3 2009</stp>
        <stp>FQ3 2009</stp>
        <stp>[FA1_m42y3cpi.xlsx]Income - Adjusted!R35C7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2"/>
      </tp>
      <tp>
        <v>0</v>
        <stp/>
        <stp>##V3_BDHV12</stp>
        <stp>XOM US Equity</stp>
        <stp>XO_GL_NET_OF_TAX</stp>
        <stp>FQ3 2009</stp>
        <stp>FQ3 2009</stp>
        <stp>[FA1_m42y3cpi.xlsx]Income - Adjusted!R47C7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2"/>
      </tp>
      <tp>
        <v>26112</v>
        <stp/>
        <stp>##V3_BDHV12</stp>
        <stp>XOM US Equity</stp>
        <stp>OTHER_NONCURRENT_LIABS_DETAILED</stp>
        <stp>FQ2 2017</stp>
        <stp>FQ2 2017</stp>
        <stp>[FA1_m42y3cpi.xlsx]Bal Sheet - Standardized!R64C38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4" s="3"/>
      </tp>
      <tp>
        <v>27001</v>
        <stp/>
        <stp>##V3_BDHV12</stp>
        <stp>XOM US Equity</stp>
        <stp>OTHER_NONCURRENT_LIABS_DETAILED</stp>
        <stp>FQ2 2015</stp>
        <stp>FQ2 2015</stp>
        <stp>[FA1_m42y3cpi.xlsx]Bal Sheet - Standardized!R64C30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4" s="3"/>
      </tp>
      <tp>
        <v>1225</v>
        <stp/>
        <stp>##V3_BDHV12</stp>
        <stp>XOM US Equity</stp>
        <stp>BS_TOTAL_CAPITAL_LEASES</stp>
        <stp>FQ4 2016</stp>
        <stp>FQ4 2016</stp>
        <stp>[FA1_m42y3cpi.xlsx]Bal Sheet - Standardized!R83C36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3" s="3"/>
      </tp>
      <tp>
        <v>27108</v>
        <stp/>
        <stp>##V3_BDHV12</stp>
        <stp>XOM US Equity</stp>
        <stp>OTHER_NONCURRENT_LIABS_DETAILED</stp>
        <stp>FQ3 2013</stp>
        <stp>FQ3 2013</stp>
        <stp>[FA1_m42y3cpi.xlsx]Bal Sheet - Standardized!R64C23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4" s="3"/>
      </tp>
      <tp>
        <v>27000</v>
        <stp/>
        <stp>##V3_BDHV12</stp>
        <stp>XOM US Equity</stp>
        <stp>OTHER_NONCURRENT_LIABS_DETAILED</stp>
        <stp>FQ2 2016</stp>
        <stp>FQ2 2016</stp>
        <stp>[FA1_m42y3cpi.xlsx]Bal Sheet - Standardized!R64C34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4" s="3"/>
      </tp>
      <tp>
        <v>27294</v>
        <stp/>
        <stp>##V3_BDHV12</stp>
        <stp>XOM US Equity</stp>
        <stp>OTHER_NONCURRENT_LIABS_DETAILED</stp>
        <stp>FQ3 2014</stp>
        <stp>FQ3 2014</stp>
        <stp>[FA1_m42y3cpi.xlsx]Bal Sheet - Standardized!R64C27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4" s="3"/>
      </tp>
      <tp>
        <v>1238</v>
        <stp/>
        <stp>##V3_BDHV12</stp>
        <stp>XOM US Equity</stp>
        <stp>BS_TOTAL_CAPITAL_LEASES</stp>
        <stp>FQ4 2015</stp>
        <stp>FQ4 2015</stp>
        <stp>[FA1_m42y3cpi.xlsx]Bal Sheet - Standardized!R83C32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3" s="3"/>
      </tp>
      <tp>
        <v>18.507300000000001</v>
        <stp/>
        <stp>##V3_BDHV12</stp>
        <stp>XOM US Equity</stp>
        <stp>EBITDA_MARGIN</stp>
        <stp>FQ4 2008</stp>
        <stp>FQ4 2008</stp>
        <stp>[FA1_m42y3cpi.xlsx]Income - Adjusted!R62C4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62" s="2"/>
      </tp>
      <tp>
        <v>18.723600000000001</v>
        <stp/>
        <stp>##V3_BDHV12</stp>
        <stp>XOM US Equity</stp>
        <stp>EBITDA_MARGIN</stp>
        <stp>FQ3 2008</stp>
        <stp>FQ3 2008</stp>
        <stp>[FA1_m42y3cpi.xlsx]Income - Adjusted!R62C3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62" s="2"/>
      </tp>
      <tp>
        <v>8004</v>
        <stp/>
        <stp>##V3_BDHV12</stp>
        <stp>XOM US Equity</stp>
        <stp>IS_INC_TAX_EXP</stp>
        <stp>FQ1 2011</stp>
        <stp>FQ1 2011</stp>
        <stp>[FA1_m42y3cpi.xlsx]Income - Adjusted!R33C13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33" s="2"/>
      </tp>
      <tp>
        <v>6277</v>
        <stp/>
        <stp>##V3_BDHV12</stp>
        <stp>XOM US Equity</stp>
        <stp>IS_INC_TAX_EXP</stp>
        <stp>FQ1 2013</stp>
        <stp>FQ1 2013</stp>
        <stp>[FA1_m42y3cpi.xlsx]Income - Adjusted!R33C21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33" s="2"/>
      </tp>
      <tp>
        <v>715</v>
        <stp/>
        <stp>##V3_BDHV12</stp>
        <stp>XOM US Equity</stp>
        <stp>IS_INC_TAX_EXP</stp>
        <stp>FQ2 2016</stp>
        <stp>FQ2 2016</stp>
        <stp>[FA1_m42y3cpi.xlsx]Income - Adjusted!R33C34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33" s="2"/>
      </tp>
      <tp>
        <v>5034</v>
        <stp/>
        <stp>##V3_BDHV12</stp>
        <stp>XOM US Equity</stp>
        <stp>IS_INC_TAX_EXP</stp>
        <stp>FQ2 2014</stp>
        <stp>FQ2 2014</stp>
        <stp>[FA1_m42y3cpi.xlsx]Income - Adjusted!R33C26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33" s="2"/>
      </tp>
      <tp>
        <v>5811</v>
        <stp/>
        <stp>##V3_BDHV12</stp>
        <stp>XOM US Equity</stp>
        <stp>IS_INC_TAX_EXP</stp>
        <stp>FQ4 2010</stp>
        <stp>FQ4 2010</stp>
        <stp>[FA1_m42y3cpi.xlsx]Income - Adjusted!R33C12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33" s="2"/>
      </tp>
      <tp>
        <v>7398</v>
        <stp/>
        <stp>##V3_BDHV12</stp>
        <stp>XOM US Equity</stp>
        <stp>IS_INC_TAX_EXP</stp>
        <stp>FQ4 2012</stp>
        <stp>FQ4 2012</stp>
        <stp>[FA1_m42y3cpi.xlsx]Income - Adjusted!R33C20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33" s="2"/>
      </tp>
      <tp>
        <v>8428.1538</v>
        <stp/>
        <stp>##V3_BDHV12</stp>
        <stp>XOM US Equity</stp>
        <stp>PRETAX_INC</stp>
        <stp>FQ4 2014</stp>
        <stp>FQ4 2014</stp>
        <stp>[FA1_m42y3cpi.xlsx]Income - Adjusted!R24C28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4" s="2"/>
      </tp>
      <tp>
        <v>6635</v>
        <stp/>
        <stp>##V3_BDHV12</stp>
        <stp>XOM US Equity</stp>
        <stp>PRETAX_INC</stp>
        <stp>FQ1 2015</stp>
        <stp>FQ1 2015</stp>
        <stp>[FA1_m42y3cpi.xlsx]Income - Adjusted!R24C29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4" s="2"/>
      </tp>
      <tp>
        <v>4695</v>
        <stp/>
        <stp>##V3_BDHV12</stp>
        <stp>XOM US Equity</stp>
        <stp>BS_LT_RECEIVABLES</stp>
        <stp>FQ4 2016</stp>
        <stp>FQ4 2016</stp>
        <stp>[FA1_m42y3cpi.xlsx]Bal Sheet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3"/>
      </tp>
      <tp>
        <v>4524</v>
        <stp/>
        <stp>##V3_BDHV12</stp>
        <stp>XOM US Equity</stp>
        <stp>BS_LT_RECEIVABLES</stp>
        <stp>FQ4 2015</stp>
        <stp>FQ4 2015</stp>
        <stp>[FA1_m42y3cpi.xlsx]Bal Sheet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3"/>
      </tp>
      <tp>
        <v>80222</v>
        <stp/>
        <stp>##V3_BDHV12</stp>
        <stp>XOM US Equity</stp>
        <stp>IS_SALES_AND_SERVICES_REVENUES</stp>
        <stp>FQ1 2010</stp>
        <stp>FQ1 2010</stp>
        <stp>[FA1_m42y3cpi.xlsx]Income - Adjusted!R7C9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7" s="2"/>
      </tp>
      <tp t="s">
        <v>—</v>
        <stp/>
        <stp>##V3_BDHV12</stp>
        <stp>XOM US Equity</stp>
        <stp>BS_DEFERRED_TAX_ASSETS_LT</stp>
        <stp>FQ1 2012</stp>
        <stp>FQ1 2012</stp>
        <stp>[FA1_m42y3cpi.xlsx]Bal Sheet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3"/>
      </tp>
      <tp t="s">
        <v>—</v>
        <stp/>
        <stp>##V3_BDHV12</stp>
        <stp>XOM US Equity</stp>
        <stp>BS_DEFERRED_TAX_ASSETS_ST</stp>
        <stp>FQ1 2012</stp>
        <stp>FQ1 2012</stp>
        <stp>[FA1_m42y3cpi.xlsx]Bal Sheet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3"/>
      </tp>
      <tp t="s">
        <v>—</v>
        <stp/>
        <stp>##V3_BDHV12</stp>
        <stp>XOM US Equity</stp>
        <stp>BS_DEFERRED_TAX_ASSETS_ST</stp>
        <stp>FQ3 2015</stp>
        <stp>FQ3 2015</stp>
        <stp>[FA1_m42y3cpi.xlsx]Bal Sheet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3"/>
      </tp>
      <tp t="s">
        <v>—</v>
        <stp/>
        <stp>##V3_BDHV12</stp>
        <stp>XOM US Equity</stp>
        <stp>BS_DEFERRED_TAX_ASSETS_LT</stp>
        <stp>FQ3 2015</stp>
        <stp>FQ3 2015</stp>
        <stp>[FA1_m42y3cpi.xlsx]Bal Sheet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3"/>
      </tp>
      <tp t="s">
        <v>—</v>
        <stp/>
        <stp>##V3_BDHV12</stp>
        <stp>XOM US Equity</stp>
        <stp>BS_DEFERRED_TAX_ASSETS_LT</stp>
        <stp>FQ2 2014</stp>
        <stp>FQ2 2014</stp>
        <stp>[FA1_m42y3cpi.xlsx]Bal Sheet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3"/>
      </tp>
      <tp>
        <v>4334</v>
        <stp/>
        <stp>##V3_BDHV12</stp>
        <stp>XOM US Equity</stp>
        <stp>BS_DEFERRED_TAX_ASSETS_LT</stp>
        <stp>FQ3 2016</stp>
        <stp>FQ3 2016</stp>
        <stp>[FA1_m42y3cpi.xlsx]Bal Sheet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3"/>
      </tp>
      <tp>
        <v>0</v>
        <stp/>
        <stp>##V3_BDHV12</stp>
        <stp>XOM US Equity</stp>
        <stp>BS_DEFERRED_TAX_ASSETS_ST</stp>
        <stp>FQ3 2016</stp>
        <stp>FQ3 2016</stp>
        <stp>[FA1_m42y3cpi.xlsx]Bal Sheet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3"/>
      </tp>
      <tp t="s">
        <v>—</v>
        <stp/>
        <stp>##V3_BDHV12</stp>
        <stp>XOM US Equity</stp>
        <stp>BS_DEFERRED_TAX_ASSETS_ST</stp>
        <stp>FQ2 2014</stp>
        <stp>FQ2 2014</stp>
        <stp>[FA1_m42y3cpi.xlsx]Bal Sheet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3"/>
      </tp>
      <tp t="s">
        <v>—</v>
        <stp/>
        <stp>##V3_BDHV12</stp>
        <stp>XOM US Equity</stp>
        <stp>BS_DEFERRED_TAX_ASSETS_ST</stp>
        <stp>FQ2 2013</stp>
        <stp>FQ2 2013</stp>
        <stp>[FA1_m42y3cpi.xlsx]Bal Sheet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3"/>
      </tp>
      <tp t="s">
        <v>—</v>
        <stp/>
        <stp>##V3_BDHV12</stp>
        <stp>XOM US Equity</stp>
        <stp>BS_DEFERRED_TAX_ASSETS_ST</stp>
        <stp>FQ1 2011</stp>
        <stp>FQ1 2011</stp>
        <stp>[FA1_m42y3cpi.xlsx]Bal Sheet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3"/>
      </tp>
      <tp t="s">
        <v>—</v>
        <stp/>
        <stp>##V3_BDHV12</stp>
        <stp>XOM US Equity</stp>
        <stp>BS_DEFERRED_TAX_ASSETS_ST</stp>
        <stp>FQ4 2017</stp>
        <stp>FQ4 2017</stp>
        <stp>[FA1_m42y3cpi.xlsx]Bal Sheet - Standardized!R20C40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0" s="3"/>
      </tp>
      <tp t="s">
        <v>—</v>
        <stp/>
        <stp>##V3_BDHV12</stp>
        <stp>XOM US Equity</stp>
        <stp>BS_DEFERRED_TAX_ASSETS_LT</stp>
        <stp>FQ1 2011</stp>
        <stp>FQ1 2011</stp>
        <stp>[FA1_m42y3cpi.xlsx]Bal Sheet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3"/>
      </tp>
      <tp t="s">
        <v>—</v>
        <stp/>
        <stp>##V3_BDHV12</stp>
        <stp>XOM US Equity</stp>
        <stp>BS_DEFERRED_TAX_ASSETS_LT</stp>
        <stp>FQ2 2013</stp>
        <stp>FQ2 2013</stp>
        <stp>[FA1_m42y3cpi.xlsx]Bal Sheet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3"/>
      </tp>
      <tp t="s">
        <v>—</v>
        <stp/>
        <stp>##V3_BDHV12</stp>
        <stp>XOM US Equity</stp>
        <stp>BS_DEFERRED_TAX_ASSETS_LT</stp>
        <stp>FQ4 2017</stp>
        <stp>FQ4 2017</stp>
        <stp>[FA1_m42y3cpi.xlsx]Bal Sheet - Standardized!R33C40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3" s="3"/>
      </tp>
      <tp t="s">
        <v>—</v>
        <stp/>
        <stp>##V3_BDHV12</stp>
        <stp>XOM US Equity</stp>
        <stp>BS_DEFERRED_TAX_ASSETS_ST</stp>
        <stp>FQ3 2017</stp>
        <stp>FQ3 2017</stp>
        <stp>[FA1_m42y3cpi.xlsx]Bal Sheet - Standardized!R20C39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0" s="3"/>
      </tp>
      <tp t="s">
        <v>—</v>
        <stp/>
        <stp>##V3_BDHV12</stp>
        <stp>XOM US Equity</stp>
        <stp>BS_DEFERRED_TAX_ASSETS_LT</stp>
        <stp>FQ3 2017</stp>
        <stp>FQ3 2017</stp>
        <stp>[FA1_m42y3cpi.xlsx]Bal Sheet - Standardized!R33C39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3" s="3"/>
      </tp>
      <tp>
        <v>23238</v>
        <stp/>
        <stp>##V3_BDHV12</stp>
        <stp>XOM US Equity</stp>
        <stp>BS_DEFERRED_TAX_LIABILITIES_LT</stp>
        <stp>FQ3 2009</stp>
        <stp>FQ3 2009</stp>
        <stp>[FA1_m42y3cpi.xlsx]Bal Sheet - Standardized!R62C7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2" s="3"/>
      </tp>
      <tp>
        <v>21880</v>
        <stp/>
        <stp>##V3_BDHV12</stp>
        <stp>XOM US Equity</stp>
        <stp>BS_DEFERRED_TAX_LIABILITIES_LT</stp>
        <stp>FQ2 2009</stp>
        <stp>FQ2 2009</stp>
        <stp>[FA1_m42y3cpi.xlsx]Bal Sheet - Standardized!R62C6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2" s="3"/>
      </tp>
      <tp>
        <v>20063</v>
        <stp/>
        <stp>##V3_BDHV12</stp>
        <stp>XOM US Equity</stp>
        <stp>BS_DEFERRED_TAX_LIABILITIES_LT</stp>
        <stp>FQ1 2009</stp>
        <stp>FQ1 2009</stp>
        <stp>[FA1_m42y3cpi.xlsx]Bal Sheet - Standardized!R62C5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2" s="3"/>
      </tp>
      <tp>
        <v>0</v>
        <stp/>
        <stp>##V3_BDHV12</stp>
        <stp>XOM US Equity</stp>
        <stp>IS_FOREIGN_EXCH_LOSS</stp>
        <stp>FQ4 2008</stp>
        <stp>FQ4 2008</stp>
        <stp>[FA1_m42y3cpi.xlsx]Income - Adjusted!R21C4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1" s="2"/>
      </tp>
      <tp>
        <v>0</v>
        <stp/>
        <stp>##V3_BDHV12</stp>
        <stp>XOM US Equity</stp>
        <stp>IS_FOREIGN_EXCH_LOSS</stp>
        <stp>FQ3 2008</stp>
        <stp>FQ3 2008</stp>
        <stp>[FA1_m42y3cpi.xlsx]Income - Adjusted!R21C3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1" s="2"/>
      </tp>
      <tp t="s">
        <v>—</v>
        <stp/>
        <stp>##V3_BDHV12</stp>
        <stp>XOM US Equity</stp>
        <stp>BS_DEFERRED_TAX_LIABILITIES_LT</stp>
        <stp>FQ3 2008</stp>
        <stp>FQ3 2008</stp>
        <stp>[FA1_m42y3cpi.xlsx]Bal Sheet - Standardized!R62C3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2" s="3"/>
      </tp>
      <tp t="s">
        <v>—</v>
        <stp/>
        <stp>##V3_BDHV12</stp>
        <stp>XOM US Equity</stp>
        <stp>BS_DEFERRED_TAX_LIABILITIES_LT</stp>
        <stp>FQ4 2008</stp>
        <stp>FQ4 2008</stp>
        <stp>[FA1_m42y3cpi.xlsx]Bal Sheet - Standardized!R62C4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2" s="3"/>
      </tp>
      <tp>
        <v>4937</v>
        <stp/>
        <stp>##V3_BDHV12</stp>
        <stp>XOM US Equity</stp>
        <stp>IS_AVG_NUM_SH_FOR_EPS</stp>
        <stp>FQ1 2009</stp>
        <stp>FQ1 2009</stp>
        <stp>[FA1_m42y3cpi.xlsx]Income - Adjusted!R49C5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9" s="2"/>
      </tp>
      <tp>
        <v>4784</v>
        <stp/>
        <stp>##V3_BDHV12</stp>
        <stp>XOM US Equity</stp>
        <stp>IS_AVG_NUM_SH_FOR_EPS</stp>
        <stp>FQ3 2009</stp>
        <stp>FQ3 2009</stp>
        <stp>[FA1_m42y3cpi.xlsx]Income - Adjusted!R49C7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9" s="2"/>
      </tp>
      <tp>
        <v>4851</v>
        <stp/>
        <stp>##V3_BDHV12</stp>
        <stp>XOM US Equity</stp>
        <stp>IS_AVG_NUM_SH_FOR_EPS</stp>
        <stp>FQ2 2009</stp>
        <stp>FQ2 2009</stp>
        <stp>[FA1_m42y3cpi.xlsx]Income - Adjusted!R49C6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9" s="2"/>
      </tp>
      <tp>
        <v>23148</v>
        <stp/>
        <stp>##V3_BDHV12</stp>
        <stp>XOM US Equity</stp>
        <stp>BS_DEFERRED_TAX_LIABILITIES_LT</stp>
        <stp>FQ4 2009</stp>
        <stp>FQ4 2009</stp>
        <stp>[FA1_m42y3cpi.xlsx]Bal Sheet - Standardized!R62C8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2" s="3"/>
      </tp>
      <tp>
        <v>23662</v>
        <stp/>
        <stp>##V3_BDHV12</stp>
        <stp>XOM US Equity</stp>
        <stp>BS_DEFERRED_TAX_LIABILITIES_LT</stp>
        <stp>FQ1 2010</stp>
        <stp>FQ1 2010</stp>
        <stp>[FA1_m42y3cpi.xlsx]Bal Sheet - Standardized!R62C9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2" s="3"/>
      </tp>
      <tp>
        <v>4871</v>
        <stp/>
        <stp>##V3_BDHV12</stp>
        <stp>XOM US Equity</stp>
        <stp>IS_SH_FOR_DILUTED_EPS</stp>
        <stp>FQ2 2009</stp>
        <stp>FQ2 2009</stp>
        <stp>[FA1_m42y3cpi.xlsx]Income - Adjusted!R54C6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4" s="2"/>
      </tp>
      <tp>
        <v>4803</v>
        <stp/>
        <stp>##V3_BDHV12</stp>
        <stp>XOM US Equity</stp>
        <stp>IS_SH_FOR_DILUTED_EPS</stp>
        <stp>FQ3 2009</stp>
        <stp>FQ3 2009</stp>
        <stp>[FA1_m42y3cpi.xlsx]Income - Adjusted!R54C7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4" s="2"/>
      </tp>
      <tp>
        <v>4959</v>
        <stp/>
        <stp>##V3_BDHV12</stp>
        <stp>XOM US Equity</stp>
        <stp>IS_SH_FOR_DILUTED_EPS</stp>
        <stp>FQ1 2009</stp>
        <stp>FQ1 2009</stp>
        <stp>[FA1_m42y3cpi.xlsx]Income - Adjusted!R54C5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4" s="2"/>
      </tp>
      <tp>
        <v>0.92</v>
        <stp/>
        <stp>##V3_BDHV12</stp>
        <stp>XOM US Equity</stp>
        <stp>IS_BASIC_EPS_CONT_OPS</stp>
        <stp>FQ1 2009</stp>
        <stp>FQ1 2009</stp>
        <stp>[FA1_m42y3cpi.xlsx]Income - Adjusted!R52C5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2" s="2"/>
      </tp>
      <tp>
        <v>0.98</v>
        <stp/>
        <stp>##V3_BDHV12</stp>
        <stp>XOM US Equity</stp>
        <stp>IS_BASIC_EPS_CONT_OPS</stp>
        <stp>FQ3 2009</stp>
        <stp>FQ3 2009</stp>
        <stp>[FA1_m42y3cpi.xlsx]Income - Adjusted!R52C7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2" s="2"/>
      </tp>
      <tp>
        <v>0.84309999999999996</v>
        <stp/>
        <stp>##V3_BDHV12</stp>
        <stp>XOM US Equity</stp>
        <stp>IS_BASIC_EPS_CONT_OPS</stp>
        <stp>FQ2 2009</stp>
        <stp>FQ2 2009</stp>
        <stp>[FA1_m42y3cpi.xlsx]Income - Adjusted!R52C6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2" s="2"/>
      </tp>
      <tp>
        <v>0</v>
        <stp/>
        <stp>##V3_BDHV12</stp>
        <stp>XOM US Equity</stp>
        <stp>CF_NET_CASH_DISCONT_OPS_OPER</stp>
        <stp>FQ1 2015</stp>
        <stp>FQ1 2015</stp>
        <stp>[FA1_m42y3cpi.xlsx]Cash Flow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4"/>
      </tp>
      <tp>
        <v>0</v>
        <stp/>
        <stp>##V3_BDHV12</stp>
        <stp>XOM US Equity</stp>
        <stp>CF_NET_CASH_DISCONT_OPS_OPER</stp>
        <stp>FQ2 2012</stp>
        <stp>FQ2 2012</stp>
        <stp>[FA1_m42y3cpi.xlsx]Cash Flow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4"/>
      </tp>
      <tp>
        <v>0</v>
        <stp/>
        <stp>##V3_BDHV12</stp>
        <stp>XOM US Equity</stp>
        <stp>CF_NET_CASH_DISCONT_OPS_OPER</stp>
        <stp>FQ2 2011</stp>
        <stp>FQ2 2011</stp>
        <stp>[FA1_m42y3cpi.xlsx]Cash Flow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4"/>
      </tp>
      <tp>
        <v>0</v>
        <stp/>
        <stp>##V3_BDHV12</stp>
        <stp>XOM US Equity</stp>
        <stp>CF_NET_CASH_DISCONT_OPS_OPER</stp>
        <stp>FQ1 2014</stp>
        <stp>FQ1 2014</stp>
        <stp>[FA1_m42y3cpi.xlsx]Cash Flow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4"/>
      </tp>
      <tp>
        <v>0</v>
        <stp/>
        <stp>##V3_BDHV12</stp>
        <stp>XOM US Equity</stp>
        <stp>CF_NET_CASH_DISCONT_OPS_OPER</stp>
        <stp>FQ1 2013</stp>
        <stp>FQ1 2013</stp>
        <stp>[FA1_m42y3cpi.xlsx]Cash Flow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4"/>
      </tp>
      <tp>
        <v>0</v>
        <stp/>
        <stp>##V3_BDHV12</stp>
        <stp>XOM US Equity</stp>
        <stp>CF_NET_CASH_DISCONT_OPS_OPER</stp>
        <stp>FQ2 2010</stp>
        <stp>FQ2 2010</stp>
        <stp>[FA1_m42y3cpi.xlsx]Cash Flow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4"/>
      </tp>
      <tp>
        <v>0</v>
        <stp/>
        <stp>##V3_BDHV12</stp>
        <stp>XOM US Equity</stp>
        <stp>OTHER_ADJUSTMENTS</stp>
        <stp>FQ1 2018</stp>
        <stp>FQ1 2018</stp>
        <stp>[FA1_m42y3cpi.xlsx]Income - Adjusted!R42C41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2" s="2"/>
      </tp>
      <tp>
        <v>0</v>
        <stp/>
        <stp>##V3_BDHV12</stp>
        <stp>XOM US Equity</stp>
        <stp>XO_GL_NET_OF_TAX</stp>
        <stp>FQ1 2010</stp>
        <stp>FQ1 2010</stp>
        <stp>[FA1_m42y3cpi.xlsx]Income - Adjusted!R35C9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2"/>
      </tp>
      <tp>
        <v>0</v>
        <stp/>
        <stp>##V3_BDHV12</stp>
        <stp>XOM US Equity</stp>
        <stp>XO_GL_NET_OF_TAX</stp>
        <stp>FQ1 2010</stp>
        <stp>FQ1 2010</stp>
        <stp>[FA1_m42y3cpi.xlsx]Income - Adjusted!R47C9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2"/>
      </tp>
      <tp>
        <v>24553</v>
        <stp/>
        <stp>##V3_BDHV12</stp>
        <stp>XOM US Equity</stp>
        <stp>OTHER_NONCURRENT_LIABS_DETAILED</stp>
        <stp>FQ3 2012</stp>
        <stp>FQ3 2012</stp>
        <stp>[FA1_m42y3cpi.xlsx]Bal Sheet - Standardized!R64C19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4" s="3"/>
      </tp>
      <tp>
        <v>20265</v>
        <stp/>
        <stp>##V3_BDHV12</stp>
        <stp>XOM US Equity</stp>
        <stp>OTHER_NONCURRENT_LIABS_DETAILED</stp>
        <stp>FQ3 2011</stp>
        <stp>FQ3 2011</stp>
        <stp>[FA1_m42y3cpi.xlsx]Bal Sheet - Standardized!R64C15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4" s="3"/>
      </tp>
      <tp>
        <v>27303</v>
        <stp/>
        <stp>##V3_BDHV12</stp>
        <stp>XOM US Equity</stp>
        <stp>OTHER_NONCURRENT_LIABS_DETAILED</stp>
        <stp>FQ1 2016</stp>
        <stp>FQ1 2016</stp>
        <stp>[FA1_m42y3cpi.xlsx]Bal Sheet - Standardized!R64C33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4" s="3"/>
      </tp>
      <tp>
        <v>19087</v>
        <stp/>
        <stp>##V3_BDHV12</stp>
        <stp>XOM US Equity</stp>
        <stp>OTHER_NONCURRENT_LIABS_DETAILED</stp>
        <stp>FQ3 2010</stp>
        <stp>FQ3 2010</stp>
        <stp>[FA1_m42y3cpi.xlsx]Bal Sheet - Standardized!R64C11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4" s="3"/>
      </tp>
      <tp>
        <v>26584</v>
        <stp/>
        <stp>##V3_BDHV12</stp>
        <stp>XOM US Equity</stp>
        <stp>OTHER_NONCURRENT_LIABS_DETAILED</stp>
        <stp>FQ1 2017</stp>
        <stp>FQ1 2017</stp>
        <stp>[FA1_m42y3cpi.xlsx]Bal Sheet - Standardized!R64C37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4" s="3"/>
      </tp>
      <tp>
        <v>5857</v>
        <stp/>
        <stp>##V3_BDHV12</stp>
        <stp>XOM US Equity</stp>
        <stp>IS_INC_TAX_EXP</stp>
        <stp>FQ1 2014</stp>
        <stp>FQ1 2014</stp>
        <stp>[FA1_m42y3cpi.xlsx]Income - Adjusted!R33C25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33" s="2"/>
      </tp>
      <tp>
        <v>5297</v>
        <stp/>
        <stp>##V3_BDHV12</stp>
        <stp>XOM US Equity</stp>
        <stp>IS_INC_TAX_EXP</stp>
        <stp>FQ3 2010</stp>
        <stp>FQ3 2010</stp>
        <stp>[FA1_m42y3cpi.xlsx]Income - Adjusted!R33C11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33" s="2"/>
      </tp>
      <tp>
        <v>5793</v>
        <stp/>
        <stp>##V3_BDHV12</stp>
        <stp>XOM US Equity</stp>
        <stp>IS_INC_TAX_EXP</stp>
        <stp>FQ2 2013</stp>
        <stp>FQ2 2013</stp>
        <stp>[FA1_m42y3cpi.xlsx]Income - Adjusted!R33C22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33" s="2"/>
      </tp>
      <tp>
        <v>4156</v>
        <stp/>
        <stp>##V3_BDHV12</stp>
        <stp>XOM US Equity</stp>
        <stp>PRETAX_INC</stp>
        <stp>FQ2 2017</stp>
        <stp>FQ2 2017</stp>
        <stp>[FA1_m42y3cpi.xlsx]Income - Adjusted!R24C38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24" s="2"/>
      </tp>
      <tp t="s">
        <v>—</v>
        <stp/>
        <stp>##V3_BDHV12</stp>
        <stp>XOM US Equity</stp>
        <stp>BS_DEFERRED_TAX_ASSETS_ST</stp>
        <stp>FQ2 2011</stp>
        <stp>FQ2 2011</stp>
        <stp>[FA1_m42y3cpi.xlsx]Bal Sheet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3"/>
      </tp>
      <tp t="s">
        <v>—</v>
        <stp/>
        <stp>##V3_BDHV12</stp>
        <stp>XOM US Equity</stp>
        <stp>BS_DEFERRED_TAX_ASSETS_LT</stp>
        <stp>FQ2 2011</stp>
        <stp>FQ2 2011</stp>
        <stp>[FA1_m42y3cpi.xlsx]Bal Sheet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3"/>
      </tp>
      <tp t="s">
        <v>—</v>
        <stp/>
        <stp>##V3_BDHV12</stp>
        <stp>XOM US Equity</stp>
        <stp>BS_DEFERRED_TAX_ASSETS_LT</stp>
        <stp>FQ1 2014</stp>
        <stp>FQ1 2014</stp>
        <stp>[FA1_m42y3cpi.xlsx]Bal Sheet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3"/>
      </tp>
      <tp t="s">
        <v>—</v>
        <stp/>
        <stp>##V3_BDHV12</stp>
        <stp>XOM US Equity</stp>
        <stp>BS_DEFERRED_TAX_ASSETS_ST</stp>
        <stp>FQ1 2014</stp>
        <stp>FQ1 2014</stp>
        <stp>[FA1_m42y3cpi.xlsx]Bal Sheet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3"/>
      </tp>
      <tp t="s">
        <v>—</v>
        <stp/>
        <stp>##V3_BDHV12</stp>
        <stp>XOM US Equity</stp>
        <stp>BS_DEFERRED_TAX_ASSETS_LT</stp>
        <stp>FQ2 2010</stp>
        <stp>FQ2 2010</stp>
        <stp>[FA1_m42y3cpi.xlsx]Bal Sheet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3"/>
      </tp>
      <tp t="s">
        <v>—</v>
        <stp/>
        <stp>##V3_BDHV12</stp>
        <stp>XOM US Equity</stp>
        <stp>BS_DEFERRED_TAX_ASSETS_ST</stp>
        <stp>FQ1 2013</stp>
        <stp>FQ1 2013</stp>
        <stp>[FA1_m42y3cpi.xlsx]Bal Sheet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3"/>
      </tp>
      <tp t="s">
        <v>—</v>
        <stp/>
        <stp>##V3_BDHV12</stp>
        <stp>XOM US Equity</stp>
        <stp>BS_DEFERRED_TAX_ASSETS_LT</stp>
        <stp>FQ1 2013</stp>
        <stp>FQ1 2013</stp>
        <stp>[FA1_m42y3cpi.xlsx]Bal Sheet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3"/>
      </tp>
      <tp t="s">
        <v>—</v>
        <stp/>
        <stp>##V3_BDHV12</stp>
        <stp>XOM US Equity</stp>
        <stp>BS_DEFERRED_TAX_ASSETS_ST</stp>
        <stp>FQ2 2010</stp>
        <stp>FQ2 2010</stp>
        <stp>[FA1_m42y3cpi.xlsx]Bal Sheet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3"/>
      </tp>
      <tp t="s">
        <v>—</v>
        <stp/>
        <stp>##V3_BDHV12</stp>
        <stp>XOM US Equity</stp>
        <stp>BS_DEFERRED_TAX_ASSETS_ST</stp>
        <stp>FQ1 2015</stp>
        <stp>FQ1 2015</stp>
        <stp>[FA1_m42y3cpi.xlsx]Bal Sheet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3"/>
      </tp>
      <tp t="s">
        <v>—</v>
        <stp/>
        <stp>##V3_BDHV12</stp>
        <stp>XOM US Equity</stp>
        <stp>BS_DEFERRED_TAX_ASSETS_LT</stp>
        <stp>FQ1 2015</stp>
        <stp>FQ1 2015</stp>
        <stp>[FA1_m42y3cpi.xlsx]Bal Sheet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3"/>
      </tp>
      <tp t="s">
        <v>—</v>
        <stp/>
        <stp>##V3_BDHV12</stp>
        <stp>XOM US Equity</stp>
        <stp>BS_DEFERRED_TAX_ASSETS_LT</stp>
        <stp>FQ2 2012</stp>
        <stp>FQ2 2012</stp>
        <stp>[FA1_m42y3cpi.xlsx]Bal Sheet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3"/>
      </tp>
      <tp t="s">
        <v>—</v>
        <stp/>
        <stp>##V3_BDHV12</stp>
        <stp>XOM US Equity</stp>
        <stp>BS_DEFERRED_TAX_ASSETS_ST</stp>
        <stp>FQ2 2012</stp>
        <stp>FQ2 2012</stp>
        <stp>[FA1_m42y3cpi.xlsx]Bal Sheet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3"/>
      </tp>
      <tp>
        <v>12082</v>
        <stp/>
        <stp>##V3_BDHV12</stp>
        <stp>XOM US Equity</stp>
        <stp>GROSS_PROFIT</stp>
        <stp>FQ4 2009</stp>
        <stp>FQ4 2009</stp>
        <stp>[FA1_m42y3cpi.xlsx]Income - Adjusted!R11C8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2"/>
      </tp>
      <tp>
        <v>323960.2</v>
        <stp/>
        <stp>##V3_BDHV12</stp>
        <stp>XOM US Equity</stp>
        <stp>HISTORICAL_MARKET_CAP</stp>
        <stp>FQ4 2015</stp>
        <stp>FQ4 2015</stp>
        <stp>[FA1_m42y3cpi.xlsx]Stock Value!R12C32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6"/>
      </tp>
      <tp>
        <v>361950.16</v>
        <stp/>
        <stp>##V3_BDHV12</stp>
        <stp>XOM US Equity</stp>
        <stp>HISTORICAL_MARKET_CAP</stp>
        <stp>FQ3 2016</stp>
        <stp>FQ3 2016</stp>
        <stp>[FA1_m42y3cpi.xlsx]Stock Value!R12C35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6"/>
      </tp>
      <tp>
        <v>388739.78</v>
        <stp/>
        <stp>##V3_BDHV12</stp>
        <stp>XOM US Equity</stp>
        <stp>HISTORICAL_MARKET_CAP</stp>
        <stp>FQ2 2016</stp>
        <stp>FQ2 2016</stp>
        <stp>[FA1_m42y3cpi.xlsx]Stock Value!R12C34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6"/>
      </tp>
      <tp>
        <v>347476.37</v>
        <stp/>
        <stp>##V3_BDHV12</stp>
        <stp>XOM US Equity</stp>
        <stp>HISTORICAL_MARKET_CAP</stp>
        <stp>FQ1 2017</stp>
        <stp>FQ1 2017</stp>
        <stp>[FA1_m42y3cpi.xlsx]Stock Value!R12C37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6"/>
      </tp>
      <tp>
        <v>6050</v>
        <stp/>
        <stp>##V3_BDHV12</stp>
        <stp>XOM US Equity</stp>
        <stp>CF_NET_INC</stp>
        <stp>FQ4 2009</stp>
        <stp>FQ4 2009</stp>
        <stp>[FA1_m42y3cpi.xlsx]Cash Flow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4"/>
      </tp>
      <tp>
        <v>374398.48</v>
        <stp/>
        <stp>##V3_BDHV12</stp>
        <stp>XOM US Equity</stp>
        <stp>HISTORICAL_MARKET_CAP</stp>
        <stp>FQ4 2016</stp>
        <stp>FQ4 2016</stp>
        <stp>[FA1_m42y3cpi.xlsx]Stock Value!R12C36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6"/>
      </tp>
      <tp>
        <v>346860.79999999999</v>
        <stp/>
        <stp>##V3_BDHV12</stp>
        <stp>XOM US Equity</stp>
        <stp>HISTORICAL_MARKET_CAP</stp>
        <stp>FQ2 2015</stp>
        <stp>FQ2 2015</stp>
        <stp>[FA1_m42y3cpi.xlsx]Stock Value!R12C30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6"/>
      </tp>
      <tp>
        <v>346647.73</v>
        <stp/>
        <stp>##V3_BDHV12</stp>
        <stp>XOM US Equity</stp>
        <stp>HISTORICAL_MARKET_CAP</stp>
        <stp>FQ1 2016</stp>
        <stp>FQ1 2016</stp>
        <stp>[FA1_m42y3cpi.xlsx]Stock Value!R12C33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6"/>
      </tp>
      <tp>
        <v>309519.05</v>
        <stp/>
        <stp>##V3_BDHV12</stp>
        <stp>XOM US Equity</stp>
        <stp>HISTORICAL_MARKET_CAP</stp>
        <stp>FQ3 2015</stp>
        <stp>FQ3 2015</stp>
        <stp>[FA1_m42y3cpi.xlsx]Stock Value!R12C31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6"/>
      </tp>
      <tp>
        <v>3950</v>
        <stp/>
        <stp>##V3_BDHV12</stp>
        <stp>XOM US Equity</stp>
        <stp>CF_NET_INC</stp>
        <stp>FQ2 2009</stp>
        <stp>FQ2 2009</stp>
        <stp>[FA1_m42y3cpi.xlsx]Cash Flow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4"/>
      </tp>
      <tp>
        <v>342053.01</v>
        <stp/>
        <stp>##V3_BDHV12</stp>
        <stp>XOM US Equity</stp>
        <stp>HISTORICAL_MARKET_CAP</stp>
        <stp>FQ2 2017</stp>
        <stp>FQ2 2017</stp>
        <stp>[FA1_m42y3cpi.xlsx]Stock Value!R12C38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6"/>
      </tp>
      <tp>
        <v>347349.26</v>
        <stp/>
        <stp>##V3_BDHV12</stp>
        <stp>XOM US Equity</stp>
        <stp>HISTORICAL_MARKET_CAP</stp>
        <stp>FQ3 2017</stp>
        <stp>FQ3 2017</stp>
        <stp>[FA1_m42y3cpi.xlsx]Stock Value!R12C39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6"/>
      </tp>
      <tp>
        <v>4730</v>
        <stp/>
        <stp>##V3_BDHV12</stp>
        <stp>XOM US Equity</stp>
        <stp>CF_NET_INC</stp>
        <stp>FQ3 2009</stp>
        <stp>FQ3 2009</stp>
        <stp>[FA1_m42y3cpi.xlsx]Cash Flow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4"/>
      </tp>
      <tp>
        <v>4550</v>
        <stp/>
        <stp>##V3_BDHV12</stp>
        <stp>XOM US Equity</stp>
        <stp>CF_NET_INC</stp>
        <stp>FQ1 2009</stp>
        <stp>FQ1 2009</stp>
        <stp>[FA1_m42y3cpi.xlsx]Cash Flow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4"/>
      </tp>
      <tp>
        <v>0</v>
        <stp/>
        <stp>##V3_BDHV12</stp>
        <stp>XOM US Equity</stp>
        <stp>CF_NET_CASH_DISCONT_OPS_OPER</stp>
        <stp>FQ3 2012</stp>
        <stp>FQ3 2012</stp>
        <stp>[FA1_m42y3cpi.xlsx]Cash Flow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4"/>
      </tp>
      <tp>
        <v>0</v>
        <stp/>
        <stp>##V3_BDHV12</stp>
        <stp>XOM US Equity</stp>
        <stp>CF_NET_CASH_DISCONT_OPS_OPER</stp>
        <stp>FQ1 2016</stp>
        <stp>FQ1 2016</stp>
        <stp>[FA1_m42y3cpi.xlsx]Cash Flow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4"/>
      </tp>
      <tp>
        <v>0</v>
        <stp/>
        <stp>##V3_BDHV12</stp>
        <stp>XOM US Equity</stp>
        <stp>CF_NET_CASH_DISCONT_OPS_OPER</stp>
        <stp>FQ3 2011</stp>
        <stp>FQ3 2011</stp>
        <stp>[FA1_m42y3cpi.xlsx]Cash Flow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4"/>
      </tp>
      <tp>
        <v>0</v>
        <stp/>
        <stp>##V3_BDHV12</stp>
        <stp>XOM US Equity</stp>
        <stp>CF_NET_CASH_DISCONT_OPS_OPER</stp>
        <stp>FQ1 2017</stp>
        <stp>FQ1 2017</stp>
        <stp>[FA1_m42y3cpi.xlsx]Cash Flow - Standardized!R16C37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6" s="4"/>
      </tp>
      <tp>
        <v>0</v>
        <stp/>
        <stp>##V3_BDHV12</stp>
        <stp>XOM US Equity</stp>
        <stp>CF_NET_CASH_DISCONT_OPS_OPER</stp>
        <stp>FQ3 2010</stp>
        <stp>FQ3 2010</stp>
        <stp>[FA1_m42y3cpi.xlsx]Cash Flow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4"/>
      </tp>
      <tp>
        <v>0</v>
        <stp/>
        <stp>##V3_BDHV12</stp>
        <stp>XOM US Equity</stp>
        <stp>XO_GL_NET_OF_TAX</stp>
        <stp>FQ1 2009</stp>
        <stp>FQ1 2009</stp>
        <stp>[FA1_m42y3cpi.xlsx]Income - Adjusted!R35C5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2"/>
      </tp>
      <tp>
        <v>0</v>
        <stp/>
        <stp>##V3_BDHV12</stp>
        <stp>XOM US Equity</stp>
        <stp>XO_GL_NET_OF_TAX</stp>
        <stp>FQ1 2009</stp>
        <stp>FQ1 2009</stp>
        <stp>[FA1_m42y3cpi.xlsx]Income - Adjusted!R47C5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2"/>
      </tp>
      <tp>
        <v>6057</v>
        <stp/>
        <stp>##V3_BDHV12</stp>
        <stp>XOM US Equity</stp>
        <stp>EBITA</stp>
        <stp>FQ1 2009</stp>
        <stp>FQ1 2009</stp>
        <stp>[FA1_m42y3cpi.xlsx]Income - Adjusted!R63C5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3" s="2"/>
      </tp>
      <tp>
        <v>7096</v>
        <stp/>
        <stp>##V3_BDHV12</stp>
        <stp>XOM US Equity</stp>
        <stp>EBITA</stp>
        <stp>FQ3 2009</stp>
        <stp>FQ3 2009</stp>
        <stp>[FA1_m42y3cpi.xlsx]Income - Adjusted!R63C7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3" s="2"/>
      </tp>
      <tp>
        <v>5570</v>
        <stp/>
        <stp>##V3_BDHV12</stp>
        <stp>XOM US Equity</stp>
        <stp>EBITA</stp>
        <stp>FQ2 2009</stp>
        <stp>FQ2 2009</stp>
        <stp>[FA1_m42y3cpi.xlsx]Income - Adjusted!R63C6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3" s="2"/>
      </tp>
      <tp>
        <v>26521</v>
        <stp/>
        <stp>##V3_BDHV12</stp>
        <stp>XOM US Equity</stp>
        <stp>OTHER_NONCURRENT_LIABS_DETAILED</stp>
        <stp>FQ1 2015</stp>
        <stp>FQ1 2015</stp>
        <stp>[FA1_m42y3cpi.xlsx]Bal Sheet - Standardized!R64C29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4" s="3"/>
      </tp>
      <tp t="s">
        <v>—</v>
        <stp/>
        <stp>##V3_BDHV12</stp>
        <stp>XOM US Equity</stp>
        <stp>BS_TOTAL_CAPITAL_LEASES</stp>
        <stp>FQ1 2018</stp>
        <stp>FQ1 2018</stp>
        <stp>[FA1_m42y3cpi.xlsx]Bal Sheet - Standardized!R83C41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3" s="3"/>
      </tp>
      <tp>
        <v>23679</v>
        <stp/>
        <stp>##V3_BDHV12</stp>
        <stp>XOM US Equity</stp>
        <stp>OTHER_NONCURRENT_LIABS_DETAILED</stp>
        <stp>FQ2 2012</stp>
        <stp>FQ2 2012</stp>
        <stp>[FA1_m42y3cpi.xlsx]Bal Sheet - Standardized!R64C18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4" s="3"/>
      </tp>
      <tp>
        <v>20263</v>
        <stp/>
        <stp>##V3_BDHV12</stp>
        <stp>XOM US Equity</stp>
        <stp>OTHER_NONCURRENT_LIABS_DETAILED</stp>
        <stp>FQ2 2011</stp>
        <stp>FQ2 2011</stp>
        <stp>[FA1_m42y3cpi.xlsx]Bal Sheet - Standardized!R64C14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4" s="3"/>
      </tp>
      <tp>
        <v>304</v>
        <stp/>
        <stp>##V3_BDHV12</stp>
        <stp>XOM US Equity</stp>
        <stp>BS_TOTAL_CAPITAL_LEASES</stp>
        <stp>FQ4 2010</stp>
        <stp>FQ4 2010</stp>
        <stp>[FA1_m42y3cpi.xlsx]Bal Sheet - Standardized!R83C12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3" s="3"/>
      </tp>
      <tp>
        <v>18963</v>
        <stp/>
        <stp>##V3_BDHV12</stp>
        <stp>XOM US Equity</stp>
        <stp>OTHER_NONCURRENT_LIABS_DETAILED</stp>
        <stp>FQ2 2010</stp>
        <stp>FQ2 2010</stp>
        <stp>[FA1_m42y3cpi.xlsx]Bal Sheet - Standardized!R64C10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4" s="3"/>
      </tp>
      <tp>
        <v>25005</v>
        <stp/>
        <stp>##V3_BDHV12</stp>
        <stp>XOM US Equity</stp>
        <stp>OTHER_NONCURRENT_LIABS_DETAILED</stp>
        <stp>FQ1 2013</stp>
        <stp>FQ1 2013</stp>
        <stp>[FA1_m42y3cpi.xlsx]Bal Sheet - Standardized!R64C21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4" s="3"/>
      </tp>
      <tp>
        <v>26892</v>
        <stp/>
        <stp>##V3_BDHV12</stp>
        <stp>XOM US Equity</stp>
        <stp>OTHER_NONCURRENT_LIABS_DETAILED</stp>
        <stp>FQ1 2014</stp>
        <stp>FQ1 2014</stp>
        <stp>[FA1_m42y3cpi.xlsx]Bal Sheet - Standardized!R64C25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4" s="3"/>
      </tp>
      <tp>
        <v>260</v>
        <stp/>
        <stp>##V3_BDHV12</stp>
        <stp>XOM US Equity</stp>
        <stp>BS_TOTAL_CAPITAL_LEASES</stp>
        <stp>FQ4 2011</stp>
        <stp>FQ4 2011</stp>
        <stp>[FA1_m42y3cpi.xlsx]Bal Sheet - Standardized!R83C16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3" s="3"/>
      </tp>
      <tp>
        <v>-1758</v>
        <stp/>
        <stp>##V3_BDHV12</stp>
        <stp>XOM US Equity</stp>
        <stp>PROC_FR_REPURCH_EQTY_DETAILED</stp>
        <stp>FQ4 2009</stp>
        <stp>FQ4 2009</stp>
        <stp>[FA1_m42y3cpi.xlsx]Cash Flow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4"/>
      </tp>
      <tp>
        <v>1828</v>
        <stp/>
        <stp>##V3_BDHV12</stp>
        <stp>XOM US Equity</stp>
        <stp>IS_INC_TAX_EXP</stp>
        <stp>FQ1 2017</stp>
        <stp>FQ1 2017</stp>
        <stp>[FA1_m42y3cpi.xlsx]Income - Adjusted!R33C37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33" s="2"/>
      </tp>
      <tp>
        <v>6120</v>
        <stp/>
        <stp>##V3_BDHV12</stp>
        <stp>XOM US Equity</stp>
        <stp>IS_INC_TAX_EXP</stp>
        <stp>FQ3 2013</stp>
        <stp>FQ3 2013</stp>
        <stp>[FA1_m42y3cpi.xlsx]Income - Adjusted!R33C23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33" s="2"/>
      </tp>
      <tp>
        <v>4960</v>
        <stp/>
        <stp>##V3_BDHV12</stp>
        <stp>XOM US Equity</stp>
        <stp>IS_INC_TAX_EXP</stp>
        <stp>FQ2 2010</stp>
        <stp>FQ2 2010</stp>
        <stp>[FA1_m42y3cpi.xlsx]Income - Adjusted!R33C10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33" s="2"/>
      </tp>
      <tp>
        <v>-1407</v>
        <stp/>
        <stp>##V3_BDHV12</stp>
        <stp>XOM US Equity</stp>
        <stp>IS_INC_TAX_EXP</stp>
        <stp>FQ4 2016</stp>
        <stp>FQ4 2016</stp>
        <stp>[FA1_m42y3cpi.xlsx]Income - Adjusted!R33C36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33" s="2"/>
      </tp>
      <tp>
        <v>-2453</v>
        <stp/>
        <stp>##V3_BDHV12</stp>
        <stp>XOM US Equity</stp>
        <stp>PROC_FR_REPURCH_EQTY_DETAILED</stp>
        <stp>FQ1 2010</stp>
        <stp>FQ1 2010</stp>
        <stp>[FA1_m42y3cpi.xlsx]Cash Flow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4"/>
      </tp>
      <tp t="s">
        <v>—</v>
        <stp/>
        <stp>##V3_BDHV12</stp>
        <stp>XOM US Equity</stp>
        <stp>BS_LT_RECEIVABLES</stp>
        <stp>FQ1 2018</stp>
        <stp>FQ1 2018</stp>
        <stp>[FA1_m42y3cpi.xlsx]Bal Sheet - Standardized!R28C41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3"/>
      </tp>
      <tp>
        <v>5583</v>
        <stp/>
        <stp>##V3_BDHV12</stp>
        <stp>XOM US Equity</stp>
        <stp>PRETAX_INC</stp>
        <stp>FQ3 2017</stp>
        <stp>FQ3 2017</stp>
        <stp>[FA1_m42y3cpi.xlsx]Income - Adjusted!R24C39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24" s="2"/>
      </tp>
      <tp>
        <v>7066</v>
        <stp/>
        <stp>##V3_BDHV12</stp>
        <stp>XOM US Equity</stp>
        <stp>BS_LT_RECEIVABLES</stp>
        <stp>FQ4 2010</stp>
        <stp>FQ4 2010</stp>
        <stp>[FA1_m42y3cpi.xlsx]Bal Sheet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3"/>
      </tp>
      <tp>
        <v>80222</v>
        <stp/>
        <stp>##V3_BDHV12</stp>
        <stp>XOM US Equity</stp>
        <stp>SALES_REV_TURN</stp>
        <stp>FQ1 2010</stp>
        <stp>FQ1 2010</stp>
        <stp>[FA1_m42y3cpi.xlsx]Income - Adjusted!R6C9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-4098</v>
        <stp/>
        <stp>##V3_BDHV12</stp>
        <stp>XOM US Equity</stp>
        <stp>PROC_FR_REPURCH_EQTY_DETAILED</stp>
        <stp>FQ3 2009</stp>
        <stp>FQ3 2009</stp>
        <stp>[FA1_m42y3cpi.xlsx]Cash Flow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4"/>
      </tp>
      <tp>
        <v>-5127</v>
        <stp/>
        <stp>##V3_BDHV12</stp>
        <stp>XOM US Equity</stp>
        <stp>PROC_FR_REPURCH_EQTY_DETAILED</stp>
        <stp>FQ2 2009</stp>
        <stp>FQ2 2009</stp>
        <stp>[FA1_m42y3cpi.xlsx]Cash Flow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4"/>
      </tp>
      <tp>
        <v>-7731</v>
        <stp/>
        <stp>##V3_BDHV12</stp>
        <stp>XOM US Equity</stp>
        <stp>PROC_FR_REPURCH_EQTY_DETAILED</stp>
        <stp>FQ1 2009</stp>
        <stp>FQ1 2009</stp>
        <stp>[FA1_m42y3cpi.xlsx]Cash Flow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4"/>
      </tp>
      <tp>
        <v>6081</v>
        <stp/>
        <stp>##V3_BDHV12</stp>
        <stp>XOM US Equity</stp>
        <stp>BS_LT_RECEIVABLES</stp>
        <stp>FQ4 2011</stp>
        <stp>FQ4 2011</stp>
        <stp>[FA1_m42y3cpi.xlsx]Bal Sheet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3"/>
      </tp>
      <tp>
        <v>-8600</v>
        <stp/>
        <stp>##V3_BDHV12</stp>
        <stp>XOM US Equity</stp>
        <stp>PROC_FR_REPURCH_EQTY_DETAILED</stp>
        <stp>FQ3 2008</stp>
        <stp>FQ3 2008</stp>
        <stp>[FA1_m42y3cpi.xlsx]Cash Flow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4"/>
      </tp>
      <tp>
        <v>-8410</v>
        <stp/>
        <stp>##V3_BDHV12</stp>
        <stp>XOM US Equity</stp>
        <stp>PROC_FR_REPURCH_EQTY_DETAILED</stp>
        <stp>FQ4 2008</stp>
        <stp>FQ4 2008</stp>
        <stp>[FA1_m42y3cpi.xlsx]Cash Flow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4"/>
      </tp>
      <tp t="s">
        <v>—</v>
        <stp/>
        <stp>##V3_BDHV12</stp>
        <stp>XOM US Equity</stp>
        <stp>BS_DEFERRED_TAX_ASSETS_LT</stp>
        <stp>FQ1 2016</stp>
        <stp>FQ1 2016</stp>
        <stp>[FA1_m42y3cpi.xlsx]Bal Sheet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3"/>
      </tp>
      <tp t="s">
        <v>—</v>
        <stp/>
        <stp>##V3_BDHV12</stp>
        <stp>XOM US Equity</stp>
        <stp>BS_DEFERRED_TAX_ASSETS_ST</stp>
        <stp>FQ1 2016</stp>
        <stp>FQ1 2016</stp>
        <stp>[FA1_m42y3cpi.xlsx]Bal Sheet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3"/>
      </tp>
      <tp t="s">
        <v>—</v>
        <stp/>
        <stp>##V3_BDHV12</stp>
        <stp>XOM US Equity</stp>
        <stp>BS_DEFERRED_TAX_ASSETS_ST</stp>
        <stp>FQ3 2011</stp>
        <stp>FQ3 2011</stp>
        <stp>[FA1_m42y3cpi.xlsx]Bal Sheet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3"/>
      </tp>
      <tp t="s">
        <v>—</v>
        <stp/>
        <stp>##V3_BDHV12</stp>
        <stp>XOM US Equity</stp>
        <stp>BS_DEFERRED_TAX_ASSETS_LT</stp>
        <stp>FQ3 2011</stp>
        <stp>FQ3 2011</stp>
        <stp>[FA1_m42y3cpi.xlsx]Bal Sheet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3"/>
      </tp>
      <tp t="s">
        <v>—</v>
        <stp/>
        <stp>##V3_BDHV12</stp>
        <stp>XOM US Equity</stp>
        <stp>BS_DEFERRED_TAX_ASSETS_ST</stp>
        <stp>FQ1 2017</stp>
        <stp>FQ1 2017</stp>
        <stp>[FA1_m42y3cpi.xlsx]Bal Sheet - Standardized!R20C37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0" s="3"/>
      </tp>
      <tp t="s">
        <v>—</v>
        <stp/>
        <stp>##V3_BDHV12</stp>
        <stp>XOM US Equity</stp>
        <stp>BS_DEFERRED_TAX_ASSETS_LT</stp>
        <stp>FQ1 2017</stp>
        <stp>FQ1 2017</stp>
        <stp>[FA1_m42y3cpi.xlsx]Bal Sheet - Standardized!R33C37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3" s="3"/>
      </tp>
      <tp t="s">
        <v>—</v>
        <stp/>
        <stp>##V3_BDHV12</stp>
        <stp>XOM US Equity</stp>
        <stp>BS_DEFERRED_TAX_ASSETS_LT</stp>
        <stp>FQ3 2010</stp>
        <stp>FQ3 2010</stp>
        <stp>[FA1_m42y3cpi.xlsx]Bal Sheet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3"/>
      </tp>
      <tp t="s">
        <v>—</v>
        <stp/>
        <stp>##V3_BDHV12</stp>
        <stp>XOM US Equity</stp>
        <stp>BS_DEFERRED_TAX_ASSETS_ST</stp>
        <stp>FQ3 2010</stp>
        <stp>FQ3 2010</stp>
        <stp>[FA1_m42y3cpi.xlsx]Bal Sheet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3"/>
      </tp>
      <tp t="s">
        <v>—</v>
        <stp/>
        <stp>##V3_BDHV12</stp>
        <stp>XOM US Equity</stp>
        <stp>BS_DEFERRED_TAX_ASSETS_LT</stp>
        <stp>FQ3 2012</stp>
        <stp>FQ3 2012</stp>
        <stp>[FA1_m42y3cpi.xlsx]Bal Sheet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3"/>
      </tp>
      <tp t="s">
        <v>—</v>
        <stp/>
        <stp>##V3_BDHV12</stp>
        <stp>XOM US Equity</stp>
        <stp>BS_DEFERRED_TAX_ASSETS_ST</stp>
        <stp>FQ3 2012</stp>
        <stp>FQ3 2012</stp>
        <stp>[FA1_m42y3cpi.xlsx]Bal Sheet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3"/>
      </tp>
      <tp>
        <v>419437.92</v>
        <stp/>
        <stp>##V3_BDHV12</stp>
        <stp>XOM US Equity</stp>
        <stp>HISTORICAL_MARKET_CAP</stp>
        <stp>FQ1 2014</stp>
        <stp>FQ1 2014</stp>
        <stp>[FA1_m42y3cpi.xlsx]Stock Value!R12C25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6"/>
      </tp>
      <tp>
        <v>398301.75</v>
        <stp/>
        <stp>##V3_BDHV12</stp>
        <stp>XOM US Equity</stp>
        <stp>HISTORICAL_MARKET_CAP</stp>
        <stp>FQ3 2014</stp>
        <stp>FQ3 2014</stp>
        <stp>[FA1_m42y3cpi.xlsx]Stock Value!R12C27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6"/>
      </tp>
      <tp>
        <v>429400.2</v>
        <stp/>
        <stp>##V3_BDHV12</stp>
        <stp>XOM US Equity</stp>
        <stp>HISTORICAL_MARKET_CAP</stp>
        <stp>FQ2 2014</stp>
        <stp>FQ2 2014</stp>
        <stp>[FA1_m42y3cpi.xlsx]Stock Value!R12C26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6"/>
      </tp>
      <tp>
        <v>389648.1</v>
        <stp/>
        <stp>##V3_BDHV12</stp>
        <stp>XOM US Equity</stp>
        <stp>HISTORICAL_MARKET_CAP</stp>
        <stp>FQ4 2012</stp>
        <stp>FQ4 2012</stp>
        <stp>[FA1_m42y3cpi.xlsx]Stock Value!R12C20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6"/>
      </tp>
      <tp>
        <v>-2690</v>
        <stp/>
        <stp>##V3_BDHV12</stp>
        <stp>XOM US Equity</stp>
        <stp>IS_NONOP_INCOME_LOSS</stp>
        <stp>FQ4 2009</stp>
        <stp>FQ4 2009</stp>
        <stp>[FA1_m42y3cpi.xlsx]Income - Adjusted!R17C8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7" s="2"/>
      </tp>
      <tp>
        <v>397720.7</v>
        <stp/>
        <stp>##V3_BDHV12</stp>
        <stp>XOM US Equity</stp>
        <stp>HISTORICAL_MARKET_CAP</stp>
        <stp>FQ2 2013</stp>
        <stp>FQ2 2013</stp>
        <stp>[FA1_m42y3cpi.xlsx]Stock Value!R12C22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6"/>
      </tp>
      <tp>
        <v>375908.76</v>
        <stp/>
        <stp>##V3_BDHV12</stp>
        <stp>XOM US Equity</stp>
        <stp>HISTORICAL_MARKET_CAP</stp>
        <stp>FQ3 2013</stp>
        <stp>FQ3 2013</stp>
        <stp>[FA1_m42y3cpi.xlsx]Stock Value!R12C23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6"/>
      </tp>
      <tp>
        <v>400629.06</v>
        <stp/>
        <stp>##V3_BDHV12</stp>
        <stp>XOM US Equity</stp>
        <stp>HISTORICAL_MARKET_CAP</stp>
        <stp>FQ1 2013</stp>
        <stp>FQ1 2013</stp>
        <stp>[FA1_m42y3cpi.xlsx]Stock Value!R12C21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6"/>
      </tp>
      <tp>
        <v>438702</v>
        <stp/>
        <stp>##V3_BDHV12</stp>
        <stp>XOM US Equity</stp>
        <stp>HISTORICAL_MARKET_CAP</stp>
        <stp>FQ4 2013</stp>
        <stp>FQ4 2013</stp>
        <stp>[FA1_m42y3cpi.xlsx]Stock Value!R12C24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6"/>
      </tp>
      <tp>
        <v>14830</v>
        <stp/>
        <stp>##V3_BDHV12</stp>
        <stp>XOM US Equity</stp>
        <stp>CF_NET_INC</stp>
        <stp>FQ3 2008</stp>
        <stp>FQ3 2008</stp>
        <stp>[FA1_m42y3cpi.xlsx]Cash Flow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4"/>
      </tp>
      <tp>
        <v>388382.45</v>
        <stp/>
        <stp>##V3_BDHV12</stp>
        <stp>XOM US Equity</stp>
        <stp>HISTORICAL_MARKET_CAP</stp>
        <stp>FQ4 2014</stp>
        <stp>FQ4 2014</stp>
        <stp>[FA1_m42y3cpi.xlsx]Stock Value!R12C28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6"/>
      </tp>
      <tp>
        <v>7820</v>
        <stp/>
        <stp>##V3_BDHV12</stp>
        <stp>XOM US Equity</stp>
        <stp>CF_NET_INC</stp>
        <stp>FQ4 2008</stp>
        <stp>FQ4 2008</stp>
        <stp>[FA1_m42y3cpi.xlsx]Cash Flow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4"/>
      </tp>
      <tp>
        <v>355385</v>
        <stp/>
        <stp>##V3_BDHV12</stp>
        <stp>XOM US Equity</stp>
        <stp>HISTORICAL_MARKET_CAP</stp>
        <stp>FQ1 2015</stp>
        <stp>FQ1 2015</stp>
        <stp>[FA1_m42y3cpi.xlsx]Stock Value!R12C29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6"/>
      </tp>
      <tp>
        <v>13.2418</v>
        <stp/>
        <stp>##V3_BDHV12</stp>
        <stp>XOM US Equity</stp>
        <stp>CASH_CONVERSION_CYCLE</stp>
        <stp>FQ4 2009</stp>
        <stp>FQ4 2009</stp>
        <stp>[FA1_m42y3cpi.xlsx]Bal Sheet - Standardized!R90C8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90" s="3"/>
      </tp>
      <tp>
        <v>0</v>
        <stp/>
        <stp>##V3_BDHV12</stp>
        <stp>XOM US Equity</stp>
        <stp>INVTRY_IN_PROGRESS</stp>
        <stp>FQ3 2013</stp>
        <stp>FQ3 2013</stp>
        <stp>[FA1_m42y3cpi.xlsx]Bal Sheet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3"/>
      </tp>
      <tp>
        <v>33801</v>
        <stp/>
        <stp>##V3_BDHV12</stp>
        <stp>XOM US Equity</stp>
        <stp>BS_ACCRUAL</stp>
        <stp>FQ2 2016</stp>
        <stp>FQ2 2016</stp>
        <stp>[FA1_m42y3cpi.xlsx]Bal Sheet - Standardized!R46C34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6" s="3"/>
      </tp>
      <tp>
        <v>49272</v>
        <stp/>
        <stp>##V3_BDHV12</stp>
        <stp>XOM US Equity</stp>
        <stp>BS_ACCRUAL</stp>
        <stp>FQ3 2014</stp>
        <stp>FQ3 2014</stp>
        <stp>[FA1_m42y3cpi.xlsx]Bal Sheet - Standardized!R46C27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6" s="3"/>
      </tp>
      <tp>
        <v>0</v>
        <stp/>
        <stp>##V3_BDHV12</stp>
        <stp>XOM US Equity</stp>
        <stp>INVTRY_IN_PROGRESS</stp>
        <stp>FQ2 2016</stp>
        <stp>FQ2 2016</stp>
        <stp>[FA1_m42y3cpi.xlsx]Bal Sheet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3"/>
      </tp>
      <tp>
        <v>51260</v>
        <stp/>
        <stp>##V3_BDHV12</stp>
        <stp>XOM US Equity</stp>
        <stp>BS_ACCRUAL</stp>
        <stp>FQ3 2013</stp>
        <stp>FQ3 2013</stp>
        <stp>[FA1_m42y3cpi.xlsx]Bal Sheet - Standardized!R46C23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6" s="3"/>
      </tp>
      <tp>
        <v>0</v>
        <stp/>
        <stp>##V3_BDHV12</stp>
        <stp>XOM US Equity</stp>
        <stp>INVTRY_IN_PROGRESS</stp>
        <stp>FQ3 2014</stp>
        <stp>FQ3 2014</stp>
        <stp>[FA1_m42y3cpi.xlsx]Bal Sheet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3"/>
      </tp>
      <tp>
        <v>0</v>
        <stp/>
        <stp>##V3_BDHV12</stp>
        <stp>XOM US Equity</stp>
        <stp>INVTRY_IN_PROGRESS</stp>
        <stp>FQ2 2015</stp>
        <stp>FQ2 2015</stp>
        <stp>[FA1_m42y3cpi.xlsx]Bal Sheet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3"/>
      </tp>
      <tp>
        <v>10206</v>
        <stp/>
        <stp>##V3_BDHV12</stp>
        <stp>XOM US Equity</stp>
        <stp>PRETAX_INC</stp>
        <stp>FQ4 2009</stp>
        <stp>FQ4 2009</stp>
        <stp>[FA1_m42y3cpi.xlsx]Income - Adjusted!R24C8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4" s="2"/>
      </tp>
      <tp>
        <v>39914</v>
        <stp/>
        <stp>##V3_BDHV12</stp>
        <stp>XOM US Equity</stp>
        <stp>BS_ACCRUAL</stp>
        <stp>FQ2 2015</stp>
        <stp>FQ2 2015</stp>
        <stp>[FA1_m42y3cpi.xlsx]Bal Sheet - Standardized!R46C30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6" s="3"/>
      </tp>
      <tp>
        <v>0</v>
        <stp/>
        <stp>##V3_BDHV12</stp>
        <stp>XOM US Equity</stp>
        <stp>OTHER_ADJUSTMENTS</stp>
        <stp>FQ3 2011</stp>
        <stp>FQ3 2011</stp>
        <stp>[FA1_m42y3cpi.xlsx]Income - Adjusted!R42C15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2"/>
      </tp>
      <tp>
        <v>31100</v>
        <stp/>
        <stp>##V3_BDHV12</stp>
        <stp>XOM US Equity</stp>
        <stp>BS_ACCRUAL</stp>
        <stp>FQ2 2017</stp>
        <stp>FQ2 2017</stp>
        <stp>[FA1_m42y3cpi.xlsx]Bal Sheet - Standardized!R46C38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6" s="3"/>
      </tp>
      <tp>
        <v>0</v>
        <stp/>
        <stp>##V3_BDHV12</stp>
        <stp>XOM US Equity</stp>
        <stp>OTHER_ADJUSTMENTS</stp>
        <stp>FQ2 2010</stp>
        <stp>FQ2 2010</stp>
        <stp>[FA1_m42y3cpi.xlsx]Income - Adjusted!R42C10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2"/>
      </tp>
      <tp>
        <v>0</v>
        <stp/>
        <stp>##V3_BDHV12</stp>
        <stp>XOM US Equity</stp>
        <stp>INVTRY_IN_PROGRESS</stp>
        <stp>FQ2 2017</stp>
        <stp>FQ2 2017</stp>
        <stp>[FA1_m42y3cpi.xlsx]Bal Sheet - Standardized!R15C38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5" s="3"/>
      </tp>
      <tp>
        <v>0</v>
        <stp/>
        <stp>##V3_BDHV12</stp>
        <stp>XOM US Equity</stp>
        <stp>OTHER_ADJUSTMENTS</stp>
        <stp>FQ2 2013</stp>
        <stp>FQ2 2013</stp>
        <stp>[FA1_m42y3cpi.xlsx]Income - Adjusted!R42C22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2"/>
      </tp>
      <tp t="s">
        <v>—</v>
        <stp/>
        <stp>##V3_BDHV12</stp>
        <stp>XOM US Equity</stp>
        <stp>IS_LEGAL_LITIGATION_SETTLEMENT</stp>
        <stp>FQ3 2016</stp>
        <stp>FQ3 2016</stp>
        <stp>[FA1_m42y3cpi.xlsx]Income - Adjusted!R30C35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2"/>
      </tp>
      <tp t="s">
        <v>—</v>
        <stp/>
        <stp>##V3_BDHV12</stp>
        <stp>XOM US Equity</stp>
        <stp>BS_INTEREST_&amp;_DIVIDENDS_PAYABLE</stp>
        <stp>FQ2 2012</stp>
        <stp>FQ2 2012</stp>
        <stp>[FA1_m42y3cpi.xlsx]Bal Sheet - Standardized!R45C18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5" s="3"/>
      </tp>
      <tp t="s">
        <v>—</v>
        <stp/>
        <stp>##V3_BDHV12</stp>
        <stp>XOM US Equity</stp>
        <stp>BS_INTEREST_&amp;_DIVIDENDS_PAYABLE</stp>
        <stp>FQ1 2015</stp>
        <stp>FQ1 2015</stp>
        <stp>[FA1_m42y3cpi.xlsx]Bal Sheet - Standardized!R45C29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5" s="3"/>
      </tp>
      <tp t="s">
        <v>—</v>
        <stp/>
        <stp>##V3_BDHV12</stp>
        <stp>XOM US Equity</stp>
        <stp>BS_INTEREST_&amp;_DIVIDENDS_PAYABLE</stp>
        <stp>FQ2 2010</stp>
        <stp>FQ2 2010</stp>
        <stp>[FA1_m42y3cpi.xlsx]Bal Sheet - Standardized!R45C10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5" s="3"/>
      </tp>
      <tp>
        <v>22647</v>
        <stp/>
        <stp>##V3_BDHV12</stp>
        <stp>XOM US Equity</stp>
        <stp>BS_PENSION_RSRV</stp>
        <stp>FQ4 2015</stp>
        <stp>FQ4 2015</stp>
        <stp>[FA1_m42y3cpi.xlsx]Bal Sheet - Standardized!R81C32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1" s="3"/>
      </tp>
      <tp t="s">
        <v>—</v>
        <stp/>
        <stp>##V3_BDHV12</stp>
        <stp>XOM US Equity</stp>
        <stp>BS_INTEREST_&amp;_DIVIDENDS_PAYABLE</stp>
        <stp>FQ1 2013</stp>
        <stp>FQ1 2013</stp>
        <stp>[FA1_m42y3cpi.xlsx]Bal Sheet - Standardized!R45C21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5" s="3"/>
      </tp>
      <tp t="s">
        <v>—</v>
        <stp/>
        <stp>##V3_BDHV12</stp>
        <stp>XOM US Equity</stp>
        <stp>BS_INTEREST_&amp;_DIVIDENDS_PAYABLE</stp>
        <stp>FQ1 2014</stp>
        <stp>FQ1 2014</stp>
        <stp>[FA1_m42y3cpi.xlsx]Bal Sheet - Standardized!R45C25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5" s="3"/>
      </tp>
      <tp t="s">
        <v>—</v>
        <stp/>
        <stp>##V3_BDHV12</stp>
        <stp>XOM US Equity</stp>
        <stp>IS_LEGAL_LITIGATION_SETTLEMENT</stp>
        <stp>FQ2 2017</stp>
        <stp>FQ2 2017</stp>
        <stp>[FA1_m42y3cpi.xlsx]Income - Adjusted!R30C38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0" s="2"/>
      </tp>
      <tp t="s">
        <v>—</v>
        <stp/>
        <stp>##V3_BDHV12</stp>
        <stp>XOM US Equity</stp>
        <stp>BS_INTEREST_&amp;_DIVIDENDS_PAYABLE</stp>
        <stp>FQ2 2011</stp>
        <stp>FQ2 2011</stp>
        <stp>[FA1_m42y3cpi.xlsx]Bal Sheet - Standardized!R45C14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5" s="3"/>
      </tp>
      <tp t="s">
        <v>—</v>
        <stp/>
        <stp>##V3_BDHV12</stp>
        <stp>XOM US Equity</stp>
        <stp>IS_LEGAL_LITIGATION_SETTLEMENT</stp>
        <stp>FQ1 2015</stp>
        <stp>FQ1 2015</stp>
        <stp>[FA1_m42y3cpi.xlsx]Income - Adjusted!R30C29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2"/>
      </tp>
      <tp>
        <v>20680</v>
        <stp/>
        <stp>##V3_BDHV12</stp>
        <stp>XOM US Equity</stp>
        <stp>BS_PENSION_RSRV</stp>
        <stp>FQ4 2016</stp>
        <stp>FQ4 2016</stp>
        <stp>[FA1_m42y3cpi.xlsx]Bal Sheet - Standardized!R81C36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1" s="3"/>
      </tp>
      <tp>
        <v>315733</v>
        <stp/>
        <stp>##V3_BDHV12</stp>
        <stp>XOM US Equity</stp>
        <stp>BS_PURE_RETAINED_EARNINGS</stp>
        <stp>FQ2 2011</stp>
        <stp>FQ2 2011</stp>
        <stp>[FA1_m42y3cpi.xlsx]Bal Sheet - Standardized!R70C14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0" s="3"/>
      </tp>
      <tp>
        <v>372666</v>
        <stp/>
        <stp>##V3_BDHV12</stp>
        <stp>XOM US Equity</stp>
        <stp>BS_PURE_RETAINED_EARNINGS</stp>
        <stp>FQ1 2013</stp>
        <stp>FQ1 2013</stp>
        <stp>[FA1_m42y3cpi.xlsx]Bal Sheet - Standardized!R70C21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0" s="3"/>
      </tp>
      <tp>
        <v>73285</v>
        <stp/>
        <stp>##V3_BDHV12</stp>
        <stp>XOM US Equity</stp>
        <stp>IS_SALES_AND_SERVICES_REVENUES</stp>
        <stp>FQ3 2009</stp>
        <stp>FQ3 2009</stp>
        <stp>[FA1_m42y3cpi.xlsx]Income - Adjusted!R7C7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7" s="2"/>
      </tp>
      <tp>
        <v>892</v>
        <stp/>
        <stp>##V3_BDHV12</stp>
        <stp>XOM US Equity</stp>
        <stp>IS_INC_TAX_EXP</stp>
        <stp>FQ2 2017</stp>
        <stp>FQ2 2017</stp>
        <stp>[FA1_m42y3cpi.xlsx]Income - Adjusted!R33C38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33" s="2"/>
      </tp>
      <tp>
        <v>286745</v>
        <stp/>
        <stp>##V3_BDHV12</stp>
        <stp>XOM US Equity</stp>
        <stp>BS_PURE_RETAINED_EARNINGS</stp>
        <stp>FQ2 2010</stp>
        <stp>FQ2 2010</stp>
        <stp>[FA1_m42y3cpi.xlsx]Bal Sheet - Standardized!R70C10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0" s="3"/>
      </tp>
      <tp>
        <v>65951</v>
        <stp/>
        <stp>##V3_BDHV12</stp>
        <stp>XOM US Equity</stp>
        <stp>IS_SALES_AND_SERVICES_REVENUES</stp>
        <stp>FQ2 2009</stp>
        <stp>FQ2 2009</stp>
        <stp>[FA1_m42y3cpi.xlsx]Income - Adjusted!R7C6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7" s="2"/>
      </tp>
      <tp>
        <v>56222</v>
        <stp/>
        <stp>##V3_BDHV12</stp>
        <stp>XOM US Equity</stp>
        <stp>IS_SALES_AND_SERVICES_REVENUES</stp>
        <stp>FQ1 2009</stp>
        <stp>FQ1 2009</stp>
        <stp>[FA1_m42y3cpi.xlsx]Income - Adjusted!R7C5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7" s="2"/>
      </tp>
      <tp>
        <v>393800</v>
        <stp/>
        <stp>##V3_BDHV12</stp>
        <stp>XOM US Equity</stp>
        <stp>BS_PURE_RETAINED_EARNINGS</stp>
        <stp>FQ1 2014</stp>
        <stp>FQ1 2014</stp>
        <stp>[FA1_m42y3cpi.xlsx]Bal Sheet - Standardized!R70C25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0" s="3"/>
      </tp>
      <tp>
        <v>15227</v>
        <stp/>
        <stp>##V3_BDHV12</stp>
        <stp>XOM US Equity</stp>
        <stp>PRETAX_INC</stp>
        <stp>FQ1 2014</stp>
        <stp>FQ1 2014</stp>
        <stp>[FA1_m42y3cpi.xlsx]Income - Adjusted!R24C25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4" s="2"/>
      </tp>
      <tp>
        <v>12860</v>
        <stp/>
        <stp>##V3_BDHV12</stp>
        <stp>XOM US Equity</stp>
        <stp>PRETAX_INC</stp>
        <stp>FQ3 2010</stp>
        <stp>FQ3 2010</stp>
        <stp>[FA1_m42y3cpi.xlsx]Income - Adjusted!R24C11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4" s="2"/>
      </tp>
      <tp>
        <v>12768</v>
        <stp/>
        <stp>##V3_BDHV12</stp>
        <stp>XOM US Equity</stp>
        <stp>PRETAX_INC</stp>
        <stp>FQ2 2013</stp>
        <stp>FQ2 2013</stp>
        <stp>[FA1_m42y3cpi.xlsx]Income - Adjusted!R24C22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4" s="2"/>
      </tp>
      <tp>
        <v>410414</v>
        <stp/>
        <stp>##V3_BDHV12</stp>
        <stp>XOM US Equity</stp>
        <stp>BS_PURE_RETAINED_EARNINGS</stp>
        <stp>FQ1 2015</stp>
        <stp>FQ1 2015</stp>
        <stp>[FA1_m42y3cpi.xlsx]Bal Sheet - Standardized!R70C29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0" s="3"/>
      </tp>
      <tp>
        <v>351421</v>
        <stp/>
        <stp>##V3_BDHV12</stp>
        <stp>XOM US Equity</stp>
        <stp>BS_PURE_RETAINED_EARNINGS</stp>
        <stp>FQ2 2012</stp>
        <stp>FQ2 2012</stp>
        <stp>[FA1_m42y3cpi.xlsx]Bal Sheet - Standardized!R70C18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0" s="3"/>
      </tp>
      <tp>
        <v>0</v>
        <stp/>
        <stp>##V3_BDHV12</stp>
        <stp>XOM US Equity</stp>
        <stp>IS_ABNORMAL_ITEM</stp>
        <stp>FQ3 2017</stp>
        <stp>FQ3 2017</stp>
        <stp>[FA1_m42y3cpi.xlsx]Income - Adjusted!R25C39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2"/>
      </tp>
      <tp>
        <v>0</v>
        <stp/>
        <stp>##V3_BDHV12</stp>
        <stp>XOM US Equity</stp>
        <stp>IS_ABNORMAL_ITEM</stp>
        <stp>FQ2 2016</stp>
        <stp>FQ2 2016</stp>
        <stp>[FA1_m42y3cpi.xlsx]Income - Adjusted!R25C34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2"/>
      </tp>
      <tp>
        <v>0</v>
        <stp/>
        <stp>##V3_BDHV12</stp>
        <stp>XOM US Equity</stp>
        <stp>IS_ABNORMAL_ITEM</stp>
        <stp>FQ1 2014</stp>
        <stp>FQ1 2014</stp>
        <stp>[FA1_m42y3cpi.xlsx]Income - Adjusted!R25C25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2"/>
      </tp>
      <tp>
        <v>1990.7692</v>
        <stp/>
        <stp>##V3_BDHV12</stp>
        <stp>XOM US Equity</stp>
        <stp>IS_ABNORMAL_ITEM</stp>
        <stp>FQ4 2017</stp>
        <stp>FQ4 2017</stp>
        <stp>[FA1_m42y3cpi.xlsx]Income - Adjusted!R25C40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2"/>
      </tp>
      <tp>
        <v>5184</v>
        <stp/>
        <stp>##V3_BDHV12</stp>
        <stp>XOM US Equity</stp>
        <stp>C&amp;CE_AND_STI_DETAILED</stp>
        <stp>FQ1 2015</stp>
        <stp>FQ1 2015</stp>
        <stp>[FA1_m42y3cpi.xlsx]Bal Sheet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3"/>
      </tp>
      <tp t="s">
        <v>—</v>
        <stp/>
        <stp>##V3_BDHV12</stp>
        <stp>XOM US Equity</stp>
        <stp>IS_FOREIGN_EXCH_LOSS</stp>
        <stp>FQ4 2009</stp>
        <stp>FQ4 2009</stp>
        <stp>[FA1_m42y3cpi.xlsx]Income - Adjusted!R21C8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1" s="2"/>
      </tp>
      <tp>
        <v>4616</v>
        <stp/>
        <stp>##V3_BDHV12</stp>
        <stp>XOM US Equity</stp>
        <stp>C&amp;CE_AND_STI_DETAILED</stp>
        <stp>FQ4 2014</stp>
        <stp>FQ4 2014</stp>
        <stp>[FA1_m42y3cpi.xlsx]Bal Sheet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3"/>
      </tp>
      <tp>
        <v>4609</v>
        <stp/>
        <stp>##V3_BDHV12</stp>
        <stp>XOM US Equity</stp>
        <stp>C&amp;CE_AND_STI_DETAILED</stp>
        <stp>FQ2 2013</stp>
        <stp>FQ2 2013</stp>
        <stp>[FA1_m42y3cpi.xlsx]Bal Sheet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3"/>
      </tp>
      <tp>
        <v>5310</v>
        <stp/>
        <stp>##V3_BDHV12</stp>
        <stp>XOM US Equity</stp>
        <stp>C&amp;CE_AND_STI_DETAILED</stp>
        <stp>FQ3 2013</stp>
        <stp>FQ3 2013</stp>
        <stp>[FA1_m42y3cpi.xlsx]Bal Sheet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3"/>
      </tp>
      <tp>
        <v>6214</v>
        <stp/>
        <stp>##V3_BDHV12</stp>
        <stp>XOM US Equity</stp>
        <stp>C&amp;CE_AND_STI_DETAILED</stp>
        <stp>FQ1 2013</stp>
        <stp>FQ1 2013</stp>
        <stp>[FA1_m42y3cpi.xlsx]Bal Sheet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3"/>
      </tp>
      <tp>
        <v>4644</v>
        <stp/>
        <stp>##V3_BDHV12</stp>
        <stp>XOM US Equity</stp>
        <stp>C&amp;CE_AND_STI_DETAILED</stp>
        <stp>FQ4 2013</stp>
        <stp>FQ4 2013</stp>
        <stp>[FA1_m42y3cpi.xlsx]Bal Sheet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3"/>
      </tp>
      <tp>
        <v>5601</v>
        <stp/>
        <stp>##V3_BDHV12</stp>
        <stp>XOM US Equity</stp>
        <stp>C&amp;CE_AND_STI_DETAILED</stp>
        <stp>FQ1 2014</stp>
        <stp>FQ1 2014</stp>
        <stp>[FA1_m42y3cpi.xlsx]Bal Sheet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3"/>
      </tp>
      <tp>
        <v>4962</v>
        <stp/>
        <stp>##V3_BDHV12</stp>
        <stp>XOM US Equity</stp>
        <stp>C&amp;CE_AND_STI_DETAILED</stp>
        <stp>FQ3 2014</stp>
        <stp>FQ3 2014</stp>
        <stp>[FA1_m42y3cpi.xlsx]Bal Sheet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3"/>
      </tp>
      <tp>
        <v>9582</v>
        <stp/>
        <stp>##V3_BDHV12</stp>
        <stp>XOM US Equity</stp>
        <stp>C&amp;CE_AND_STI_DETAILED</stp>
        <stp>FQ4 2012</stp>
        <stp>FQ4 2012</stp>
        <stp>[FA1_m42y3cpi.xlsx]Bal Sheet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3"/>
      </tp>
      <tp>
        <v>6083</v>
        <stp/>
        <stp>##V3_BDHV12</stp>
        <stp>XOM US Equity</stp>
        <stp>C&amp;CE_AND_STI_DETAILED</stp>
        <stp>FQ2 2014</stp>
        <stp>FQ2 2014</stp>
        <stp>[FA1_m42y3cpi.xlsx]Bal Sheet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3"/>
      </tp>
      <tp>
        <v>2.9483000000000001</v>
        <stp/>
        <stp>##V3_BDHV12</stp>
        <stp>XOM US Equity</stp>
        <stp>CASH_CONVERSION_CYCLE</stp>
        <stp>FQ4 2008</stp>
        <stp>FQ4 2008</stp>
        <stp>[FA1_m42y3cpi.xlsx]Bal Sheet - Standardized!R90C4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90" s="3"/>
      </tp>
      <tp>
        <v>0</v>
        <stp/>
        <stp>##V3_BDHV12</stp>
        <stp>XOM US Equity</stp>
        <stp>INVTRY_IN_PROGRESS</stp>
        <stp>FQ2 2013</stp>
        <stp>FQ2 2013</stp>
        <stp>[FA1_m42y3cpi.xlsx]Bal Sheet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3"/>
      </tp>
      <tp>
        <v>30027</v>
        <stp/>
        <stp>##V3_BDHV12</stp>
        <stp>XOM US Equity</stp>
        <stp>BS_ACCRUAL</stp>
        <stp>FQ3 2016</stp>
        <stp>FQ3 2016</stp>
        <stp>[FA1_m42y3cpi.xlsx]Bal Sheet - Standardized!R46C35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6" s="3"/>
      </tp>
      <tp>
        <v>0</v>
        <stp/>
        <stp>##V3_BDHV12</stp>
        <stp>XOM US Equity</stp>
        <stp>INVTRY_IN_PROGRESS</stp>
        <stp>FQ1 2011</stp>
        <stp>FQ1 2011</stp>
        <stp>[FA1_m42y3cpi.xlsx]Bal Sheet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3"/>
      </tp>
      <tp>
        <v>52363</v>
        <stp/>
        <stp>##V3_BDHV12</stp>
        <stp>XOM US Equity</stp>
        <stp>BS_ACCRUAL</stp>
        <stp>FQ2 2014</stp>
        <stp>FQ2 2014</stp>
        <stp>[FA1_m42y3cpi.xlsx]Bal Sheet - Standardized!R46C26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6" s="3"/>
      </tp>
      <tp>
        <v>0</v>
        <stp/>
        <stp>##V3_BDHV12</stp>
        <stp>XOM US Equity</stp>
        <stp>INVTRY_IN_PROGRESS</stp>
        <stp>FQ4 2017</stp>
        <stp>FQ4 2017</stp>
        <stp>[FA1_m42y3cpi.xlsx]Bal Sheet - Standardized!R15C40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5" s="3"/>
      </tp>
      <tp>
        <v>0</v>
        <stp/>
        <stp>##V3_BDHV12</stp>
        <stp>XOM US Equity</stp>
        <stp>OTHER_ADJUSTMENTS</stp>
        <stp>FQ4 2014</stp>
        <stp>FQ4 2014</stp>
        <stp>[FA1_m42y3cpi.xlsx]Income - Adjusted!R42C28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2"/>
      </tp>
      <tp>
        <v>11784</v>
        <stp/>
        <stp>##V3_BDHV12</stp>
        <stp>XOM US Equity</stp>
        <stp>BS_ACCRUAL</stp>
        <stp>FQ4 2017</stp>
        <stp>FQ4 2017</stp>
        <stp>[FA1_m42y3cpi.xlsx]Bal Sheet - Standardized!R46C40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6" s="3"/>
      </tp>
      <tp>
        <v>0</v>
        <stp/>
        <stp>##V3_BDHV12</stp>
        <stp>XOM US Equity</stp>
        <stp>INVTRY_IN_PROGRESS</stp>
        <stp>FQ3 2016</stp>
        <stp>FQ3 2016</stp>
        <stp>[FA1_m42y3cpi.xlsx]Bal Sheet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3"/>
      </tp>
      <tp>
        <v>52619</v>
        <stp/>
        <stp>##V3_BDHV12</stp>
        <stp>XOM US Equity</stp>
        <stp>BS_ACCRUAL</stp>
        <stp>FQ2 2013</stp>
        <stp>FQ2 2013</stp>
        <stp>[FA1_m42y3cpi.xlsx]Bal Sheet - Standardized!R46C22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6" s="3"/>
      </tp>
      <tp>
        <v>0</v>
        <stp/>
        <stp>##V3_BDHV12</stp>
        <stp>XOM US Equity</stp>
        <stp>INVTRY_IN_PROGRESS</stp>
        <stp>FQ2 2014</stp>
        <stp>FQ2 2014</stp>
        <stp>[FA1_m42y3cpi.xlsx]Bal Sheet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3"/>
      </tp>
      <tp>
        <v>57700</v>
        <stp/>
        <stp>##V3_BDHV12</stp>
        <stp>XOM US Equity</stp>
        <stp>BS_ACCRUAL</stp>
        <stp>FQ1 2011</stp>
        <stp>FQ1 2011</stp>
        <stp>[FA1_m42y3cpi.xlsx]Bal Sheet - Standardized!R46C13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6" s="3"/>
      </tp>
      <tp>
        <v>59084</v>
        <stp/>
        <stp>##V3_BDHV12</stp>
        <stp>XOM US Equity</stp>
        <stp>BS_ACCRUAL</stp>
        <stp>FQ1 2012</stp>
        <stp>FQ1 2012</stp>
        <stp>[FA1_m42y3cpi.xlsx]Bal Sheet - Standardized!R46C17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6" s="3"/>
      </tp>
      <tp>
        <v>0</v>
        <stp/>
        <stp>##V3_BDHV12</stp>
        <stp>XOM US Equity</stp>
        <stp>INVTRY_IN_PROGRESS</stp>
        <stp>FQ3 2015</stp>
        <stp>FQ3 2015</stp>
        <stp>[FA1_m42y3cpi.xlsx]Bal Sheet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3"/>
      </tp>
      <tp>
        <v>0</v>
        <stp/>
        <stp>##V3_BDHV12</stp>
        <stp>XOM US Equity</stp>
        <stp>INVTRY_IN_PROGRESS</stp>
        <stp>FQ1 2012</stp>
        <stp>FQ1 2012</stp>
        <stp>[FA1_m42y3cpi.xlsx]Bal Sheet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3"/>
      </tp>
      <tp>
        <v>36681</v>
        <stp/>
        <stp>##V3_BDHV12</stp>
        <stp>XOM US Equity</stp>
        <stp>BS_ACCRUAL</stp>
        <stp>FQ3 2015</stp>
        <stp>FQ3 2015</stp>
        <stp>[FA1_m42y3cpi.xlsx]Bal Sheet - Standardized!R46C31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6" s="3"/>
      </tp>
      <tp>
        <v>0</v>
        <stp/>
        <stp>##V3_BDHV12</stp>
        <stp>XOM US Equity</stp>
        <stp>OTHER_ADJUSTMENTS</stp>
        <stp>FQ4 2015</stp>
        <stp>FQ4 2015</stp>
        <stp>[FA1_m42y3cpi.xlsx]Income - Adjusted!R42C32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2"/>
      </tp>
      <tp>
        <v>0</v>
        <stp/>
        <stp>##V3_BDHV12</stp>
        <stp>XOM US Equity</stp>
        <stp>OTHER_ADJUSTMENTS</stp>
        <stp>FQ1 2012</stp>
        <stp>FQ1 2012</stp>
        <stp>[FA1_m42y3cpi.xlsx]Income - Adjusted!R42C17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2"/>
      </tp>
      <tp>
        <v>0</v>
        <stp/>
        <stp>##V3_BDHV12</stp>
        <stp>XOM US Equity</stp>
        <stp>OTHER_ADJUSTMENTS</stp>
        <stp>FQ2 2011</stp>
        <stp>FQ2 2011</stp>
        <stp>[FA1_m42y3cpi.xlsx]Income - Adjusted!R42C14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2"/>
      </tp>
      <tp>
        <v>34698</v>
        <stp/>
        <stp>##V3_BDHV12</stp>
        <stp>XOM US Equity</stp>
        <stp>BS_ACCRUAL</stp>
        <stp>FQ3 2017</stp>
        <stp>FQ3 2017</stp>
        <stp>[FA1_m42y3cpi.xlsx]Bal Sheet - Standardized!R46C39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6" s="3"/>
      </tp>
      <tp>
        <v>0</v>
        <stp/>
        <stp>##V3_BDHV12</stp>
        <stp>XOM US Equity</stp>
        <stp>OTHER_ADJUSTMENTS</stp>
        <stp>FQ3 2013</stp>
        <stp>FQ3 2013</stp>
        <stp>[FA1_m42y3cpi.xlsx]Income - Adjusted!R42C23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2"/>
      </tp>
      <tp>
        <v>0</v>
        <stp/>
        <stp>##V3_BDHV12</stp>
        <stp>XOM US Equity</stp>
        <stp>INVTRY_IN_PROGRESS</stp>
        <stp>FQ3 2017</stp>
        <stp>FQ3 2017</stp>
        <stp>[FA1_m42y3cpi.xlsx]Bal Sheet - Standardized!R15C39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5" s="3"/>
      </tp>
      <tp>
        <v>0</v>
        <stp/>
        <stp>##V3_BDHV12</stp>
        <stp>XOM US Equity</stp>
        <stp>OTHER_ADJUSTMENTS</stp>
        <stp>FQ3 2010</stp>
        <stp>FQ3 2010</stp>
        <stp>[FA1_m42y3cpi.xlsx]Income - Adjusted!R42C11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2"/>
      </tp>
      <tp t="s">
        <v>—</v>
        <stp/>
        <stp>##V3_BDHV12</stp>
        <stp>XOM US Equity</stp>
        <stp>BS_ACCT_PAYABLE</stp>
        <stp>FQ1 2010</stp>
        <stp>FQ1 2010</stp>
        <stp>[FA1_m42y3cpi.xlsx]Bal Sheet - Standardized!R43C9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3" s="3"/>
      </tp>
      <tp t="s">
        <v>—</v>
        <stp/>
        <stp>##V3_BDHV12</stp>
        <stp>XOM US Equity</stp>
        <stp>IS_LEGAL_LITIGATION_SETTLEMENT</stp>
        <stp>FQ2 2016</stp>
        <stp>FQ2 2016</stp>
        <stp>[FA1_m42y3cpi.xlsx]Income - Adjusted!R30C34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2"/>
      </tp>
      <tp t="s">
        <v>—</v>
        <stp/>
        <stp>##V3_BDHV12</stp>
        <stp>XOM US Equity</stp>
        <stp>IS_LEGAL_LITIGATION_SETTLEMENT</stp>
        <stp>FQ1 2014</stp>
        <stp>FQ1 2014</stp>
        <stp>[FA1_m42y3cpi.xlsx]Income - Adjusted!R30C25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2"/>
      </tp>
      <tp t="s">
        <v>—</v>
        <stp/>
        <stp>##V3_BDHV12</stp>
        <stp>XOM US Equity</stp>
        <stp>BS_INTEREST_&amp;_DIVIDENDS_PAYABLE</stp>
        <stp>FQ3 2012</stp>
        <stp>FQ3 2012</stp>
        <stp>[FA1_m42y3cpi.xlsx]Bal Sheet - Standardized!R45C19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5" s="3"/>
      </tp>
      <tp>
        <v>21504</v>
        <stp/>
        <stp>##V3_BDHV12</stp>
        <stp>XOM US Equity</stp>
        <stp>BS_PENSION_RSRV</stp>
        <stp>FQ2 2018</stp>
        <stp>FQ2 2018</stp>
        <stp>[FA1_m42y3cpi.xlsx]Bal Sheet - Standardized!R81C42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1" s="3"/>
      </tp>
      <tp>
        <v>25802</v>
        <stp/>
        <stp>##V3_BDHV12</stp>
        <stp>XOM US Equity</stp>
        <stp>BS_PENSION_RSRV</stp>
        <stp>FQ4 2014</stp>
        <stp>FQ4 2014</stp>
        <stp>[FA1_m42y3cpi.xlsx]Bal Sheet - Standardized!R81C28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1" s="3"/>
      </tp>
      <tp t="s">
        <v>—</v>
        <stp/>
        <stp>##V3_BDHV12</stp>
        <stp>XOM US Equity</stp>
        <stp>IS_LEGAL_LITIGATION_SETTLEMENT</stp>
        <stp>FQ4 2017</stp>
        <stp>FQ4 2017</stp>
        <stp>[FA1_m42y3cpi.xlsx]Income - Adjusted!R30C40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0" s="2"/>
      </tp>
      <tp>
        <v>24236</v>
        <stp/>
        <stp>##V3_BDHV12</stp>
        <stp>XOM US Equity</stp>
        <stp>BS_ACCT_PAYABLE</stp>
        <stp>FQ4 2009</stp>
        <stp>FQ4 2009</stp>
        <stp>[FA1_m42y3cpi.xlsx]Bal Sheet - Standardized!R43C8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3" s="3"/>
      </tp>
      <tp t="s">
        <v>—</v>
        <stp/>
        <stp>##V3_BDHV12</stp>
        <stp>XOM US Equity</stp>
        <stp>BS_INTEREST_&amp;_DIVIDENDS_PAYABLE</stp>
        <stp>FQ3 2010</stp>
        <stp>FQ3 2010</stp>
        <stp>[FA1_m42y3cpi.xlsx]Bal Sheet - Standardized!R45C11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5" s="3"/>
      </tp>
      <tp>
        <v>20646</v>
        <stp/>
        <stp>##V3_BDHV12</stp>
        <stp>XOM US Equity</stp>
        <stp>BS_PENSION_RSRV</stp>
        <stp>FQ4 2013</stp>
        <stp>FQ4 2013</stp>
        <stp>[FA1_m42y3cpi.xlsx]Bal Sheet - Standardized!R81C24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1" s="3"/>
      </tp>
      <tp>
        <v>49087</v>
        <stp/>
        <stp>##V3_BDHV12</stp>
        <stp>XOM US Equity</stp>
        <stp>BS_ACCT_PAYABLE</stp>
        <stp>FQ3 2008</stp>
        <stp>FQ3 2008</stp>
        <stp>[FA1_m42y3cpi.xlsx]Bal Sheet - Standardized!R43C3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3" s="3"/>
      </tp>
      <tp>
        <v>21190</v>
        <stp/>
        <stp>##V3_BDHV12</stp>
        <stp>XOM US Equity</stp>
        <stp>BS_ACCT_PAYABLE</stp>
        <stp>FQ4 2008</stp>
        <stp>FQ4 2008</stp>
        <stp>[FA1_m42y3cpi.xlsx]Bal Sheet - Standardized!R43C4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3" s="3"/>
      </tp>
      <tp t="s">
        <v>—</v>
        <stp/>
        <stp>##V3_BDHV12</stp>
        <stp>XOM US Equity</stp>
        <stp>BS_INTEREST_&amp;_DIVIDENDS_PAYABLE</stp>
        <stp>FQ1 2017</stp>
        <stp>FQ1 2017</stp>
        <stp>[FA1_m42y3cpi.xlsx]Bal Sheet - Standardized!R45C37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5" s="3"/>
      </tp>
      <tp t="s">
        <v>—</v>
        <stp/>
        <stp>##V3_BDHV12</stp>
        <stp>XOM US Equity</stp>
        <stp>IS_LEGAL_LITIGATION_SETTLEMENT</stp>
        <stp>FQ3 2017</stp>
        <stp>FQ3 2017</stp>
        <stp>[FA1_m42y3cpi.xlsx]Income - Adjusted!R30C39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0" s="2"/>
      </tp>
      <tp t="s">
        <v>—</v>
        <stp/>
        <stp>##V3_BDHV12</stp>
        <stp>XOM US Equity</stp>
        <stp>BS_INTEREST_&amp;_DIVIDENDS_PAYABLE</stp>
        <stp>FQ3 2011</stp>
        <stp>FQ3 2011</stp>
        <stp>[FA1_m42y3cpi.xlsx]Bal Sheet - Standardized!R45C15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5" s="3"/>
      </tp>
      <tp>
        <v>25267</v>
        <stp/>
        <stp>##V3_BDHV12</stp>
        <stp>XOM US Equity</stp>
        <stp>BS_PENSION_RSRV</stp>
        <stp>FQ4 2012</stp>
        <stp>FQ4 2012</stp>
        <stp>[FA1_m42y3cpi.xlsx]Bal Sheet - Standardized!R81C20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1" s="3"/>
      </tp>
      <tp t="s">
        <v>—</v>
        <stp/>
        <stp>##V3_BDHV12</stp>
        <stp>XOM US Equity</stp>
        <stp>BS_ACCT_PAYABLE</stp>
        <stp>FQ2 2009</stp>
        <stp>FQ2 2009</stp>
        <stp>[FA1_m42y3cpi.xlsx]Bal Sheet - Standardized!R43C6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3" s="3"/>
      </tp>
      <tp t="s">
        <v>—</v>
        <stp/>
        <stp>##V3_BDHV12</stp>
        <stp>XOM US Equity</stp>
        <stp>BS_ACCT_PAYABLE</stp>
        <stp>FQ3 2009</stp>
        <stp>FQ3 2009</stp>
        <stp>[FA1_m42y3cpi.xlsx]Bal Sheet - Standardized!R43C7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3" s="3"/>
      </tp>
      <tp t="s">
        <v>—</v>
        <stp/>
        <stp>##V3_BDHV12</stp>
        <stp>XOM US Equity</stp>
        <stp>BS_ACCT_PAYABLE</stp>
        <stp>FQ1 2009</stp>
        <stp>FQ1 2009</stp>
        <stp>[FA1_m42y3cpi.xlsx]Bal Sheet - Standardized!R43C5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3" s="3"/>
      </tp>
      <tp t="s">
        <v>—</v>
        <stp/>
        <stp>##V3_BDHV12</stp>
        <stp>XOM US Equity</stp>
        <stp>BS_INTEREST_&amp;_DIVIDENDS_PAYABLE</stp>
        <stp>FQ1 2016</stp>
        <stp>FQ1 2016</stp>
        <stp>[FA1_m42y3cpi.xlsx]Bal Sheet - Standardized!R45C33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5" s="3"/>
      </tp>
      <tp>
        <v>323786</v>
        <stp/>
        <stp>##V3_BDHV12</stp>
        <stp>XOM US Equity</stp>
        <stp>BS_PURE_RETAINED_EARNINGS</stp>
        <stp>FQ3 2011</stp>
        <stp>FQ3 2011</stp>
        <stp>[FA1_m42y3cpi.xlsx]Bal Sheet - Standardized!R70C15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0" s="3"/>
      </tp>
      <tp>
        <v>411200</v>
        <stp/>
        <stp>##V3_BDHV12</stp>
        <stp>XOM US Equity</stp>
        <stp>BS_PURE_RETAINED_EARNINGS</stp>
        <stp>FQ1 2016</stp>
        <stp>FQ1 2016</stp>
        <stp>[FA1_m42y3cpi.xlsx]Bal Sheet - Standardized!R70C33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0" s="3"/>
      </tp>
      <tp>
        <v>1498</v>
        <stp/>
        <stp>##V3_BDHV12</stp>
        <stp>XOM US Equity</stp>
        <stp>IS_INC_TAX_EXP</stp>
        <stp>FQ3 2017</stp>
        <stp>FQ3 2017</stp>
        <stp>[FA1_m42y3cpi.xlsx]Income - Adjusted!R33C39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33" s="2"/>
      </tp>
      <tp>
        <v>291861</v>
        <stp/>
        <stp>##V3_BDHV12</stp>
        <stp>XOM US Equity</stp>
        <stp>BS_PURE_RETAINED_EARNINGS</stp>
        <stp>FQ3 2010</stp>
        <stp>FQ3 2010</stp>
        <stp>[FA1_m42y3cpi.xlsx]Bal Sheet - Standardized!R70C11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0" s="3"/>
      </tp>
      <tp>
        <v>408707</v>
        <stp/>
        <stp>##V3_BDHV12</stp>
        <stp>XOM US Equity</stp>
        <stp>BS_PURE_RETAINED_EARNINGS</stp>
        <stp>FQ1 2017</stp>
        <stp>FQ1 2017</stp>
        <stp>[FA1_m42y3cpi.xlsx]Bal Sheet - Standardized!R70C37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0" s="3"/>
      </tp>
      <tp>
        <v>2644</v>
        <stp/>
        <stp>##V3_BDHV12</stp>
        <stp>XOM US Equity</stp>
        <stp>PRETAX_INC</stp>
        <stp>FQ4 2016</stp>
        <stp>FQ4 2016</stp>
        <stp>[FA1_m42y3cpi.xlsx]Income - Adjusted!R24C36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4" s="2"/>
      </tp>
      <tp>
        <v>5918</v>
        <stp/>
        <stp>##V3_BDHV12</stp>
        <stp>XOM US Equity</stp>
        <stp>PRETAX_INC</stp>
        <stp>FQ1 2017</stp>
        <stp>FQ1 2017</stp>
        <stp>[FA1_m42y3cpi.xlsx]Income - Adjusted!R24C37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24" s="2"/>
      </tp>
      <tp>
        <v>14189</v>
        <stp/>
        <stp>##V3_BDHV12</stp>
        <stp>XOM US Equity</stp>
        <stp>PRETAX_INC</stp>
        <stp>FQ3 2013</stp>
        <stp>FQ3 2013</stp>
        <stp>[FA1_m42y3cpi.xlsx]Income - Adjusted!R24C23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4" s="2"/>
      </tp>
      <tp>
        <v>12721</v>
        <stp/>
        <stp>##V3_BDHV12</stp>
        <stp>XOM US Equity</stp>
        <stp>PRETAX_INC</stp>
        <stp>FQ2 2010</stp>
        <stp>FQ2 2010</stp>
        <stp>[FA1_m42y3cpi.xlsx]Income - Adjusted!R24C10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4" s="2"/>
      </tp>
      <tp>
        <v>358369</v>
        <stp/>
        <stp>##V3_BDHV12</stp>
        <stp>XOM US Equity</stp>
        <stp>BS_PURE_RETAINED_EARNINGS</stp>
        <stp>FQ3 2012</stp>
        <stp>FQ3 2012</stp>
        <stp>[FA1_m42y3cpi.xlsx]Bal Sheet - Standardized!R70C19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0" s="3"/>
      </tp>
      <tp>
        <v>0</v>
        <stp/>
        <stp>##V3_BDHV12</stp>
        <stp>XOM US Equity</stp>
        <stp>IS_ABNORMAL_ITEM</stp>
        <stp>FQ2 2017</stp>
        <stp>FQ2 2017</stp>
        <stp>[FA1_m42y3cpi.xlsx]Income - Adjusted!R25C38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2"/>
      </tp>
      <tp>
        <v>0</v>
        <stp/>
        <stp>##V3_BDHV12</stp>
        <stp>XOM US Equity</stp>
        <stp>IS_ABNORMAL_ITEM</stp>
        <stp>FQ1 2015</stp>
        <stp>FQ1 2015</stp>
        <stp>[FA1_m42y3cpi.xlsx]Income - Adjusted!R25C29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2"/>
      </tp>
      <tp>
        <v>0</v>
        <stp/>
        <stp>##V3_BDHV12</stp>
        <stp>XOM US Equity</stp>
        <stp>IS_ABNORMAL_ITEM</stp>
        <stp>FQ3 2016</stp>
        <stp>FQ3 2016</stp>
        <stp>[FA1_m42y3cpi.xlsx]Income - Adjusted!R25C35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2"/>
      </tp>
      <tp>
        <v>111113</v>
        <stp/>
        <stp>##V3_BDHV12</stp>
        <stp>XOM US Equity</stp>
        <stp>BS_TOT_LIAB2</stp>
        <stp>FQ1 2009</stp>
        <stp>FQ1 2009</stp>
        <stp>[FA1_m42y3cpi.xlsx]Bal Sheet - Standardized!R66C5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6" s="3"/>
      </tp>
      <tp>
        <v>117202</v>
        <stp/>
        <stp>##V3_BDHV12</stp>
        <stp>XOM US Equity</stp>
        <stp>BS_TOT_LIAB2</stp>
        <stp>FQ3 2009</stp>
        <stp>FQ3 2009</stp>
        <stp>[FA1_m42y3cpi.xlsx]Bal Sheet - Standardized!R66C7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6" s="3"/>
      </tp>
      <tp>
        <v>113508</v>
        <stp/>
        <stp>##V3_BDHV12</stp>
        <stp>XOM US Equity</stp>
        <stp>BS_TOT_LIAB2</stp>
        <stp>FQ2 2009</stp>
        <stp>FQ2 2009</stp>
        <stp>[FA1_m42y3cpi.xlsx]Bal Sheet - Standardized!R66C6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6" s="3"/>
      </tp>
      <tp>
        <v>4042</v>
        <stp/>
        <stp>##V3_BDHV12</stp>
        <stp>XOM US Equity</stp>
        <stp>C&amp;CE_AND_STI_DETAILED</stp>
        <stp>FQ2 2017</stp>
        <stp>FQ2 2017</stp>
        <stp>[FA1_m42y3cpi.xlsx]Bal Sheet - Standardized!R7C38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" s="3"/>
      </tp>
      <tp>
        <v>4266</v>
        <stp/>
        <stp>##V3_BDHV12</stp>
        <stp>XOM US Equity</stp>
        <stp>C&amp;CE_AND_STI_DETAILED</stp>
        <stp>FQ3 2017</stp>
        <stp>FQ3 2017</stp>
        <stp>[FA1_m42y3cpi.xlsx]Bal Sheet - Standardized!R7C39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" s="3"/>
      </tp>
      <tp>
        <v>110529</v>
        <stp/>
        <stp>##V3_BDHV12</stp>
        <stp>XOM US Equity</stp>
        <stp>BS_TOT_LIAB2</stp>
        <stp>FQ4 2008</stp>
        <stp>FQ4 2008</stp>
        <stp>[FA1_m42y3cpi.xlsx]Bal Sheet - Standardized!R66C4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6" s="3"/>
      </tp>
      <tp>
        <v>130932</v>
        <stp/>
        <stp>##V3_BDHV12</stp>
        <stp>XOM US Equity</stp>
        <stp>BS_TOT_LIAB2</stp>
        <stp>FQ3 2008</stp>
        <stp>FQ3 2008</stp>
        <stp>[FA1_m42y3cpi.xlsx]Bal Sheet - Standardized!R66C3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6" s="3"/>
      </tp>
      <tp>
        <v>117931</v>
        <stp/>
        <stp>##V3_BDHV12</stp>
        <stp>XOM US Equity</stp>
        <stp>BS_TOT_LIAB2</stp>
        <stp>FQ4 2009</stp>
        <stp>FQ4 2009</stp>
        <stp>[FA1_m42y3cpi.xlsx]Bal Sheet - Standardized!R66C8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6" s="3"/>
      </tp>
      <tp>
        <v>3657</v>
        <stp/>
        <stp>##V3_BDHV12</stp>
        <stp>XOM US Equity</stp>
        <stp>C&amp;CE_AND_STI_DETAILED</stp>
        <stp>FQ4 2016</stp>
        <stp>FQ4 2016</stp>
        <stp>[FA1_m42y3cpi.xlsx]Bal Sheet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3"/>
      </tp>
      <tp>
        <v>4343</v>
        <stp/>
        <stp>##V3_BDHV12</stp>
        <stp>XOM US Equity</stp>
        <stp>C&amp;CE_AND_STI_DETAILED</stp>
        <stp>FQ2 2015</stp>
        <stp>FQ2 2015</stp>
        <stp>[FA1_m42y3cpi.xlsx]Bal Sheet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3"/>
      </tp>
      <tp>
        <v>4846</v>
        <stp/>
        <stp>##V3_BDHV12</stp>
        <stp>XOM US Equity</stp>
        <stp>C&amp;CE_AND_STI_DETAILED</stp>
        <stp>FQ1 2016</stp>
        <stp>FQ1 2016</stp>
        <stp>[FA1_m42y3cpi.xlsx]Bal Sheet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3"/>
      </tp>
      <tp>
        <v>4296</v>
        <stp/>
        <stp>##V3_BDHV12</stp>
        <stp>XOM US Equity</stp>
        <stp>C&amp;CE_AND_STI_DETAILED</stp>
        <stp>FQ3 2015</stp>
        <stp>FQ3 2015</stp>
        <stp>[FA1_m42y3cpi.xlsx]Bal Sheet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3"/>
      </tp>
      <tp>
        <v>3705</v>
        <stp/>
        <stp>##V3_BDHV12</stp>
        <stp>XOM US Equity</stp>
        <stp>C&amp;CE_AND_STI_DETAILED</stp>
        <stp>FQ4 2015</stp>
        <stp>FQ4 2015</stp>
        <stp>[FA1_m42y3cpi.xlsx]Bal Sheet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3"/>
      </tp>
      <tp>
        <v>5093</v>
        <stp/>
        <stp>##V3_BDHV12</stp>
        <stp>XOM US Equity</stp>
        <stp>C&amp;CE_AND_STI_DETAILED</stp>
        <stp>FQ3 2016</stp>
        <stp>FQ3 2016</stp>
        <stp>[FA1_m42y3cpi.xlsx]Bal Sheet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3"/>
      </tp>
      <tp>
        <v>4358</v>
        <stp/>
        <stp>##V3_BDHV12</stp>
        <stp>XOM US Equity</stp>
        <stp>C&amp;CE_AND_STI_DETAILED</stp>
        <stp>FQ2 2016</stp>
        <stp>FQ2 2016</stp>
        <stp>[FA1_m42y3cpi.xlsx]Bal Sheet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3"/>
      </tp>
      <tp>
        <v>4897</v>
        <stp/>
        <stp>##V3_BDHV12</stp>
        <stp>XOM US Equity</stp>
        <stp>C&amp;CE_AND_STI_DETAILED</stp>
        <stp>FQ1 2017</stp>
        <stp>FQ1 2017</stp>
        <stp>[FA1_m42y3cpi.xlsx]Bal Sheet - Standardized!R7C37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" s="3"/>
      </tp>
      <tp>
        <v>125082</v>
        <stp/>
        <stp>##V3_BDHV12</stp>
        <stp>XOM US Equity</stp>
        <stp>BS_TOT_LIAB2</stp>
        <stp>FQ1 2010</stp>
        <stp>FQ1 2010</stp>
        <stp>[FA1_m42y3cpi.xlsx]Bal Sheet - Standardized!R66C9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6" s="3"/>
      </tp>
      <tp>
        <v>0</v>
        <stp/>
        <stp>##V3_BDHV12</stp>
        <stp>XOM US Equity</stp>
        <stp>INVTRY_IN_PROGRESS</stp>
        <stp>FQ1 2013</stp>
        <stp>FQ1 2013</stp>
        <stp>[FA1_m42y3cpi.xlsx]Bal Sheet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3"/>
      </tp>
      <tp>
        <v>52109</v>
        <stp/>
        <stp>##V3_BDHV12</stp>
        <stp>XOM US Equity</stp>
        <stp>BS_ACCRUAL</stp>
        <stp>FQ1 2014</stp>
        <stp>FQ1 2014</stp>
        <stp>[FA1_m42y3cpi.xlsx]Bal Sheet - Standardized!R46C25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6" s="3"/>
      </tp>
      <tp>
        <v>0</v>
        <stp/>
        <stp>##V3_BDHV12</stp>
        <stp>XOM US Equity</stp>
        <stp>INVTRY_IN_PROGRESS</stp>
        <stp>FQ2 2010</stp>
        <stp>FQ2 2010</stp>
        <stp>[FA1_m42y3cpi.xlsx]Bal Sheet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3"/>
      </tp>
      <tp>
        <v>45454</v>
        <stp/>
        <stp>##V3_BDHV12</stp>
        <stp>XOM US Equity</stp>
        <stp>BS_ACCRUAL</stp>
        <stp>FQ2 2010</stp>
        <stp>FQ2 2010</stp>
        <stp>[FA1_m42y3cpi.xlsx]Bal Sheet - Standardized!R46C10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6" s="3"/>
      </tp>
      <tp>
        <v>53978</v>
        <stp/>
        <stp>##V3_BDHV12</stp>
        <stp>XOM US Equity</stp>
        <stp>BS_ACCRUAL</stp>
        <stp>FQ1 2013</stp>
        <stp>FQ1 2013</stp>
        <stp>[FA1_m42y3cpi.xlsx]Bal Sheet - Standardized!R46C21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6" s="3"/>
      </tp>
      <tp>
        <v>0</v>
        <stp/>
        <stp>##V3_BDHV12</stp>
        <stp>XOM US Equity</stp>
        <stp>INVTRY_IN_PROGRESS</stp>
        <stp>FQ1 2014</stp>
        <stp>FQ1 2014</stp>
        <stp>[FA1_m42y3cpi.xlsx]Bal Sheet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3"/>
      </tp>
      <tp>
        <v>0</v>
        <stp/>
        <stp>##V3_BDHV12</stp>
        <stp>XOM US Equity</stp>
        <stp>OTHER_ADJUSTMENTS</stp>
        <stp>FQ2 2012</stp>
        <stp>FQ2 2012</stp>
        <stp>[FA1_m42y3cpi.xlsx]Income - Adjusted!R42C18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2"/>
      </tp>
      <tp>
        <v>0</v>
        <stp/>
        <stp>##V3_BDHV12</stp>
        <stp>XOM US Equity</stp>
        <stp>INVTRY_IN_PROGRESS</stp>
        <stp>FQ2 2011</stp>
        <stp>FQ2 2011</stp>
        <stp>[FA1_m42y3cpi.xlsx]Bal Sheet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3"/>
      </tp>
      <tp>
        <v>57853</v>
        <stp/>
        <stp>##V3_BDHV12</stp>
        <stp>XOM US Equity</stp>
        <stp>BS_ACCRUAL</stp>
        <stp>FQ2 2011</stp>
        <stp>FQ2 2011</stp>
        <stp>[FA1_m42y3cpi.xlsx]Bal Sheet - Standardized!R46C14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6" s="3"/>
      </tp>
      <tp>
        <v>51322</v>
        <stp/>
        <stp>##V3_BDHV12</stp>
        <stp>XOM US Equity</stp>
        <stp>BS_ACCRUAL</stp>
        <stp>FQ2 2012</stp>
        <stp>FQ2 2012</stp>
        <stp>[FA1_m42y3cpi.xlsx]Bal Sheet - Standardized!R46C18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6" s="3"/>
      </tp>
      <tp>
        <v>0</v>
        <stp/>
        <stp>##V3_BDHV12</stp>
        <stp>XOM US Equity</stp>
        <stp>INVTRY_IN_PROGRESS</stp>
        <stp>FQ2 2012</stp>
        <stp>FQ2 2012</stp>
        <stp>[FA1_m42y3cpi.xlsx]Bal Sheet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3"/>
      </tp>
      <tp>
        <v>0</v>
        <stp/>
        <stp>##V3_BDHV12</stp>
        <stp>XOM US Equity</stp>
        <stp>OTHER_ADJUSTMENTS</stp>
        <stp>FQ1 2011</stp>
        <stp>FQ1 2011</stp>
        <stp>[FA1_m42y3cpi.xlsx]Income - Adjusted!R42C13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2"/>
      </tp>
      <tp>
        <v>38144</v>
        <stp/>
        <stp>##V3_BDHV12</stp>
        <stp>XOM US Equity</stp>
        <stp>BS_ACCRUAL</stp>
        <stp>FQ1 2015</stp>
        <stp>FQ1 2015</stp>
        <stp>[FA1_m42y3cpi.xlsx]Bal Sheet - Standardized!R46C29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6" s="3"/>
      </tp>
      <tp>
        <v>0</v>
        <stp/>
        <stp>##V3_BDHV12</stp>
        <stp>XOM US Equity</stp>
        <stp>OTHER_ADJUSTMENTS</stp>
        <stp>FQ4 2016</stp>
        <stp>FQ4 2016</stp>
        <stp>[FA1_m42y3cpi.xlsx]Income - Adjusted!R42C36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2"/>
      </tp>
      <tp>
        <v>0</v>
        <stp/>
        <stp>##V3_BDHV12</stp>
        <stp>XOM US Equity</stp>
        <stp>INVTRY_IN_PROGRESS</stp>
        <stp>FQ1 2015</stp>
        <stp>FQ1 2015</stp>
        <stp>[FA1_m42y3cpi.xlsx]Bal Sheet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3"/>
      </tp>
      <tp t="s">
        <v>—</v>
        <stp/>
        <stp>##V3_BDHV12</stp>
        <stp>XOM US Equity</stp>
        <stp>IS_LEGAL_LITIGATION_SETTLEMENT</stp>
        <stp>FQ2 2014</stp>
        <stp>FQ2 2014</stp>
        <stp>[FA1_m42y3cpi.xlsx]Income - Adjusted!R30C26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2"/>
      </tp>
      <tp t="s">
        <v>—</v>
        <stp/>
        <stp>##V3_BDHV12</stp>
        <stp>XOM US Equity</stp>
        <stp>IS_LEGAL_LITIGATION_SETTLEMENT</stp>
        <stp>FQ4 2012</stp>
        <stp>FQ4 2012</stp>
        <stp>[FA1_m42y3cpi.xlsx]Income - Adjusted!R30C20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2"/>
      </tp>
      <tp>
        <v>21696</v>
        <stp/>
        <stp>##V3_BDHV12</stp>
        <stp>XOM US Equity</stp>
        <stp>BS_PENSION_RSRV</stp>
        <stp>FQ1 2018</stp>
        <stp>FQ1 2018</stp>
        <stp>[FA1_m42y3cpi.xlsx]Bal Sheet - Standardized!R81C41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1" s="3"/>
      </tp>
      <tp t="s">
        <v>—</v>
        <stp/>
        <stp>##V3_BDHV12</stp>
        <stp>XOM US Equity</stp>
        <stp>IS_LEGAL_LITIGATION_SETTLEMENT</stp>
        <stp>FQ4 2011</stp>
        <stp>FQ4 2011</stp>
        <stp>[FA1_m42y3cpi.xlsx]Income - Adjusted!R30C16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2"/>
      </tp>
      <tp t="s">
        <v>—</v>
        <stp/>
        <stp>##V3_BDHV12</stp>
        <stp>XOM US Equity</stp>
        <stp>IS_LEGAL_LITIGATION_SETTLEMENT</stp>
        <stp>FQ1 2016</stp>
        <stp>FQ1 2016</stp>
        <stp>[FA1_m42y3cpi.xlsx]Income - Adjusted!R30C33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2"/>
      </tp>
      <tp t="s">
        <v>—</v>
        <stp/>
        <stp>##V3_BDHV12</stp>
        <stp>XOM US Equity</stp>
        <stp>IS_LEGAL_LITIGATION_SETTLEMENT</stp>
        <stp>FQ2 2015</stp>
        <stp>FQ2 2015</stp>
        <stp>[FA1_m42y3cpi.xlsx]Income - Adjusted!R30C30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2"/>
      </tp>
      <tp t="s">
        <v>—</v>
        <stp/>
        <stp>##V3_BDHV12</stp>
        <stp>XOM US Equity</stp>
        <stp>BS_INTEREST_&amp;_DIVIDENDS_PAYABLE</stp>
        <stp>FQ2 2017</stp>
        <stp>FQ2 2017</stp>
        <stp>[FA1_m42y3cpi.xlsx]Bal Sheet - Standardized!R45C38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5" s="3"/>
      </tp>
      <tp>
        <v>24994</v>
        <stp/>
        <stp>##V3_BDHV12</stp>
        <stp>XOM US Equity</stp>
        <stp>BS_PENSION_RSRV</stp>
        <stp>FQ4 2011</stp>
        <stp>FQ4 2011</stp>
        <stp>[FA1_m42y3cpi.xlsx]Bal Sheet - Standardized!R81C16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1" s="3"/>
      </tp>
      <tp t="s">
        <v>—</v>
        <stp/>
        <stp>##V3_BDHV12</stp>
        <stp>XOM US Equity</stp>
        <stp>BS_INTEREST_&amp;_DIVIDENDS_PAYABLE</stp>
        <stp>FQ3 2013</stp>
        <stp>FQ3 2013</stp>
        <stp>[FA1_m42y3cpi.xlsx]Bal Sheet - Standardized!R45C23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5" s="3"/>
      </tp>
      <tp t="s">
        <v>—</v>
        <stp/>
        <stp>##V3_BDHV12</stp>
        <stp>XOM US Equity</stp>
        <stp>BS_INTEREST_&amp;_DIVIDENDS_PAYABLE</stp>
        <stp>FQ2 2016</stp>
        <stp>FQ2 2016</stp>
        <stp>[FA1_m42y3cpi.xlsx]Bal Sheet - Standardized!R45C34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5" s="3"/>
      </tp>
      <tp t="s">
        <v>—</v>
        <stp/>
        <stp>##V3_BDHV12</stp>
        <stp>XOM US Equity</stp>
        <stp>BS_INTEREST_&amp;_DIVIDENDS_PAYABLE</stp>
        <stp>FQ3 2014</stp>
        <stp>FQ3 2014</stp>
        <stp>[FA1_m42y3cpi.xlsx]Bal Sheet - Standardized!R45C27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5" s="3"/>
      </tp>
      <tp t="s">
        <v>—</v>
        <stp/>
        <stp>##V3_BDHV12</stp>
        <stp>XOM US Equity</stp>
        <stp>BS_INTEREST_&amp;_DIVIDENDS_PAYABLE</stp>
        <stp>FQ2 2015</stp>
        <stp>FQ2 2015</stp>
        <stp>[FA1_m42y3cpi.xlsx]Bal Sheet - Standardized!R45C30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5" s="3"/>
      </tp>
      <tp>
        <v>19367</v>
        <stp/>
        <stp>##V3_BDHV12</stp>
        <stp>XOM US Equity</stp>
        <stp>BS_PENSION_RSRV</stp>
        <stp>FQ4 2010</stp>
        <stp>FQ4 2010</stp>
        <stp>[FA1_m42y3cpi.xlsx]Bal Sheet - Standardized!R81C12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1" s="3"/>
      </tp>
      <tp>
        <v>411538</v>
        <stp/>
        <stp>##V3_BDHV12</stp>
        <stp>XOM US Equity</stp>
        <stp>BS_PURE_RETAINED_EARNINGS</stp>
        <stp>FQ2 2015</stp>
        <stp>FQ2 2015</stp>
        <stp>[FA1_m42y3cpi.xlsx]Bal Sheet - Standardized!R70C30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0" s="3"/>
      </tp>
      <tp>
        <v>73285</v>
        <stp/>
        <stp>##V3_BDHV12</stp>
        <stp>XOM US Equity</stp>
        <stp>SALES_REV_TURN</stp>
        <stp>FQ3 2009</stp>
        <stp>FQ3 2009</stp>
        <stp>[FA1_m42y3cpi.xlsx]Income - Adjusted!R6C7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65951</v>
        <stp/>
        <stp>##V3_BDHV12</stp>
        <stp>XOM US Equity</stp>
        <stp>SALES_REV_TURN</stp>
        <stp>FQ2 2009</stp>
        <stp>FQ2 2009</stp>
        <stp>[FA1_m42y3cpi.xlsx]Income - Adjusted!R6C6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56222</v>
        <stp/>
        <stp>##V3_BDHV12</stp>
        <stp>XOM US Equity</stp>
        <stp>SALES_REV_TURN</stp>
        <stp>FQ1 2009</stp>
        <stp>FQ1 2009</stp>
        <stp>[FA1_m42y3cpi.xlsx]Income - Adjusted!R6C5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381832</v>
        <stp/>
        <stp>##V3_BDHV12</stp>
        <stp>XOM US Equity</stp>
        <stp>BS_PURE_RETAINED_EARNINGS</stp>
        <stp>FQ3 2013</stp>
        <stp>FQ3 2013</stp>
        <stp>[FA1_m42y3cpi.xlsx]Bal Sheet - Standardized!R70C23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0" s="3"/>
      </tp>
      <tp>
        <v>404738</v>
        <stp/>
        <stp>##V3_BDHV12</stp>
        <stp>XOM US Equity</stp>
        <stp>BS_PURE_RETAINED_EARNINGS</stp>
        <stp>FQ3 2014</stp>
        <stp>FQ3 2014</stp>
        <stp>[FA1_m42y3cpi.xlsx]Bal Sheet - Standardized!R70C27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0" s="3"/>
      </tp>
      <tp>
        <v>409767</v>
        <stp/>
        <stp>##V3_BDHV12</stp>
        <stp>XOM US Equity</stp>
        <stp>BS_PURE_RETAINED_EARNINGS</stp>
        <stp>FQ2 2016</stp>
        <stp>FQ2 2016</stp>
        <stp>[FA1_m42y3cpi.xlsx]Bal Sheet - Standardized!R70C34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0" s="3"/>
      </tp>
      <tp>
        <v>3226</v>
        <stp/>
        <stp>##V3_BDHV12</stp>
        <stp>XOM US Equity</stp>
        <stp>PRETAX_INC</stp>
        <stp>FQ3 2016</stp>
        <stp>FQ3 2016</stp>
        <stp>[FA1_m42y3cpi.xlsx]Income - Adjusted!R24C35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4" s="2"/>
      </tp>
      <tp>
        <v>13410</v>
        <stp/>
        <stp>##V3_BDHV12</stp>
        <stp>XOM US Equity</stp>
        <stp>PRETAX_INC</stp>
        <stp>FQ3 2014</stp>
        <stp>FQ3 2014</stp>
        <stp>[FA1_m42y3cpi.xlsx]Income - Adjusted!R24C27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4" s="2"/>
      </tp>
      <tp>
        <v>408768</v>
        <stp/>
        <stp>##V3_BDHV12</stp>
        <stp>XOM US Equity</stp>
        <stp>BS_PURE_RETAINED_EARNINGS</stp>
        <stp>FQ2 2017</stp>
        <stp>FQ2 2017</stp>
        <stp>[FA1_m42y3cpi.xlsx]Bal Sheet - Standardized!R70C38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0" s="3"/>
      </tp>
      <tp>
        <v>0</v>
        <stp/>
        <stp>##V3_BDHV12</stp>
        <stp>XOM US Equity</stp>
        <stp>IS_ABNORMAL_ITEM</stp>
        <stp>FQ3 2014</stp>
        <stp>FQ3 2014</stp>
        <stp>[FA1_m42y3cpi.xlsx]Income - Adjusted!R25C27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2"/>
      </tp>
      <tp>
        <v>1</v>
        <stp/>
        <stp>##V3_BDHV12</stp>
        <stp>XOM US Equity</stp>
        <stp>IS_ABNORMAL_ITEM</stp>
        <stp>FQ4 2010</stp>
        <stp>FQ4 2010</stp>
        <stp>[FA1_m42y3cpi.xlsx]Income - Adjusted!R25C12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2"/>
      </tp>
      <tp>
        <v>0</v>
        <stp/>
        <stp>##V3_BDHV12</stp>
        <stp>XOM US Equity</stp>
        <stp>IS_ABNORMAL_ITEM</stp>
        <stp>FQ1 2017</stp>
        <stp>FQ1 2017</stp>
        <stp>[FA1_m42y3cpi.xlsx]Income - Adjusted!R25C37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2"/>
      </tp>
      <tp>
        <v>0</v>
        <stp/>
        <stp>##V3_BDHV12</stp>
        <stp>XOM US Equity</stp>
        <stp>IS_ABNORMAL_ITEM</stp>
        <stp>FQ4 2013</stp>
        <stp>FQ4 2013</stp>
        <stp>[FA1_m42y3cpi.xlsx]Income - Adjusted!R25C24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2"/>
      </tp>
      <tp>
        <v>0</v>
        <stp/>
        <stp>##V3_BDHV12</stp>
        <stp>XOM US Equity</stp>
        <stp>IS_ABNORMAL_ITEM</stp>
        <stp>FQ3 2015</stp>
        <stp>FQ3 2015</stp>
        <stp>[FA1_m42y3cpi.xlsx]Income - Adjusted!R25C31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2"/>
      </tp>
      <tp>
        <v>13109</v>
        <stp/>
        <stp>##V3_BDHV12</stp>
        <stp>XOM US Equity</stp>
        <stp>GROSS_PROFIT</stp>
        <stp>FQ1 2010</stp>
        <stp>FQ1 2010</stp>
        <stp>[FA1_m42y3cpi.xlsx]Income - Adjusted!R11C9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2"/>
      </tp>
      <tp t="s">
        <v>—</v>
        <stp/>
        <stp>##V3_BDHV12</stp>
        <stp>XOM US Equity</stp>
        <stp>IS_NONOP_INCOME_LOSS</stp>
        <stp>FQ3 2008</stp>
        <stp>FQ3 2008</stp>
        <stp>[FA1_m42y3cpi.xlsx]Income - Adjusted!R17C3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7" s="2"/>
      </tp>
      <tp t="s">
        <v>—</v>
        <stp/>
        <stp>##V3_BDHV12</stp>
        <stp>XOM US Equity</stp>
        <stp>IS_NONOP_INCOME_LOSS</stp>
        <stp>FQ4 2008</stp>
        <stp>FQ4 2008</stp>
        <stp>[FA1_m42y3cpi.xlsx]Income - Adjusted!R17C4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7" s="2"/>
      </tp>
      <tp>
        <v>25510</v>
        <stp/>
        <stp>##V3_BDHV12</stp>
        <stp>XOM US Equity</stp>
        <stp>OTHER_CURRENT_LIABS_DETAILED</stp>
        <stp>FQ4 2008</stp>
        <stp>FQ4 2008</stp>
        <stp>[FA1_m42y3cpi.xlsx]Bal Sheet - Standardized!R54C4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4" s="3"/>
      </tp>
      <tp>
        <v>15663</v>
        <stp/>
        <stp>##V3_BDHV12</stp>
        <stp>XOM US Equity</stp>
        <stp>OTHER_CURRENT_LIABS_DETAILED</stp>
        <stp>FQ3 2008</stp>
        <stp>FQ3 2008</stp>
        <stp>[FA1_m42y3cpi.xlsx]Bal Sheet - Standardized!R54C3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4" s="3"/>
      </tp>
      <tp>
        <v>32069</v>
        <stp/>
        <stp>##V3_BDHV12</stp>
        <stp>XOM US Equity</stp>
        <stp>BS_ACCRUAL</stp>
        <stp>FQ1 2017</stp>
        <stp>FQ1 2017</stp>
        <stp>[FA1_m42y3cpi.xlsx]Bal Sheet - Standardized!R46C37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6" s="3"/>
      </tp>
      <tp>
        <v>0</v>
        <stp/>
        <stp>##V3_BDHV12</stp>
        <stp>XOM US Equity</stp>
        <stp>INVTRY_IN_PROGRESS</stp>
        <stp>FQ3 2010</stp>
        <stp>FQ3 2010</stp>
        <stp>[FA1_m42y3cpi.xlsx]Bal Sheet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3"/>
      </tp>
      <tp>
        <v>3148</v>
        <stp/>
        <stp>##V3_BDHV12</stp>
        <stp>XOM US Equity</stp>
        <stp>IS_INC_TAX_EXP</stp>
        <stp>FQ1 2009</stp>
        <stp>FQ1 2009</stp>
        <stp>[FA1_m42y3cpi.xlsx]Income - Adjusted!R33C5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33" s="2"/>
      </tp>
      <tp>
        <v>3571</v>
        <stp/>
        <stp>##V3_BDHV12</stp>
        <stp>XOM US Equity</stp>
        <stp>IS_INC_TAX_EXP</stp>
        <stp>FQ2 2009</stp>
        <stp>FQ2 2009</stp>
        <stp>[FA1_m42y3cpi.xlsx]Income - Adjusted!R33C6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33" s="2"/>
      </tp>
      <tp>
        <v>4333</v>
        <stp/>
        <stp>##V3_BDHV12</stp>
        <stp>XOM US Equity</stp>
        <stp>IS_INC_TAX_EXP</stp>
        <stp>FQ3 2009</stp>
        <stp>FQ3 2009</stp>
        <stp>[FA1_m42y3cpi.xlsx]Income - Adjusted!R33C7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33" s="2"/>
      </tp>
      <tp>
        <v>0</v>
        <stp/>
        <stp>##V3_BDHV12</stp>
        <stp>XOM US Equity</stp>
        <stp>INVTRY_IN_PROGRESS</stp>
        <stp>FQ1 2017</stp>
        <stp>FQ1 2017</stp>
        <stp>[FA1_m42y3cpi.xlsx]Bal Sheet - Standardized!R15C37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5" s="3"/>
      </tp>
      <tp>
        <v>48251</v>
        <stp/>
        <stp>##V3_BDHV12</stp>
        <stp>XOM US Equity</stp>
        <stp>BS_ACCRUAL</stp>
        <stp>FQ3 2010</stp>
        <stp>FQ3 2010</stp>
        <stp>[FA1_m42y3cpi.xlsx]Bal Sheet - Standardized!R46C11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6" s="3"/>
      </tp>
      <tp>
        <v>32294</v>
        <stp/>
        <stp>##V3_BDHV12</stp>
        <stp>XOM US Equity</stp>
        <stp>BS_ACCRUAL</stp>
        <stp>FQ1 2016</stp>
        <stp>FQ1 2016</stp>
        <stp>[FA1_m42y3cpi.xlsx]Bal Sheet - Standardized!R46C33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6" s="3"/>
      </tp>
      <tp>
        <v>0</v>
        <stp/>
        <stp>##V3_BDHV12</stp>
        <stp>XOM US Equity</stp>
        <stp>INVTRY_IN_PROGRESS</stp>
        <stp>FQ3 2011</stp>
        <stp>FQ3 2011</stp>
        <stp>[FA1_m42y3cpi.xlsx]Bal Sheet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3"/>
      </tp>
      <tp>
        <v>0</v>
        <stp/>
        <stp>##V3_BDHV12</stp>
        <stp>XOM US Equity</stp>
        <stp>OTHER_ADJUSTMENTS</stp>
        <stp>FQ3 2012</stp>
        <stp>FQ3 2012</stp>
        <stp>[FA1_m42y3cpi.xlsx]Income - Adjusted!R42C19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2"/>
      </tp>
      <tp>
        <v>0</v>
        <stp/>
        <stp>##V3_BDHV12</stp>
        <stp>XOM US Equity</stp>
        <stp>OTHER_CURRENT_LIABS_DETAILED</stp>
        <stp>FQ1 2009</stp>
        <stp>FQ1 2009</stp>
        <stp>[FA1_m42y3cpi.xlsx]Bal Sheet - Standardized!R54C5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4" s="3"/>
      </tp>
      <tp>
        <v>0</v>
        <stp/>
        <stp>##V3_BDHV12</stp>
        <stp>XOM US Equity</stp>
        <stp>OTHER_CURRENT_LIABS_DETAILED</stp>
        <stp>FQ3 2009</stp>
        <stp>FQ3 2009</stp>
        <stp>[FA1_m42y3cpi.xlsx]Bal Sheet - Standardized!R54C7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4" s="3"/>
      </tp>
      <tp>
        <v>0</v>
        <stp/>
        <stp>##V3_BDHV12</stp>
        <stp>XOM US Equity</stp>
        <stp>OTHER_CURRENT_LIABS_DETAILED</stp>
        <stp>FQ2 2009</stp>
        <stp>FQ2 2009</stp>
        <stp>[FA1_m42y3cpi.xlsx]Bal Sheet - Standardized!R54C6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4" s="3"/>
      </tp>
      <tp>
        <v>0</v>
        <stp/>
        <stp>##V3_BDHV12</stp>
        <stp>XOM US Equity</stp>
        <stp>INVTRY_IN_PROGRESS</stp>
        <stp>FQ1 2016</stp>
        <stp>FQ1 2016</stp>
        <stp>[FA1_m42y3cpi.xlsx]Bal Sheet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3"/>
      </tp>
      <tp>
        <v>54572</v>
        <stp/>
        <stp>##V3_BDHV12</stp>
        <stp>XOM US Equity</stp>
        <stp>BS_ACCRUAL</stp>
        <stp>FQ3 2011</stp>
        <stp>FQ3 2011</stp>
        <stp>[FA1_m42y3cpi.xlsx]Bal Sheet - Standardized!R46C15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6" s="3"/>
      </tp>
      <tp>
        <v>0</v>
        <stp/>
        <stp>##V3_BDHV12</stp>
        <stp>XOM US Equity</stp>
        <stp>OTHER_CURRENT_LIABS_DETAILED</stp>
        <stp>FQ1 2010</stp>
        <stp>FQ1 2010</stp>
        <stp>[FA1_m42y3cpi.xlsx]Bal Sheet - Standardized!R54C9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4" s="3"/>
      </tp>
      <tp>
        <v>53516</v>
        <stp/>
        <stp>##V3_BDHV12</stp>
        <stp>XOM US Equity</stp>
        <stp>BS_ACCRUAL</stp>
        <stp>FQ3 2012</stp>
        <stp>FQ3 2012</stp>
        <stp>[FA1_m42y3cpi.xlsx]Bal Sheet - Standardized!R46C19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6" s="3"/>
      </tp>
      <tp>
        <v>0</v>
        <stp/>
        <stp>##V3_BDHV12</stp>
        <stp>XOM US Equity</stp>
        <stp>INVTRY_IN_PROGRESS</stp>
        <stp>FQ3 2012</stp>
        <stp>FQ3 2012</stp>
        <stp>[FA1_m42y3cpi.xlsx]Bal Sheet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3"/>
      </tp>
      <tp>
        <v>0</v>
        <stp/>
        <stp>##V3_BDHV12</stp>
        <stp>XOM US Equity</stp>
        <stp>OTHER_ADJUSTMENTS</stp>
        <stp>FQ1 2013</stp>
        <stp>FQ1 2013</stp>
        <stp>[FA1_m42y3cpi.xlsx]Income - Adjusted!R42C21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2"/>
      </tp>
      <tp>
        <v>0</v>
        <stp/>
        <stp>##V3_BDHV12</stp>
        <stp>XOM US Equity</stp>
        <stp>OTHER_CURRENT_LIABS_DETAILED</stp>
        <stp>FQ4 2009</stp>
        <stp>FQ4 2009</stp>
        <stp>[FA1_m42y3cpi.xlsx]Bal Sheet - Standardized!R54C8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4" s="3"/>
      </tp>
      <tp t="s">
        <v>—</v>
        <stp/>
        <stp>##V3_BDHV12</stp>
        <stp>XOM US Equity</stp>
        <stp>IS_LEGAL_LITIGATION_SETTLEMENT</stp>
        <stp>FQ3 2014</stp>
        <stp>FQ3 2014</stp>
        <stp>[FA1_m42y3cpi.xlsx]Income - Adjusted!R30C27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2"/>
      </tp>
      <tp t="s">
        <v>—</v>
        <stp/>
        <stp>##V3_BDHV12</stp>
        <stp>XOM US Equity</stp>
        <stp>IS_LEGAL_LITIGATION_SETTLEMENT</stp>
        <stp>FQ4 2010</stp>
        <stp>FQ4 2010</stp>
        <stp>[FA1_m42y3cpi.xlsx]Income - Adjusted!R30C12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2"/>
      </tp>
      <tp t="s">
        <v>—</v>
        <stp/>
        <stp>##V3_BDHV12</stp>
        <stp>XOM US Equity</stp>
        <stp>IS_LEGAL_LITIGATION_SETTLEMENT</stp>
        <stp>FQ1 2017</stp>
        <stp>FQ1 2017</stp>
        <stp>[FA1_m42y3cpi.xlsx]Income - Adjusted!R30C37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0" s="2"/>
      </tp>
      <tp t="s">
        <v>—</v>
        <stp/>
        <stp>##V3_BDHV12</stp>
        <stp>XOM US Equity</stp>
        <stp>IS_LEGAL_LITIGATION_SETTLEMENT</stp>
        <stp>FQ4 2013</stp>
        <stp>FQ4 2013</stp>
        <stp>[FA1_m42y3cpi.xlsx]Income - Adjusted!R30C24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2"/>
      </tp>
      <tp t="s">
        <v>—</v>
        <stp/>
        <stp>##V3_BDHV12</stp>
        <stp>XOM US Equity</stp>
        <stp>BS_INTEREST_&amp;_DIVIDENDS_PAYABLE</stp>
        <stp>FQ3 2017</stp>
        <stp>FQ3 2017</stp>
        <stp>[FA1_m42y3cpi.xlsx]Bal Sheet - Standardized!R45C39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5" s="3"/>
      </tp>
      <tp t="s">
        <v>—</v>
        <stp/>
        <stp>##V3_BDHV12</stp>
        <stp>XOM US Equity</stp>
        <stp>IS_LEGAL_LITIGATION_SETTLEMENT</stp>
        <stp>FQ3 2015</stp>
        <stp>FQ3 2015</stp>
        <stp>[FA1_m42y3cpi.xlsx]Income - Adjusted!R30C31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2"/>
      </tp>
      <tp t="s">
        <v>—</v>
        <stp/>
        <stp>##V3_BDHV12</stp>
        <stp>XOM US Equity</stp>
        <stp>BS_INTEREST_&amp;_DIVIDENDS_PAYABLE</stp>
        <stp>FQ4 2017</stp>
        <stp>FQ4 2017</stp>
        <stp>[FA1_m42y3cpi.xlsx]Bal Sheet - Standardized!R45C40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5" s="3"/>
      </tp>
      <tp t="s">
        <v>—</v>
        <stp/>
        <stp>##V3_BDHV12</stp>
        <stp>XOM US Equity</stp>
        <stp>BS_INTEREST_&amp;_DIVIDENDS_PAYABLE</stp>
        <stp>FQ2 2013</stp>
        <stp>FQ2 2013</stp>
        <stp>[FA1_m42y3cpi.xlsx]Bal Sheet - Standardized!R45C22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5" s="3"/>
      </tp>
      <tp t="s">
        <v>—</v>
        <stp/>
        <stp>##V3_BDHV12</stp>
        <stp>XOM US Equity</stp>
        <stp>BS_INTEREST_&amp;_DIVIDENDS_PAYABLE</stp>
        <stp>FQ1 2011</stp>
        <stp>FQ1 2011</stp>
        <stp>[FA1_m42y3cpi.xlsx]Bal Sheet - Standardized!R45C13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5" s="3"/>
      </tp>
      <tp t="s">
        <v>—</v>
        <stp/>
        <stp>##V3_BDHV12</stp>
        <stp>XOM US Equity</stp>
        <stp>BS_INTEREST_&amp;_DIVIDENDS_PAYABLE</stp>
        <stp>FQ3 2016</stp>
        <stp>FQ3 2016</stp>
        <stp>[FA1_m42y3cpi.xlsx]Bal Sheet - Standardized!R45C35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5" s="3"/>
      </tp>
      <tp t="s">
        <v>—</v>
        <stp/>
        <stp>##V3_BDHV12</stp>
        <stp>XOM US Equity</stp>
        <stp>BS_INTEREST_&amp;_DIVIDENDS_PAYABLE</stp>
        <stp>FQ2 2014</stp>
        <stp>FQ2 2014</stp>
        <stp>[FA1_m42y3cpi.xlsx]Bal Sheet - Standardized!R45C26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5" s="3"/>
      </tp>
      <tp t="s">
        <v>—</v>
        <stp/>
        <stp>##V3_BDHV12</stp>
        <stp>XOM US Equity</stp>
        <stp>BS_INTEREST_&amp;_DIVIDENDS_PAYABLE</stp>
        <stp>FQ3 2015</stp>
        <stp>FQ3 2015</stp>
        <stp>[FA1_m42y3cpi.xlsx]Bal Sheet - Standardized!R45C31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5" s="3"/>
      </tp>
      <tp t="s">
        <v>—</v>
        <stp/>
        <stp>##V3_BDHV12</stp>
        <stp>XOM US Equity</stp>
        <stp>BS_INTEREST_&amp;_DIVIDENDS_PAYABLE</stp>
        <stp>FQ1 2012</stp>
        <stp>FQ1 2012</stp>
        <stp>[FA1_m42y3cpi.xlsx]Bal Sheet - Standardized!R45C17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5" s="3"/>
      </tp>
      <tp>
        <v>412718</v>
        <stp/>
        <stp>##V3_BDHV12</stp>
        <stp>XOM US Equity</stp>
        <stp>BS_PURE_RETAINED_EARNINGS</stp>
        <stp>FQ3 2015</stp>
        <stp>FQ3 2015</stp>
        <stp>[FA1_m42y3cpi.xlsx]Bal Sheet - Standardized!R70C31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0" s="3"/>
      </tp>
      <tp>
        <v>338168</v>
        <stp/>
        <stp>##V3_BDHV12</stp>
        <stp>XOM US Equity</stp>
        <stp>BS_PURE_RETAINED_EARNINGS</stp>
        <stp>FQ1 2012</stp>
        <stp>FQ1 2012</stp>
        <stp>[FA1_m42y3cpi.xlsx]Bal Sheet - Standardized!R70C17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0" s="3"/>
      </tp>
      <tp>
        <v>414540</v>
        <stp/>
        <stp>##V3_BDHV12</stp>
        <stp>XOM US Equity</stp>
        <stp>BS_PURE_RETAINED_EARNINGS</stp>
        <stp>FQ4 2017</stp>
        <stp>FQ4 2017</stp>
        <stp>[FA1_m42y3cpi.xlsx]Bal Sheet - Standardized!R70C40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0" s="3"/>
      </tp>
      <tp>
        <v>307361</v>
        <stp/>
        <stp>##V3_BDHV12</stp>
        <stp>XOM US Equity</stp>
        <stp>BS_PURE_RETAINED_EARNINGS</stp>
        <stp>FQ1 2011</stp>
        <stp>FQ1 2011</stp>
        <stp>[FA1_m42y3cpi.xlsx]Bal Sheet - Standardized!R70C13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0" s="3"/>
      </tp>
      <tp>
        <v>376732</v>
        <stp/>
        <stp>##V3_BDHV12</stp>
        <stp>XOM US Equity</stp>
        <stp>BS_PURE_RETAINED_EARNINGS</stp>
        <stp>FQ2 2013</stp>
        <stp>FQ2 2013</stp>
        <stp>[FA1_m42y3cpi.xlsx]Bal Sheet - Standardized!R70C22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0" s="3"/>
      </tp>
      <tp>
        <v>1560</v>
        <stp/>
        <stp>##V3_BDHV12</stp>
        <stp>XOM US Equity</stp>
        <stp>IS_INC_TAX_EXP</stp>
        <stp>FQ1 2015</stp>
        <stp>FQ1 2015</stp>
        <stp>[FA1_m42y3cpi.xlsx]Income - Adjusted!R33C29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33" s="2"/>
      </tp>
      <tp>
        <v>2060</v>
        <stp/>
        <stp>##V3_BDHV12</stp>
        <stp>XOM US Equity</stp>
        <stp>IS_INC_TAX_EXP</stp>
        <stp>FQ4 2014</stp>
        <stp>FQ4 2014</stp>
        <stp>[FA1_m42y3cpi.xlsx]Income - Adjusted!R33C28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33" s="2"/>
      </tp>
      <tp>
        <v>399614</v>
        <stp/>
        <stp>##V3_BDHV12</stp>
        <stp>XOM US Equity</stp>
        <stp>BS_PURE_RETAINED_EARNINGS</stp>
        <stp>FQ2 2014</stp>
        <stp>FQ2 2014</stp>
        <stp>[FA1_m42y3cpi.xlsx]Bal Sheet - Standardized!R70C26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0" s="3"/>
      </tp>
      <tp>
        <v>409284</v>
        <stp/>
        <stp>##V3_BDHV12</stp>
        <stp>XOM US Equity</stp>
        <stp>BS_PURE_RETAINED_EARNINGS</stp>
        <stp>FQ3 2016</stp>
        <stp>FQ3 2016</stp>
        <stp>[FA1_m42y3cpi.xlsx]Bal Sheet - Standardized!R70C35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0" s="3"/>
      </tp>
      <tp>
        <v>15328</v>
        <stp/>
        <stp>##V3_BDHV12</stp>
        <stp>XOM US Equity</stp>
        <stp>PRETAX_INC</stp>
        <stp>FQ4 2010</stp>
        <stp>FQ4 2010</stp>
        <stp>[FA1_m42y3cpi.xlsx]Income - Adjusted!R24C12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4" s="2"/>
      </tp>
      <tp>
        <v>16776.9231</v>
        <stp/>
        <stp>##V3_BDHV12</stp>
        <stp>XOM US Equity</stp>
        <stp>PRETAX_INC</stp>
        <stp>FQ4 2012</stp>
        <stp>FQ4 2012</stp>
        <stp>[FA1_m42y3cpi.xlsx]Income - Adjusted!R24C20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4" s="2"/>
      </tp>
      <tp>
        <v>18917</v>
        <stp/>
        <stp>##V3_BDHV12</stp>
        <stp>XOM US Equity</stp>
        <stp>PRETAX_INC</stp>
        <stp>FQ1 2011</stp>
        <stp>FQ1 2011</stp>
        <stp>[FA1_m42y3cpi.xlsx]Income - Adjusted!R24C13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4" s="2"/>
      </tp>
      <tp>
        <v>16038</v>
        <stp/>
        <stp>##V3_BDHV12</stp>
        <stp>XOM US Equity</stp>
        <stp>PRETAX_INC</stp>
        <stp>FQ1 2013</stp>
        <stp>FQ1 2013</stp>
        <stp>[FA1_m42y3cpi.xlsx]Income - Adjusted!R24C21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4" s="2"/>
      </tp>
      <tp>
        <v>2396</v>
        <stp/>
        <stp>##V3_BDHV12</stp>
        <stp>XOM US Equity</stp>
        <stp>PRETAX_INC</stp>
        <stp>FQ2 2016</stp>
        <stp>FQ2 2016</stp>
        <stp>[FA1_m42y3cpi.xlsx]Income - Adjusted!R24C34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4" s="2"/>
      </tp>
      <tp>
        <v>14151</v>
        <stp/>
        <stp>##V3_BDHV12</stp>
        <stp>XOM US Equity</stp>
        <stp>PRETAX_INC</stp>
        <stp>FQ2 2014</stp>
        <stp>FQ2 2014</stp>
        <stp>[FA1_m42y3cpi.xlsx]Income - Adjusted!R24C26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4" s="2"/>
      </tp>
      <tp>
        <v>409449</v>
        <stp/>
        <stp>##V3_BDHV12</stp>
        <stp>XOM US Equity</stp>
        <stp>BS_PURE_RETAINED_EARNINGS</stp>
        <stp>FQ3 2017</stp>
        <stp>FQ3 2017</stp>
        <stp>[FA1_m42y3cpi.xlsx]Bal Sheet - Standardized!R70C39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0" s="3"/>
      </tp>
      <tp>
        <v>-923.07690000000002</v>
        <stp/>
        <stp>##V3_BDHV12</stp>
        <stp>XOM US Equity</stp>
        <stp>IS_ABNORMAL_ITEM</stp>
        <stp>FQ4 2012</stp>
        <stp>FQ4 2012</stp>
        <stp>[FA1_m42y3cpi.xlsx]Income - Adjusted!R25C20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2"/>
      </tp>
      <tp>
        <v>0</v>
        <stp/>
        <stp>##V3_BDHV12</stp>
        <stp>XOM US Equity</stp>
        <stp>IS_ABNORMAL_ITEM</stp>
        <stp>FQ2 2014</stp>
        <stp>FQ2 2014</stp>
        <stp>[FA1_m42y3cpi.xlsx]Income - Adjusted!R25C26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2"/>
      </tp>
      <tp>
        <v>0</v>
        <stp/>
        <stp>##V3_BDHV12</stp>
        <stp>XOM US Equity</stp>
        <stp>IS_ABNORMAL_ITEM</stp>
        <stp>FQ4 2011</stp>
        <stp>FQ4 2011</stp>
        <stp>[FA1_m42y3cpi.xlsx]Income - Adjusted!R25C16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2"/>
      </tp>
      <tp>
        <v>0</v>
        <stp/>
        <stp>##V3_BDHV12</stp>
        <stp>XOM US Equity</stp>
        <stp>IS_ABNORMAL_ITEM</stp>
        <stp>FQ1 2016</stp>
        <stp>FQ1 2016</stp>
        <stp>[FA1_m42y3cpi.xlsx]Income - Adjusted!R25C33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2"/>
      </tp>
      <tp>
        <v>0</v>
        <stp/>
        <stp>##V3_BDHV12</stp>
        <stp>XOM US Equity</stp>
        <stp>IS_ABNORMAL_ITEM</stp>
        <stp>FQ2 2015</stp>
        <stp>FQ2 2015</stp>
        <stp>[FA1_m42y3cpi.xlsx]Income - Adjusted!R25C30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2"/>
      </tp>
      <tp>
        <v>13055</v>
        <stp/>
        <stp>##V3_BDHV12</stp>
        <stp>XOM US Equity</stp>
        <stp>C&amp;CE_AND_STI_DETAILED</stp>
        <stp>FQ3 2012</stp>
        <stp>FQ3 2012</stp>
        <stp>[FA1_m42y3cpi.xlsx]Bal Sheet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3"/>
      </tp>
      <tp>
        <v>17802</v>
        <stp/>
        <stp>##V3_BDHV12</stp>
        <stp>XOM US Equity</stp>
        <stp>C&amp;CE_AND_STI_DETAILED</stp>
        <stp>FQ2 2012</stp>
        <stp>FQ2 2012</stp>
        <stp>[FA1_m42y3cpi.xlsx]Bal Sheet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3"/>
      </tp>
      <tp>
        <v>13943</v>
        <stp/>
        <stp>##V3_BDHV12</stp>
        <stp>XOM US Equity</stp>
        <stp>GROSS_PROFIT</stp>
        <stp>FQ4 2008</stp>
        <stp>FQ4 2008</stp>
        <stp>[FA1_m42y3cpi.xlsx]Income - Adjusted!R11C4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2"/>
      </tp>
      <tp>
        <v>25585</v>
        <stp/>
        <stp>##V3_BDHV12</stp>
        <stp>XOM US Equity</stp>
        <stp>GROSS_PROFIT</stp>
        <stp>FQ3 2008</stp>
        <stp>FQ3 2008</stp>
        <stp>[FA1_m42y3cpi.xlsx]Income - Adjusted!R11C3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2"/>
      </tp>
      <tp>
        <v>12833</v>
        <stp/>
        <stp>##V3_BDHV12</stp>
        <stp>XOM US Equity</stp>
        <stp>C&amp;CE_AND_STI_DETAILED</stp>
        <stp>FQ1 2011</stp>
        <stp>FQ1 2011</stp>
        <stp>[FA1_m42y3cpi.xlsx]Bal Sheet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3"/>
      </tp>
      <tp>
        <v>12259</v>
        <stp/>
        <stp>##V3_BDHV12</stp>
        <stp>XOM US Equity</stp>
        <stp>C&amp;CE_AND_STI_DETAILED</stp>
        <stp>FQ3 2010</stp>
        <stp>FQ3 2010</stp>
        <stp>[FA1_m42y3cpi.xlsx]Bal Sheet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3"/>
      </tp>
      <tp>
        <v>13267</v>
        <stp/>
        <stp>##V3_BDHV12</stp>
        <stp>XOM US Equity</stp>
        <stp>C&amp;CE_AND_STI_DETAILED</stp>
        <stp>FQ2 2010</stp>
        <stp>FQ2 2010</stp>
        <stp>[FA1_m42y3cpi.xlsx]Bal Sheet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3"/>
      </tp>
      <tp>
        <v>12664</v>
        <stp/>
        <stp>##V3_BDHV12</stp>
        <stp>XOM US Equity</stp>
        <stp>C&amp;CE_AND_STI_DETAILED</stp>
        <stp>FQ4 2011</stp>
        <stp>FQ4 2011</stp>
        <stp>[FA1_m42y3cpi.xlsx]Bal Sheet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3"/>
      </tp>
      <tp>
        <v>10041</v>
        <stp/>
        <stp>##V3_BDHV12</stp>
        <stp>XOM US Equity</stp>
        <stp>C&amp;CE_AND_STI_DETAILED</stp>
        <stp>FQ2 2011</stp>
        <stp>FQ2 2011</stp>
        <stp>[FA1_m42y3cpi.xlsx]Bal Sheet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3"/>
      </tp>
      <tp>
        <v>18670</v>
        <stp/>
        <stp>##V3_BDHV12</stp>
        <stp>XOM US Equity</stp>
        <stp>C&amp;CE_AND_STI_DETAILED</stp>
        <stp>FQ1 2012</stp>
        <stp>FQ1 2012</stp>
        <stp>[FA1_m42y3cpi.xlsx]Bal Sheet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3"/>
      </tp>
      <tp>
        <v>11022</v>
        <stp/>
        <stp>##V3_BDHV12</stp>
        <stp>XOM US Equity</stp>
        <stp>C&amp;CE_AND_STI_DETAILED</stp>
        <stp>FQ3 2011</stp>
        <stp>FQ3 2011</stp>
        <stp>[FA1_m42y3cpi.xlsx]Bal Sheet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3"/>
      </tp>
      <tp>
        <v>7827</v>
        <stp/>
        <stp>##V3_BDHV12</stp>
        <stp>XOM US Equity</stp>
        <stp>C&amp;CE_AND_STI_DETAILED</stp>
        <stp>FQ4 2010</stp>
        <stp>FQ4 2010</stp>
        <stp>[FA1_m42y3cpi.xlsx]Bal Sheet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3"/>
      </tp>
      <tp>
        <v>-3159</v>
        <stp/>
        <stp>##V3_BDHV12</stp>
        <stp>XOM US Equity</stp>
        <stp>IS_NONOP_INCOME_LOSS</stp>
        <stp>FQ1 2010</stp>
        <stp>FQ1 2010</stp>
        <stp>[FA1_m42y3cpi.xlsx]Income - Adjusted!R17C9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7" s="2"/>
      </tp>
      <tp t="s">
        <v>—</v>
        <stp/>
        <stp>##V3_BDHV12</stp>
        <stp>XOM US Equity</stp>
        <stp>BS_DERIV_&amp;_HEDGING_ASSETS_ST</stp>
        <stp>FQ4 2009</stp>
        <stp>FQ4 2009</stp>
        <stp>[FA1_m42y3cpi.xlsx]Bal Sheet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3"/>
      </tp>
      <tp t="s">
        <v>—</v>
        <stp/>
        <stp>##V3_BDHV12</stp>
        <stp>XOM US Equity</stp>
        <stp>BS_DERIV_&amp;_HEDGING_ASSETS_ST</stp>
        <stp>FQ1 2010</stp>
        <stp>FQ1 2010</stp>
        <stp>[FA1_m42y3cpi.xlsx]Bal Sheet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3"/>
      </tp>
      <tp t="s">
        <v>—</v>
        <stp/>
        <stp>##V3_BDHV12</stp>
        <stp>XOM US Equity</stp>
        <stp>BS_DERIV_&amp;_HEDGING_ASSETS_ST</stp>
        <stp>FQ1 2009</stp>
        <stp>FQ1 2009</stp>
        <stp>[FA1_m42y3cpi.xlsx]Bal Sheet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3"/>
      </tp>
      <tp t="s">
        <v>—</v>
        <stp/>
        <stp>##V3_BDHV12</stp>
        <stp>XOM US Equity</stp>
        <stp>BS_DERIV_&amp;_HEDGING_ASSETS_ST</stp>
        <stp>FQ3 2009</stp>
        <stp>FQ3 2009</stp>
        <stp>[FA1_m42y3cpi.xlsx]Bal Sheet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3"/>
      </tp>
      <tp t="s">
        <v>—</v>
        <stp/>
        <stp>##V3_BDHV12</stp>
        <stp>XOM US Equity</stp>
        <stp>BS_DERIV_&amp;_HEDGING_ASSETS_ST</stp>
        <stp>FQ2 2009</stp>
        <stp>FQ2 2009</stp>
        <stp>[FA1_m42y3cpi.xlsx]Bal Sheet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3"/>
      </tp>
      <tp t="s">
        <v>—</v>
        <stp/>
        <stp>##V3_BDHV12</stp>
        <stp>XOM US Equity</stp>
        <stp>BS_DERIV_&amp;_HEDGING_ASSETS_ST</stp>
        <stp>FQ4 2008</stp>
        <stp>FQ4 2008</stp>
        <stp>[FA1_m42y3cpi.xlsx]Bal Sheet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3"/>
      </tp>
      <tp t="s">
        <v>—</v>
        <stp/>
        <stp>##V3_BDHV12</stp>
        <stp>XOM US Equity</stp>
        <stp>BS_DERIV_&amp;_HEDGING_ASSETS_ST</stp>
        <stp>FQ3 2008</stp>
        <stp>FQ3 2008</stp>
        <stp>[FA1_m42y3cpi.xlsx]Bal Sheet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0</v>
        <stp/>
        <stp>##V3_BDHV12</stp>
        <stp>XOM US Equity</stp>
        <stp>OTHER_ADJUSTMENTS</stp>
        <stp>FQ3 2017</stp>
        <stp>FQ3 2017</stp>
        <stp>[FA1_m42y3cpi.xlsx]Income - Adjusted!R42C39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2" s="2"/>
      </tp>
      <tp>
        <v>0</v>
        <stp/>
        <stp>##V3_BDHV12</stp>
        <stp>XOM US Equity</stp>
        <stp>INVTRY_IN_PROGRESS</stp>
        <stp>FQ4 2011</stp>
        <stp>FQ4 2011</stp>
        <stp>[FA1_m42y3cpi.xlsx]Bal Sheet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3"/>
      </tp>
      <tp>
        <v>23098</v>
        <stp/>
        <stp>##V3_BDHV12</stp>
        <stp>XOM US Equity</stp>
        <stp>BS_ACCRUAL</stp>
        <stp>FQ4 2011</stp>
        <stp>FQ4 2011</stp>
        <stp>[FA1_m42y3cpi.xlsx]Bal Sheet - Standardized!R46C16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6" s="3"/>
      </tp>
      <tp>
        <v>0</v>
        <stp/>
        <stp>##V3_BDHV12</stp>
        <stp>XOM US Equity</stp>
        <stp>INVTRY_IN_PROGRESS</stp>
        <stp>FQ4 2010</stp>
        <stp>FQ4 2010</stp>
        <stp>[FA1_m42y3cpi.xlsx]Bal Sheet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3"/>
      </tp>
      <tp>
        <v>19254</v>
        <stp/>
        <stp>##V3_BDHV12</stp>
        <stp>XOM US Equity</stp>
        <stp>BS_ACCRUAL</stp>
        <stp>FQ4 2010</stp>
        <stp>FQ4 2010</stp>
        <stp>[FA1_m42y3cpi.xlsx]Bal Sheet - Standardized!R46C12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6" s="3"/>
      </tp>
      <tp>
        <v>37207</v>
        <stp/>
        <stp>##V3_BDHV12</stp>
        <stp>XOM US Equity</stp>
        <stp>BS_ACCRUAL</stp>
        <stp>FQ1 2018</stp>
        <stp>FQ1 2018</stp>
        <stp>[FA1_m42y3cpi.xlsx]Bal Sheet - Standardized!R46C41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6" s="3"/>
      </tp>
      <tp>
        <v>0</v>
        <stp/>
        <stp>##V3_BDHV12</stp>
        <stp>XOM US Equity</stp>
        <stp>OTHER_ADJUSTMENTS</stp>
        <stp>FQ4 2017</stp>
        <stp>FQ4 2017</stp>
        <stp>[FA1_m42y3cpi.xlsx]Income - Adjusted!R42C40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2" s="2"/>
      </tp>
      <tp>
        <v>0</v>
        <stp/>
        <stp>##V3_BDHV12</stp>
        <stp>XOM US Equity</stp>
        <stp>INVTRY_IN_PROGRESS</stp>
        <stp>FQ1 2018</stp>
        <stp>FQ1 2018</stp>
        <stp>[FA1_m42y3cpi.xlsx]Bal Sheet - Standardized!R15C41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5" s="3"/>
      </tp>
      <tp>
        <v>0</v>
        <stp/>
        <stp>##V3_BDHV12</stp>
        <stp>XOM US Equity</stp>
        <stp>OTHER_ADJUSTMENTS</stp>
        <stp>FQ2 2016</stp>
        <stp>FQ2 2016</stp>
        <stp>[FA1_m42y3cpi.xlsx]Income - Adjusted!R42C34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2"/>
      </tp>
      <tp>
        <v>0</v>
        <stp/>
        <stp>##V3_BDHV12</stp>
        <stp>XOM US Equity</stp>
        <stp>OTHER_ADJUSTMENTS</stp>
        <stp>FQ1 2014</stp>
        <stp>FQ1 2014</stp>
        <stp>[FA1_m42y3cpi.xlsx]Income - Adjusted!R42C25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2"/>
      </tp>
      <tp t="s">
        <v>—</v>
        <stp/>
        <stp>##V3_BDHV12</stp>
        <stp>XOM US Equity</stp>
        <stp>IS_LEGAL_LITIGATION_SETTLEMENT</stp>
        <stp>FQ3 2010</stp>
        <stp>FQ3 2010</stp>
        <stp>[FA1_m42y3cpi.xlsx]Income - Adjusted!R30C11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2"/>
      </tp>
      <tp t="s">
        <v>—</v>
        <stp/>
        <stp>##V3_BDHV12</stp>
        <stp>XOM US Equity</stp>
        <stp>IS_LEGAL_LITIGATION_SETTLEMENT</stp>
        <stp>FQ3 2013</stp>
        <stp>FQ3 2013</stp>
        <stp>[FA1_m42y3cpi.xlsx]Income - Adjusted!R30C23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2"/>
      </tp>
      <tp>
        <v>22117</v>
        <stp/>
        <stp>##V3_BDHV12</stp>
        <stp>XOM US Equity</stp>
        <stp>BS_PENSION_RSRV</stp>
        <stp>FQ2 2012</stp>
        <stp>FQ2 2012</stp>
        <stp>[FA1_m42y3cpi.xlsx]Bal Sheet - Standardized!R81C18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1" s="3"/>
      </tp>
      <tp t="s">
        <v>—</v>
        <stp/>
        <stp>##V3_BDHV12</stp>
        <stp>XOM US Equity</stp>
        <stp>IS_LEGAL_LITIGATION_SETTLEMENT</stp>
        <stp>FQ4 2015</stp>
        <stp>FQ4 2015</stp>
        <stp>[FA1_m42y3cpi.xlsx]Income - Adjusted!R30C32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2"/>
      </tp>
      <tp t="s">
        <v>—</v>
        <stp/>
        <stp>##V3_BDHV12</stp>
        <stp>XOM US Equity</stp>
        <stp>IS_LEGAL_LITIGATION_SETTLEMENT</stp>
        <stp>FQ1 2012</stp>
        <stp>FQ1 2012</stp>
        <stp>[FA1_m42y3cpi.xlsx]Income - Adjusted!R30C17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2"/>
      </tp>
      <tp t="s">
        <v>—</v>
        <stp/>
        <stp>##V3_BDHV12</stp>
        <stp>XOM US Equity</stp>
        <stp>IS_LEGAL_LITIGATION_SETTLEMENT</stp>
        <stp>FQ2 2011</stp>
        <stp>FQ2 2011</stp>
        <stp>[FA1_m42y3cpi.xlsx]Income - Adjusted!R30C14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2"/>
      </tp>
      <tp>
        <v>24632</v>
        <stp/>
        <stp>##V3_BDHV12</stp>
        <stp>XOM US Equity</stp>
        <stp>BS_PENSION_RSRV</stp>
        <stp>FQ1 2015</stp>
        <stp>FQ1 2015</stp>
        <stp>[FA1_m42y3cpi.xlsx]Bal Sheet - Standardized!R81C29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1" s="3"/>
      </tp>
      <tp>
        <v>25286</v>
        <stp/>
        <stp>##V3_BDHV12</stp>
        <stp>XOM US Equity</stp>
        <stp>BS_PENSION_RSRV</stp>
        <stp>FQ1 2013</stp>
        <stp>FQ1 2013</stp>
        <stp>[FA1_m42y3cpi.xlsx]Bal Sheet - Standardized!R81C21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1" s="3"/>
      </tp>
      <tp t="s">
        <v>—</v>
        <stp/>
        <stp>##V3_BDHV12</stp>
        <stp>XOM US Equity</stp>
        <stp>BS_INTEREST_&amp;_DIVIDENDS_PAYABLE</stp>
        <stp>FQ4 2015</stp>
        <stp>FQ4 2015</stp>
        <stp>[FA1_m42y3cpi.xlsx]Bal Sheet - Standardized!R45C32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5" s="3"/>
      </tp>
      <tp>
        <v>17143</v>
        <stp/>
        <stp>##V3_BDHV12</stp>
        <stp>XOM US Equity</stp>
        <stp>BS_PENSION_RSRV</stp>
        <stp>FQ2 2010</stp>
        <stp>FQ2 2010</stp>
        <stp>[FA1_m42y3cpi.xlsx]Bal Sheet - Standardized!R81C10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1" s="3"/>
      </tp>
      <tp>
        <v>20215</v>
        <stp/>
        <stp>##V3_BDHV12</stp>
        <stp>XOM US Equity</stp>
        <stp>BS_PENSION_RSRV</stp>
        <stp>FQ1 2014</stp>
        <stp>FQ1 2014</stp>
        <stp>[FA1_m42y3cpi.xlsx]Bal Sheet - Standardized!R81C25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1" s="3"/>
      </tp>
      <tp>
        <v>20257</v>
        <stp/>
        <stp>##V3_BDHV12</stp>
        <stp>XOM US Equity</stp>
        <stp>BS_PENSION_RSRV</stp>
        <stp>FQ2 2011</stp>
        <stp>FQ2 2011</stp>
        <stp>[FA1_m42y3cpi.xlsx]Bal Sheet - Standardized!R81C14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1" s="3"/>
      </tp>
      <tp t="s">
        <v>—</v>
        <stp/>
        <stp>##V3_BDHV12</stp>
        <stp>XOM US Equity</stp>
        <stp>BS_INTEREST_&amp;_DIVIDENDS_PAYABLE</stp>
        <stp>FQ4 2016</stp>
        <stp>FQ4 2016</stp>
        <stp>[FA1_m42y3cpi.xlsx]Bal Sheet - Standardized!R45C36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5" s="3"/>
      </tp>
      <tp>
        <v>-413.84620000000001</v>
        <stp/>
        <stp>##V3_BDHV12</stp>
        <stp>XOM US Equity</stp>
        <stp>IS_LEGAL_LITIGATION_SETTLEMENT</stp>
        <stp>FQ4 2014</stp>
        <stp>FQ4 2014</stp>
        <stp>[FA1_m42y3cpi.xlsx]Income - Adjusted!R30C28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2"/>
      </tp>
      <tp t="s">
        <v>—</v>
        <stp/>
        <stp>##V3_BDHV12</stp>
        <stp>XOM US Equity</stp>
        <stp>IS_SALES_AND_SERVICES_REVENUES</stp>
        <stp>FQ4 2008</stp>
        <stp>FQ4 2008</stp>
        <stp>[FA1_m42y3cpi.xlsx]Income - Adjusted!R7C4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7" s="2"/>
      </tp>
      <tp>
        <v>407831</v>
        <stp/>
        <stp>##V3_BDHV12</stp>
        <stp>XOM US Equity</stp>
        <stp>BS_PURE_RETAINED_EARNINGS</stp>
        <stp>FQ4 2016</stp>
        <stp>FQ4 2016</stp>
        <stp>[FA1_m42y3cpi.xlsx]Bal Sheet - Standardized!R70C36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0" s="3"/>
      </tp>
      <tp>
        <v>412444</v>
        <stp/>
        <stp>##V3_BDHV12</stp>
        <stp>XOM US Equity</stp>
        <stp>BS_PURE_RETAINED_EARNINGS</stp>
        <stp>FQ4 2015</stp>
        <stp>FQ4 2015</stp>
        <stp>[FA1_m42y3cpi.xlsx]Bal Sheet - Standardized!R70C32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0" s="3"/>
      </tp>
      <tp>
        <v>7394</v>
        <stp/>
        <stp>##V3_BDHV12</stp>
        <stp>XOM US Equity</stp>
        <stp>IS_INC_TAX_EXP</stp>
        <stp>FQ3 2012</stp>
        <stp>FQ3 2012</stp>
        <stp>[FA1_m42y3cpi.xlsx]Income - Adjusted!R33C19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33" s="2"/>
      </tp>
      <tp t="s">
        <v>—</v>
        <stp/>
        <stp>##V3_BDHV12</stp>
        <stp>XOM US Equity</stp>
        <stp>IS_SALES_AND_SERVICES_REVENUES</stp>
        <stp>FQ3 2008</stp>
        <stp>FQ3 2008</stp>
        <stp>[FA1_m42y3cpi.xlsx]Income - Adjusted!R7C3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7" s="2"/>
      </tp>
      <tp>
        <v>17515</v>
        <stp/>
        <stp>##V3_BDHV12</stp>
        <stp>XOM US Equity</stp>
        <stp>PRETAX_INC</stp>
        <stp>FQ1 2012</stp>
        <stp>FQ1 2012</stp>
        <stp>[FA1_m42y3cpi.xlsx]Income - Adjusted!R24C17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4" s="2"/>
      </tp>
      <tp>
        <v>1730</v>
        <stp/>
        <stp>##V3_BDHV12</stp>
        <stp>XOM US Equity</stp>
        <stp>PRETAX_INC</stp>
        <stp>FQ1 2016</stp>
        <stp>FQ1 2016</stp>
        <stp>[FA1_m42y3cpi.xlsx]Income - Adjusted!R24C33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4" s="2"/>
      </tp>
      <tp>
        <v>18619</v>
        <stp/>
        <stp>##V3_BDHV12</stp>
        <stp>XOM US Equity</stp>
        <stp>PRETAX_INC</stp>
        <stp>FQ2 2011</stp>
        <stp>FQ2 2011</stp>
        <stp>[FA1_m42y3cpi.xlsx]Income - Adjusted!R24C14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4" s="2"/>
      </tp>
      <tp>
        <v>6954</v>
        <stp/>
        <stp>##V3_BDHV12</stp>
        <stp>XOM US Equity</stp>
        <stp>PRETAX_INC</stp>
        <stp>FQ2 2015</stp>
        <stp>FQ2 2015</stp>
        <stp>[FA1_m42y3cpi.xlsx]Income - Adjusted!R24C30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4" s="2"/>
      </tp>
      <tp>
        <v>0</v>
        <stp/>
        <stp>##V3_BDHV12</stp>
        <stp>XOM US Equity</stp>
        <stp>IS_ABNORMAL_ITEM</stp>
        <stp>FQ2 2013</stp>
        <stp>FQ2 2013</stp>
        <stp>[FA1_m42y3cpi.xlsx]Income - Adjusted!R25C22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2"/>
      </tp>
      <tp>
        <v>15</v>
        <stp/>
        <stp>##V3_BDHV12</stp>
        <stp>XOM US Equity</stp>
        <stp>IS_ABNORMAL_ITEM</stp>
        <stp>FQ2 2010</stp>
        <stp>FQ2 2010</stp>
        <stp>[FA1_m42y3cpi.xlsx]Income - Adjusted!R25C10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2"/>
      </tp>
      <tp>
        <v>0</v>
        <stp/>
        <stp>##V3_BDHV12</stp>
        <stp>XOM US Equity</stp>
        <stp>IS_ABNORMAL_ITEM</stp>
        <stp>FQ3 2011</stp>
        <stp>FQ3 2011</stp>
        <stp>[FA1_m42y3cpi.xlsx]Income - Adjusted!R25C15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2"/>
      </tp>
      <tp t="s">
        <v>—</v>
        <stp/>
        <stp>##V3_BDHV12</stp>
        <stp>XOM US Equity</stp>
        <stp>CASH_CONVERSION_CYCLE</stp>
        <stp>FQ1 2009</stp>
        <stp>FQ1 2009</stp>
        <stp>[FA1_m42y3cpi.xlsx]Bal Sheet - Standardized!R90C5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90" s="3"/>
      </tp>
      <tp>
        <v>0</v>
        <stp/>
        <stp>##V3_BDHV12</stp>
        <stp>XOM US Equity</stp>
        <stp>OTHER_ADJUSTMENTS</stp>
        <stp>FQ2 2017</stp>
        <stp>FQ2 2017</stp>
        <stp>[FA1_m42y3cpi.xlsx]Income - Adjusted!R42C38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2" s="2"/>
      </tp>
      <tp>
        <v>0</v>
        <stp/>
        <stp>##V3_BDHV12</stp>
        <stp>XOM US Equity</stp>
        <stp>OTHER_ADJUSTMENTS</stp>
        <stp>FQ1 2015</stp>
        <stp>FQ1 2015</stp>
        <stp>[FA1_m42y3cpi.xlsx]Income - Adjusted!R42C29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2"/>
      </tp>
      <tp>
        <v>0</v>
        <stp/>
        <stp>##V3_BDHV12</stp>
        <stp>XOM US Equity</stp>
        <stp>OTHER_ADJUSTMENTS</stp>
        <stp>FQ3 2016</stp>
        <stp>FQ3 2016</stp>
        <stp>[FA1_m42y3cpi.xlsx]Income - Adjusted!R42C35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2"/>
      </tp>
      <tp t="s">
        <v>—</v>
        <stp/>
        <stp>##V3_BDHV12</stp>
        <stp>XOM US Equity</stp>
        <stp>BS_INTEREST_&amp;_DIVIDENDS_PAYABLE</stp>
        <stp>FQ4 2014</stp>
        <stp>FQ4 2014</stp>
        <stp>[FA1_m42y3cpi.xlsx]Bal Sheet - Standardized!R45C28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5" s="3"/>
      </tp>
      <tp t="s">
        <v>—</v>
        <stp/>
        <stp>##V3_BDHV12</stp>
        <stp>XOM US Equity</stp>
        <stp>IS_LEGAL_LITIGATION_SETTLEMENT</stp>
        <stp>FQ2 2013</stp>
        <stp>FQ2 2013</stp>
        <stp>[FA1_m42y3cpi.xlsx]Income - Adjusted!R30C22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2"/>
      </tp>
      <tp t="s">
        <v>—</v>
        <stp/>
        <stp>##V3_BDHV12</stp>
        <stp>XOM US Equity</stp>
        <stp>BS_INTEREST_&amp;_DIVIDENDS_PAYABLE</stp>
        <stp>FQ2 2018</stp>
        <stp>FQ2 2018</stp>
        <stp>[FA1_m42y3cpi.xlsx]Bal Sheet - Standardized!R45C42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5" s="3"/>
      </tp>
      <tp t="s">
        <v>—</v>
        <stp/>
        <stp>##V3_BDHV12</stp>
        <stp>XOM US Equity</stp>
        <stp>IS_LEGAL_LITIGATION_SETTLEMENT</stp>
        <stp>FQ2 2010</stp>
        <stp>FQ2 2010</stp>
        <stp>[FA1_m42y3cpi.xlsx]Income - Adjusted!R30C10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2"/>
      </tp>
      <tp>
        <v>21652</v>
        <stp/>
        <stp>##V3_BDHV12</stp>
        <stp>XOM US Equity</stp>
        <stp>BS_PENSION_RSRV</stp>
        <stp>FQ3 2012</stp>
        <stp>FQ3 2012</stp>
        <stp>[FA1_m42y3cpi.xlsx]Bal Sheet - Standardized!R81C19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1" s="3"/>
      </tp>
      <tp t="s">
        <v>—</v>
        <stp/>
        <stp>##V3_BDHV12</stp>
        <stp>XOM US Equity</stp>
        <stp>IS_LEGAL_LITIGATION_SETTLEMENT</stp>
        <stp>FQ3 2011</stp>
        <stp>FQ3 2011</stp>
        <stp>[FA1_m42y3cpi.xlsx]Income - Adjusted!R30C15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2"/>
      </tp>
      <tp>
        <v>0</v>
        <stp/>
        <stp>##V3_BDHV12</stp>
        <stp>XOM US Equity</stp>
        <stp>BS_INTEREST_&amp;_DIVIDENDS_PAYABLE</stp>
        <stp>FQ4 2013</stp>
        <stp>FQ4 2013</stp>
        <stp>[FA1_m42y3cpi.xlsx]Bal Sheet - Standardized!R45C24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5" s="3"/>
      </tp>
      <tp>
        <v>18012</v>
        <stp/>
        <stp>##V3_BDHV12</stp>
        <stp>XOM US Equity</stp>
        <stp>BS_PENSION_RSRV</stp>
        <stp>FQ3 2010</stp>
        <stp>FQ3 2010</stp>
        <stp>[FA1_m42y3cpi.xlsx]Bal Sheet - Standardized!R81C11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1" s="3"/>
      </tp>
      <tp>
        <v>20584</v>
        <stp/>
        <stp>##V3_BDHV12</stp>
        <stp>XOM US Equity</stp>
        <stp>BS_PENSION_RSRV</stp>
        <stp>FQ1 2017</stp>
        <stp>FQ1 2017</stp>
        <stp>[FA1_m42y3cpi.xlsx]Bal Sheet - Standardized!R81C37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1" s="3"/>
      </tp>
      <tp>
        <v>0</v>
        <stp/>
        <stp>##V3_BDHV12</stp>
        <stp>XOM US Equity</stp>
        <stp>BS_INTEREST_&amp;_DIVIDENDS_PAYABLE</stp>
        <stp>FQ4 2012</stp>
        <stp>FQ4 2012</stp>
        <stp>[FA1_m42y3cpi.xlsx]Bal Sheet - Standardized!R45C20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5" s="3"/>
      </tp>
      <tp>
        <v>19557</v>
        <stp/>
        <stp>##V3_BDHV12</stp>
        <stp>XOM US Equity</stp>
        <stp>BS_PENSION_RSRV</stp>
        <stp>FQ3 2011</stp>
        <stp>FQ3 2011</stp>
        <stp>[FA1_m42y3cpi.xlsx]Bal Sheet - Standardized!R81C15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1" s="3"/>
      </tp>
      <tp>
        <v>22401</v>
        <stp/>
        <stp>##V3_BDHV12</stp>
        <stp>XOM US Equity</stp>
        <stp>BS_PENSION_RSRV</stp>
        <stp>FQ1 2016</stp>
        <stp>FQ1 2016</stp>
        <stp>[FA1_m42y3cpi.xlsx]Bal Sheet - Standardized!R81C33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1" s="3"/>
      </tp>
      <tp t="s">
        <v>—</v>
        <stp/>
        <stp>##V3_BDHV12</stp>
        <stp>XOM US Equity</stp>
        <stp>BS_TOTAL_CAPITAL_LEASES</stp>
        <stp>FQ1 2009</stp>
        <stp>FQ1 2009</stp>
        <stp>[FA1_m42y3cpi.xlsx]Bal Sheet - Standardized!R83C5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3" s="3"/>
      </tp>
      <tp t="s">
        <v>—</v>
        <stp/>
        <stp>##V3_BDHV12</stp>
        <stp>XOM US Equity</stp>
        <stp>BS_TOTAL_CAPITAL_LEASES</stp>
        <stp>FQ2 2009</stp>
        <stp>FQ2 2009</stp>
        <stp>[FA1_m42y3cpi.xlsx]Bal Sheet - Standardized!R83C6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3" s="3"/>
      </tp>
      <tp t="s">
        <v>—</v>
        <stp/>
        <stp>##V3_BDHV12</stp>
        <stp>XOM US Equity</stp>
        <stp>BS_TOTAL_CAPITAL_LEASES</stp>
        <stp>FQ3 2009</stp>
        <stp>FQ3 2009</stp>
        <stp>[FA1_m42y3cpi.xlsx]Bal Sheet - Standardized!R83C7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3" s="3"/>
      </tp>
      <tp>
        <v>380</v>
        <stp/>
        <stp>##V3_BDHV12</stp>
        <stp>XOM US Equity</stp>
        <stp>BS_TOTAL_CAPITAL_LEASES</stp>
        <stp>FQ4 2008</stp>
        <stp>FQ4 2008</stp>
        <stp>[FA1_m42y3cpi.xlsx]Bal Sheet - Standardized!R83C4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3" s="3"/>
      </tp>
      <tp t="s">
        <v>—</v>
        <stp/>
        <stp>##V3_BDHV12</stp>
        <stp>XOM US Equity</stp>
        <stp>BS_TOTAL_CAPITAL_LEASES</stp>
        <stp>FQ3 2008</stp>
        <stp>FQ3 2008</stp>
        <stp>[FA1_m42y3cpi.xlsx]Bal Sheet - Standardized!R83C3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3" s="3"/>
      </tp>
      <tp>
        <v>368</v>
        <stp/>
        <stp>##V3_BDHV12</stp>
        <stp>XOM US Equity</stp>
        <stp>BS_TOTAL_CAPITAL_LEASES</stp>
        <stp>FQ4 2009</stp>
        <stp>FQ4 2009</stp>
        <stp>[FA1_m42y3cpi.xlsx]Bal Sheet - Standardized!R83C8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3" s="3"/>
      </tp>
      <tp t="s">
        <v>—</v>
        <stp/>
        <stp>##V3_BDHV12</stp>
        <stp>XOM US Equity</stp>
        <stp>BS_TOTAL_CAPITAL_LEASES</stp>
        <stp>FQ1 2010</stp>
        <stp>FQ1 2010</stp>
        <stp>[FA1_m42y3cpi.xlsx]Bal Sheet - Standardized!R83C9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3" s="3"/>
      </tp>
      <tp>
        <v>365727</v>
        <stp/>
        <stp>##V3_BDHV12</stp>
        <stp>XOM US Equity</stp>
        <stp>BS_PURE_RETAINED_EARNINGS</stp>
        <stp>FQ4 2012</stp>
        <stp>FQ4 2012</stp>
        <stp>[FA1_m42y3cpi.xlsx]Bal Sheet - Standardized!R70C20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0" s="3"/>
      </tp>
      <tp>
        <v>387432</v>
        <stp/>
        <stp>##V3_BDHV12</stp>
        <stp>XOM US Equity</stp>
        <stp>BS_PURE_RETAINED_EARNINGS</stp>
        <stp>FQ4 2013</stp>
        <stp>FQ4 2013</stp>
        <stp>[FA1_m42y3cpi.xlsx]Bal Sheet - Standardized!R70C24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0" s="3"/>
      </tp>
      <tp>
        <v>13.851800000000001</v>
        <stp/>
        <stp>##V3_BDHV12</stp>
        <stp>XOM US Equity</stp>
        <stp>EBITDA_MARGIN</stp>
        <stp>FQ1 2010</stp>
        <stp>FQ1 2010</stp>
        <stp>[FA1_m42y3cpi.xlsx]Income - Adjusted!R62C9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62" s="2"/>
      </tp>
      <tp>
        <v>2526</v>
        <stp/>
        <stp>##V3_BDHV12</stp>
        <stp>XOM US Equity</stp>
        <stp>IS_INC_TAX_EXP</stp>
        <stp>FQ2 2018</stp>
        <stp>FQ2 2018</stp>
        <stp>[FA1_m42y3cpi.xlsx]Income - Adjusted!R33C42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33" s="2"/>
      </tp>
      <tp>
        <v>8537</v>
        <stp/>
        <stp>##V3_BDHV12</stp>
        <stp>XOM US Equity</stp>
        <stp>IS_INC_TAX_EXP</stp>
        <stp>FQ2 2012</stp>
        <stp>FQ2 2012</stp>
        <stp>[FA1_m42y3cpi.xlsx]Income - Adjusted!R33C18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33" s="2"/>
      </tp>
      <tp>
        <v>18680</v>
        <stp/>
        <stp>##V3_BDHV12</stp>
        <stp>XOM US Equity</stp>
        <stp>PRETAX_INC</stp>
        <stp>FQ3 2011</stp>
        <stp>FQ3 2011</stp>
        <stp>[FA1_m42y3cpi.xlsx]Income - Adjusted!R24C15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4" s="2"/>
      </tp>
      <tp>
        <v>5749</v>
        <stp/>
        <stp>##V3_BDHV12</stp>
        <stp>XOM US Equity</stp>
        <stp>PRETAX_INC</stp>
        <stp>FQ3 2015</stp>
        <stp>FQ3 2015</stp>
        <stp>[FA1_m42y3cpi.xlsx]Income - Adjusted!R24C31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4" s="2"/>
      </tp>
      <tp>
        <v>416418</v>
        <stp/>
        <stp>##V3_BDHV12</stp>
        <stp>XOM US Equity</stp>
        <stp>BS_PURE_RETAINED_EARNINGS</stp>
        <stp>FQ2 2018</stp>
        <stp>FQ2 2018</stp>
        <stp>[FA1_m42y3cpi.xlsx]Bal Sheet - Standardized!R70C42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0" s="3"/>
      </tp>
      <tp>
        <v>408384</v>
        <stp/>
        <stp>##V3_BDHV12</stp>
        <stp>XOM US Equity</stp>
        <stp>BS_PURE_RETAINED_EARNINGS</stp>
        <stp>FQ4 2014</stp>
        <stp>FQ4 2014</stp>
        <stp>[FA1_m42y3cpi.xlsx]Bal Sheet - Standardized!R70C28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0" s="3"/>
      </tp>
      <tp>
        <v>-413.84620000000001</v>
        <stp/>
        <stp>##V3_BDHV12</stp>
        <stp>XOM US Equity</stp>
        <stp>IS_ABNORMAL_ITEM</stp>
        <stp>FQ4 2014</stp>
        <stp>FQ4 2014</stp>
        <stp>[FA1_m42y3cpi.xlsx]Income - Adjusted!R25C28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2"/>
      </tp>
      <tp>
        <v>2</v>
        <stp/>
        <stp>##V3_BDHV12</stp>
        <stp>XOM US Equity</stp>
        <stp>IS_ABNORMAL_ITEM</stp>
        <stp>FQ3 2010</stp>
        <stp>FQ3 2010</stp>
        <stp>[FA1_m42y3cpi.xlsx]Income - Adjusted!R25C11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2"/>
      </tp>
      <tp>
        <v>0</v>
        <stp/>
        <stp>##V3_BDHV12</stp>
        <stp>XOM US Equity</stp>
        <stp>IS_ABNORMAL_ITEM</stp>
        <stp>FQ3 2013</stp>
        <stp>FQ3 2013</stp>
        <stp>[FA1_m42y3cpi.xlsx]Income - Adjusted!R25C23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2"/>
      </tp>
      <tp>
        <v>0</v>
        <stp/>
        <stp>##V3_BDHV12</stp>
        <stp>XOM US Equity</stp>
        <stp>IS_ABNORMAL_ITEM</stp>
        <stp>FQ4 2015</stp>
        <stp>FQ4 2015</stp>
        <stp>[FA1_m42y3cpi.xlsx]Income - Adjusted!R25C32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2"/>
      </tp>
      <tp>
        <v>0</v>
        <stp/>
        <stp>##V3_BDHV12</stp>
        <stp>XOM US Equity</stp>
        <stp>IS_ABNORMAL_ITEM</stp>
        <stp>FQ1 2012</stp>
        <stp>FQ1 2012</stp>
        <stp>[FA1_m42y3cpi.xlsx]Income - Adjusted!R25C17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2"/>
      </tp>
      <tp>
        <v>0</v>
        <stp/>
        <stp>##V3_BDHV12</stp>
        <stp>XOM US Equity</stp>
        <stp>IS_ABNORMAL_ITEM</stp>
        <stp>FQ2 2011</stp>
        <stp>FQ2 2011</stp>
        <stp>[FA1_m42y3cpi.xlsx]Income - Adjusted!R25C14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2"/>
      </tp>
      <tp>
        <v>4760</v>
        <stp/>
        <stp>##V3_BDHV12</stp>
        <stp>XOM US Equity</stp>
        <stp>IS_AVG_NUM_SH_FOR_EPS</stp>
        <stp>FQ4 2009</stp>
        <stp>FQ4 2009</stp>
        <stp>[FA1_m42y3cpi.xlsx]Income - Adjusted!R49C8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9" s="2"/>
      </tp>
      <tp>
        <v>4760</v>
        <stp/>
        <stp>##V3_BDHV12</stp>
        <stp>XOM US Equity</stp>
        <stp>IS_SH_FOR_DILUTED_EPS</stp>
        <stp>FQ4 2009</stp>
        <stp>FQ4 2009</stp>
        <stp>[FA1_m42y3cpi.xlsx]Income - Adjusted!R54C8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4" s="2"/>
      </tp>
      <tp>
        <v>1.27</v>
        <stp/>
        <stp>##V3_BDHV12</stp>
        <stp>XOM US Equity</stp>
        <stp>IS_BASIC_EPS_CONT_OPS</stp>
        <stp>FQ4 2009</stp>
        <stp>FQ4 2009</stp>
        <stp>[FA1_m42y3cpi.xlsx]Income - Adjusted!R52C8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2" s="2"/>
      </tp>
      <tp>
        <v>111378</v>
        <stp/>
        <stp>##V3_BDHV12</stp>
        <stp>XOM US Equity</stp>
        <stp>TOTAL_EQUITY</stp>
        <stp>FQ1 2009</stp>
        <stp>FQ1 2009</stp>
        <stp>[FA1_m42y3cpi.xlsx]Bal Sheet - Standardized!R74C5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4" s="3"/>
      </tp>
      <tp>
        <v>112105</v>
        <stp/>
        <stp>##V3_BDHV12</stp>
        <stp>XOM US Equity</stp>
        <stp>TOTAL_EQUITY</stp>
        <stp>FQ3 2009</stp>
        <stp>FQ3 2009</stp>
        <stp>[FA1_m42y3cpi.xlsx]Bal Sheet - Standardized!R74C7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4" s="3"/>
      </tp>
      <tp>
        <v>111153</v>
        <stp/>
        <stp>##V3_BDHV12</stp>
        <stp>XOM US Equity</stp>
        <stp>TOTAL_EQUITY</stp>
        <stp>FQ2 2009</stp>
        <stp>FQ2 2009</stp>
        <stp>[FA1_m42y3cpi.xlsx]Bal Sheet - Standardized!R74C6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4" s="3"/>
      </tp>
      <tp>
        <v>233323</v>
        <stp/>
        <stp>##V3_BDHV12</stp>
        <stp>XOM US Equity</stp>
        <stp>BS_TOT_ASSET</stp>
        <stp>FQ4 2009</stp>
        <stp>FQ4 2009</stp>
        <stp>[FA1_m42y3cpi.xlsx]Bal Sheet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3"/>
      </tp>
      <tp>
        <v>242748</v>
        <stp/>
        <stp>##V3_BDHV12</stp>
        <stp>XOM US Equity</stp>
        <stp>BS_TOT_ASSET</stp>
        <stp>FQ1 2010</stp>
        <stp>FQ1 2010</stp>
        <stp>[FA1_m42y3cpi.xlsx]Bal Sheet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3"/>
      </tp>
      <tp>
        <v>117523</v>
        <stp/>
        <stp>##V3_BDHV12</stp>
        <stp>XOM US Equity</stp>
        <stp>TOTAL_EQUITY</stp>
        <stp>FQ4 2008</stp>
        <stp>FQ4 2008</stp>
        <stp>[FA1_m42y3cpi.xlsx]Bal Sheet - Standardized!R74C4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4" s="3"/>
      </tp>
      <tp>
        <v>125286</v>
        <stp/>
        <stp>##V3_BDHV12</stp>
        <stp>XOM US Equity</stp>
        <stp>TOTAL_EQUITY</stp>
        <stp>FQ3 2008</stp>
        <stp>FQ3 2008</stp>
        <stp>[FA1_m42y3cpi.xlsx]Bal Sheet - Standardized!R74C3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4" s="3"/>
      </tp>
      <tp>
        <v>115392</v>
        <stp/>
        <stp>##V3_BDHV12</stp>
        <stp>XOM US Equity</stp>
        <stp>TOTAL_EQUITY</stp>
        <stp>FQ4 2009</stp>
        <stp>FQ4 2009</stp>
        <stp>[FA1_m42y3cpi.xlsx]Bal Sheet - Standardized!R74C8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4" s="3"/>
      </tp>
      <tp>
        <v>224661</v>
        <stp/>
        <stp>##V3_BDHV12</stp>
        <stp>XOM US Equity</stp>
        <stp>BS_TOT_ASSET</stp>
        <stp>FQ2 2009</stp>
        <stp>FQ2 2009</stp>
        <stp>[FA1_m42y3cpi.xlsx]Bal Sheet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3"/>
      </tp>
      <tp>
        <v>229307</v>
        <stp/>
        <stp>##V3_BDHV12</stp>
        <stp>XOM US Equity</stp>
        <stp>BS_TOT_ASSET</stp>
        <stp>FQ3 2009</stp>
        <stp>FQ3 2009</stp>
        <stp>[FA1_m42y3cpi.xlsx]Bal Sheet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3"/>
      </tp>
      <tp>
        <v>222491</v>
        <stp/>
        <stp>##V3_BDHV12</stp>
        <stp>XOM US Equity</stp>
        <stp>BS_TOT_ASSET</stp>
        <stp>FQ1 2009</stp>
        <stp>FQ1 2009</stp>
        <stp>[FA1_m42y3cpi.xlsx]Bal Sheet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3"/>
      </tp>
      <tp>
        <v>-4.5344999999999995</v>
        <stp/>
        <stp>##V3_BDHV12</stp>
        <stp>XOM US Equity</stp>
        <stp>CASH_CONVERSION_CYCLE</stp>
        <stp>FQ3 2008</stp>
        <stp>FQ3 2008</stp>
        <stp>[FA1_m42y3cpi.xlsx]Bal Sheet - Standardized!R90C3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90" s="3"/>
      </tp>
      <tp t="s">
        <v>—</v>
        <stp/>
        <stp>##V3_BDHV12</stp>
        <stp>XOM US Equity</stp>
        <stp>CASH_CONVERSION_CYCLE</stp>
        <stp>FQ2 2009</stp>
        <stp>FQ2 2009</stp>
        <stp>[FA1_m42y3cpi.xlsx]Bal Sheet - Standardized!R90C6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90" s="3"/>
      </tp>
      <tp>
        <v>117666</v>
        <stp/>
        <stp>##V3_BDHV12</stp>
        <stp>XOM US Equity</stp>
        <stp>TOTAL_EQUITY</stp>
        <stp>FQ1 2010</stp>
        <stp>FQ1 2010</stp>
        <stp>[FA1_m42y3cpi.xlsx]Bal Sheet - Standardized!R74C9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4" s="3"/>
      </tp>
      <tp>
        <v>256218</v>
        <stp/>
        <stp>##V3_BDHV12</stp>
        <stp>XOM US Equity</stp>
        <stp>BS_TOT_ASSET</stp>
        <stp>FQ3 2008</stp>
        <stp>FQ3 2008</stp>
        <stp>[FA1_m42y3cpi.xlsx]Bal Sheet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228052</v>
        <stp/>
        <stp>##V3_BDHV12</stp>
        <stp>XOM US Equity</stp>
        <stp>BS_TOT_ASSET</stp>
        <stp>FQ4 2008</stp>
        <stp>FQ4 2008</stp>
        <stp>[FA1_m42y3cpi.xlsx]Bal Sheet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3"/>
      </tp>
      <tp>
        <v>0</v>
        <stp/>
        <stp>##V3_BDHV12</stp>
        <stp>XOM US Equity</stp>
        <stp>INVTRY_IN_PROGRESS</stp>
        <stp>FQ4 2015</stp>
        <stp>FQ4 2015</stp>
        <stp>[FA1_m42y3cpi.xlsx]Bal Sheet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3"/>
      </tp>
      <tp>
        <v>181052</v>
        <stp/>
        <stp>##V3_BDHV12</stp>
        <stp>XOM US Equity</stp>
        <stp>BS_TOT_NON_CUR_ASSET</stp>
        <stp>FQ1 2010</stp>
        <stp>FQ1 2010</stp>
        <stp>[FA1_m42y3cpi.xlsx]Bal Sheet - Standardized!R38C9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8" s="3"/>
      </tp>
      <tp>
        <v>5375</v>
        <stp/>
        <stp>##V3_BDHV12</stp>
        <stp>XOM US Equity</stp>
        <stp>IS_INC_TAX_EXP</stp>
        <stp>FQ4 2008</stp>
        <stp>FQ4 2008</stp>
        <stp>[FA1_m42y3cpi.xlsx]Income - Adjusted!R33C4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33" s="2"/>
      </tp>
      <tp>
        <v>11327</v>
        <stp/>
        <stp>##V3_BDHV12</stp>
        <stp>XOM US Equity</stp>
        <stp>IS_INC_TAX_EXP</stp>
        <stp>FQ3 2008</stp>
        <stp>FQ3 2008</stp>
        <stp>[FA1_m42y3cpi.xlsx]Income - Adjusted!R33C3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33" s="2"/>
      </tp>
      <tp t="s">
        <v>—</v>
        <stp/>
        <stp>##V3_BDHV12</stp>
        <stp>XOM US Equity</stp>
        <stp>BS_LT_INVEST</stp>
        <stp>FQ1 2010</stp>
        <stp>FQ1 2010</stp>
        <stp>[FA1_m42y3cpi.xlsx]Bal Sheet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3"/>
      </tp>
      <tp>
        <v>11401</v>
        <stp/>
        <stp>##V3_BDHV12</stp>
        <stp>XOM US Equity</stp>
        <stp>BS_ACCRUAL</stp>
        <stp>FQ4 2015</stp>
        <stp>FQ4 2015</stp>
        <stp>[FA1_m42y3cpi.xlsx]Bal Sheet - Standardized!R46C32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6" s="3"/>
      </tp>
      <tp>
        <v>178088</v>
        <stp/>
        <stp>##V3_BDHV12</stp>
        <stp>XOM US Equity</stp>
        <stp>BS_TOT_NON_CUR_ASSET</stp>
        <stp>FQ4 2009</stp>
        <stp>FQ4 2009</stp>
        <stp>[FA1_m42y3cpi.xlsx]Bal Sheet - Standardized!R38C8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8" s="3"/>
      </tp>
      <tp>
        <v>10739</v>
        <stp/>
        <stp>##V3_BDHV12</stp>
        <stp>XOM US Equity</stp>
        <stp>BS_ACCRUAL</stp>
        <stp>FQ4 2016</stp>
        <stp>FQ4 2016</stp>
        <stp>[FA1_m42y3cpi.xlsx]Bal Sheet - Standardized!R46C36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6" s="3"/>
      </tp>
      <tp>
        <v>7254</v>
        <stp/>
        <stp>##V3_BDHV12</stp>
        <stp>XOM US Equity</stp>
        <stp>BS_LT_INVEST</stp>
        <stp>FQ4 2009</stp>
        <stp>FQ4 2009</stp>
        <stp>[FA1_m42y3cpi.xlsx]Bal Sheet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3"/>
      </tp>
      <tp>
        <v>0</v>
        <stp/>
        <stp>##V3_BDHV12</stp>
        <stp>XOM US Equity</stp>
        <stp>INVTRY_IN_PROGRESS</stp>
        <stp>FQ4 2016</stp>
        <stp>FQ4 2016</stp>
        <stp>[FA1_m42y3cpi.xlsx]Bal Sheet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3"/>
      </tp>
      <tp>
        <v>160197</v>
        <stp/>
        <stp>##V3_BDHV12</stp>
        <stp>XOM US Equity</stp>
        <stp>BS_TOT_NON_CUR_ASSET</stp>
        <stp>FQ3 2008</stp>
        <stp>FQ3 2008</stp>
        <stp>[FA1_m42y3cpi.xlsx]Bal Sheet - Standardized!R38C3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155786</v>
        <stp/>
        <stp>##V3_BDHV12</stp>
        <stp>XOM US Equity</stp>
        <stp>BS_TOT_NON_CUR_ASSET</stp>
        <stp>FQ4 2008</stp>
        <stp>FQ4 2008</stp>
        <stp>[FA1_m42y3cpi.xlsx]Bal Sheet - Standardized!R38C4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8" s="3"/>
      </tp>
      <tp>
        <v>0</v>
        <stp/>
        <stp>##V3_BDHV12</stp>
        <stp>XOM US Equity</stp>
        <stp>OTHER_ADJUSTMENTS</stp>
        <stp>FQ4 2013</stp>
        <stp>FQ4 2013</stp>
        <stp>[FA1_m42y3cpi.xlsx]Income - Adjusted!R42C24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2"/>
      </tp>
      <tp>
        <v>0</v>
        <stp/>
        <stp>##V3_BDHV12</stp>
        <stp>XOM US Equity</stp>
        <stp>OTHER_ADJUSTMENTS</stp>
        <stp>FQ3 2015</stp>
        <stp>FQ3 2015</stp>
        <stp>[FA1_m42y3cpi.xlsx]Income - Adjusted!R42C31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2"/>
      </tp>
      <tp>
        <v>28556</v>
        <stp/>
        <stp>##V3_BDHV12</stp>
        <stp>XOM US Equity</stp>
        <stp>BS_LT_INVEST</stp>
        <stp>FQ4 2008</stp>
        <stp>FQ4 2008</stp>
        <stp>[FA1_m42y3cpi.xlsx]Bal Sheet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3"/>
      </tp>
      <tp>
        <v>36939</v>
        <stp/>
        <stp>##V3_BDHV12</stp>
        <stp>XOM US Equity</stp>
        <stp>BS_LT_INVEST</stp>
        <stp>FQ3 2008</stp>
        <stp>FQ3 2008</stp>
        <stp>[FA1_m42y3cpi.xlsx]Bal Sheet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3"/>
      </tp>
      <tp>
        <v>0</v>
        <stp/>
        <stp>##V3_BDHV12</stp>
        <stp>XOM US Equity</stp>
        <stp>OTHER_ADJUSTMENTS</stp>
        <stp>FQ4 2010</stp>
        <stp>FQ4 2010</stp>
        <stp>[FA1_m42y3cpi.xlsx]Income - Adjusted!R42C12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2"/>
      </tp>
      <tp>
        <v>157673</v>
        <stp/>
        <stp>##V3_BDHV12</stp>
        <stp>XOM US Equity</stp>
        <stp>BS_TOT_NON_CUR_ASSET</stp>
        <stp>FQ1 2009</stp>
        <stp>FQ1 2009</stp>
        <stp>[FA1_m42y3cpi.xlsx]Bal Sheet - Standardized!R38C5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8" s="3"/>
      </tp>
      <tp>
        <v>165165</v>
        <stp/>
        <stp>##V3_BDHV12</stp>
        <stp>XOM US Equity</stp>
        <stp>BS_TOT_NON_CUR_ASSET</stp>
        <stp>FQ2 2009</stp>
        <stp>FQ2 2009</stp>
        <stp>[FA1_m42y3cpi.xlsx]Bal Sheet - Standardized!R38C6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8" s="3"/>
      </tp>
      <tp>
        <v>171983</v>
        <stp/>
        <stp>##V3_BDHV12</stp>
        <stp>XOM US Equity</stp>
        <stp>BS_TOT_NON_CUR_ASSET</stp>
        <stp>FQ3 2009</stp>
        <stp>FQ3 2009</stp>
        <stp>[FA1_m42y3cpi.xlsx]Bal Sheet - Standardized!R38C7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8" s="3"/>
      </tp>
      <tp>
        <v>0</v>
        <stp/>
        <stp>##V3_BDHV12</stp>
        <stp>XOM US Equity</stp>
        <stp>OTHER_ADJUSTMENTS</stp>
        <stp>FQ3 2014</stp>
        <stp>FQ3 2014</stp>
        <stp>[FA1_m42y3cpi.xlsx]Income - Adjusted!R42C27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2"/>
      </tp>
      <tp>
        <v>0</v>
        <stp/>
        <stp>##V3_BDHV12</stp>
        <stp>XOM US Equity</stp>
        <stp>OTHER_ADJUSTMENTS</stp>
        <stp>FQ1 2017</stp>
        <stp>FQ1 2017</stp>
        <stp>[FA1_m42y3cpi.xlsx]Income - Adjusted!R42C37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2" s="2"/>
      </tp>
      <tp t="s">
        <v>—</v>
        <stp/>
        <stp>##V3_BDHV12</stp>
        <stp>XOM US Equity</stp>
        <stp>BS_LT_INVEST</stp>
        <stp>FQ1 2009</stp>
        <stp>FQ1 2009</stp>
        <stp>[FA1_m42y3cpi.xlsx]Bal Sheet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3"/>
      </tp>
      <tp t="s">
        <v>—</v>
        <stp/>
        <stp>##V3_BDHV12</stp>
        <stp>XOM US Equity</stp>
        <stp>BS_LT_INVEST</stp>
        <stp>FQ3 2009</stp>
        <stp>FQ3 2009</stp>
        <stp>[FA1_m42y3cpi.xlsx]Bal Sheet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3"/>
      </tp>
      <tp t="s">
        <v>—</v>
        <stp/>
        <stp>##V3_BDHV12</stp>
        <stp>XOM US Equity</stp>
        <stp>BS_LT_INVEST</stp>
        <stp>FQ2 2009</stp>
        <stp>FQ2 2009</stp>
        <stp>[FA1_m42y3cpi.xlsx]Bal Sheet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3"/>
      </tp>
      <tp t="s">
        <v>—</v>
        <stp/>
        <stp>##V3_BDHV12</stp>
        <stp>XOM US Equity</stp>
        <stp>IS_LEGAL_LITIGATION_SETTLEMENT</stp>
        <stp>FQ1 2013</stp>
        <stp>FQ1 2013</stp>
        <stp>[FA1_m42y3cpi.xlsx]Income - Adjusted!R30C21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2"/>
      </tp>
      <tp t="s">
        <v>—</v>
        <stp/>
        <stp>##V3_BDHV12</stp>
        <stp>XOM US Equity</stp>
        <stp>BS_INTEREST_&amp;_DIVIDENDS_PAYABLE</stp>
        <stp>FQ1 2018</stp>
        <stp>FQ1 2018</stp>
        <stp>[FA1_m42y3cpi.xlsx]Bal Sheet - Standardized!R45C41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5" s="3"/>
      </tp>
      <tp>
        <v>20778</v>
        <stp/>
        <stp>##V3_BDHV12</stp>
        <stp>XOM US Equity</stp>
        <stp>BS_PENSION_RSRV</stp>
        <stp>FQ2 2017</stp>
        <stp>FQ2 2017</stp>
        <stp>[FA1_m42y3cpi.xlsx]Bal Sheet - Standardized!R81C38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1" s="3"/>
      </tp>
      <tp t="s">
        <v>—</v>
        <stp/>
        <stp>##V3_BDHV12</stp>
        <stp>XOM US Equity</stp>
        <stp>IS_LEGAL_LITIGATION_SETTLEMENT</stp>
        <stp>FQ3 2012</stp>
        <stp>FQ3 2012</stp>
        <stp>[FA1_m42y3cpi.xlsx]Income - Adjusted!R30C19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2"/>
      </tp>
      <tp>
        <v>25319</v>
        <stp/>
        <stp>##V3_BDHV12</stp>
        <stp>XOM US Equity</stp>
        <stp>BS_PENSION_RSRV</stp>
        <stp>FQ3 2013</stp>
        <stp>FQ3 2013</stp>
        <stp>[FA1_m42y3cpi.xlsx]Bal Sheet - Standardized!R81C23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1" s="3"/>
      </tp>
      <tp>
        <v>0</v>
        <stp/>
        <stp>##V3_BDHV12</stp>
        <stp>XOM US Equity</stp>
        <stp>BS_INTEREST_&amp;_DIVIDENDS_PAYABLE</stp>
        <stp>FQ4 2011</stp>
        <stp>FQ4 2011</stp>
        <stp>[FA1_m42y3cpi.xlsx]Bal Sheet - Standardized!R45C16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5" s="3"/>
      </tp>
      <tp>
        <v>19268</v>
        <stp/>
        <stp>##V3_BDHV12</stp>
        <stp>XOM US Equity</stp>
        <stp>BS_PENSION_RSRV</stp>
        <stp>FQ3 2014</stp>
        <stp>FQ3 2014</stp>
        <stp>[FA1_m42y3cpi.xlsx]Bal Sheet - Standardized!R81C27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1" s="3"/>
      </tp>
      <tp>
        <v>21583</v>
        <stp/>
        <stp>##V3_BDHV12</stp>
        <stp>XOM US Equity</stp>
        <stp>BS_PENSION_RSRV</stp>
        <stp>FQ2 2016</stp>
        <stp>FQ2 2016</stp>
        <stp>[FA1_m42y3cpi.xlsx]Bal Sheet - Standardized!R81C34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1" s="3"/>
      </tp>
      <tp>
        <v>0</v>
        <stp/>
        <stp>##V3_BDHV12</stp>
        <stp>XOM US Equity</stp>
        <stp>BS_INTEREST_&amp;_DIVIDENDS_PAYABLE</stp>
        <stp>FQ4 2010</stp>
        <stp>FQ4 2010</stp>
        <stp>[FA1_m42y3cpi.xlsx]Bal Sheet - Standardized!R45C12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5" s="3"/>
      </tp>
      <tp>
        <v>25039</v>
        <stp/>
        <stp>##V3_BDHV12</stp>
        <stp>XOM US Equity</stp>
        <stp>BS_PENSION_RSRV</stp>
        <stp>FQ2 2015</stp>
        <stp>FQ2 2015</stp>
        <stp>[FA1_m42y3cpi.xlsx]Bal Sheet - Standardized!R81C30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1" s="3"/>
      </tp>
      <tp>
        <v>298899</v>
        <stp/>
        <stp>##V3_BDHV12</stp>
        <stp>XOM US Equity</stp>
        <stp>BS_PURE_RETAINED_EARNINGS</stp>
        <stp>FQ4 2010</stp>
        <stp>FQ4 2010</stp>
        <stp>[FA1_m42y3cpi.xlsx]Bal Sheet - Standardized!R70C12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0" s="3"/>
      </tp>
      <tp>
        <v>122758</v>
        <stp/>
        <stp>##V3_BDHV12</stp>
        <stp>XOM US Equity</stp>
        <stp>SALES_REV_TURN</stp>
        <stp>FQ3 2008</stp>
        <stp>FQ3 2008</stp>
        <stp>[FA1_m42y3cpi.xlsx]Income - Adjusted!R6C3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330939</v>
        <stp/>
        <stp>##V3_BDHV12</stp>
        <stp>XOM US Equity</stp>
        <stp>BS_PURE_RETAINED_EARNINGS</stp>
        <stp>FQ4 2011</stp>
        <stp>FQ4 2011</stp>
        <stp>[FA1_m42y3cpi.xlsx]Bal Sheet - Standardized!R70C16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0" s="3"/>
      </tp>
      <tp>
        <v>2457</v>
        <stp/>
        <stp>##V3_BDHV12</stp>
        <stp>XOM US Equity</stp>
        <stp>IS_INC_TAX_EXP</stp>
        <stp>FQ1 2018</stp>
        <stp>FQ1 2018</stp>
        <stp>[FA1_m42y3cpi.xlsx]Income - Adjusted!R33C41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33" s="2"/>
      </tp>
      <tp>
        <v>73284</v>
        <stp/>
        <stp>##V3_BDHV12</stp>
        <stp>XOM US Equity</stp>
        <stp>SALES_REV_TURN</stp>
        <stp>FQ4 2008</stp>
        <stp>FQ4 2008</stp>
        <stp>[FA1_m42y3cpi.xlsx]Income - Adjusted!R6C4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2628</v>
        <stp/>
        <stp>##V3_BDHV12</stp>
        <stp>XOM US Equity</stp>
        <stp>PRETAX_INC</stp>
        <stp>FQ4 2015</stp>
        <stp>FQ4 2015</stp>
        <stp>[FA1_m42y3cpi.xlsx]Income - Adjusted!R24C32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4" s="2"/>
      </tp>
      <tp>
        <v>5007.7691999999997</v>
        <stp/>
        <stp>##V3_BDHV12</stp>
        <stp>XOM US Equity</stp>
        <stp>PRETAX_INC</stp>
        <stp>FQ4 2017</stp>
        <stp>FQ4 2017</stp>
        <stp>[FA1_m42y3cpi.xlsx]Income - Adjusted!R24C40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24" s="2"/>
      </tp>
      <tp>
        <v>14716</v>
        <stp/>
        <stp>##V3_BDHV12</stp>
        <stp>XOM US Equity</stp>
        <stp>PRETAX_INC</stp>
        <stp>FQ4 2013</stp>
        <stp>FQ4 2013</stp>
        <stp>[FA1_m42y3cpi.xlsx]Income - Adjusted!R24C24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4" s="2"/>
      </tp>
      <tp>
        <v>17041</v>
        <stp/>
        <stp>##V3_BDHV12</stp>
        <stp>XOM US Equity</stp>
        <stp>PRETAX_INC</stp>
        <stp>FQ4 2011</stp>
        <stp>FQ4 2011</stp>
        <stp>[FA1_m42y3cpi.xlsx]Income - Adjusted!R24C16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4" s="2"/>
      </tp>
      <tp>
        <v>415970</v>
        <stp/>
        <stp>##V3_BDHV12</stp>
        <stp>XOM US Equity</stp>
        <stp>BS_PURE_RETAINED_EARNINGS</stp>
        <stp>FQ1 2018</stp>
        <stp>FQ1 2018</stp>
        <stp>[FA1_m42y3cpi.xlsx]Bal Sheet - Standardized!R70C41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0" s="3"/>
      </tp>
      <tp>
        <v>-10000</v>
        <stp/>
        <stp>##V3_BDHV12</stp>
        <stp>XOM US Equity</stp>
        <stp>IS_ABNORMAL_ITEM</stp>
        <stp>FQ2 2012</stp>
        <stp>FQ2 2012</stp>
        <stp>[FA1_m42y3cpi.xlsx]Income - Adjusted!R25C18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2"/>
      </tp>
      <tp>
        <v>0</v>
        <stp/>
        <stp>##V3_BDHV12</stp>
        <stp>XOM US Equity</stp>
        <stp>IS_ABNORMAL_ITEM</stp>
        <stp>FQ1 2011</stp>
        <stp>FQ1 2011</stp>
        <stp>[FA1_m42y3cpi.xlsx]Income - Adjusted!R25C13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2"/>
      </tp>
      <tp>
        <v>2027</v>
        <stp/>
        <stp>##V3_BDHV12</stp>
        <stp>XOM US Equity</stp>
        <stp>IS_ABNORMAL_ITEM</stp>
        <stp>FQ4 2016</stp>
        <stp>FQ4 2016</stp>
        <stp>[FA1_m42y3cpi.xlsx]Income - Adjusted!R25C36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2"/>
      </tp>
      <tp>
        <v>4125</v>
        <stp/>
        <stp>##V3_BDHV12</stp>
        <stp>XOM US Equity</stp>
        <stp>C&amp;CE_AND_STI_DETAILED</stp>
        <stp>FQ1 2018</stp>
        <stp>FQ1 2018</stp>
        <stp>[FA1_m42y3cpi.xlsx]Bal Sheet - Standardized!R7C41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" s="3"/>
      </tp>
      <tp>
        <v>3430</v>
        <stp/>
        <stp>##V3_BDHV12</stp>
        <stp>XOM US Equity</stp>
        <stp>C&amp;CE_AND_STI_DETAILED</stp>
        <stp>FQ2 2018</stp>
        <stp>FQ2 2018</stp>
        <stp>[FA1_m42y3cpi.xlsx]Bal Sheet - Standardized!R7C42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" s="3"/>
      </tp>
      <tp>
        <v>9856</v>
        <stp/>
        <stp>##V3_BDHV12</stp>
        <stp>XOM US Equity</stp>
        <stp>GROSS_PROFIT</stp>
        <stp>FQ1 2009</stp>
        <stp>FQ1 2009</stp>
        <stp>[FA1_m42y3cpi.xlsx]Income - Adjusted!R11C5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2"/>
      </tp>
      <tp>
        <v>11478</v>
        <stp/>
        <stp>##V3_BDHV12</stp>
        <stp>XOM US Equity</stp>
        <stp>GROSS_PROFIT</stp>
        <stp>FQ3 2009</stp>
        <stp>FQ3 2009</stp>
        <stp>[FA1_m42y3cpi.xlsx]Income - Adjusted!R11C7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2"/>
      </tp>
      <tp>
        <v>9579</v>
        <stp/>
        <stp>##V3_BDHV12</stp>
        <stp>XOM US Equity</stp>
        <stp>GROSS_PROFIT</stp>
        <stp>FQ2 2009</stp>
        <stp>FQ2 2009</stp>
        <stp>[FA1_m42y3cpi.xlsx]Income - Adjusted!R11C6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2"/>
      </tp>
      <tp>
        <v>3177</v>
        <stp/>
        <stp>##V3_BDHV12</stp>
        <stp>XOM US Equity</stp>
        <stp>C&amp;CE_AND_STI_DETAILED</stp>
        <stp>FQ4 2017</stp>
        <stp>FQ4 2017</stp>
        <stp>[FA1_m42y3cpi.xlsx]Bal Sheet - Standardized!R7C40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" s="3"/>
      </tp>
      <tp>
        <v>10237</v>
        <stp/>
        <stp>##V3_BDHV12</stp>
        <stp>XOM US Equity</stp>
        <stp>BS_FUTURE_MIN_OPER_LEASE_OBLIG</stp>
        <stp>FQ4 2009</stp>
        <stp>FQ4 2009</stp>
        <stp>[FA1_m42y3cpi.xlsx]Bal Sheet - Standardized!R82C8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2" s="3"/>
      </tp>
      <tp t="s">
        <v>—</v>
        <stp/>
        <stp>##V3_BDHV12</stp>
        <stp>XOM US Equity</stp>
        <stp>BS_FUTURE_MIN_OPER_LEASE_OBLIG</stp>
        <stp>FQ1 2010</stp>
        <stp>FQ1 2010</stp>
        <stp>[FA1_m42y3cpi.xlsx]Bal Sheet - Standardized!R82C9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2" s="3"/>
      </tp>
      <tp t="s">
        <v>—</v>
        <stp/>
        <stp>##V3_BDHV12</stp>
        <stp>XOM US Equity</stp>
        <stp>BS_FUTURE_MIN_OPER_LEASE_OBLIG</stp>
        <stp>FQ2 2009</stp>
        <stp>FQ2 2009</stp>
        <stp>[FA1_m42y3cpi.xlsx]Bal Sheet - Standardized!R82C6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2" s="3"/>
      </tp>
      <tp t="s">
        <v>—</v>
        <stp/>
        <stp>##V3_BDHV12</stp>
        <stp>XOM US Equity</stp>
        <stp>BS_FUTURE_MIN_OPER_LEASE_OBLIG</stp>
        <stp>FQ3 2009</stp>
        <stp>FQ3 2009</stp>
        <stp>[FA1_m42y3cpi.xlsx]Bal Sheet - Standardized!R82C7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2" s="3"/>
      </tp>
      <tp t="s">
        <v>—</v>
        <stp/>
        <stp>##V3_BDHV12</stp>
        <stp>XOM US Equity</stp>
        <stp>BS_FUTURE_MIN_OPER_LEASE_OBLIG</stp>
        <stp>FQ1 2009</stp>
        <stp>FQ1 2009</stp>
        <stp>[FA1_m42y3cpi.xlsx]Bal Sheet - Standardized!R82C5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2" s="3"/>
      </tp>
      <tp>
        <v>11188</v>
        <stp/>
        <stp>##V3_BDHV12</stp>
        <stp>XOM US Equity</stp>
        <stp>BS_FUTURE_MIN_OPER_LEASE_OBLIG</stp>
        <stp>FQ4 2008</stp>
        <stp>FQ4 2008</stp>
        <stp>[FA1_m42y3cpi.xlsx]Bal Sheet - Standardized!R82C4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2" s="3"/>
      </tp>
      <tp t="s">
        <v>—</v>
        <stp/>
        <stp>##V3_BDHV12</stp>
        <stp>XOM US Equity</stp>
        <stp>BS_FUTURE_MIN_OPER_LEASE_OBLIG</stp>
        <stp>FQ3 2008</stp>
        <stp>FQ3 2008</stp>
        <stp>[FA1_m42y3cpi.xlsx]Bal Sheet - Standardized!R82C3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2" s="3"/>
      </tp>
      <tp t="s">
        <v>—</v>
        <stp/>
        <stp>##V3_BDHV12</stp>
        <stp>XOM US Equity</stp>
        <stp>CASH_CONVERSION_CYCLE</stp>
        <stp>FQ3 2009</stp>
        <stp>FQ3 2009</stp>
        <stp>[FA1_m42y3cpi.xlsx]Bal Sheet - Standardized!R90C7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90" s="3"/>
      </tp>
      <tp>
        <v>0</v>
        <stp/>
        <stp>##V3_BDHV12</stp>
        <stp>XOM US Equity</stp>
        <stp>INVTRY_IN_PROGRESS</stp>
        <stp>FQ4 2013</stp>
        <stp>FQ4 2013</stp>
        <stp>[FA1_m42y3cpi.xlsx]Bal Sheet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3"/>
      </tp>
      <tp>
        <v>17165</v>
        <stp/>
        <stp>##V3_BDHV12</stp>
        <stp>XOM US Equity</stp>
        <stp>BS_ACCRUAL</stp>
        <stp>FQ4 2013</stp>
        <stp>FQ4 2013</stp>
        <stp>[FA1_m42y3cpi.xlsx]Bal Sheet - Standardized!R46C24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6" s="3"/>
      </tp>
      <tp>
        <v>0</v>
        <stp/>
        <stp>##V3_BDHV12</stp>
        <stp>XOM US Equity</stp>
        <stp>INVTRY_IN_PROGRESS</stp>
        <stp>FQ4 2012</stp>
        <stp>FQ4 2012</stp>
        <stp>[FA1_m42y3cpi.xlsx]Bal Sheet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3"/>
      </tp>
      <tp>
        <v>16939</v>
        <stp/>
        <stp>##V3_BDHV12</stp>
        <stp>XOM US Equity</stp>
        <stp>BS_ACCRUAL</stp>
        <stp>FQ4 2012</stp>
        <stp>FQ4 2012</stp>
        <stp>[FA1_m42y3cpi.xlsx]Bal Sheet - Standardized!R46C20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6" s="3"/>
      </tp>
      <tp>
        <v>38490</v>
        <stp/>
        <stp>##V3_BDHV12</stp>
        <stp>XOM US Equity</stp>
        <stp>BS_ACCRUAL</stp>
        <stp>FQ2 2018</stp>
        <stp>FQ2 2018</stp>
        <stp>[FA1_m42y3cpi.xlsx]Bal Sheet - Standardized!R46C42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6" s="3"/>
      </tp>
      <tp>
        <v>13651</v>
        <stp/>
        <stp>##V3_BDHV12</stp>
        <stp>XOM US Equity</stp>
        <stp>BS_ACCRUAL</stp>
        <stp>FQ4 2014</stp>
        <stp>FQ4 2014</stp>
        <stp>[FA1_m42y3cpi.xlsx]Bal Sheet - Standardized!R46C28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6" s="3"/>
      </tp>
      <tp>
        <v>0</v>
        <stp/>
        <stp>##V3_BDHV12</stp>
        <stp>XOM US Equity</stp>
        <stp>OTHER_ADJUSTMENTS</stp>
        <stp>FQ4 2011</stp>
        <stp>FQ4 2011</stp>
        <stp>[FA1_m42y3cpi.xlsx]Income - Adjusted!R42C16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2"/>
      </tp>
      <tp>
        <v>5493</v>
        <stp/>
        <stp>##V3_BDHV12</stp>
        <stp>XOM US Equity</stp>
        <stp>IS_INC_TAX_EXP</stp>
        <stp>FQ1 2010</stp>
        <stp>FQ1 2010</stp>
        <stp>[FA1_m42y3cpi.xlsx]Income - Adjusted!R33C9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33" s="2"/>
      </tp>
      <tp>
        <v>0</v>
        <stp/>
        <stp>##V3_BDHV12</stp>
        <stp>XOM US Equity</stp>
        <stp>OTHER_ADJUSTMENTS</stp>
        <stp>FQ1 2016</stp>
        <stp>FQ1 2016</stp>
        <stp>[FA1_m42y3cpi.xlsx]Income - Adjusted!R42C33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2"/>
      </tp>
      <tp>
        <v>0</v>
        <stp/>
        <stp>##V3_BDHV12</stp>
        <stp>XOM US Equity</stp>
        <stp>OTHER_ADJUSTMENTS</stp>
        <stp>FQ2 2015</stp>
        <stp>FQ2 2015</stp>
        <stp>[FA1_m42y3cpi.xlsx]Income - Adjusted!R42C30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2"/>
      </tp>
      <tp>
        <v>0</v>
        <stp/>
        <stp>##V3_BDHV12</stp>
        <stp>XOM US Equity</stp>
        <stp>INVTRY_IN_PROGRESS</stp>
        <stp>FQ2 2018</stp>
        <stp>FQ2 2018</stp>
        <stp>[FA1_m42y3cpi.xlsx]Bal Sheet - Standardized!R15C42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5" s="3"/>
      </tp>
      <tp>
        <v>0</v>
        <stp/>
        <stp>##V3_BDHV12</stp>
        <stp>XOM US Equity</stp>
        <stp>INVTRY_IN_PROGRESS</stp>
        <stp>FQ4 2014</stp>
        <stp>FQ4 2014</stp>
        <stp>[FA1_m42y3cpi.xlsx]Bal Sheet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3"/>
      </tp>
      <tp>
        <v>0</v>
        <stp/>
        <stp>##V3_BDHV12</stp>
        <stp>XOM US Equity</stp>
        <stp>OTHER_ADJUSTMENTS</stp>
        <stp>FQ4 2012</stp>
        <stp>FQ4 2012</stp>
        <stp>[FA1_m42y3cpi.xlsx]Income - Adjusted!R42C20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2"/>
      </tp>
      <tp>
        <v>0</v>
        <stp/>
        <stp>##V3_BDHV12</stp>
        <stp>XOM US Equity</stp>
        <stp>OTHER_ADJUSTMENTS</stp>
        <stp>FQ2 2014</stp>
        <stp>FQ2 2014</stp>
        <stp>[FA1_m42y3cpi.xlsx]Income - Adjusted!R42C26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2"/>
      </tp>
      <tp t="s">
        <v>—</v>
        <stp/>
        <stp>##V3_BDHV12</stp>
        <stp>XOM US Equity</stp>
        <stp>IS_LEGAL_LITIGATION_SETTLEMENT</stp>
        <stp>FQ1 2011</stp>
        <stp>FQ1 2011</stp>
        <stp>[FA1_m42y3cpi.xlsx]Income - Adjusted!R30C13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2"/>
      </tp>
      <tp t="s">
        <v>—</v>
        <stp/>
        <stp>##V3_BDHV12</stp>
        <stp>XOM US Equity</stp>
        <stp>IS_LEGAL_LITIGATION_SETTLEMENT</stp>
        <stp>FQ4 2016</stp>
        <stp>FQ4 2016</stp>
        <stp>[FA1_m42y3cpi.xlsx]Income - Adjusted!R30C36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2"/>
      </tp>
      <tp>
        <v>20874</v>
        <stp/>
        <stp>##V3_BDHV12</stp>
        <stp>XOM US Equity</stp>
        <stp>BS_PENSION_RSRV</stp>
        <stp>FQ3 2017</stp>
        <stp>FQ3 2017</stp>
        <stp>[FA1_m42y3cpi.xlsx]Bal Sheet - Standardized!R81C39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1" s="3"/>
      </tp>
      <tp>
        <v>21132</v>
        <stp/>
        <stp>##V3_BDHV12</stp>
        <stp>XOM US Equity</stp>
        <stp>BS_PENSION_RSRV</stp>
        <stp>FQ4 2017</stp>
        <stp>FQ4 2017</stp>
        <stp>[FA1_m42y3cpi.xlsx]Bal Sheet - Standardized!R81C40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1" s="3"/>
      </tp>
      <tp>
        <v>20076</v>
        <stp/>
        <stp>##V3_BDHV12</stp>
        <stp>XOM US Equity</stp>
        <stp>BS_PENSION_RSRV</stp>
        <stp>FQ1 2011</stp>
        <stp>FQ1 2011</stp>
        <stp>[FA1_m42y3cpi.xlsx]Bal Sheet - Standardized!R81C13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1" s="3"/>
      </tp>
      <tp>
        <v>25281</v>
        <stp/>
        <stp>##V3_BDHV12</stp>
        <stp>XOM US Equity</stp>
        <stp>BS_PENSION_RSRV</stp>
        <stp>FQ2 2013</stp>
        <stp>FQ2 2013</stp>
        <stp>[FA1_m42y3cpi.xlsx]Bal Sheet - Standardized!R81C22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1" s="3"/>
      </tp>
      <tp t="s">
        <v>—</v>
        <stp/>
        <stp>##V3_BDHV12</stp>
        <stp>XOM US Equity</stp>
        <stp>IS_LEGAL_LITIGATION_SETTLEMENT</stp>
        <stp>FQ2 2012</stp>
        <stp>FQ2 2012</stp>
        <stp>[FA1_m42y3cpi.xlsx]Income - Adjusted!R30C18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2"/>
      </tp>
      <tp>
        <v>20161</v>
        <stp/>
        <stp>##V3_BDHV12</stp>
        <stp>XOM US Equity</stp>
        <stp>BS_PENSION_RSRV</stp>
        <stp>FQ2 2014</stp>
        <stp>FQ2 2014</stp>
        <stp>[FA1_m42y3cpi.xlsx]Bal Sheet - Standardized!R81C26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1" s="3"/>
      </tp>
      <tp>
        <v>21019</v>
        <stp/>
        <stp>##V3_BDHV12</stp>
        <stp>XOM US Equity</stp>
        <stp>BS_PENSION_RSRV</stp>
        <stp>FQ3 2016</stp>
        <stp>FQ3 2016</stp>
        <stp>[FA1_m42y3cpi.xlsx]Bal Sheet - Standardized!R81C35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1" s="3"/>
      </tp>
      <tp>
        <v>24422</v>
        <stp/>
        <stp>##V3_BDHV12</stp>
        <stp>XOM US Equity</stp>
        <stp>BS_PENSION_RSRV</stp>
        <stp>FQ3 2015</stp>
        <stp>FQ3 2015</stp>
        <stp>[FA1_m42y3cpi.xlsx]Bal Sheet - Standardized!R81C31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1" s="3"/>
      </tp>
      <tp>
        <v>23559</v>
        <stp/>
        <stp>##V3_BDHV12</stp>
        <stp>XOM US Equity</stp>
        <stp>BS_PENSION_RSRV</stp>
        <stp>FQ1 2012</stp>
        <stp>FQ1 2012</stp>
        <stp>[FA1_m42y3cpi.xlsx]Bal Sheet - Standardized!R81C17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1" s="3"/>
      </tp>
      <tp>
        <v>7516</v>
        <stp/>
        <stp>##V3_BDHV12</stp>
        <stp>XOM US Equity</stp>
        <stp>EBITA</stp>
        <stp>FQ4 2009</stp>
        <stp>FQ4 2009</stp>
        <stp>[FA1_m42y3cpi.xlsx]Income - Adjusted!R63C8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3" s="2"/>
      </tp>
      <tp>
        <v>2.8773</v>
        <stp/>
        <stp>##V3_BDHV12</stp>
        <stp>XOM US Equity</stp>
        <stp>OPER_INC_PER_SH</stp>
        <stp>FQ3 2012</stp>
        <stp>FQ3 2012</stp>
        <stp>[FA1_m42y3cpi.xlsx]Per Share!R13C19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3" s="5"/>
      </tp>
      <tp>
        <v>1.9636</v>
        <stp/>
        <stp>##V3_BDHV12</stp>
        <stp>XOM US Equity</stp>
        <stp>OPER_INC_PER_SH</stp>
        <stp>FQ3 2010</stp>
        <stp>FQ3 2010</stp>
        <stp>[FA1_m42y3cpi.xlsx]Per Share!R13C11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3" s="5"/>
      </tp>
      <tp>
        <v>2.3342000000000001</v>
        <stp/>
        <stp>##V3_BDHV12</stp>
        <stp>XOM US Equity</stp>
        <stp>OPER_INC_PER_SH</stp>
        <stp>FQ3 2013</stp>
        <stp>FQ3 2013</stp>
        <stp>[FA1_m42y3cpi.xlsx]Per Share!R13C23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3" s="5"/>
      </tp>
      <tp>
        <v>2.8772000000000002</v>
        <stp/>
        <stp>##V3_BDHV12</stp>
        <stp>XOM US Equity</stp>
        <stp>OPER_INC_PER_SH</stp>
        <stp>FQ3 2011</stp>
        <stp>FQ3 2011</stp>
        <stp>[FA1_m42y3cpi.xlsx]Per Share!R13C15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3" s="5"/>
      </tp>
      <tp>
        <v>0.99329999999999996</v>
        <stp/>
        <stp>##V3_BDHV12</stp>
        <stp>XOM US Equity</stp>
        <stp>OPER_INC_PER_SH</stp>
        <stp>FQ3 2015</stp>
        <stp>FQ3 2015</stp>
        <stp>[FA1_m42y3cpi.xlsx]Per Share!R13C31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3" s="5"/>
      </tp>
      <tp>
        <v>2.2437</v>
        <stp/>
        <stp>##V3_BDHV12</stp>
        <stp>XOM US Equity</stp>
        <stp>OPER_INC_PER_SH</stp>
        <stp>FQ3 2014</stp>
        <stp>FQ3 2014</stp>
        <stp>[FA1_m42y3cpi.xlsx]Per Share!R13C27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3" s="5"/>
      </tp>
      <tp>
        <v>0.34039999999999998</v>
        <stp/>
        <stp>##V3_BDHV12</stp>
        <stp>XOM US Equity</stp>
        <stp>OPER_INC_PER_SH</stp>
        <stp>FQ3 2016</stp>
        <stp>FQ3 2016</stp>
        <stp>[FA1_m42y3cpi.xlsx]Per Share!R13C35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3" s="5"/>
      </tp>
      <tp>
        <v>0.9234</v>
        <stp/>
        <stp>##V3_BDHV12</stp>
        <stp>XOM US Equity</stp>
        <stp>OPER_INC_PER_SH</stp>
        <stp>FQ3 2017</stp>
        <stp>FQ3 2017</stp>
        <stp>[FA1_m42y3cpi.xlsx]Per Share!R13C39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3" s="5"/>
      </tp>
      <tp>
        <v>2.4963000000000002</v>
        <stp/>
        <stp>##V3_BDHV12</stp>
        <stp>XOM US Equity</stp>
        <stp>OPER_INC_PER_SH</stp>
        <stp>FQ2 2012</stp>
        <stp>FQ2 2012</stp>
        <stp>[FA1_m42y3cpi.xlsx]Per Share!R13C18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3" s="5"/>
      </tp>
      <tp>
        <v>2.9702000000000002</v>
        <stp/>
        <stp>##V3_BDHV12</stp>
        <stp>XOM US Equity</stp>
        <stp>OPER_INC_PER_SH</stp>
        <stp>FQ2 2011</stp>
        <stp>FQ2 2011</stp>
        <stp>[FA1_m42y3cpi.xlsx]Per Share!R13C14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3" s="5"/>
      </tp>
      <tp>
        <v>2.0836999999999999</v>
        <stp/>
        <stp>##V3_BDHV12</stp>
        <stp>XOM US Equity</stp>
        <stp>OPER_INC_PER_SH</stp>
        <stp>FQ2 2013</stp>
        <stp>FQ2 2013</stp>
        <stp>[FA1_m42y3cpi.xlsx]Per Share!R13C22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3" s="5"/>
      </tp>
      <tp>
        <v>2.1105</v>
        <stp/>
        <stp>##V3_BDHV12</stp>
        <stp>XOM US Equity</stp>
        <stp>OPER_INC_PER_SH</stp>
        <stp>FQ2 2010</stp>
        <stp>FQ2 2010</stp>
        <stp>[FA1_m42y3cpi.xlsx]Per Share!R13C10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3" s="5"/>
      </tp>
      <tp>
        <v>1.0205</v>
        <stp/>
        <stp>##V3_BDHV12</stp>
        <stp>XOM US Equity</stp>
        <stp>OPER_INC_PER_SH</stp>
        <stp>FQ2 2015</stp>
        <stp>FQ2 2015</stp>
        <stp>[FA1_m42y3cpi.xlsx]Per Share!R13C30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3" s="5"/>
      </tp>
      <tp>
        <v>2.0306999999999999</v>
        <stp/>
        <stp>##V3_BDHV12</stp>
        <stp>XOM US Equity</stp>
        <stp>OPER_INC_PER_SH</stp>
        <stp>FQ2 2014</stp>
        <stp>FQ2 2014</stp>
        <stp>[FA1_m42y3cpi.xlsx]Per Share!R13C26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3" s="5"/>
      </tp>
      <tp>
        <v>0.52990000000000004</v>
        <stp/>
        <stp>##V3_BDHV12</stp>
        <stp>XOM US Equity</stp>
        <stp>OPER_INC_PER_SH</stp>
        <stp>FQ2 2017</stp>
        <stp>FQ2 2017</stp>
        <stp>[FA1_m42y3cpi.xlsx]Per Share!R13C38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3" s="5"/>
      </tp>
      <tp>
        <v>0.2742</v>
        <stp/>
        <stp>##V3_BDHV12</stp>
        <stp>XOM US Equity</stp>
        <stp>OPER_INC_PER_SH</stp>
        <stp>FQ2 2016</stp>
        <stp>FQ2 2016</stp>
        <stp>[FA1_m42y3cpi.xlsx]Per Share!R13C34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3" s="5"/>
      </tp>
      <tp>
        <v>1.0803</v>
        <stp/>
        <stp>##V3_BDHV12</stp>
        <stp>XOM US Equity</stp>
        <stp>OPER_INC_PER_SH</stp>
        <stp>FQ2 2018</stp>
        <stp>FQ2 2018</stp>
        <stp>[FA1_m42y3cpi.xlsx]Per Share!R13C42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3" s="5"/>
      </tp>
      <tp>
        <v>2.4710999999999999</v>
        <stp/>
        <stp>##V3_BDHV12</stp>
        <stp>XOM US Equity</stp>
        <stp>OPER_INC_PER_SH</stp>
        <stp>FQ1 2013</stp>
        <stp>FQ1 2013</stp>
        <stp>[FA1_m42y3cpi.xlsx]Per Share!R13C21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3" s="5"/>
      </tp>
      <tp>
        <v>2.8597999999999999</v>
        <stp/>
        <stp>##V3_BDHV12</stp>
        <stp>XOM US Equity</stp>
        <stp>OPER_INC_PER_SH</stp>
        <stp>FQ1 2011</stp>
        <stp>FQ1 2011</stp>
        <stp>[FA1_m42y3cpi.xlsx]Per Share!R13C13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3" s="5"/>
      </tp>
      <tp>
        <v>2.7058</v>
        <stp/>
        <stp>##V3_BDHV12</stp>
        <stp>XOM US Equity</stp>
        <stp>OPER_INC_PER_SH</stp>
        <stp>FQ1 2012</stp>
        <stp>FQ1 2012</stp>
        <stp>[FA1_m42y3cpi.xlsx]Per Share!R13C17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3" s="5"/>
      </tp>
      <tp>
        <v>4.9099999999999998E-2</v>
        <stp/>
        <stp>##V3_BDHV12</stp>
        <stp>XOM US Equity</stp>
        <stp>OPER_INC_PER_SH</stp>
        <stp>FQ1 2016</stp>
        <stp>FQ1 2016</stp>
        <stp>[FA1_m42y3cpi.xlsx]Per Share!R13C33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3" s="5"/>
      </tp>
      <tp>
        <v>0.91569999999999996</v>
        <stp/>
        <stp>##V3_BDHV12</stp>
        <stp>XOM US Equity</stp>
        <stp>OPER_INC_PER_SH</stp>
        <stp>FQ1 2017</stp>
        <stp>FQ1 2017</stp>
        <stp>[FA1_m42y3cpi.xlsx]Per Share!R13C37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3" s="5"/>
      </tp>
      <tp>
        <v>0.91739999999999999</v>
        <stp/>
        <stp>##V3_BDHV12</stp>
        <stp>XOM US Equity</stp>
        <stp>OPER_INC_PER_SH</stp>
        <stp>FQ1 2015</stp>
        <stp>FQ1 2015</stp>
        <stp>[FA1_m42y3cpi.xlsx]Per Share!R13C29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3" s="5"/>
      </tp>
      <tp>
        <v>2.3752</v>
        <stp/>
        <stp>##V3_BDHV12</stp>
        <stp>XOM US Equity</stp>
        <stp>OPER_INC_PER_SH</stp>
        <stp>FQ1 2014</stp>
        <stp>FQ1 2014</stp>
        <stp>[FA1_m42y3cpi.xlsx]Per Share!R13C25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3" s="5"/>
      </tp>
      <tp>
        <v>1.1724000000000001</v>
        <stp/>
        <stp>##V3_BDHV12</stp>
        <stp>XOM US Equity</stp>
        <stp>OPER_INC_PER_SH</stp>
        <stp>FQ1 2018</stp>
        <stp>FQ1 2018</stp>
        <stp>[FA1_m42y3cpi.xlsx]Per Share!R13C41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3" s="5"/>
      </tp>
      <tp>
        <v>-0.43769999999999998</v>
        <stp/>
        <stp>##V3_BDHV12</stp>
        <stp>XOM US Equity</stp>
        <stp>OPER_INC_PER_SH</stp>
        <stp>FQ4 2016</stp>
        <stp>FQ4 2016</stp>
        <stp>[FA1_m42y3cpi.xlsx]Per Share!R13C36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3" s="5"/>
      </tp>
      <tp>
        <v>0.13669999999999999</v>
        <stp/>
        <stp>##V3_BDHV12</stp>
        <stp>XOM US Equity</stp>
        <stp>OPER_INC_PER_SH</stp>
        <stp>FQ4 2015</stp>
        <stp>FQ4 2015</stp>
        <stp>[FA1_m42y3cpi.xlsx]Per Share!R13C32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3" s="5"/>
      </tp>
      <tp>
        <v>1.2991999999999999</v>
        <stp/>
        <stp>##V3_BDHV12</stp>
        <stp>XOM US Equity</stp>
        <stp>OPER_INC_PER_SH</stp>
        <stp>FQ4 2014</stp>
        <stp>FQ4 2014</stp>
        <stp>[FA1_m42y3cpi.xlsx]Per Share!R13C28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3" s="5"/>
      </tp>
      <tp>
        <v>2.3925000000000001</v>
        <stp/>
        <stp>##V3_BDHV12</stp>
        <stp>XOM US Equity</stp>
        <stp>OPER_INC_PER_SH</stp>
        <stp>FQ4 2011</stp>
        <stp>FQ4 2011</stp>
        <stp>[FA1_m42y3cpi.xlsx]Per Share!R13C16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3" s="5"/>
      </tp>
      <tp>
        <v>2.7136</v>
        <stp/>
        <stp>##V3_BDHV12</stp>
        <stp>XOM US Equity</stp>
        <stp>OPER_INC_PER_SH</stp>
        <stp>FQ4 2012</stp>
        <stp>FQ4 2012</stp>
        <stp>[FA1_m42y3cpi.xlsx]Per Share!R13C20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3" s="5"/>
      </tp>
      <tp>
        <v>2.2292999999999998</v>
        <stp/>
        <stp>##V3_BDHV12</stp>
        <stp>XOM US Equity</stp>
        <stp>OPER_INC_PER_SH</stp>
        <stp>FQ4 2013</stp>
        <stp>FQ4 2013</stp>
        <stp>[FA1_m42y3cpi.xlsx]Per Share!R13C24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3" s="5"/>
      </tp>
      <tp>
        <v>2.2709000000000001</v>
        <stp/>
        <stp>##V3_BDHV12</stp>
        <stp>XOM US Equity</stp>
        <stp>OPER_INC_PER_SH</stp>
        <stp>FQ4 2010</stp>
        <stp>FQ4 2010</stp>
        <stp>[FA1_m42y3cpi.xlsx]Per Share!R13C12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3" s="5"/>
      </tp>
      <tp>
        <v>0.46839999999999998</v>
        <stp/>
        <stp>##V3_BDHV12</stp>
        <stp>XOM US Equity</stp>
        <stp>OPER_INC_PER_SH</stp>
        <stp>FQ4 2017</stp>
        <stp>FQ4 2017</stp>
        <stp>[FA1_m42y3cpi.xlsx]Per Share!R13C40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3" s="5"/>
      </tp>
      <tp>
        <v>0</v>
        <stp/>
        <stp>##V3_BDHV12</stp>
        <stp>XOM US Equity</stp>
        <stp>IS_ABNORMAL_ITEM</stp>
        <stp>FQ3 2012</stp>
        <stp>FQ3 2012</stp>
        <stp>[FA1_m42y3cpi.xlsx]Income - Adjusted!R25C19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2"/>
      </tp>
      <tp>
        <v>0</v>
        <stp/>
        <stp>##V3_BDHV12</stp>
        <stp>XOM US Equity</stp>
        <stp>IS_ABNORMAL_ITEM</stp>
        <stp>FQ1 2013</stp>
        <stp>FQ1 2013</stp>
        <stp>[FA1_m42y3cpi.xlsx]Income - Adjusted!R25C21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2"/>
      </tp>
      <tp>
        <v>6300</v>
        <stp/>
        <stp>##V3_BDHV12</stp>
        <stp>XOM US Equity</stp>
        <stp>CF_NET_INC</stp>
        <stp>FQ1 2010</stp>
        <stp>FQ1 2010</stp>
        <stp>[FA1_m42y3cpi.xlsx]Cash Flow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4"/>
      </tp>
      <tp>
        <v>-1793</v>
        <stp/>
        <stp>##V3_BDHV12</stp>
        <stp>XOM US Equity</stp>
        <stp>IS_NONOP_INCOME_LOSS</stp>
        <stp>FQ1 2009</stp>
        <stp>FQ1 2009</stp>
        <stp>[FA1_m42y3cpi.xlsx]Income - Adjusted!R17C5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7" s="2"/>
      </tp>
      <tp>
        <v>-2108</v>
        <stp/>
        <stp>##V3_BDHV12</stp>
        <stp>XOM US Equity</stp>
        <stp>IS_NONOP_INCOME_LOSS</stp>
        <stp>FQ3 2009</stp>
        <stp>FQ3 2009</stp>
        <stp>[FA1_m42y3cpi.xlsx]Income - Adjusted!R17C7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7" s="2"/>
      </tp>
      <tp>
        <v>-2162.3845999999999</v>
        <stp/>
        <stp>##V3_BDHV12</stp>
        <stp>XOM US Equity</stp>
        <stp>IS_NONOP_INCOME_LOSS</stp>
        <stp>FQ2 2009</stp>
        <stp>FQ2 2009</stp>
        <stp>[FA1_m42y3cpi.xlsx]Income - Adjusted!R17C6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7" s="2"/>
      </tp>
      <tp>
        <v>2750</v>
        <stp/>
        <stp>##V3_BDHV12</stp>
        <stp>XOM US Equity</stp>
        <stp>IS_TOT_CASH_COM_DVD</stp>
        <stp>FQ4 2013</stp>
        <stp>FQ4 2013</stp>
        <stp>[FA1_m42y3cpi.xlsx]Income - Adjusted!R70C24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0" s="2"/>
      </tp>
      <tp>
        <v>3060</v>
        <stp/>
        <stp>##V3_BDHV12</stp>
        <stp>XOM US Equity</stp>
        <stp>IS_TOT_CASH_COM_DVD</stp>
        <stp>FQ3 2015</stp>
        <stp>FQ3 2015</stp>
        <stp>[FA1_m42y3cpi.xlsx]Income - Adjusted!R70C31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0" s="2"/>
      </tp>
      <tp>
        <v>2212</v>
        <stp/>
        <stp>##V3_BDHV12</stp>
        <stp>XOM US Equity</stp>
        <stp>IS_TOT_CASH_COM_DVD</stp>
        <stp>FQ4 2010</stp>
        <stp>FQ4 2010</stp>
        <stp>[FA1_m42y3cpi.xlsx]Income - Adjusted!R70C12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0" s="2"/>
      </tp>
      <tp>
        <v>2944.23</v>
        <stp/>
        <stp>##V3_BDHV12</stp>
        <stp>XOM US Equity</stp>
        <stp>IS_TOT_CASH_COM_DVD</stp>
        <stp>FQ3 2014</stp>
        <stp>FQ3 2014</stp>
        <stp>[FA1_m42y3cpi.xlsx]Income - Adjusted!R70C27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0" s="2"/>
      </tp>
      <tp>
        <v>3134</v>
        <stp/>
        <stp>##V3_BDHV12</stp>
        <stp>XOM US Equity</stp>
        <stp>IS_TOT_CASH_COM_DVD</stp>
        <stp>FQ1 2017</stp>
        <stp>FQ1 2017</stp>
        <stp>[FA1_m42y3cpi.xlsx]Income - Adjusted!R70C37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0" s="2"/>
      </tp>
      <tp>
        <v>4959</v>
        <stp/>
        <stp>##V3_BDHV12</stp>
        <stp>XOM US Equity</stp>
        <stp>IS_SH_FOR_DILUTED_EPS</stp>
        <stp>FQ1 2009</stp>
        <stp>FQ1 2009</stp>
        <stp>[FA1_m42y3cpi.xlsx]Per Share!R7C5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5"/>
      </tp>
      <tp>
        <v>4871</v>
        <stp/>
        <stp>##V3_BDHV12</stp>
        <stp>XOM US Equity</stp>
        <stp>IS_SH_FOR_DILUTED_EPS</stp>
        <stp>FQ2 2009</stp>
        <stp>FQ2 2009</stp>
        <stp>[FA1_m42y3cpi.xlsx]Per Share!R7C6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5"/>
      </tp>
      <tp>
        <v>4803</v>
        <stp/>
        <stp>##V3_BDHV12</stp>
        <stp>XOM US Equity</stp>
        <stp>IS_SH_FOR_DILUTED_EPS</stp>
        <stp>FQ3 2009</stp>
        <stp>FQ3 2009</stp>
        <stp>[FA1_m42y3cpi.xlsx]Per Share!R7C7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5"/>
      </tp>
      <tp>
        <v>185838</v>
        <stp/>
        <stp>##V3_BDHV12</stp>
        <stp>XOM US Equity</stp>
        <stp>TOTAL_EQUITY</stp>
        <stp>FQ2 2017</stp>
        <stp>FQ2 2017</stp>
        <stp>[FA1_m42y3cpi.xlsx]Bal Sheet - Standardized!R74C38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4" s="3"/>
      </tp>
      <tp>
        <v>4365</v>
        <stp/>
        <stp>##V3_BDHV12</stp>
        <stp>XOM US Equity</stp>
        <stp>BS_ST_BORROW</stp>
        <stp>FQ2 2011</stp>
        <stp>FQ2 2011</stp>
        <stp>[FA1_m42y3cpi.xlsx]Bal Sheet - Standardized!R47C14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3"/>
      </tp>
      <tp>
        <v>0</v>
        <stp/>
        <stp>##V3_BDHV12</stp>
        <stp>XOM US Equity</stp>
        <stp>IS_TOT_CASH_PFD_DVD</stp>
        <stp>FQ4 2013</stp>
        <stp>FQ4 2013</stp>
        <stp>[FA1_m42y3cpi.xlsx]Income - Adjusted!R41C24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1" s="2"/>
      </tp>
      <tp>
        <v>0</v>
        <stp/>
        <stp>##V3_BDHV12</stp>
        <stp>XOM US Equity</stp>
        <stp>IS_TOT_CASH_PFD_DVD</stp>
        <stp>FQ3 2015</stp>
        <stp>FQ3 2015</stp>
        <stp>[FA1_m42y3cpi.xlsx]Income - Adjusted!R41C31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1" s="2"/>
      </tp>
      <tp>
        <v>4310</v>
        <stp/>
        <stp>##V3_BDHV12</stp>
        <stp>XOM US Equity</stp>
        <stp>BS_OTHER_INV</stp>
        <stp>FQ1 2015</stp>
        <stp>FQ1 2015</stp>
        <stp>[FA1_m42y3cpi.xlsx]Bal Sheet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3"/>
      </tp>
      <tp>
        <v>2946</v>
        <stp/>
        <stp>##V3_BDHV12</stp>
        <stp>XOM US Equity</stp>
        <stp>BS_ST_BORROW</stp>
        <stp>FQ2 2010</stp>
        <stp>FQ2 2010</stp>
        <stp>[FA1_m42y3cpi.xlsx]Bal Sheet - Standardized!R47C10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3"/>
      </tp>
      <tp>
        <v>0</v>
        <stp/>
        <stp>##V3_BDHV12</stp>
        <stp>XOM US Equity</stp>
        <stp>IS_TOT_CASH_PFD_DVD</stp>
        <stp>FQ4 2010</stp>
        <stp>FQ4 2010</stp>
        <stp>[FA1_m42y3cpi.xlsx]Income - Adjusted!R41C12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1" s="2"/>
      </tp>
      <tp>
        <v>5937</v>
        <stp/>
        <stp>##V3_BDHV12</stp>
        <stp>XOM US Equity</stp>
        <stp>BS_ST_BORROW</stp>
        <stp>FQ1 2013</stp>
        <stp>FQ1 2013</stp>
        <stp>[FA1_m42y3cpi.xlsx]Bal Sheet - Standardized!R47C21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3"/>
      </tp>
      <tp>
        <v>0</v>
        <stp/>
        <stp>##V3_BDHV12</stp>
        <stp>XOM US Equity</stp>
        <stp>IS_TOT_CASH_PFD_DVD</stp>
        <stp>FQ3 2014</stp>
        <stp>FQ3 2014</stp>
        <stp>[FA1_m42y3cpi.xlsx]Income - Adjusted!R41C27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1" s="2"/>
      </tp>
      <tp>
        <v>3429</v>
        <stp/>
        <stp>##V3_BDHV12</stp>
        <stp>XOM US Equity</stp>
        <stp>BS_OTHER_INV</stp>
        <stp>FQ2 2012</stp>
        <stp>FQ2 2012</stp>
        <stp>[FA1_m42y3cpi.xlsx]Bal Sheet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3"/>
      </tp>
      <tp>
        <v>9223</v>
        <stp/>
        <stp>##V3_BDHV12</stp>
        <stp>XOM US Equity</stp>
        <stp>BS_ST_BORROW</stp>
        <stp>FQ1 2014</stp>
        <stp>FQ1 2014</stp>
        <stp>[FA1_m42y3cpi.xlsx]Bal Sheet - Standardized!R47C25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3"/>
      </tp>
      <tp>
        <v>0</v>
        <stp/>
        <stp>##V3_BDHV12</stp>
        <stp>XOM US Equity</stp>
        <stp>IS_TOT_CASH_PFD_DVD</stp>
        <stp>FQ1 2017</stp>
        <stp>FQ1 2017</stp>
        <stp>[FA1_m42y3cpi.xlsx]Income - Adjusted!R41C37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1" s="2"/>
      </tp>
      <tp>
        <v>90.39</v>
        <stp/>
        <stp>##V3_BDHV12</stp>
        <stp>XOM US Equity</stp>
        <stp>PX_OPEN</stp>
        <stp>FQ3 2013</stp>
        <stp>FQ3 2013</stp>
        <stp>[FA1_m42y3cpi.xlsx]Stock Value!R8C23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6"/>
      </tp>
      <tp>
        <v>3286</v>
        <stp/>
        <stp>##V3_BDHV12</stp>
        <stp>XOM US Equity</stp>
        <stp>BS_OTHER_INV</stp>
        <stp>FQ2 2011</stp>
        <stp>FQ2 2011</stp>
        <stp>[FA1_m42y3cpi.xlsx]Bal Sheet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3"/>
      </tp>
      <tp>
        <v>77.5</v>
        <stp/>
        <stp>##V3_BDHV12</stp>
        <stp>XOM US Equity</stp>
        <stp>PX_OPEN</stp>
        <stp>FQ1 2016</stp>
        <stp>FQ1 2016</stp>
        <stp>[FA1_m42y3cpi.xlsx]Stock Value!R8C33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6"/>
      </tp>
      <tp>
        <v>73.72</v>
        <stp/>
        <stp>##V3_BDHV12</stp>
        <stp>XOM US Equity</stp>
        <stp>PX_OPEN</stp>
        <stp>FQ1 2011</stp>
        <stp>FQ1 2011</stp>
        <stp>[FA1_m42y3cpi.xlsx]Stock Value!R8C13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6"/>
      </tp>
      <tp>
        <v>13277</v>
        <stp/>
        <stp>##V3_BDHV12</stp>
        <stp>XOM US Equity</stp>
        <stp>BS_ST_BORROW</stp>
        <stp>FQ1 2015</stp>
        <stp>FQ1 2015</stp>
        <stp>[FA1_m42y3cpi.xlsx]Bal Sheet - Standardized!R47C29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3"/>
      </tp>
      <tp>
        <v>178998</v>
        <stp/>
        <stp>##V3_BDHV12</stp>
        <stp>XOM US Equity</stp>
        <stp>TOTAL_EQUITY</stp>
        <stp>FQ2 2015</stp>
        <stp>FQ2 2015</stp>
        <stp>[FA1_m42y3cpi.xlsx]Bal Sheet - Standardized!R74C30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4" s="3"/>
      </tp>
      <tp>
        <v>3000</v>
        <stp/>
        <stp>##V3_BDHV12</stp>
        <stp>XOM US Equity</stp>
        <stp>BS_OTHER_INV</stp>
        <stp>FQ2 2010</stp>
        <stp>FQ2 2010</stp>
        <stp>[FA1_m42y3cpi.xlsx]Bal Sheet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3"/>
      </tp>
      <tp>
        <v>176875</v>
        <stp/>
        <stp>##V3_BDHV12</stp>
        <stp>XOM US Equity</stp>
        <stp>TOTAL_EQUITY</stp>
        <stp>FQ2 2016</stp>
        <stp>FQ2 2016</stp>
        <stp>[FA1_m42y3cpi.xlsx]Bal Sheet - Standardized!R74C34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4" s="3"/>
      </tp>
      <tp>
        <v>187495</v>
        <stp/>
        <stp>##V3_BDHV12</stp>
        <stp>XOM US Equity</stp>
        <stp>TOTAL_EQUITY</stp>
        <stp>FQ3 2014</stp>
        <stp>FQ3 2014</stp>
        <stp>[FA1_m42y3cpi.xlsx]Bal Sheet - Standardized!R74C27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4" s="3"/>
      </tp>
      <tp>
        <v>3785</v>
        <stp/>
        <stp>##V3_BDHV12</stp>
        <stp>XOM US Equity</stp>
        <stp>BS_OTHER_INV</stp>
        <stp>FQ1 2013</stp>
        <stp>FQ1 2013</stp>
        <stp>[FA1_m42y3cpi.xlsx]Bal Sheet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3"/>
      </tp>
      <tp>
        <v>91.93</v>
        <stp/>
        <stp>##V3_BDHV12</stp>
        <stp>XOM US Equity</stp>
        <stp>PX_HIGH</stp>
        <stp>FQ1 2013</stp>
        <stp>FQ1 2013</stp>
        <stp>[FA1_m42y3cpi.xlsx]Stock Value!R9C21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9" s="6"/>
      </tp>
      <tp>
        <v>89.3</v>
        <stp/>
        <stp>##V3_BDHV12</stp>
        <stp>XOM US Equity</stp>
        <stp>PX_HIGH</stp>
        <stp>FQ1 2018</stp>
        <stp>FQ1 2018</stp>
        <stp>[FA1_m42y3cpi.xlsx]Stock Value!R9C41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9" s="6"/>
      </tp>
      <tp>
        <v>4129</v>
        <stp/>
        <stp>##V3_BDHV12</stp>
        <stp>XOM US Equity</stp>
        <stp>BS_OTHER_INV</stp>
        <stp>FQ1 2014</stp>
        <stp>FQ1 2014</stp>
        <stp>[FA1_m42y3cpi.xlsx]Bal Sheet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3"/>
      </tp>
      <tp>
        <v>6704</v>
        <stp/>
        <stp>##V3_BDHV12</stp>
        <stp>XOM US Equity</stp>
        <stp>BS_ST_BORROW</stp>
        <stp>FQ2 2012</stp>
        <stp>FQ2 2012</stp>
        <stp>[FA1_m42y3cpi.xlsx]Bal Sheet - Standardized!R47C18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3"/>
      </tp>
      <tp>
        <v>175478</v>
        <stp/>
        <stp>##V3_BDHV12</stp>
        <stp>XOM US Equity</stp>
        <stp>TOTAL_EQUITY</stp>
        <stp>FQ3 2013</stp>
        <stp>FQ3 2013</stp>
        <stp>[FA1_m42y3cpi.xlsx]Bal Sheet - Standardized!R74C23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4" s="3"/>
      </tp>
      <tp>
        <v>62.99</v>
        <stp/>
        <stp>##V3_BDHV12</stp>
        <stp>XOM US Equity</stp>
        <stp>PX_HIGH</stp>
        <stp>FQ3 2010</stp>
        <stp>FQ3 2010</stp>
        <stp>[FA1_m42y3cpi.xlsx]Stock Value!R9C11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9" s="6"/>
      </tp>
      <tp>
        <v>83.53</v>
        <stp/>
        <stp>##V3_BDHV12</stp>
        <stp>XOM US Equity</stp>
        <stp>PX_HIGH</stp>
        <stp>FQ3 2015</stp>
        <stp>FQ3 2015</stp>
        <stp>[FA1_m42y3cpi.xlsx]Stock Value!R9C31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9" s="6"/>
      </tp>
      <tp>
        <v>1.5438000000000001</v>
        <stp/>
        <stp>##V3_BDHV12</stp>
        <stp>XOM US Equity</stp>
        <stp>FREE_CASH_FLOW_PER_SH</stp>
        <stp>FQ1 2010</stp>
        <stp>FQ1 2010</stp>
        <stp>[FA1_m42y3cpi.xlsx]Cash Flow - Standardized!R66C9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6" s="4"/>
      </tp>
      <tp>
        <v>32.534700000000001</v>
        <stp/>
        <stp>##V3_BDHV12</stp>
        <stp>XOM US Equity</stp>
        <stp>BOOK_VAL_PER_SH</stp>
        <stp>FQ3 2011</stp>
        <stp>FQ3 2011</stp>
        <stp>[FA1_m42y3cpi.xlsx]Per Share!R26C15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6" s="5"/>
      </tp>
      <tp>
        <v>41.009599999999999</v>
        <stp/>
        <stp>##V3_BDHV12</stp>
        <stp>XOM US Equity</stp>
        <stp>BOOK_VAL_PER_SH</stp>
        <stp>FQ3 2015</stp>
        <stp>FQ3 2015</stp>
        <stp>[FA1_m42y3cpi.xlsx]Per Share!R26C31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6" s="5"/>
      </tp>
      <tp>
        <v>4485</v>
        <stp/>
        <stp>##V3_BDHV12</stp>
        <stp>XOM US Equity</stp>
        <stp>IS_SH_FOR_DILUTED_EPS</stp>
        <stp>FQ1 2013</stp>
        <stp>FQ1 2013</stp>
        <stp>[FA1_m42y3cpi.xlsx]Income - Adjusted!R54C21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4" s="2"/>
      </tp>
      <tp>
        <v>4971</v>
        <stp/>
        <stp>##V3_BDHV12</stp>
        <stp>XOM US Equity</stp>
        <stp>IS_SH_FOR_DILUTED_EPS</stp>
        <stp>FQ1 2011</stp>
        <stp>FQ1 2011</stp>
        <stp>[FA1_m42y3cpi.xlsx]Income - Adjusted!R54C13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4" s="2"/>
      </tp>
      <tp>
        <v>4297</v>
        <stp/>
        <stp>##V3_BDHV12</stp>
        <stp>XOM US Equity</stp>
        <stp>IS_SH_FOR_DILUTED_EPS</stp>
        <stp>FQ2 2014</stp>
        <stp>FQ2 2014</stp>
        <stp>[FA1_m42y3cpi.xlsx]Income - Adjusted!R54C26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4" s="2"/>
      </tp>
      <tp>
        <v>4178</v>
        <stp/>
        <stp>##V3_BDHV12</stp>
        <stp>XOM US Equity</stp>
        <stp>IS_SH_FOR_DILUTED_EPS</stp>
        <stp>FQ2 2016</stp>
        <stp>FQ2 2016</stp>
        <stp>[FA1_m42y3cpi.xlsx]Income - Adjusted!R54C34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4" s="2"/>
      </tp>
      <tp>
        <v>4541</v>
        <stp/>
        <stp>##V3_BDHV12</stp>
        <stp>XOM US Equity</stp>
        <stp>IS_SH_FOR_DILUTED_EPS</stp>
        <stp>FQ4 2012</stp>
        <stp>FQ4 2012</stp>
        <stp>[FA1_m42y3cpi.xlsx]Income - Adjusted!R54C20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4" s="2"/>
      </tp>
      <tp>
        <v>5031</v>
        <stp/>
        <stp>##V3_BDHV12</stp>
        <stp>XOM US Equity</stp>
        <stp>IS_SH_FOR_DILUTED_EPS</stp>
        <stp>FQ4 2010</stp>
        <stp>FQ4 2010</stp>
        <stp>[FA1_m42y3cpi.xlsx]Income - Adjusted!R54C12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4" s="2"/>
      </tp>
      <tp>
        <v>-5254</v>
        <stp/>
        <stp>##V3_BDHV12</stp>
        <stp>XOM US Equity</stp>
        <stp>CF_DECR_CAP_STOCK</stp>
        <stp>FQ4 2012</stp>
        <stp>FQ4 2012</stp>
        <stp>[FA1_m42y3cpi.xlsx]Cash Flow - Standardized!R46C20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6" s="4"/>
      </tp>
      <tp>
        <v>0.69</v>
        <stp/>
        <stp>##V3_BDHV12</stp>
        <stp>XOM US Equity</stp>
        <stp>EQY_DPS</stp>
        <stp>FQ3 2014</stp>
        <stp>FQ3 2014</stp>
        <stp>[FA1_m42y3cpi.xlsx]Income - Adjusted!R69C27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9" s="2"/>
      </tp>
      <tp>
        <v>0.75</v>
        <stp/>
        <stp>##V3_BDHV12</stp>
        <stp>XOM US Equity</stp>
        <stp>EQY_DPS</stp>
        <stp>FQ3 2016</stp>
        <stp>FQ3 2016</stp>
        <stp>[FA1_m42y3cpi.xlsx]Income - Adjusted!R69C35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9" s="2"/>
      </tp>
      <tp>
        <v>-3302</v>
        <stp/>
        <stp>##V3_BDHV12</stp>
        <stp>XOM US Equity</stp>
        <stp>CF_DECR_CAP_STOCK</stp>
        <stp>FQ4 2013</stp>
        <stp>FQ4 2013</stp>
        <stp>[FA1_m42y3cpi.xlsx]Cash Flow - Standardized!R46C24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6" s="4"/>
      </tp>
      <tp>
        <v>-2</v>
        <stp/>
        <stp>##V3_BDHV12</stp>
        <stp>XOM US Equity</stp>
        <stp>CF_DECR_CAP_STOCK</stp>
        <stp>FQ2 2018</stp>
        <stp>FQ2 2018</stp>
        <stp>[FA1_m42y3cpi.xlsx]Cash Flow - Standardized!R46C42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6" s="4"/>
      </tp>
      <tp>
        <v>-3318</v>
        <stp/>
        <stp>##V3_BDHV12</stp>
        <stp>XOM US Equity</stp>
        <stp>CF_DECR_CAP_STOCK</stp>
        <stp>FQ4 2014</stp>
        <stp>FQ4 2014</stp>
        <stp>[FA1_m42y3cpi.xlsx]Cash Flow - Standardized!R46C28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6" s="4"/>
      </tp>
      <tp t="s">
        <v>—</v>
        <stp/>
        <stp>##V3_BDHV12</stp>
        <stp>XOM US Equity</stp>
        <stp>CF_DISPOSAL_OF_INTANGIBLE_ASSETS</stp>
        <stp>FQ3 2008</stp>
        <stp>FQ3 2008</stp>
        <stp>[FA1_m42y3cpi.xlsx]Cash Flow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4"/>
      </tp>
      <tp t="s">
        <v>—</v>
        <stp/>
        <stp>##V3_BDHV12</stp>
        <stp>XOM US Equity</stp>
        <stp>CF_DISPOSAL_OF_INTANGIBLE_ASSETS</stp>
        <stp>FQ4 2008</stp>
        <stp>FQ4 2008</stp>
        <stp>[FA1_m42y3cpi.xlsx]Cash Flow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4"/>
      </tp>
      <tp>
        <v>4333</v>
        <stp/>
        <stp>##V3_BDHV12</stp>
        <stp>XOM US Equity</stp>
        <stp>CF_FREE_CASH_FLOW</stp>
        <stp>FQ3 2013</stp>
        <stp>FQ3 2013</stp>
        <stp>[FA1_m42y3cpi.xlsx]Cash Flow - Standardized!R63C23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3" s="4"/>
      </tp>
      <tp t="s">
        <v>—</v>
        <stp/>
        <stp>##V3_BDHV12</stp>
        <stp>XOM US Equity</stp>
        <stp>CHG_PCT_PERIOD</stp>
        <stp>FQ2 2013</stp>
        <stp>FQ2 2013</stp>
        <stp>[FA1_m42y3cpi.xlsx]Stock Value!R7C22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6"/>
      </tp>
      <tp>
        <v>10.8833</v>
        <stp/>
        <stp>##V3_BDHV12</stp>
        <stp>XOM US Equity</stp>
        <stp>CHG_PCT_PERIOD</stp>
        <stp>FQ2 2018</stp>
        <stp>FQ2 2018</stp>
        <stp>[FA1_m42y3cpi.xlsx]Stock Value!R7C42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" s="6"/>
      </tp>
      <tp>
        <v>4198</v>
        <stp/>
        <stp>##V3_BDHV12</stp>
        <stp>XOM US Equity</stp>
        <stp>CF_FREE_CASH_FLOW</stp>
        <stp>FQ3 2014</stp>
        <stp>FQ3 2014</stp>
        <stp>[FA1_m42y3cpi.xlsx]Cash Flow - Standardized!R63C27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3" s="4"/>
      </tp>
      <tp>
        <v>248</v>
        <stp/>
        <stp>##V3_BDHV12</stp>
        <stp>XOM US Equity</stp>
        <stp>CF_FREE_CASH_FLOW</stp>
        <stp>FQ2 2016</stp>
        <stp>FQ2 2016</stp>
        <stp>[FA1_m42y3cpi.xlsx]Cash Flow - Standardized!R63C34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3" s="4"/>
      </tp>
      <tp>
        <v>4.8419999999999996</v>
        <stp/>
        <stp>##V3_BDHV12</stp>
        <stp>XOM US Equity</stp>
        <stp>CHG_PCT_PERIOD</stp>
        <stp>FQ4 2015</stp>
        <stp>FQ4 2015</stp>
        <stp>[FA1_m42y3cpi.xlsx]Stock Value!R7C32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6"/>
      </tp>
      <tp>
        <v>18.336300000000001</v>
        <stp/>
        <stp>##V3_BDHV12</stp>
        <stp>XOM US Equity</stp>
        <stp>CHG_PCT_PERIOD</stp>
        <stp>FQ4 2010</stp>
        <stp>FQ4 2010</stp>
        <stp>[FA1_m42y3cpi.xlsx]Stock Value!R7C12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6"/>
      </tp>
      <tp>
        <v>0</v>
        <stp/>
        <stp>##V3_BDHV12</stp>
        <stp>XOM US Equity</stp>
        <stp>CF_DISPOSAL_OF_INTANGIBLE_ASSETS</stp>
        <stp>FQ2 2009</stp>
        <stp>FQ2 2009</stp>
        <stp>[FA1_m42y3cpi.xlsx]Cash Flow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4"/>
      </tp>
      <tp>
        <v>0</v>
        <stp/>
        <stp>##V3_BDHV12</stp>
        <stp>XOM US Equity</stp>
        <stp>CF_DISPOSAL_OF_INTANGIBLE_ASSETS</stp>
        <stp>FQ3 2009</stp>
        <stp>FQ3 2009</stp>
        <stp>[FA1_m42y3cpi.xlsx]Cash Flow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4"/>
      </tp>
      <tp>
        <v>0</v>
        <stp/>
        <stp>##V3_BDHV12</stp>
        <stp>XOM US Equity</stp>
        <stp>CF_DISPOSAL_OF_INTANGIBLE_ASSETS</stp>
        <stp>FQ1 2009</stp>
        <stp>FQ1 2009</stp>
        <stp>[FA1_m42y3cpi.xlsx]Cash Flow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4"/>
      </tp>
      <tp>
        <v>1683</v>
        <stp/>
        <stp>##V3_BDHV12</stp>
        <stp>XOM US Equity</stp>
        <stp>CF_FREE_CASH_FLOW</stp>
        <stp>FQ2 2015</stp>
        <stp>FQ2 2015</stp>
        <stp>[FA1_m42y3cpi.xlsx]Cash Flow - Standardized!R63C30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3" s="4"/>
      </tp>
      <tp>
        <v>0</v>
        <stp/>
        <stp>##V3_BDHV12</stp>
        <stp>XOM US Equity</stp>
        <stp>CF_DISPOSAL_OF_INTANGIBLE_ASSETS</stp>
        <stp>FQ1 2010</stp>
        <stp>FQ1 2010</stp>
        <stp>[FA1_m42y3cpi.xlsx]Cash Flow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4"/>
      </tp>
      <tp>
        <v>0</v>
        <stp/>
        <stp>##V3_BDHV12</stp>
        <stp>XOM US Equity</stp>
        <stp>CF_DISPOSAL_OF_INTANGIBLE_ASSETS</stp>
        <stp>FQ4 2009</stp>
        <stp>FQ4 2009</stp>
        <stp>[FA1_m42y3cpi.xlsx]Cash Flow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4"/>
      </tp>
      <tp>
        <v>3849</v>
        <stp/>
        <stp>##V3_BDHV12</stp>
        <stp>XOM US Equity</stp>
        <stp>CF_FREE_CASH_FLOW</stp>
        <stp>FQ2 2017</stp>
        <stp>FQ2 2017</stp>
        <stp>[FA1_m42y3cpi.xlsx]Cash Flow - Standardized!R63C38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3" s="4"/>
      </tp>
      <tp>
        <v>4234</v>
        <stp/>
        <stp>##V3_BDHV12</stp>
        <stp>XOM US Equity</stp>
        <stp>BS_SH_OUT</stp>
        <stp>FQ2 2018</stp>
        <stp>FQ2 2018</stp>
        <stp>[FA1_m42y3cpi.xlsx]Bal Sheet - Standardized!R79C42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9" s="3"/>
      </tp>
      <tp>
        <v>4234</v>
        <stp/>
        <stp>##V3_BDHV12</stp>
        <stp>XOM US Equity</stp>
        <stp>BS_SH_OUT</stp>
        <stp>FQ1 2018</stp>
        <stp>FQ1 2018</stp>
        <stp>[FA1_m42y3cpi.xlsx]Bal Sheet - Standardized!R79C41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9" s="3"/>
      </tp>
      <tp>
        <v>4559</v>
        <stp/>
        <stp>##V3_BDHV12</stp>
        <stp>XOM US Equity</stp>
        <stp>BS_SH_OUT</stp>
        <stp>FQ3 2012</stp>
        <stp>FQ3 2012</stp>
        <stp>[FA1_m42y3cpi.xlsx]Bal Sheet - Standardized!R79C19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9" s="3"/>
      </tp>
      <tp>
        <v>4616</v>
        <stp/>
        <stp>##V3_BDHV12</stp>
        <stp>XOM US Equity</stp>
        <stp>BS_SH_OUT</stp>
        <stp>FQ2 2012</stp>
        <stp>FQ2 2012</stp>
        <stp>[FA1_m42y3cpi.xlsx]Bal Sheet - Standardized!R79C18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9" s="3"/>
      </tp>
      <tp>
        <v>4201</v>
        <stp/>
        <stp>##V3_BDHV12</stp>
        <stp>XOM US Equity</stp>
        <stp>BS_SH_OUT</stp>
        <stp>FQ4 2014</stp>
        <stp>FQ4 2014</stp>
        <stp>[FA1_m42y3cpi.xlsx]Bal Sheet - Standardized!R79C28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9" s="3"/>
      </tp>
      <tp>
        <v>1.7642</v>
        <stp/>
        <stp>##V3_BDHV12</stp>
        <stp>XOM US Equity</stp>
        <stp>CASH_FLOW_PER_SH</stp>
        <stp>FQ3 2017</stp>
        <stp>FQ3 2017</stp>
        <stp>[FA1_m42y3cpi.xlsx]Per Share!R22C39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2" s="5"/>
      </tp>
      <tp>
        <v>2247</v>
        <stp/>
        <stp>##V3_BDHV12</stp>
        <stp>XOM US Equity</stp>
        <stp>IS_TOT_CASH_COM_DVD</stp>
        <stp>FQ4 2011</stp>
        <stp>FQ4 2011</stp>
        <stp>[FA1_m42y3cpi.xlsx]Income - Adjusted!R70C16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0" s="2"/>
      </tp>
      <tp>
        <v>3066</v>
        <stp/>
        <stp>##V3_BDHV12</stp>
        <stp>XOM US Equity</stp>
        <stp>IS_TOT_CASH_COM_DVD</stp>
        <stp>FQ2 2015</stp>
        <stp>FQ2 2015</stp>
        <stp>[FA1_m42y3cpi.xlsx]Income - Adjusted!R70C30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0" s="2"/>
      </tp>
      <tp>
        <v>3100</v>
        <stp/>
        <stp>##V3_BDHV12</stp>
        <stp>XOM US Equity</stp>
        <stp>IS_TOT_CASH_COM_DVD</stp>
        <stp>FQ1 2016</stp>
        <stp>FQ1 2016</stp>
        <stp>[FA1_m42y3cpi.xlsx]Income - Adjusted!R70C33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0" s="2"/>
      </tp>
      <tp>
        <v>1999.92</v>
        <stp/>
        <stp>##V3_BDHV12</stp>
        <stp>XOM US Equity</stp>
        <stp>IS_TOT_CASH_COM_DVD</stp>
        <stp>FQ4 2009</stp>
        <stp>FQ4 2009</stp>
        <stp>[FA1_m42y3cpi.xlsx]Income - Adjusted!R70C8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0" s="2"/>
      </tp>
      <tp>
        <v>3039</v>
        <stp/>
        <stp>##V3_BDHV12</stp>
        <stp>XOM US Equity</stp>
        <stp>IS_TOT_CASH_COM_DVD</stp>
        <stp>FQ2 2014</stp>
        <stp>FQ2 2014</stp>
        <stp>[FA1_m42y3cpi.xlsx]Income - Adjusted!R70C26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0" s="2"/>
      </tp>
      <tp>
        <v>2592</v>
        <stp/>
        <stp>##V3_BDHV12</stp>
        <stp>XOM US Equity</stp>
        <stp>IS_TOT_CASH_COM_DVD</stp>
        <stp>FQ4 2012</stp>
        <stp>FQ4 2012</stp>
        <stp>[FA1_m42y3cpi.xlsx]Income - Adjusted!R70C20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0" s="2"/>
      </tp>
      <tp>
        <v>2081.4499999999998</v>
        <stp/>
        <stp>##V3_BDHV12</stp>
        <stp>XOM US Equity</stp>
        <stp>IS_TOT_CASH_COM_DVD</stp>
        <stp>FQ4 2008</stp>
        <stp>FQ4 2008</stp>
        <stp>[FA1_m42y3cpi.xlsx]Income - Adjusted!R70C4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0" s="2"/>
      </tp>
      <tp>
        <v>189198</v>
        <stp/>
        <stp>##V3_BDHV12</stp>
        <stp>XOM US Equity</stp>
        <stp>TOTAL_EQUITY</stp>
        <stp>FQ3 2017</stp>
        <stp>FQ3 2017</stp>
        <stp>[FA1_m42y3cpi.xlsx]Bal Sheet - Standardized!R74C39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4" s="3"/>
      </tp>
      <tp>
        <v>7431</v>
        <stp/>
        <stp>##V3_BDHV12</stp>
        <stp>XOM US Equity</stp>
        <stp>BS_ST_BORROW</stp>
        <stp>FQ3 2011</stp>
        <stp>FQ3 2011</stp>
        <stp>[FA1_m42y3cpi.xlsx]Bal Sheet - Standardized!R47C15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3"/>
      </tp>
      <tp>
        <v>0</v>
        <stp/>
        <stp>##V3_BDHV12</stp>
        <stp>XOM US Equity</stp>
        <stp>IS_TOT_CASH_PFD_DVD</stp>
        <stp>FQ4 2011</stp>
        <stp>FQ4 2011</stp>
        <stp>[FA1_m42y3cpi.xlsx]Income - Adjusted!R41C16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1" s="2"/>
      </tp>
      <tp>
        <v>13540</v>
        <stp/>
        <stp>##V3_BDHV12</stp>
        <stp>XOM US Equity</stp>
        <stp>BS_ST_BORROW</stp>
        <stp>FQ1 2016</stp>
        <stp>FQ1 2016</stp>
        <stp>[FA1_m42y3cpi.xlsx]Bal Sheet - Standardized!R47C33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3"/>
      </tp>
      <tp>
        <v>0</v>
        <stp/>
        <stp>##V3_BDHV12</stp>
        <stp>XOM US Equity</stp>
        <stp>IS_TOT_CASH_PFD_DVD</stp>
        <stp>FQ2 2015</stp>
        <stp>FQ2 2015</stp>
        <stp>[FA1_m42y3cpi.xlsx]Income - Adjusted!R41C30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1" s="2"/>
      </tp>
      <tp>
        <v>0</v>
        <stp/>
        <stp>##V3_BDHV12</stp>
        <stp>XOM US Equity</stp>
        <stp>IS_TOT_CASH_PFD_DVD</stp>
        <stp>FQ1 2016</stp>
        <stp>FQ1 2016</stp>
        <stp>[FA1_m42y3cpi.xlsx]Income - Adjusted!R41C33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1" s="2"/>
      </tp>
      <tp>
        <v>3046</v>
        <stp/>
        <stp>##V3_BDHV12</stp>
        <stp>XOM US Equity</stp>
        <stp>BS_ST_BORROW</stp>
        <stp>FQ3 2010</stp>
        <stp>FQ3 2010</stp>
        <stp>[FA1_m42y3cpi.xlsx]Bal Sheet - Standardized!R47C11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3"/>
      </tp>
      <tp>
        <v>0</v>
        <stp/>
        <stp>##V3_BDHV12</stp>
        <stp>XOM US Equity</stp>
        <stp>IS_TOT_CASH_PFD_DVD</stp>
        <stp>FQ2 2014</stp>
        <stp>FQ2 2014</stp>
        <stp>[FA1_m42y3cpi.xlsx]Income - Adjusted!R41C26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1" s="2"/>
      </tp>
      <tp>
        <v>0</v>
        <stp/>
        <stp>##V3_BDHV12</stp>
        <stp>XOM US Equity</stp>
        <stp>IS_TOT_CASH_PFD_DVD</stp>
        <stp>FQ4 2012</stp>
        <stp>FQ4 2012</stp>
        <stp>[FA1_m42y3cpi.xlsx]Income - Adjusted!R41C20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1" s="2"/>
      </tp>
      <tp>
        <v>3565</v>
        <stp/>
        <stp>##V3_BDHV12</stp>
        <stp>XOM US Equity</stp>
        <stp>BS_OTHER_INV</stp>
        <stp>FQ3 2012</stp>
        <stp>FQ3 2012</stp>
        <stp>[FA1_m42y3cpi.xlsx]Bal Sheet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3"/>
      </tp>
      <tp>
        <v>18483</v>
        <stp/>
        <stp>##V3_BDHV12</stp>
        <stp>XOM US Equity</stp>
        <stp>BS_ST_BORROW</stp>
        <stp>FQ1 2017</stp>
        <stp>FQ1 2017</stp>
        <stp>[FA1_m42y3cpi.xlsx]Bal Sheet - Standardized!R47C37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7" s="3"/>
      </tp>
      <tp>
        <v>164117</v>
        <stp/>
        <stp>##V3_BDHV12</stp>
        <stp>XOM US Equity</stp>
        <stp>TOTAL_EQUITY</stp>
        <stp>FQ1 2012</stp>
        <stp>FQ1 2012</stp>
        <stp>[FA1_m42y3cpi.xlsx]Bal Sheet - Standardized!R74C17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4" s="3"/>
      </tp>
      <tp>
        <v>84.36</v>
        <stp/>
        <stp>##V3_BDHV12</stp>
        <stp>XOM US Equity</stp>
        <stp>PX_HIGH</stp>
        <stp>FQ4 2017</stp>
        <stp>FQ4 2017</stp>
        <stp>[FA1_m42y3cpi.xlsx]Stock Value!R9C40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9" s="6"/>
      </tp>
      <tp>
        <v>93.67</v>
        <stp/>
        <stp>##V3_BDHV12</stp>
        <stp>XOM US Equity</stp>
        <stp>PX_HIGH</stp>
        <stp>FQ4 2012</stp>
        <stp>FQ4 2012</stp>
        <stp>[FA1_m42y3cpi.xlsx]Stock Value!R9C20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9" s="6"/>
      </tp>
      <tp>
        <v>3332</v>
        <stp/>
        <stp>##V3_BDHV12</stp>
        <stp>XOM US Equity</stp>
        <stp>BS_OTHER_INV</stp>
        <stp>FQ3 2011</stp>
        <stp>FQ3 2011</stp>
        <stp>[FA1_m42y3cpi.xlsx]Bal Sheet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3"/>
      </tp>
      <tp>
        <v>90.13</v>
        <stp/>
        <stp>##V3_BDHV12</stp>
        <stp>XOM US Equity</stp>
        <stp>PX_OPEN</stp>
        <stp>FQ2 2013</stp>
        <stp>FQ2 2013</stp>
        <stp>[FA1_m42y3cpi.xlsx]Stock Value!R8C22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6"/>
      </tp>
      <tp>
        <v>74.27</v>
        <stp/>
        <stp>##V3_BDHV12</stp>
        <stp>XOM US Equity</stp>
        <stp>PX_OPEN</stp>
        <stp>FQ2 2018</stp>
        <stp>FQ2 2018</stp>
        <stp>[FA1_m42y3cpi.xlsx]Stock Value!R8C42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" s="6"/>
      </tp>
      <tp>
        <v>4386</v>
        <stp/>
        <stp>##V3_BDHV12</stp>
        <stp>XOM US Equity</stp>
        <stp>BS_OTHER_INV</stp>
        <stp>FQ1 2016</stp>
        <stp>FQ1 2016</stp>
        <stp>[FA1_m42y3cpi.xlsx]Bal Sheet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3"/>
      </tp>
      <tp>
        <v>176839</v>
        <stp/>
        <stp>##V3_BDHV12</stp>
        <stp>XOM US Equity</stp>
        <stp>TOTAL_EQUITY</stp>
        <stp>FQ3 2015</stp>
        <stp>FQ3 2015</stp>
        <stp>[FA1_m42y3cpi.xlsx]Bal Sheet - Standardized!R74C31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4" s="3"/>
      </tp>
      <tp>
        <v>3148</v>
        <stp/>
        <stp>##V3_BDHV12</stp>
        <stp>XOM US Equity</stp>
        <stp>BS_OTHER_INV</stp>
        <stp>FQ3 2010</stp>
        <stp>FQ3 2010</stp>
        <stp>[FA1_m42y3cpi.xlsx]Bal Sheet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3"/>
      </tp>
      <tp>
        <v>177010</v>
        <stp/>
        <stp>##V3_BDHV12</stp>
        <stp>XOM US Equity</stp>
        <stp>TOTAL_EQUITY</stp>
        <stp>FQ3 2016</stp>
        <stp>FQ3 2016</stp>
        <stp>[FA1_m42y3cpi.xlsx]Bal Sheet - Standardized!R74C35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4" s="3"/>
      </tp>
      <tp>
        <v>188131</v>
        <stp/>
        <stp>##V3_BDHV12</stp>
        <stp>XOM US Equity</stp>
        <stp>TOTAL_EQUITY</stp>
        <stp>FQ2 2014</stp>
        <stp>FQ2 2014</stp>
        <stp>[FA1_m42y3cpi.xlsx]Bal Sheet - Standardized!R74C26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4" s="3"/>
      </tp>
      <tp>
        <v>3496</v>
        <stp/>
        <stp>##V3_BDHV12</stp>
        <stp>XOM US Equity</stp>
        <stp>BS_ST_BORROW</stp>
        <stp>FQ3 2012</stp>
        <stp>FQ3 2012</stp>
        <stp>[FA1_m42y3cpi.xlsx]Bal Sheet - Standardized!R47C19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3"/>
      </tp>
      <tp>
        <v>70</v>
        <stp/>
        <stp>##V3_BDHV12</stp>
        <stp>XOM US Equity</stp>
        <stp>PX_HIGH</stp>
        <stp>FQ2 2010</stp>
        <stp>FQ2 2010</stp>
        <stp>[FA1_m42y3cpi.xlsx]Stock Value!R9C10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9" s="6"/>
      </tp>
      <tp>
        <v>90.09</v>
        <stp/>
        <stp>##V3_BDHV12</stp>
        <stp>XOM US Equity</stp>
        <stp>PX_HIGH</stp>
        <stp>FQ2 2015</stp>
        <stp>FQ2 2015</stp>
        <stp>[FA1_m42y3cpi.xlsx]Stock Value!R9C30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9" s="6"/>
      </tp>
      <tp>
        <v>4187</v>
        <stp/>
        <stp>##V3_BDHV12</stp>
        <stp>XOM US Equity</stp>
        <stp>BS_OTHER_INV</stp>
        <stp>FQ1 2017</stp>
        <stp>FQ1 2017</stp>
        <stp>[FA1_m42y3cpi.xlsx]Bal Sheet - Standardized!R17C37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7" s="3"/>
      </tp>
      <tp>
        <v>171588</v>
        <stp/>
        <stp>##V3_BDHV12</stp>
        <stp>XOM US Equity</stp>
        <stp>TOTAL_EQUITY</stp>
        <stp>FQ2 2013</stp>
        <stp>FQ2 2013</stp>
        <stp>[FA1_m42y3cpi.xlsx]Bal Sheet - Standardized!R74C22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4" s="3"/>
      </tp>
      <tp>
        <v>157531</v>
        <stp/>
        <stp>##V3_BDHV12</stp>
        <stp>XOM US Equity</stp>
        <stp>TOTAL_EQUITY</stp>
        <stp>FQ1 2011</stp>
        <stp>FQ1 2011</stp>
        <stp>[FA1_m42y3cpi.xlsx]Bal Sheet - Standardized!R74C13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4" s="3"/>
      </tp>
      <tp>
        <v>194500</v>
        <stp/>
        <stp>##V3_BDHV12</stp>
        <stp>XOM US Equity</stp>
        <stp>TOTAL_EQUITY</stp>
        <stp>FQ4 2017</stp>
        <stp>FQ4 2017</stp>
        <stp>[FA1_m42y3cpi.xlsx]Bal Sheet - Standardized!R74C40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4" s="3"/>
      </tp>
      <tp>
        <v>62.32</v>
        <stp/>
        <stp>##V3_BDHV12</stp>
        <stp>XOM US Equity</stp>
        <stp>PX_OPEN</stp>
        <stp>FQ4 2010</stp>
        <stp>FQ4 2010</stp>
        <stp>[FA1_m42y3cpi.xlsx]Stock Value!R8C12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6"/>
      </tp>
      <tp>
        <v>75.2</v>
        <stp/>
        <stp>##V3_BDHV12</stp>
        <stp>XOM US Equity</stp>
        <stp>PX_OPEN</stp>
        <stp>FQ4 2015</stp>
        <stp>FQ4 2015</stp>
        <stp>[FA1_m42y3cpi.xlsx]Stock Value!R8C32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6"/>
      </tp>
      <tp>
        <v>-2512</v>
        <stp/>
        <stp>##V3_BDHV12</stp>
        <stp>XOM US Equity</stp>
        <stp>CHG_IN_FXD_&amp;_INTANG_AST_DETAILED</stp>
        <stp>FQ3 2008</stp>
        <stp>FQ3 2008</stp>
        <stp>[FA1_m42y3cpi.xlsx]Cash Flow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4"/>
      </tp>
      <tp>
        <v>-3542</v>
        <stp/>
        <stp>##V3_BDHV12</stp>
        <stp>XOM US Equity</stp>
        <stp>CHG_IN_FXD_&amp;_INTANG_AST_DETAILED</stp>
        <stp>FQ4 2008</stp>
        <stp>FQ4 2008</stp>
        <stp>[FA1_m42y3cpi.xlsx]Cash Flow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4"/>
      </tp>
      <tp>
        <v>-5318</v>
        <stp/>
        <stp>##V3_BDHV12</stp>
        <stp>XOM US Equity</stp>
        <stp>CHG_IN_FXD_&amp;_INTANG_AST_DETAILED</stp>
        <stp>FQ3 2009</stp>
        <stp>FQ3 2009</stp>
        <stp>[FA1_m42y3cpi.xlsx]Cash Flow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4"/>
      </tp>
      <tp>
        <v>-4795</v>
        <stp/>
        <stp>##V3_BDHV12</stp>
        <stp>XOM US Equity</stp>
        <stp>CHG_IN_FXD_&amp;_INTANG_AST_DETAILED</stp>
        <stp>FQ2 2009</stp>
        <stp>FQ2 2009</stp>
        <stp>[FA1_m42y3cpi.xlsx]Cash Flow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4"/>
      </tp>
      <tp>
        <v>-4532</v>
        <stp/>
        <stp>##V3_BDHV12</stp>
        <stp>XOM US Equity</stp>
        <stp>CHG_IN_FXD_&amp;_INTANG_AST_DETAILED</stp>
        <stp>FQ1 2009</stp>
        <stp>FQ1 2009</stp>
        <stp>[FA1_m42y3cpi.xlsx]Cash Flow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4"/>
      </tp>
      <tp>
        <v>33.578299999999999</v>
        <stp/>
        <stp>##V3_BDHV12</stp>
        <stp>XOM US Equity</stp>
        <stp>BOOK_VAL_PER_SH</stp>
        <stp>FQ1 2012</stp>
        <stp>FQ1 2012</stp>
        <stp>[FA1_m42y3cpi.xlsx]Per Share!R26C17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6" s="5"/>
      </tp>
      <tp>
        <v>41.520899999999997</v>
        <stp/>
        <stp>##V3_BDHV12</stp>
        <stp>XOM US Equity</stp>
        <stp>BOOK_VAL_PER_SH</stp>
        <stp>FQ1 2016</stp>
        <stp>FQ1 2016</stp>
        <stp>[FA1_m42y3cpi.xlsx]Per Share!R26C33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6" s="5"/>
      </tp>
      <tp>
        <v>31.993200000000002</v>
        <stp/>
        <stp>##V3_BDHV12</stp>
        <stp>XOM US Equity</stp>
        <stp>BOOK_VAL_PER_SH</stp>
        <stp>FQ2 2011</stp>
        <stp>FQ2 2011</stp>
        <stp>[FA1_m42y3cpi.xlsx]Per Share!R26C14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6" s="5"/>
      </tp>
      <tp>
        <v>41.417099999999998</v>
        <stp/>
        <stp>##V3_BDHV12</stp>
        <stp>XOM US Equity</stp>
        <stp>BOOK_VAL_PER_SH</stp>
        <stp>FQ2 2015</stp>
        <stp>FQ2 2015</stp>
        <stp>[FA1_m42y3cpi.xlsx]Per Share!R26C30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6" s="5"/>
      </tp>
      <tp>
        <v>-5332</v>
        <stp/>
        <stp>##V3_BDHV12</stp>
        <stp>XOM US Equity</stp>
        <stp>CHG_IN_FXD_&amp;_INTANG_AST_DETAILED</stp>
        <stp>FQ1 2010</stp>
        <stp>FQ1 2010</stp>
        <stp>[FA1_m42y3cpi.xlsx]Cash Flow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4"/>
      </tp>
      <tp>
        <v>-6301</v>
        <stp/>
        <stp>##V3_BDHV12</stp>
        <stp>XOM US Equity</stp>
        <stp>CHG_IN_FXD_&amp;_INTANG_AST_DETAILED</stp>
        <stp>FQ4 2009</stp>
        <stp>FQ4 2009</stp>
        <stp>[FA1_m42y3cpi.xlsx]Cash Flow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4"/>
      </tp>
      <tp>
        <v>1.0900000000000001</v>
        <stp/>
        <stp>##V3_BDHV12</stp>
        <stp>XOM US Equity</stp>
        <stp>IS_BASIC_EPS_CONT_OPS</stp>
        <stp>FQ1 2018</stp>
        <stp>FQ1 2018</stp>
        <stp>[FA1_m42y3cpi.xlsx]Income - Adjusted!R52C41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2" s="2"/>
      </tp>
      <tp>
        <v>4267</v>
        <stp/>
        <stp>##V3_BDHV12</stp>
        <stp>XOM US Equity</stp>
        <stp>IS_SH_FOR_DILUTED_EPS</stp>
        <stp>FQ3 2014</stp>
        <stp>FQ3 2014</stp>
        <stp>[FA1_m42y3cpi.xlsx]Income - Adjusted!R54C27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4" s="2"/>
      </tp>
      <tp>
        <v>4178</v>
        <stp/>
        <stp>##V3_BDHV12</stp>
        <stp>XOM US Equity</stp>
        <stp>IS_SH_FOR_DILUTED_EPS</stp>
        <stp>FQ3 2016</stp>
        <stp>FQ3 2016</stp>
        <stp>[FA1_m42y3cpi.xlsx]Income - Adjusted!R54C35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4" s="2"/>
      </tp>
      <tp>
        <v>-250</v>
        <stp/>
        <stp>##V3_BDHV12</stp>
        <stp>XOM US Equity</stp>
        <stp>CF_DECR_CAP_STOCK</stp>
        <stp>FQ4 2016</stp>
        <stp>FQ4 2016</stp>
        <stp>[FA1_m42y3cpi.xlsx]Cash Flow - Standardized!R46C36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6" s="4"/>
      </tp>
      <tp>
        <v>0.56999999999999995</v>
        <stp/>
        <stp>##V3_BDHV12</stp>
        <stp>XOM US Equity</stp>
        <stp>EQY_DPS</stp>
        <stp>FQ4 2012</stp>
        <stp>FQ4 2012</stp>
        <stp>[FA1_m42y3cpi.xlsx]Income - Adjusted!R69C20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9" s="2"/>
      </tp>
      <tp>
        <v>0.44</v>
        <stp/>
        <stp>##V3_BDHV12</stp>
        <stp>XOM US Equity</stp>
        <stp>EQY_DPS</stp>
        <stp>FQ4 2010</stp>
        <stp>FQ4 2010</stp>
        <stp>[FA1_m42y3cpi.xlsx]Income - Adjusted!R69C12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9" s="2"/>
      </tp>
      <tp>
        <v>0.56999999999999995</v>
        <stp/>
        <stp>##V3_BDHV12</stp>
        <stp>XOM US Equity</stp>
        <stp>EQY_DPS</stp>
        <stp>FQ1 2013</stp>
        <stp>FQ1 2013</stp>
        <stp>[FA1_m42y3cpi.xlsx]Income - Adjusted!R69C21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9" s="2"/>
      </tp>
      <tp>
        <v>0.44</v>
        <stp/>
        <stp>##V3_BDHV12</stp>
        <stp>XOM US Equity</stp>
        <stp>EQY_DPS</stp>
        <stp>FQ1 2011</stp>
        <stp>FQ1 2011</stp>
        <stp>[FA1_m42y3cpi.xlsx]Income - Adjusted!R69C13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9" s="2"/>
      </tp>
      <tp>
        <v>0.69</v>
        <stp/>
        <stp>##V3_BDHV12</stp>
        <stp>XOM US Equity</stp>
        <stp>EQY_DPS</stp>
        <stp>FQ2 2014</stp>
        <stp>FQ2 2014</stp>
        <stp>[FA1_m42y3cpi.xlsx]Income - Adjusted!R69C26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9" s="2"/>
      </tp>
      <tp>
        <v>0.75</v>
        <stp/>
        <stp>##V3_BDHV12</stp>
        <stp>XOM US Equity</stp>
        <stp>EQY_DPS</stp>
        <stp>FQ2 2016</stp>
        <stp>FQ2 2016</stp>
        <stp>[FA1_m42y3cpi.xlsx]Income - Adjusted!R69C34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9" s="2"/>
      </tp>
      <tp>
        <v>-754</v>
        <stp/>
        <stp>##V3_BDHV12</stp>
        <stp>XOM US Equity</stp>
        <stp>CF_DECR_CAP_STOCK</stp>
        <stp>FQ4 2015</stp>
        <stp>FQ4 2015</stp>
        <stp>[FA1_m42y3cpi.xlsx]Cash Flow - Standardized!R46C32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6" s="4"/>
      </tp>
      <tp>
        <v>15.057399999999999</v>
        <stp/>
        <stp>##V3_BDHV12</stp>
        <stp>XOM US Equity</stp>
        <stp>CHG_PCT_PERIOD</stp>
        <stp>FQ1 2011</stp>
        <stp>FQ1 2011</stp>
        <stp>[FA1_m42y3cpi.xlsx]Stock Value!R7C13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6"/>
      </tp>
      <tp>
        <v>7.2354000000000003</v>
        <stp/>
        <stp>##V3_BDHV12</stp>
        <stp>XOM US Equity</stp>
        <stp>CHG_PCT_PERIOD</stp>
        <stp>FQ1 2016</stp>
        <stp>FQ1 2016</stp>
        <stp>[FA1_m42y3cpi.xlsx]Stock Value!R7C33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6"/>
      </tp>
      <tp>
        <v>2910</v>
        <stp/>
        <stp>##V3_BDHV12</stp>
        <stp>XOM US Equity</stp>
        <stp>CF_FREE_CASH_FLOW</stp>
        <stp>FQ4 2017</stp>
        <stp>FQ4 2017</stp>
        <stp>[FA1_m42y3cpi.xlsx]Cash Flow - Standardized!R63C40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3" s="4"/>
      </tp>
      <tp>
        <v>9805</v>
        <stp/>
        <stp>##V3_BDHV12</stp>
        <stp>XOM US Equity</stp>
        <stp>CF_FREE_CASH_FLOW</stp>
        <stp>FQ1 2011</stp>
        <stp>FQ1 2011</stp>
        <stp>[FA1_m42y3cpi.xlsx]Cash Flow - Standardized!R63C13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3" s="4"/>
      </tp>
      <tp>
        <v>-968</v>
        <stp/>
        <stp>##V3_BDHV12</stp>
        <stp>XOM US Equity</stp>
        <stp>CF_FREE_CASH_FLOW</stp>
        <stp>FQ2 2013</stp>
        <stp>FQ2 2013</stp>
        <stp>[FA1_m42y3cpi.xlsx]Cash Flow - Standardized!R63C22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3" s="4"/>
      </tp>
      <tp>
        <v>1660</v>
        <stp/>
        <stp>##V3_BDHV12</stp>
        <stp>XOM US Equity</stp>
        <stp>CF_FREE_CASH_FLOW</stp>
        <stp>FQ2 2014</stp>
        <stp>FQ2 2014</stp>
        <stp>[FA1_m42y3cpi.xlsx]Cash Flow - Standardized!R63C26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3" s="4"/>
      </tp>
      <tp>
        <v>1951</v>
        <stp/>
        <stp>##V3_BDHV12</stp>
        <stp>XOM US Equity</stp>
        <stp>CF_FREE_CASH_FLOW</stp>
        <stp>FQ3 2016</stp>
        <stp>FQ3 2016</stp>
        <stp>[FA1_m42y3cpi.xlsx]Cash Flow - Standardized!R63C35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3" s="4"/>
      </tp>
      <tp t="s">
        <v>—</v>
        <stp/>
        <stp>##V3_BDHV12</stp>
        <stp>XOM US Equity</stp>
        <stp>CHG_PCT_PERIOD</stp>
        <stp>FQ3 2013</stp>
        <stp>FQ3 2013</stp>
        <stp>[FA1_m42y3cpi.xlsx]Stock Value!R7C23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6"/>
      </tp>
      <tp>
        <v>2773</v>
        <stp/>
        <stp>##V3_BDHV12</stp>
        <stp>XOM US Equity</stp>
        <stp>CF_FREE_CASH_FLOW</stp>
        <stp>FQ3 2015</stp>
        <stp>FQ3 2015</stp>
        <stp>[FA1_m42y3cpi.xlsx]Cash Flow - Standardized!R63C31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3" s="4"/>
      </tp>
      <tp>
        <v>11444</v>
        <stp/>
        <stp>##V3_BDHV12</stp>
        <stp>XOM US Equity</stp>
        <stp>CF_FREE_CASH_FLOW</stp>
        <stp>FQ1 2012</stp>
        <stp>FQ1 2012</stp>
        <stp>[FA1_m42y3cpi.xlsx]Cash Flow - Standardized!R63C17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3" s="4"/>
      </tp>
      <tp>
        <v>2622</v>
        <stp/>
        <stp>##V3_BDHV12</stp>
        <stp>XOM US Equity</stp>
        <stp>CF_FREE_CASH_FLOW</stp>
        <stp>FQ3 2017</stp>
        <stp>FQ3 2017</stp>
        <stp>[FA1_m42y3cpi.xlsx]Cash Flow - Standardized!R63C39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3" s="4"/>
      </tp>
      <tp t="s">
        <v>—</v>
        <stp/>
        <stp>##V3_BDHV12</stp>
        <stp>XOM US Equity</stp>
        <stp>TCE_RATIO</stp>
        <stp>FQ1 2018</stp>
        <stp>FQ1 2018</stp>
        <stp>[FA1_m42y3cpi.xlsx]Bal Sheet - Standardized!R88C41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8" s="3"/>
      </tp>
      <tp t="s">
        <v>—</v>
        <stp/>
        <stp>##V3_BDHV12</stp>
        <stp>XOM US Equity</stp>
        <stp>TCE_RATIO</stp>
        <stp>FQ2 2018</stp>
        <stp>FQ2 2018</stp>
        <stp>[FA1_m42y3cpi.xlsx]Bal Sheet - Standardized!R88C42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8" s="3"/>
      </tp>
      <tp t="s">
        <v>—</v>
        <stp/>
        <stp>##V3_BDHV12</stp>
        <stp>XOM US Equity</stp>
        <stp>TCE_RATIO</stp>
        <stp>FQ2 2012</stp>
        <stp>FQ2 2012</stp>
        <stp>[FA1_m42y3cpi.xlsx]Bal Sheet - Standardized!R88C18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8" s="3"/>
      </tp>
      <tp t="s">
        <v>—</v>
        <stp/>
        <stp>##V3_BDHV12</stp>
        <stp>XOM US Equity</stp>
        <stp>TCE_RATIO</stp>
        <stp>FQ3 2012</stp>
        <stp>FQ3 2012</stp>
        <stp>[FA1_m42y3cpi.xlsx]Bal Sheet - Standardized!R88C19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8" s="3"/>
      </tp>
      <tp>
        <v>49.900599999999997</v>
        <stp/>
        <stp>##V3_BDHV12</stp>
        <stp>XOM US Equity</stp>
        <stp>TCE_RATIO</stp>
        <stp>FQ4 2014</stp>
        <stp>FQ4 2014</stp>
        <stp>[FA1_m42y3cpi.xlsx]Bal Sheet - Standardized!R88C28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8" s="3"/>
      </tp>
      <tp>
        <v>1.6266</v>
        <stp/>
        <stp>##V3_BDHV12</stp>
        <stp>XOM US Equity</stp>
        <stp>CASH_FLOW_PER_SH</stp>
        <stp>FQ2 2017</stp>
        <stp>FQ2 2017</stp>
        <stp>[FA1_m42y3cpi.xlsx]Per Share!R22C38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2" s="5"/>
      </tp>
      <tp>
        <v>3289</v>
        <stp/>
        <stp>##V3_BDHV12</stp>
        <stp>XOM US Equity</stp>
        <stp>IS_TOT_CASH_COM_DVD</stp>
        <stp>FQ4 2017</stp>
        <stp>FQ4 2017</stp>
        <stp>[FA1_m42y3cpi.xlsx]Income - Adjusted!R70C40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0" s="2"/>
      </tp>
      <tp>
        <v>3133</v>
        <stp/>
        <stp>##V3_BDHV12</stp>
        <stp>XOM US Equity</stp>
        <stp>IS_TOT_CASH_COM_DVD</stp>
        <stp>FQ2 2016</stp>
        <stp>FQ2 2016</stp>
        <stp>[FA1_m42y3cpi.xlsx]Income - Adjusted!R70C34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0" s="2"/>
      </tp>
      <tp>
        <v>2790</v>
        <stp/>
        <stp>##V3_BDHV12</stp>
        <stp>XOM US Equity</stp>
        <stp>IS_TOT_CASH_COM_DVD</stp>
        <stp>FQ1 2014</stp>
        <stp>FQ1 2014</stp>
        <stp>[FA1_m42y3cpi.xlsx]Income - Adjusted!R70C25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0" s="2"/>
      </tp>
      <tp>
        <v>3289</v>
        <stp/>
        <stp>##V3_BDHV12</stp>
        <stp>XOM US Equity</stp>
        <stp>IS_TOT_CASH_COM_DVD</stp>
        <stp>FQ3 2017</stp>
        <stp>FQ3 2017</stp>
        <stp>[FA1_m42y3cpi.xlsx]Income - Adjusted!R70C39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0" s="2"/>
      </tp>
      <tp>
        <v>11.541399999999999</v>
        <stp/>
        <stp>##V3_BDHV12</stp>
        <stp>XOM US Equity</stp>
        <stp>GROSS_MARGIN</stp>
        <stp>FQ2 2018</stp>
        <stp>FQ2 2018</stp>
        <stp>[FA1_m42y3cpi.xlsx]Income - Adjusted!R65C42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65" s="2"/>
      </tp>
      <tp>
        <v>9.7852999999999994</v>
        <stp/>
        <stp>##V3_BDHV12</stp>
        <stp>XOM US Equity</stp>
        <stp>GROSS_MARGIN</stp>
        <stp>FQ2 2017</stp>
        <stp>FQ2 2017</stp>
        <stp>[FA1_m42y3cpi.xlsx]Income - Adjusted!R65C38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65" s="2"/>
      </tp>
      <tp>
        <v>8.3024000000000004</v>
        <stp/>
        <stp>##V3_BDHV12</stp>
        <stp>XOM US Equity</stp>
        <stp>GROSS_MARGIN</stp>
        <stp>FQ2 2016</stp>
        <stp>FQ2 2016</stp>
        <stp>[FA1_m42y3cpi.xlsx]Income - Adjusted!R65C34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65" s="2"/>
      </tp>
      <tp>
        <v>11.4489</v>
        <stp/>
        <stp>##V3_BDHV12</stp>
        <stp>XOM US Equity</stp>
        <stp>GROSS_MARGIN</stp>
        <stp>FQ2 2015</stp>
        <stp>FQ2 2015</stp>
        <stp>[FA1_m42y3cpi.xlsx]Income - Adjusted!R65C30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65" s="2"/>
      </tp>
      <tp>
        <v>12.606999999999999</v>
        <stp/>
        <stp>##V3_BDHV12</stp>
        <stp>XOM US Equity</stp>
        <stp>GROSS_MARGIN</stp>
        <stp>FQ2 2014</stp>
        <stp>FQ2 2014</stp>
        <stp>[FA1_m42y3cpi.xlsx]Income - Adjusted!R65C26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65" s="2"/>
      </tp>
      <tp>
        <v>16.709399999999999</v>
        <stp/>
        <stp>##V3_BDHV12</stp>
        <stp>XOM US Equity</stp>
        <stp>GROSS_MARGIN</stp>
        <stp>FQ2 2011</stp>
        <stp>FQ2 2011</stp>
        <stp>[FA1_m42y3cpi.xlsx]Income - Adjusted!R65C14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65" s="2"/>
      </tp>
      <tp>
        <v>16.879200000000001</v>
        <stp/>
        <stp>##V3_BDHV12</stp>
        <stp>XOM US Equity</stp>
        <stp>GROSS_MARGIN</stp>
        <stp>FQ2 2010</stp>
        <stp>FQ2 2010</stp>
        <stp>[FA1_m42y3cpi.xlsx]Income - Adjusted!R65C10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65" s="2"/>
      </tp>
      <tp>
        <v>13.598000000000001</v>
        <stp/>
        <stp>##V3_BDHV12</stp>
        <stp>XOM US Equity</stp>
        <stp>GROSS_MARGIN</stp>
        <stp>FQ2 2013</stp>
        <stp>FQ2 2013</stp>
        <stp>[FA1_m42y3cpi.xlsx]Income - Adjusted!R65C22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65" s="2"/>
      </tp>
      <tp>
        <v>14.7835</v>
        <stp/>
        <stp>##V3_BDHV12</stp>
        <stp>XOM US Equity</stp>
        <stp>GROSS_MARGIN</stp>
        <stp>FQ2 2012</stp>
        <stp>FQ2 2012</stp>
        <stp>[FA1_m42y3cpi.xlsx]Income - Adjusted!R65C18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65" s="2"/>
      </tp>
      <tp>
        <v>14409</v>
        <stp/>
        <stp>##V3_BDHV12</stp>
        <stp>XOM US Equity</stp>
        <stp>BS_ST_BORROW</stp>
        <stp>FQ2 2015</stp>
        <stp>FQ2 2015</stp>
        <stp>[FA1_m42y3cpi.xlsx]Bal Sheet - Standardized!R47C30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3"/>
      </tp>
      <tp>
        <v>177446</v>
        <stp/>
        <stp>##V3_BDHV12</stp>
        <stp>XOM US Equity</stp>
        <stp>TOTAL_EQUITY</stp>
        <stp>FQ1 2015</stp>
        <stp>FQ1 2015</stp>
        <stp>[FA1_m42y3cpi.xlsx]Bal Sheet - Standardized!R74C29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4" s="3"/>
      </tp>
      <tp>
        <v>8.7376000000000005</v>
        <stp/>
        <stp>##V3_BDHV12</stp>
        <stp>XOM US Equity</stp>
        <stp>GROSS_MARGIN</stp>
        <stp>FQ3 2016</stp>
        <stp>FQ3 2016</stp>
        <stp>[FA1_m42y3cpi.xlsx]Income - Adjusted!R65C35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65" s="2"/>
      </tp>
      <tp>
        <v>11.8751</v>
        <stp/>
        <stp>##V3_BDHV12</stp>
        <stp>XOM US Equity</stp>
        <stp>GROSS_MARGIN</stp>
        <stp>FQ3 2017</stp>
        <stp>FQ3 2017</stp>
        <stp>[FA1_m42y3cpi.xlsx]Income - Adjusted!R65C39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65" s="2"/>
      </tp>
      <tp>
        <v>12.4495</v>
        <stp/>
        <stp>##V3_BDHV12</stp>
        <stp>XOM US Equity</stp>
        <stp>GROSS_MARGIN</stp>
        <stp>FQ3 2015</stp>
        <stp>FQ3 2015</stp>
        <stp>[FA1_m42y3cpi.xlsx]Income - Adjusted!R65C31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65" s="2"/>
      </tp>
      <tp>
        <v>13.599600000000001</v>
        <stp/>
        <stp>##V3_BDHV12</stp>
        <stp>XOM US Equity</stp>
        <stp>GROSS_MARGIN</stp>
        <stp>FQ3 2014</stp>
        <stp>FQ3 2014</stp>
        <stp>[FA1_m42y3cpi.xlsx]Income - Adjusted!R65C27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65" s="2"/>
      </tp>
      <tp>
        <v>13.8248</v>
        <stp/>
        <stp>##V3_BDHV12</stp>
        <stp>XOM US Equity</stp>
        <stp>GROSS_MARGIN</stp>
        <stp>FQ3 2013</stp>
        <stp>FQ3 2013</stp>
        <stp>[FA1_m42y3cpi.xlsx]Income - Adjusted!R65C23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65" s="2"/>
      </tp>
      <tp>
        <v>16.639900000000001</v>
        <stp/>
        <stp>##V3_BDHV12</stp>
        <stp>XOM US Equity</stp>
        <stp>GROSS_MARGIN</stp>
        <stp>FQ3 2010</stp>
        <stp>FQ3 2010</stp>
        <stp>[FA1_m42y3cpi.xlsx]Income - Adjusted!R65C11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65" s="2"/>
      </tp>
      <tp>
        <v>16.443300000000001</v>
        <stp/>
        <stp>##V3_BDHV12</stp>
        <stp>XOM US Equity</stp>
        <stp>GROSS_MARGIN</stp>
        <stp>FQ3 2011</stp>
        <stp>FQ3 2011</stp>
        <stp>[FA1_m42y3cpi.xlsx]Income - Adjusted!R65C15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65" s="2"/>
      </tp>
      <tp>
        <v>16.621099999999998</v>
        <stp/>
        <stp>##V3_BDHV12</stp>
        <stp>XOM US Equity</stp>
        <stp>GROSS_MARGIN</stp>
        <stp>FQ3 2012</stp>
        <stp>FQ3 2012</stp>
        <stp>[FA1_m42y3cpi.xlsx]Income - Adjusted!R65C19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65" s="2"/>
      </tp>
      <tp>
        <v>0</v>
        <stp/>
        <stp>##V3_BDHV12</stp>
        <stp>XOM US Equity</stp>
        <stp>IS_TOT_CASH_PFD_DVD</stp>
        <stp>FQ4 2017</stp>
        <stp>FQ4 2017</stp>
        <stp>[FA1_m42y3cpi.xlsx]Income - Adjusted!R41C40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1" s="2"/>
      </tp>
      <tp>
        <v>4170</v>
        <stp/>
        <stp>##V3_BDHV12</stp>
        <stp>XOM US Equity</stp>
        <stp>BS_OTHER_INV</stp>
        <stp>FQ2 2017</stp>
        <stp>FQ2 2017</stp>
        <stp>[FA1_m42y3cpi.xlsx]Bal Sheet - Standardized!R17C38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7" s="3"/>
      </tp>
      <tp>
        <v>12.286799999999999</v>
        <stp/>
        <stp>##V3_BDHV12</stp>
        <stp>XOM US Equity</stp>
        <stp>GROSS_MARGIN</stp>
        <stp>FQ1 2018</stp>
        <stp>FQ1 2018</stp>
        <stp>[FA1_m42y3cpi.xlsx]Income - Adjusted!R65C41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65" s="2"/>
      </tp>
      <tp>
        <v>11.6279</v>
        <stp/>
        <stp>##V3_BDHV12</stp>
        <stp>XOM US Equity</stp>
        <stp>GROSS_MARGIN</stp>
        <stp>FQ1 2015</stp>
        <stp>FQ1 2015</stp>
        <stp>[FA1_m42y3cpi.xlsx]Income - Adjusted!R65C29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65" s="2"/>
      </tp>
      <tp>
        <v>14.552099999999999</v>
        <stp/>
        <stp>##V3_BDHV12</stp>
        <stp>XOM US Equity</stp>
        <stp>GROSS_MARGIN</stp>
        <stp>FQ1 2014</stp>
        <stp>FQ1 2014</stp>
        <stp>[FA1_m42y3cpi.xlsx]Income - Adjusted!R65C25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65" s="2"/>
      </tp>
      <tp>
        <v>7.4557000000000002</v>
        <stp/>
        <stp>##V3_BDHV12</stp>
        <stp>XOM US Equity</stp>
        <stp>GROSS_MARGIN</stp>
        <stp>FQ1 2016</stp>
        <stp>FQ1 2016</stp>
        <stp>[FA1_m42y3cpi.xlsx]Income - Adjusted!R65C33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65" s="2"/>
      </tp>
      <tp>
        <v>12.117000000000001</v>
        <stp/>
        <stp>##V3_BDHV12</stp>
        <stp>XOM US Equity</stp>
        <stp>GROSS_MARGIN</stp>
        <stp>FQ1 2017</stp>
        <stp>FQ1 2017</stp>
        <stp>[FA1_m42y3cpi.xlsx]Income - Adjusted!R65C37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65" s="2"/>
      </tp>
      <tp>
        <v>15.2499</v>
        <stp/>
        <stp>##V3_BDHV12</stp>
        <stp>XOM US Equity</stp>
        <stp>GROSS_MARGIN</stp>
        <stp>FQ1 2012</stp>
        <stp>FQ1 2012</stp>
        <stp>[FA1_m42y3cpi.xlsx]Income - Adjusted!R65C17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65" s="2"/>
      </tp>
      <tp>
        <v>15.202999999999999</v>
        <stp/>
        <stp>##V3_BDHV12</stp>
        <stp>XOM US Equity</stp>
        <stp>GROSS_MARGIN</stp>
        <stp>FQ1 2013</stp>
        <stp>FQ1 2013</stp>
        <stp>[FA1_m42y3cpi.xlsx]Income - Adjusted!R65C21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65" s="2"/>
      </tp>
      <tp>
        <v>17.9148</v>
        <stp/>
        <stp>##V3_BDHV12</stp>
        <stp>XOM US Equity</stp>
        <stp>GROSS_MARGIN</stp>
        <stp>FQ1 2011</stp>
        <stp>FQ1 2011</stp>
        <stp>[FA1_m42y3cpi.xlsx]Income - Adjusted!R65C13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65" s="2"/>
      </tp>
      <tp>
        <v>167985</v>
        <stp/>
        <stp>##V3_BDHV12</stp>
        <stp>XOM US Equity</stp>
        <stp>TOTAL_EQUITY</stp>
        <stp>FQ2 2012</stp>
        <stp>FQ2 2012</stp>
        <stp>[FA1_m42y3cpi.xlsx]Bal Sheet - Standardized!R74C18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4" s="3"/>
      </tp>
      <tp>
        <v>0</v>
        <stp/>
        <stp>##V3_BDHV12</stp>
        <stp>XOM US Equity</stp>
        <stp>IS_TOT_CASH_PFD_DVD</stp>
        <stp>FQ2 2016</stp>
        <stp>FQ2 2016</stp>
        <stp>[FA1_m42y3cpi.xlsx]Income - Adjusted!R41C34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1" s="2"/>
      </tp>
      <tp>
        <v>13889</v>
        <stp/>
        <stp>##V3_BDHV12</stp>
        <stp>XOM US Equity</stp>
        <stp>BS_ST_BORROW</stp>
        <stp>FQ3 2013</stp>
        <stp>FQ3 2013</stp>
        <stp>[FA1_m42y3cpi.xlsx]Bal Sheet - Standardized!R47C23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3"/>
      </tp>
      <tp>
        <v>14972</v>
        <stp/>
        <stp>##V3_BDHV12</stp>
        <stp>XOM US Equity</stp>
        <stp>BS_ST_BORROW</stp>
        <stp>FQ2 2016</stp>
        <stp>FQ2 2016</stp>
        <stp>[FA1_m42y3cpi.xlsx]Bal Sheet - Standardized!R47C34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3"/>
      </tp>
      <tp>
        <v>10243</v>
        <stp/>
        <stp>##V3_BDHV12</stp>
        <stp>XOM US Equity</stp>
        <stp>BS_ST_BORROW</stp>
        <stp>FQ3 2014</stp>
        <stp>FQ3 2014</stp>
        <stp>[FA1_m42y3cpi.xlsx]Bal Sheet - Standardized!R47C27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3"/>
      </tp>
      <tp>
        <v>6.9081999999999999</v>
        <stp/>
        <stp>##V3_BDHV12</stp>
        <stp>XOM US Equity</stp>
        <stp>GROSS_MARGIN</stp>
        <stp>FQ4 2017</stp>
        <stp>FQ4 2017</stp>
        <stp>[FA1_m42y3cpi.xlsx]Income - Adjusted!R65C40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65" s="2"/>
      </tp>
      <tp>
        <v>14.665900000000001</v>
        <stp/>
        <stp>##V3_BDHV12</stp>
        <stp>XOM US Equity</stp>
        <stp>GROSS_MARGIN</stp>
        <stp>FQ4 2011</stp>
        <stp>FQ4 2011</stp>
        <stp>[FA1_m42y3cpi.xlsx]Income - Adjusted!R65C16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65" s="2"/>
      </tp>
      <tp>
        <v>15.824</v>
        <stp/>
        <stp>##V3_BDHV12</stp>
        <stp>XOM US Equity</stp>
        <stp>GROSS_MARGIN</stp>
        <stp>FQ4 2012</stp>
        <stp>FQ4 2012</stp>
        <stp>[FA1_m42y3cpi.xlsx]Income - Adjusted!R65C20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65" s="2"/>
      </tp>
      <tp>
        <v>13.882400000000001</v>
        <stp/>
        <stp>##V3_BDHV12</stp>
        <stp>XOM US Equity</stp>
        <stp>GROSS_MARGIN</stp>
        <stp>FQ4 2013</stp>
        <stp>FQ4 2013</stp>
        <stp>[FA1_m42y3cpi.xlsx]Income - Adjusted!R65C24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65" s="2"/>
      </tp>
      <tp>
        <v>16.8033</v>
        <stp/>
        <stp>##V3_BDHV12</stp>
        <stp>XOM US Equity</stp>
        <stp>GROSS_MARGIN</stp>
        <stp>FQ4 2010</stp>
        <stp>FQ4 2010</stp>
        <stp>[FA1_m42y3cpi.xlsx]Income - Adjusted!R65C12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65" s="2"/>
      </tp>
      <tp>
        <v>7.798</v>
        <stp/>
        <stp>##V3_BDHV12</stp>
        <stp>XOM US Equity</stp>
        <stp>GROSS_MARGIN</stp>
        <stp>FQ4 2015</stp>
        <stp>FQ4 2015</stp>
        <stp>[FA1_m42y3cpi.xlsx]Income - Adjusted!R65C32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65" s="2"/>
      </tp>
      <tp>
        <v>12.048400000000001</v>
        <stp/>
        <stp>##V3_BDHV12</stp>
        <stp>XOM US Equity</stp>
        <stp>GROSS_MARGIN</stp>
        <stp>FQ4 2014</stp>
        <stp>FQ4 2014</stp>
        <stp>[FA1_m42y3cpi.xlsx]Income - Adjusted!R65C28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65" s="2"/>
      </tp>
      <tp>
        <v>2.5220000000000002</v>
        <stp/>
        <stp>##V3_BDHV12</stp>
        <stp>XOM US Equity</stp>
        <stp>GROSS_MARGIN</stp>
        <stp>FQ4 2016</stp>
        <stp>FQ4 2016</stp>
        <stp>[FA1_m42y3cpi.xlsx]Income - Adjusted!R65C36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65" s="2"/>
      </tp>
      <tp>
        <v>0</v>
        <stp/>
        <stp>##V3_BDHV12</stp>
        <stp>XOM US Equity</stp>
        <stp>IS_TOT_CASH_PFD_DVD</stp>
        <stp>FQ1 2014</stp>
        <stp>FQ1 2014</stp>
        <stp>[FA1_m42y3cpi.xlsx]Income - Adjusted!R41C25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1" s="2"/>
      </tp>
      <tp>
        <v>83.28</v>
        <stp/>
        <stp>##V3_BDHV12</stp>
        <stp>XOM US Equity</stp>
        <stp>PX_OPEN</stp>
        <stp>FQ3 2015</stp>
        <stp>FQ3 2015</stp>
        <stp>[FA1_m42y3cpi.xlsx]Stock Value!R8C31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6"/>
      </tp>
      <tp>
        <v>56.98</v>
        <stp/>
        <stp>##V3_BDHV12</stp>
        <stp>XOM US Equity</stp>
        <stp>PX_OPEN</stp>
        <stp>FQ3 2010</stp>
        <stp>FQ3 2010</stp>
        <stp>[FA1_m42y3cpi.xlsx]Stock Value!R8C11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6"/>
      </tp>
      <tp>
        <v>0</v>
        <stp/>
        <stp>##V3_BDHV12</stp>
        <stp>XOM US Equity</stp>
        <stp>IS_TOT_CASH_PFD_DVD</stp>
        <stp>FQ3 2017</stp>
        <stp>FQ3 2017</stp>
        <stp>[FA1_m42y3cpi.xlsx]Income - Adjusted!R41C39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1" s="2"/>
      </tp>
      <tp>
        <v>4364</v>
        <stp/>
        <stp>##V3_BDHV12</stp>
        <stp>XOM US Equity</stp>
        <stp>BS_OTHER_INV</stp>
        <stp>FQ2 2015</stp>
        <stp>FQ2 2015</stp>
        <stp>[FA1_m42y3cpi.xlsx]Bal Sheet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3"/>
      </tp>
      <tp>
        <v>87.79</v>
        <stp/>
        <stp>##V3_BDHV12</stp>
        <stp>XOM US Equity</stp>
        <stp>PX_OPEN</stp>
        <stp>FQ1 2013</stp>
        <stp>FQ1 2013</stp>
        <stp>[FA1_m42y3cpi.xlsx]Stock Value!R8C21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6"/>
      </tp>
      <tp>
        <v>83.82</v>
        <stp/>
        <stp>##V3_BDHV12</stp>
        <stp>XOM US Equity</stp>
        <stp>PX_OPEN</stp>
        <stp>FQ1 2018</stp>
        <stp>FQ1 2018</stp>
        <stp>[FA1_m42y3cpi.xlsx]Stock Value!R8C41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" s="6"/>
      </tp>
      <tp>
        <v>17185</v>
        <stp/>
        <stp>##V3_BDHV12</stp>
        <stp>XOM US Equity</stp>
        <stp>BS_ST_BORROW</stp>
        <stp>FQ2 2017</stp>
        <stp>FQ2 2017</stp>
        <stp>[FA1_m42y3cpi.xlsx]Bal Sheet - Standardized!R47C38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7" s="3"/>
      </tp>
      <tp>
        <v>161835</v>
        <stp/>
        <stp>##V3_BDHV12</stp>
        <stp>XOM US Equity</stp>
        <stp>TOTAL_EQUITY</stp>
        <stp>FQ2 2011</stp>
        <stp>FQ2 2011</stp>
        <stp>[FA1_m42y3cpi.xlsx]Bal Sheet - Standardized!R74C14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4" s="3"/>
      </tp>
      <tp>
        <v>182891</v>
        <stp/>
        <stp>##V3_BDHV12</stp>
        <stp>XOM US Equity</stp>
        <stp>TOTAL_EQUITY</stp>
        <stp>FQ1 2014</stp>
        <stp>FQ1 2014</stp>
        <stp>[FA1_m42y3cpi.xlsx]Bal Sheet - Standardized!R74C25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4" s="3"/>
      </tp>
      <tp>
        <v>4038</v>
        <stp/>
        <stp>##V3_BDHV12</stp>
        <stp>XOM US Equity</stp>
        <stp>BS_OTHER_INV</stp>
        <stp>FQ3 2013</stp>
        <stp>FQ3 2013</stp>
        <stp>[FA1_m42y3cpi.xlsx]Bal Sheet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3"/>
      </tp>
      <tp>
        <v>88.23</v>
        <stp/>
        <stp>##V3_BDHV12</stp>
        <stp>XOM US Equity</stp>
        <stp>PX_HIGH</stp>
        <stp>FQ1 2011</stp>
        <stp>FQ1 2011</stp>
        <stp>[FA1_m42y3cpi.xlsx]Stock Value!R9C13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9" s="6"/>
      </tp>
      <tp>
        <v>85.1</v>
        <stp/>
        <stp>##V3_BDHV12</stp>
        <stp>XOM US Equity</stp>
        <stp>PX_HIGH</stp>
        <stp>FQ1 2016</stp>
        <stp>FQ1 2016</stp>
        <stp>[FA1_m42y3cpi.xlsx]Stock Value!R9C33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9" s="6"/>
      </tp>
      <tp>
        <v>4332</v>
        <stp/>
        <stp>##V3_BDHV12</stp>
        <stp>XOM US Equity</stp>
        <stp>BS_OTHER_INV</stp>
        <stp>FQ2 2016</stp>
        <stp>FQ2 2016</stp>
        <stp>[FA1_m42y3cpi.xlsx]Bal Sheet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3"/>
      </tp>
      <tp>
        <v>4320</v>
        <stp/>
        <stp>##V3_BDHV12</stp>
        <stp>XOM US Equity</stp>
        <stp>BS_OTHER_INV</stp>
        <stp>FQ3 2014</stp>
        <stp>FQ3 2014</stp>
        <stp>[FA1_m42y3cpi.xlsx]Bal Sheet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3"/>
      </tp>
      <tp>
        <v>145367</v>
        <stp/>
        <stp>##V3_BDHV12</stp>
        <stp>XOM US Equity</stp>
        <stp>TOTAL_EQUITY</stp>
        <stp>FQ2 2010</stp>
        <stp>FQ2 2010</stp>
        <stp>[FA1_m42y3cpi.xlsx]Bal Sheet - Standardized!R74C10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4" s="3"/>
      </tp>
      <tp>
        <v>173077</v>
        <stp/>
        <stp>##V3_BDHV12</stp>
        <stp>XOM US Equity</stp>
        <stp>TOTAL_EQUITY</stp>
        <stp>FQ1 2013</stp>
        <stp>FQ1 2013</stp>
        <stp>[FA1_m42y3cpi.xlsx]Bal Sheet - Standardized!R74C21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4" s="3"/>
      </tp>
      <tp>
        <v>95.49</v>
        <stp/>
        <stp>##V3_BDHV12</stp>
        <stp>XOM US Equity</stp>
        <stp>PX_HIGH</stp>
        <stp>FQ3 2013</stp>
        <stp>FQ3 2013</stp>
        <stp>[FA1_m42y3cpi.xlsx]Stock Value!R9C23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9" s="6"/>
      </tp>
      <tp t="s">
        <v>—</v>
        <stp/>
        <stp>##V3_BDHV12</stp>
        <stp>XOM US Equity</stp>
        <stp>NUM_OF_EMPLOYEES</stp>
        <stp>FQ1 2015</stp>
        <stp>FQ1 2015</stp>
        <stp>[FA1_m42y3cpi.xlsx]Bal Sheet - Standardized!R91C29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91" s="3"/>
      </tp>
      <tp t="s">
        <v>—</v>
        <stp/>
        <stp>##V3_BDHV12</stp>
        <stp>XOM US Equity</stp>
        <stp>NUM_OF_EMPLOYEES</stp>
        <stp>FQ2 2017</stp>
        <stp>FQ2 2017</stp>
        <stp>[FA1_m42y3cpi.xlsx]Bal Sheet - Standardized!R91C38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91" s="3"/>
      </tp>
      <tp t="s">
        <v>—</v>
        <stp/>
        <stp>##V3_BDHV12</stp>
        <stp>XOM US Equity</stp>
        <stp>NUM_OF_EMPLOYEES</stp>
        <stp>FQ3 2017</stp>
        <stp>FQ3 2017</stp>
        <stp>[FA1_m42y3cpi.xlsx]Bal Sheet - Standardized!R91C39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91" s="3"/>
      </tp>
      <tp>
        <v>0.92</v>
        <stp/>
        <stp>##V3_BDHV12</stp>
        <stp>XOM US Equity</stp>
        <stp>IS_BASIC_EPS_CONT_OPS</stp>
        <stp>FQ2 2018</stp>
        <stp>FQ2 2018</stp>
        <stp>[FA1_m42y3cpi.xlsx]Income - Adjusted!R52C42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2" s="2"/>
      </tp>
      <tp>
        <v>1.8063</v>
        <stp/>
        <stp>##V3_BDHV12</stp>
        <stp>XOM US Equity</stp>
        <stp>IS_BASIC_EPS_CONT_OPS</stp>
        <stp>FQ2 2012</stp>
        <stp>FQ2 2012</stp>
        <stp>[FA1_m42y3cpi.xlsx]Income - Adjusted!R52C18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2" s="2"/>
      </tp>
      <tp>
        <v>4223</v>
        <stp/>
        <stp>##V3_BDHV12</stp>
        <stp>XOM US Equity</stp>
        <stp>IS_SH_FOR_DILUTED_EPS</stp>
        <stp>FQ1 2017</stp>
        <stp>FQ1 2017</stp>
        <stp>[FA1_m42y3cpi.xlsx]Income - Adjusted!R54C37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4" s="2"/>
      </tp>
      <tp>
        <v>4395</v>
        <stp/>
        <stp>##V3_BDHV12</stp>
        <stp>XOM US Equity</stp>
        <stp>IS_SH_FOR_DILUTED_EPS</stp>
        <stp>FQ3 2013</stp>
        <stp>FQ3 2013</stp>
        <stp>[FA1_m42y3cpi.xlsx]Income - Adjusted!R54C23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4" s="2"/>
      </tp>
      <tp>
        <v>4729</v>
        <stp/>
        <stp>##V3_BDHV12</stp>
        <stp>XOM US Equity</stp>
        <stp>IS_SH_FOR_DILUTED_EPS</stp>
        <stp>FQ2 2010</stp>
        <stp>FQ2 2010</stp>
        <stp>[FA1_m42y3cpi.xlsx]Income - Adjusted!R54C10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4" s="2"/>
      </tp>
      <tp>
        <v>4176</v>
        <stp/>
        <stp>##V3_BDHV12</stp>
        <stp>XOM US Equity</stp>
        <stp>IS_SH_FOR_DILUTED_EPS</stp>
        <stp>FQ4 2016</stp>
        <stp>FQ4 2016</stp>
        <stp>[FA1_m42y3cpi.xlsx]Income - Adjusted!R54C36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4" s="2"/>
      </tp>
      <tp>
        <v>6050</v>
        <stp/>
        <stp>##V3_BDHV12</stp>
        <stp>XOM US Equity</stp>
        <stp>EARN_FOR_COMMON</stp>
        <stp>FQ4 2009</stp>
        <stp>FQ4 2009</stp>
        <stp>[FA1_m42y3cpi.xlsx]Income - Adjusted!R45C8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5" s="2"/>
      </tp>
      <tp>
        <v>0.63</v>
        <stp/>
        <stp>##V3_BDHV12</stp>
        <stp>XOM US Equity</stp>
        <stp>EQY_DPS</stp>
        <stp>FQ1 2014</stp>
        <stp>FQ1 2014</stp>
        <stp>[FA1_m42y3cpi.xlsx]Income - Adjusted!R69C25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9" s="2"/>
      </tp>
      <tp>
        <v>0.63</v>
        <stp/>
        <stp>##V3_BDHV12</stp>
        <stp>XOM US Equity</stp>
        <stp>EQY_DPS</stp>
        <stp>FQ2 2013</stp>
        <stp>FQ2 2013</stp>
        <stp>[FA1_m42y3cpi.xlsx]Income - Adjusted!R69C22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9" s="2"/>
      </tp>
      <tp>
        <v>0.44</v>
        <stp/>
        <stp>##V3_BDHV12</stp>
        <stp>XOM US Equity</stp>
        <stp>EQY_DPS</stp>
        <stp>FQ3 2010</stp>
        <stp>FQ3 2010</stp>
        <stp>[FA1_m42y3cpi.xlsx]Income - Adjusted!R69C11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9" s="2"/>
      </tp>
      <tp t="s">
        <v>—</v>
        <stp/>
        <stp>##V3_BDHV12</stp>
        <stp>XOM US Equity</stp>
        <stp>BS_OPTIONS_OUTSTANDING</stp>
        <stp>FQ1 2018</stp>
        <stp>FQ1 2018</stp>
        <stp>[FA1_m42y3cpi.xlsx]Bal Sheet - Standardized!R85C41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5" s="3"/>
      </tp>
      <tp t="s">
        <v>—</v>
        <stp/>
        <stp>##V3_BDHV12</stp>
        <stp>XOM US Equity</stp>
        <stp>BS_OPTIONS_OUTSTANDING</stp>
        <stp>FQ2 2018</stp>
        <stp>FQ2 2018</stp>
        <stp>[FA1_m42y3cpi.xlsx]Bal Sheet - Standardized!R85C42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5" s="3"/>
      </tp>
      <tp t="s">
        <v>—</v>
        <stp/>
        <stp>##V3_BDHV12</stp>
        <stp>XOM US Equity</stp>
        <stp>BS_OPTIONS_OUTSTANDING</stp>
        <stp>FQ4 2014</stp>
        <stp>FQ4 2014</stp>
        <stp>[FA1_m42y3cpi.xlsx]Bal Sheet - Standardized!R85C28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5" s="3"/>
      </tp>
      <tp t="s">
        <v>—</v>
        <stp/>
        <stp>##V3_BDHV12</stp>
        <stp>XOM US Equity</stp>
        <stp>BS_OPTIONS_OUTSTANDING</stp>
        <stp>FQ2 2012</stp>
        <stp>FQ2 2012</stp>
        <stp>[FA1_m42y3cpi.xlsx]Bal Sheet - Standardized!R85C18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5" s="3"/>
      </tp>
      <tp t="s">
        <v>—</v>
        <stp/>
        <stp>##V3_BDHV12</stp>
        <stp>XOM US Equity</stp>
        <stp>BS_OPTIONS_OUTSTANDING</stp>
        <stp>FQ3 2012</stp>
        <stp>FQ3 2012</stp>
        <stp>[FA1_m42y3cpi.xlsx]Bal Sheet - Standardized!R85C19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5" s="3"/>
      </tp>
      <tp>
        <v>3591</v>
        <stp/>
        <stp>##V3_BDHV12</stp>
        <stp>XOM US Equity</stp>
        <stp>CF_FREE_CASH_FLOW</stp>
        <stp>FQ2 2010</stp>
        <stp>FQ2 2010</stp>
        <stp>[FA1_m42y3cpi.xlsx]Cash Flow - Standardized!R63C10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3" s="4"/>
      </tp>
      <tp>
        <v>6098</v>
        <stp/>
        <stp>##V3_BDHV12</stp>
        <stp>XOM US Equity</stp>
        <stp>CF_FREE_CASH_FLOW</stp>
        <stp>FQ1 2013</stp>
        <stp>FQ1 2013</stp>
        <stp>[FA1_m42y3cpi.xlsx]Cash Flow - Standardized!R63C21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3" s="4"/>
      </tp>
      <tp>
        <v>-14.795500000000001</v>
        <stp/>
        <stp>##V3_BDHV12</stp>
        <stp>XOM US Equity</stp>
        <stp>CHG_PCT_PERIOD</stp>
        <stp>FQ2 2010</stp>
        <stp>FQ2 2010</stp>
        <stp>[FA1_m42y3cpi.xlsx]Stock Value!R7C10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6"/>
      </tp>
      <tp>
        <v>-2.1175999999999999</v>
        <stp/>
        <stp>##V3_BDHV12</stp>
        <stp>XOM US Equity</stp>
        <stp>CHG_PCT_PERIOD</stp>
        <stp>FQ2 2015</stp>
        <stp>FQ2 2015</stp>
        <stp>[FA1_m42y3cpi.xlsx]Stock Value!R7C30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6"/>
      </tp>
      <tp>
        <v>63833</v>
        <stp/>
        <stp>##V3_BDHV12</stp>
        <stp>XOM US Equity</stp>
        <stp>IS_COG_AND_SERVICES_SOLD</stp>
        <stp>FQ1 2010</stp>
        <stp>FQ1 2010</stp>
        <stp>[FA1_m42y3cpi.xlsx]Income - Adjusted!R9C9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>
        <v>7775</v>
        <stp/>
        <stp>##V3_BDHV12</stp>
        <stp>XOM US Equity</stp>
        <stp>CF_FREE_CASH_FLOW</stp>
        <stp>FQ1 2014</stp>
        <stp>FQ1 2014</stp>
        <stp>[FA1_m42y3cpi.xlsx]Cash Flow - Standardized!R63C25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3" s="4"/>
      </tp>
      <tp>
        <v>2.0249000000000001</v>
        <stp/>
        <stp>##V3_BDHV12</stp>
        <stp>XOM US Equity</stp>
        <stp>CHG_PCT_PERIOD</stp>
        <stp>FQ4 2017</stp>
        <stp>FQ4 2017</stp>
        <stp>[FA1_m42y3cpi.xlsx]Stock Value!R7C40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" s="6"/>
      </tp>
      <tp t="s">
        <v>—</v>
        <stp/>
        <stp>##V3_BDHV12</stp>
        <stp>XOM US Equity</stp>
        <stp>CHG_PCT_PERIOD</stp>
        <stp>FQ4 2012</stp>
        <stp>FQ4 2012</stp>
        <stp>[FA1_m42y3cpi.xlsx]Stock Value!R7C20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6"/>
      </tp>
      <tp>
        <v>5077</v>
        <stp/>
        <stp>##V3_BDHV12</stp>
        <stp>XOM US Equity</stp>
        <stp>CF_FREE_CASH_FLOW</stp>
        <stp>FQ2 2011</stp>
        <stp>FQ2 2011</stp>
        <stp>[FA1_m42y3cpi.xlsx]Cash Flow - Standardized!R63C14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3" s="4"/>
      </tp>
      <tp>
        <v>1872</v>
        <stp/>
        <stp>##V3_BDHV12</stp>
        <stp>XOM US Equity</stp>
        <stp>CF_FREE_CASH_FLOW</stp>
        <stp>FQ2 2012</stp>
        <stp>FQ2 2012</stp>
        <stp>[FA1_m42y3cpi.xlsx]Cash Flow - Standardized!R63C18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3" s="4"/>
      </tp>
      <tp>
        <v>1154</v>
        <stp/>
        <stp>##V3_BDHV12</stp>
        <stp>XOM US Equity</stp>
        <stp>CF_FREE_CASH_FLOW</stp>
        <stp>FQ1 2015</stp>
        <stp>FQ1 2015</stp>
        <stp>[FA1_m42y3cpi.xlsx]Cash Flow - Standardized!R63C29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3" s="4"/>
      </tp>
      <tp>
        <v>1.7509000000000001</v>
        <stp/>
        <stp>##V3_BDHV12</stp>
        <stp>XOM US Equity</stp>
        <stp>CASH_FLOW_PER_SH</stp>
        <stp>FQ4 2014</stp>
        <stp>FQ4 2014</stp>
        <stp>[FA1_m42y3cpi.xlsx]Per Share!R22C28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2" s="5"/>
      </tp>
      <tp>
        <v>1.8993</v>
        <stp/>
        <stp>##V3_BDHV12</stp>
        <stp>XOM US Equity</stp>
        <stp>CASH_FLOW_PER_SH</stp>
        <stp>FQ1 2015</stp>
        <stp>FQ1 2015</stp>
        <stp>[FA1_m42y3cpi.xlsx]Per Share!R22C29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2" s="5"/>
      </tp>
      <tp>
        <v>3133</v>
        <stp/>
        <stp>##V3_BDHV12</stp>
        <stp>XOM US Equity</stp>
        <stp>IS_TOT_CASH_COM_DVD</stp>
        <stp>FQ3 2016</stp>
        <stp>FQ3 2016</stp>
        <stp>[FA1_m42y3cpi.xlsx]Income - Adjusted!R70C35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0" s="2"/>
      </tp>
      <tp>
        <v>4760</v>
        <stp/>
        <stp>##V3_BDHV12</stp>
        <stp>XOM US Equity</stp>
        <stp>IS_AVG_NUM_SH_FOR_EPS</stp>
        <stp>FQ4 2009</stp>
        <stp>FQ4 2009</stp>
        <stp>[FA1_m42y3cpi.xlsx]Per Share!R8C8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5"/>
      </tp>
      <tp>
        <v>3289</v>
        <stp/>
        <stp>##V3_BDHV12</stp>
        <stp>XOM US Equity</stp>
        <stp>IS_TOT_CASH_COM_DVD</stp>
        <stp>FQ2 2017</stp>
        <stp>FQ2 2017</stp>
        <stp>[FA1_m42y3cpi.xlsx]Income - Adjusted!R70C38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0" s="2"/>
      </tp>
      <tp>
        <v>2950</v>
        <stp/>
        <stp>##V3_BDHV12</stp>
        <stp>XOM US Equity</stp>
        <stp>IS_TOT_CASH_COM_DVD</stp>
        <stp>FQ1 2015</stp>
        <stp>FQ1 2015</stp>
        <stp>[FA1_m42y3cpi.xlsx]Income - Adjusted!R70C29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0" s="2"/>
      </tp>
      <tp>
        <v>14473</v>
        <stp/>
        <stp>##V3_BDHV12</stp>
        <stp>XOM US Equity</stp>
        <stp>BS_ST_BORROW</stp>
        <stp>FQ3 2015</stp>
        <stp>FQ3 2015</stp>
        <stp>[FA1_m42y3cpi.xlsx]Bal Sheet - Standardized!R47C31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3"/>
      </tp>
      <tp>
        <v>6419</v>
        <stp/>
        <stp>##V3_BDHV12</stp>
        <stp>XOM US Equity</stp>
        <stp>BS_ST_BORROW</stp>
        <stp>FQ1 2012</stp>
        <stp>FQ1 2012</stp>
        <stp>[FA1_m42y3cpi.xlsx]Bal Sheet - Standardized!R47C17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3"/>
      </tp>
      <tp>
        <v>4255</v>
        <stp/>
        <stp>##V3_BDHV12</stp>
        <stp>XOM US Equity</stp>
        <stp>BS_OTHER_INV</stp>
        <stp>FQ3 2017</stp>
        <stp>FQ3 2017</stp>
        <stp>[FA1_m42y3cpi.xlsx]Bal Sheet - Standardized!R17C39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7" s="3"/>
      </tp>
      <tp>
        <v>172355</v>
        <stp/>
        <stp>##V3_BDHV12</stp>
        <stp>XOM US Equity</stp>
        <stp>TOTAL_EQUITY</stp>
        <stp>FQ3 2012</stp>
        <stp>FQ3 2012</stp>
        <stp>[FA1_m42y3cpi.xlsx]Bal Sheet - Standardized!R74C19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4" s="3"/>
      </tp>
      <tp>
        <v>17930</v>
        <stp/>
        <stp>##V3_BDHV12</stp>
        <stp>XOM US Equity</stp>
        <stp>BS_ST_BORROW</stp>
        <stp>FQ4 2017</stp>
        <stp>FQ4 2017</stp>
        <stp>[FA1_m42y3cpi.xlsx]Bal Sheet - Standardized!R47C40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7" s="3"/>
      </tp>
      <tp>
        <v>11861</v>
        <stp/>
        <stp>##V3_BDHV12</stp>
        <stp>XOM US Equity</stp>
        <stp>BS_ST_BORROW</stp>
        <stp>FQ2 2013</stp>
        <stp>FQ2 2013</stp>
        <stp>[FA1_m42y3cpi.xlsx]Bal Sheet - Standardized!R47C22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3"/>
      </tp>
      <tp>
        <v>3560</v>
        <stp/>
        <stp>##V3_BDHV12</stp>
        <stp>XOM US Equity</stp>
        <stp>BS_ST_BORROW</stp>
        <stp>FQ1 2011</stp>
        <stp>FQ1 2011</stp>
        <stp>[FA1_m42y3cpi.xlsx]Bal Sheet - Standardized!R47C13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3"/>
      </tp>
      <tp>
        <v>0</v>
        <stp/>
        <stp>##V3_BDHV12</stp>
        <stp>XOM US Equity</stp>
        <stp>IS_TOT_CASH_PFD_DVD</stp>
        <stp>FQ3 2016</stp>
        <stp>FQ3 2016</stp>
        <stp>[FA1_m42y3cpi.xlsx]Income - Adjusted!R41C35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1" s="2"/>
      </tp>
      <tp>
        <v>17239</v>
        <stp/>
        <stp>##V3_BDHV12</stp>
        <stp>XOM US Equity</stp>
        <stp>BS_ST_BORROW</stp>
        <stp>FQ3 2016</stp>
        <stp>FQ3 2016</stp>
        <stp>[FA1_m42y3cpi.xlsx]Bal Sheet - Standardized!R47C35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3"/>
      </tp>
      <tp>
        <v>9948</v>
        <stp/>
        <stp>##V3_BDHV12</stp>
        <stp>XOM US Equity</stp>
        <stp>BS_ST_BORROW</stp>
        <stp>FQ2 2014</stp>
        <stp>FQ2 2014</stp>
        <stp>[FA1_m42y3cpi.xlsx]Bal Sheet - Standardized!R47C26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3"/>
      </tp>
      <tp>
        <v>178498</v>
        <stp/>
        <stp>##V3_BDHV12</stp>
        <stp>XOM US Equity</stp>
        <stp>TOTAL_EQUITY</stp>
        <stp>FQ1 2016</stp>
        <stp>FQ1 2016</stp>
        <stp>[FA1_m42y3cpi.xlsx]Bal Sheet - Standardized!R74C33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4" s="3"/>
      </tp>
      <tp>
        <v>87.435000000000002</v>
        <stp/>
        <stp>##V3_BDHV12</stp>
        <stp>XOM US Equity</stp>
        <stp>PX_HIGH</stp>
        <stp>FQ4 2015</stp>
        <stp>FQ4 2015</stp>
        <stp>[FA1_m42y3cpi.xlsx]Stock Value!R9C32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9" s="6"/>
      </tp>
      <tp>
        <v>73.69</v>
        <stp/>
        <stp>##V3_BDHV12</stp>
        <stp>XOM US Equity</stp>
        <stp>PX_HIGH</stp>
        <stp>FQ4 2010</stp>
        <stp>FQ4 2010</stp>
        <stp>[FA1_m42y3cpi.xlsx]Stock Value!R9C12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9" s="6"/>
      </tp>
      <tp>
        <v>4335</v>
        <stp/>
        <stp>##V3_BDHV12</stp>
        <stp>XOM US Equity</stp>
        <stp>BS_OTHER_INV</stp>
        <stp>FQ3 2015</stp>
        <stp>FQ3 2015</stp>
        <stp>[FA1_m42y3cpi.xlsx]Bal Sheet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3"/>
      </tp>
      <tp>
        <v>85.7</v>
        <stp/>
        <stp>##V3_BDHV12</stp>
        <stp>XOM US Equity</stp>
        <stp>PX_OPEN</stp>
        <stp>FQ2 2015</stp>
        <stp>FQ2 2015</stp>
        <stp>[FA1_m42y3cpi.xlsx]Stock Value!R8C30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6"/>
      </tp>
      <tp>
        <v>67.27</v>
        <stp/>
        <stp>##V3_BDHV12</stp>
        <stp>XOM US Equity</stp>
        <stp>PX_OPEN</stp>
        <stp>FQ2 2010</stp>
        <stp>FQ2 2010</stp>
        <stp>[FA1_m42y3cpi.xlsx]Stock Value!R8C10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6"/>
      </tp>
      <tp>
        <v>0</v>
        <stp/>
        <stp>##V3_BDHV12</stp>
        <stp>XOM US Equity</stp>
        <stp>IS_TOT_CASH_PFD_DVD</stp>
        <stp>FQ2 2017</stp>
        <stp>FQ2 2017</stp>
        <stp>[FA1_m42y3cpi.xlsx]Income - Adjusted!R41C38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1" s="2"/>
      </tp>
      <tp>
        <v>3406</v>
        <stp/>
        <stp>##V3_BDHV12</stp>
        <stp>XOM US Equity</stp>
        <stp>BS_OTHER_INV</stp>
        <stp>FQ1 2012</stp>
        <stp>FQ1 2012</stp>
        <stp>[FA1_m42y3cpi.xlsx]Bal Sheet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3"/>
      </tp>
      <tp>
        <v>0</v>
        <stp/>
        <stp>##V3_BDHV12</stp>
        <stp>XOM US Equity</stp>
        <stp>IS_TOT_CASH_PFD_DVD</stp>
        <stp>FQ1 2015</stp>
        <stp>FQ1 2015</stp>
        <stp>[FA1_m42y3cpi.xlsx]Income - Adjusted!R41C29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1" s="2"/>
      </tp>
      <tp>
        <v>15741</v>
        <stp/>
        <stp>##V3_BDHV12</stp>
        <stp>XOM US Equity</stp>
        <stp>BS_ST_BORROW</stp>
        <stp>FQ3 2017</stp>
        <stp>FQ3 2017</stp>
        <stp>[FA1_m42y3cpi.xlsx]Bal Sheet - Standardized!R47C39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7" s="3"/>
      </tp>
      <tp>
        <v>162212</v>
        <stp/>
        <stp>##V3_BDHV12</stp>
        <stp>XOM US Equity</stp>
        <stp>TOTAL_EQUITY</stp>
        <stp>FQ3 2011</stp>
        <stp>FQ3 2011</stp>
        <stp>[FA1_m42y3cpi.xlsx]Bal Sheet - Standardized!R74C15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4" s="3"/>
      </tp>
      <tp>
        <v>3824</v>
        <stp/>
        <stp>##V3_BDHV12</stp>
        <stp>XOM US Equity</stp>
        <stp>BS_OTHER_INV</stp>
        <stp>FQ2 2013</stp>
        <stp>FQ2 2013</stp>
        <stp>[FA1_m42y3cpi.xlsx]Bal Sheet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3"/>
      </tp>
      <tp>
        <v>3236</v>
        <stp/>
        <stp>##V3_BDHV12</stp>
        <stp>XOM US Equity</stp>
        <stp>BS_OTHER_INV</stp>
        <stp>FQ1 2011</stp>
        <stp>FQ1 2011</stp>
        <stp>[FA1_m42y3cpi.xlsx]Bal Sheet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3"/>
      </tp>
      <tp>
        <v>4121</v>
        <stp/>
        <stp>##V3_BDHV12</stp>
        <stp>XOM US Equity</stp>
        <stp>BS_OTHER_INV</stp>
        <stp>FQ4 2017</stp>
        <stp>FQ4 2017</stp>
        <stp>[FA1_m42y3cpi.xlsx]Bal Sheet - Standardized!R17C40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7" s="3"/>
      </tp>
      <tp>
        <v>183771</v>
        <stp/>
        <stp>##V3_BDHV12</stp>
        <stp>XOM US Equity</stp>
        <stp>TOTAL_EQUITY</stp>
        <stp>FQ1 2017</stp>
        <stp>FQ1 2017</stp>
        <stp>[FA1_m42y3cpi.xlsx]Bal Sheet - Standardized!R74C37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4" s="3"/>
      </tp>
      <tp>
        <v>4361</v>
        <stp/>
        <stp>##V3_BDHV12</stp>
        <stp>XOM US Equity</stp>
        <stp>BS_OTHER_INV</stp>
        <stp>FQ3 2016</stp>
        <stp>FQ3 2016</stp>
        <stp>[FA1_m42y3cpi.xlsx]Bal Sheet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3"/>
      </tp>
      <tp>
        <v>4233</v>
        <stp/>
        <stp>##V3_BDHV12</stp>
        <stp>XOM US Equity</stp>
        <stp>BS_OTHER_INV</stp>
        <stp>FQ2 2014</stp>
        <stp>FQ2 2014</stp>
        <stp>[FA1_m42y3cpi.xlsx]Bal Sheet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3"/>
      </tp>
      <tp>
        <v>150600</v>
        <stp/>
        <stp>##V3_BDHV12</stp>
        <stp>XOM US Equity</stp>
        <stp>TOTAL_EQUITY</stp>
        <stp>FQ3 2010</stp>
        <stp>FQ3 2010</stp>
        <stp>[FA1_m42y3cpi.xlsx]Bal Sheet - Standardized!R74C11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4" s="3"/>
      </tp>
      <tp>
        <v>93.5</v>
        <stp/>
        <stp>##V3_BDHV12</stp>
        <stp>XOM US Equity</stp>
        <stp>PX_HIGH</stp>
        <stp>FQ2 2013</stp>
        <stp>FQ2 2013</stp>
        <stp>[FA1_m42y3cpi.xlsx]Stock Value!R9C22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9" s="6"/>
      </tp>
      <tp>
        <v>83.79</v>
        <stp/>
        <stp>##V3_BDHV12</stp>
        <stp>XOM US Equity</stp>
        <stp>PX_HIGH</stp>
        <stp>FQ2 2018</stp>
        <stp>FQ2 2018</stp>
        <stp>[FA1_m42y3cpi.xlsx]Stock Value!R9C42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9" s="6"/>
      </tp>
      <tp>
        <v>91.79</v>
        <stp/>
        <stp>##V3_BDHV12</stp>
        <stp>XOM US Equity</stp>
        <stp>PX_OPEN</stp>
        <stp>FQ4 2012</stp>
        <stp>FQ4 2012</stp>
        <stp>[FA1_m42y3cpi.xlsx]Stock Value!R8C20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6"/>
      </tp>
      <tp>
        <v>81.3</v>
        <stp/>
        <stp>##V3_BDHV12</stp>
        <stp>XOM US Equity</stp>
        <stp>PX_OPEN</stp>
        <stp>FQ4 2017</stp>
        <stp>FQ4 2017</stp>
        <stp>[FA1_m42y3cpi.xlsx]Stock Value!R8C40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" s="6"/>
      </tp>
      <tp>
        <v>41.099899999999998</v>
        <stp/>
        <stp>##V3_BDHV12</stp>
        <stp>XOM US Equity</stp>
        <stp>BOOK_VAL_PER_SH</stp>
        <stp>FQ4 2015</stp>
        <stp>FQ4 2015</stp>
        <stp>[FA1_m42y3cpi.xlsx]Per Share!R26C32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6" s="5"/>
      </tp>
      <tp>
        <v>44.276499999999999</v>
        <stp/>
        <stp>##V3_BDHV12</stp>
        <stp>XOM US Equity</stp>
        <stp>BOOK_VAL_PER_SH</stp>
        <stp>FQ4 2017</stp>
        <stp>FQ4 2017</stp>
        <stp>[FA1_m42y3cpi.xlsx]Per Share!R26C40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6" s="5"/>
      </tp>
      <tp>
        <v>32.6143</v>
        <stp/>
        <stp>##V3_BDHV12</stp>
        <stp>XOM US Equity</stp>
        <stp>BOOK_VAL_PER_SH</stp>
        <stp>FQ4 2011</stp>
        <stp>FQ4 2011</stp>
        <stp>[FA1_m42y3cpi.xlsx]Per Share!R26C16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6" s="5"/>
      </tp>
      <tp>
        <v>40.139099999999999</v>
        <stp/>
        <stp>##V3_BDHV12</stp>
        <stp>XOM US Equity</stp>
        <stp>BOOK_VAL_PER_SH</stp>
        <stp>FQ4 2013</stp>
        <stp>FQ4 2013</stp>
        <stp>[FA1_m42y3cpi.xlsx]Per Share!R26C24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6" s="5"/>
      </tp>
      <tp t="s">
        <v>—</v>
        <stp/>
        <stp>##V3_BDHV12</stp>
        <stp>XOM US Equity</stp>
        <stp>BS_DEFERRED_TAX_ASSETS_LT</stp>
        <stp>FQ4 2008</stp>
        <stp>FQ4 2008</stp>
        <stp>[FA1_m42y3cpi.xlsx]Bal Sheet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3"/>
      </tp>
      <tp t="s">
        <v>—</v>
        <stp/>
        <stp>##V3_BDHV12</stp>
        <stp>XOM US Equity</stp>
        <stp>BS_DEFERRED_TAX_ASSETS_LT</stp>
        <stp>FQ3 2008</stp>
        <stp>FQ3 2008</stp>
        <stp>[FA1_m42y3cpi.xlsx]Bal Sheet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276937</v>
        <stp/>
        <stp>##V3_BDHV12</stp>
        <stp>XOM US Equity</stp>
        <stp>BS_PURE_RETAINED_EARNINGS</stp>
        <stp>FQ4 2009</stp>
        <stp>FQ4 2009</stp>
        <stp>[FA1_m42y3cpi.xlsx]Bal Sheet - Standardized!R70C8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0" s="3"/>
      </tp>
      <tp t="s">
        <v>—</v>
        <stp/>
        <stp>##V3_BDHV12</stp>
        <stp>XOM US Equity</stp>
        <stp>BS_DEFERRED_TAX_ASSETS_LT</stp>
        <stp>FQ1 2009</stp>
        <stp>FQ1 2009</stp>
        <stp>[FA1_m42y3cpi.xlsx]Bal Sheet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3"/>
      </tp>
      <tp t="s">
        <v>—</v>
        <stp/>
        <stp>##V3_BDHV12</stp>
        <stp>XOM US Equity</stp>
        <stp>BS_DEFERRED_TAX_ASSETS_LT</stp>
        <stp>FQ3 2009</stp>
        <stp>FQ3 2009</stp>
        <stp>[FA1_m42y3cpi.xlsx]Bal Sheet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3"/>
      </tp>
      <tp t="s">
        <v>—</v>
        <stp/>
        <stp>##V3_BDHV12</stp>
        <stp>XOM US Equity</stp>
        <stp>BS_DEFERRED_TAX_ASSETS_LT</stp>
        <stp>FQ2 2009</stp>
        <stp>FQ2 2009</stp>
        <stp>[FA1_m42y3cpi.xlsx]Bal Sheet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3"/>
      </tp>
      <tp>
        <v>2.09</v>
        <stp/>
        <stp>##V3_BDHV12</stp>
        <stp>XOM US Equity</stp>
        <stp>IS_BASIC_EPS_CONT_OPS</stp>
        <stp>FQ3 2012</stp>
        <stp>FQ3 2012</stp>
        <stp>[FA1_m42y3cpi.xlsx]Income - Adjusted!R52C19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2" s="2"/>
      </tp>
      <tp>
        <v>281251</v>
        <stp/>
        <stp>##V3_BDHV12</stp>
        <stp>XOM US Equity</stp>
        <stp>BS_PURE_RETAINED_EARNINGS</stp>
        <stp>FQ1 2010</stp>
        <stp>FQ1 2010</stp>
        <stp>[FA1_m42y3cpi.xlsx]Bal Sheet - Standardized!R70C9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0" s="3"/>
      </tp>
      <tp t="s">
        <v>—</v>
        <stp/>
        <stp>##V3_BDHV12</stp>
        <stp>XOM US Equity</stp>
        <stp>BS_DEFERRED_TAX_ASSETS_LT</stp>
        <stp>FQ1 2010</stp>
        <stp>FQ1 2010</stp>
        <stp>[FA1_m42y3cpi.xlsx]Bal Sheet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3"/>
      </tp>
      <tp>
        <v>270160</v>
        <stp/>
        <stp>##V3_BDHV12</stp>
        <stp>XOM US Equity</stp>
        <stp>BS_PURE_RETAINED_EARNINGS</stp>
        <stp>FQ2 2009</stp>
        <stp>FQ2 2009</stp>
        <stp>[FA1_m42y3cpi.xlsx]Bal Sheet - Standardized!R70C6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0" s="3"/>
      </tp>
      <tp>
        <v>272879</v>
        <stp/>
        <stp>##V3_BDHV12</stp>
        <stp>XOM US Equity</stp>
        <stp>BS_PURE_RETAINED_EARNINGS</stp>
        <stp>FQ3 2009</stp>
        <stp>FQ3 2009</stp>
        <stp>[FA1_m42y3cpi.xlsx]Bal Sheet - Standardized!R70C7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0" s="3"/>
      </tp>
      <tp>
        <v>268249</v>
        <stp/>
        <stp>##V3_BDHV12</stp>
        <stp>XOM US Equity</stp>
        <stp>BS_PURE_RETAINED_EARNINGS</stp>
        <stp>FQ1 2009</stp>
        <stp>FQ1 2009</stp>
        <stp>[FA1_m42y3cpi.xlsx]Bal Sheet - Standardized!R70C5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0" s="3"/>
      </tp>
      <tp t="s">
        <v>—</v>
        <stp/>
        <stp>##V3_BDHV12</stp>
        <stp>XOM US Equity</stp>
        <stp>BS_DEFERRED_TAX_ASSETS_LT</stp>
        <stp>FQ4 2009</stp>
        <stp>FQ4 2009</stp>
        <stp>[FA1_m42y3cpi.xlsx]Bal Sheet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3"/>
      </tp>
      <tp>
        <v>0.92</v>
        <stp/>
        <stp>##V3_BDHV12</stp>
        <stp>XOM US Equity</stp>
        <stp>IS_DIL_EPS_CONT_OPS</stp>
        <stp>FQ1 2009</stp>
        <stp>FQ1 2009</stp>
        <stp>[FA1_m42y3cpi.xlsx]Per Share!R19C5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9" s="5"/>
      </tp>
      <tp>
        <v>0.98</v>
        <stp/>
        <stp>##V3_BDHV12</stp>
        <stp>XOM US Equity</stp>
        <stp>IS_DIL_EPS_CONT_OPS</stp>
        <stp>FQ3 2009</stp>
        <stp>FQ3 2009</stp>
        <stp>[FA1_m42y3cpi.xlsx]Per Share!R19C7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9" s="5"/>
      </tp>
      <tp>
        <v>0.8387</v>
        <stp/>
        <stp>##V3_BDHV12</stp>
        <stp>XOM US Equity</stp>
        <stp>IS_DIL_EPS_CONT_OPS</stp>
        <stp>FQ2 2009</stp>
        <stp>FQ2 2009</stp>
        <stp>[FA1_m42y3cpi.xlsx]Per Share!R19C6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9" s="5"/>
      </tp>
      <tp>
        <v>265680</v>
        <stp/>
        <stp>##V3_BDHV12</stp>
        <stp>XOM US Equity</stp>
        <stp>BS_PURE_RETAINED_EARNINGS</stp>
        <stp>FQ4 2008</stp>
        <stp>FQ4 2008</stp>
        <stp>[FA1_m42y3cpi.xlsx]Bal Sheet - Standardized!R70C4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0" s="3"/>
      </tp>
      <tp>
        <v>259878</v>
        <stp/>
        <stp>##V3_BDHV12</stp>
        <stp>XOM US Equity</stp>
        <stp>BS_PURE_RETAINED_EARNINGS</stp>
        <stp>FQ3 2008</stp>
        <stp>FQ3 2008</stp>
        <stp>[FA1_m42y3cpi.xlsx]Bal Sheet - Standardized!R70C3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0" s="3"/>
      </tp>
      <tp>
        <v>4328</v>
        <stp/>
        <stp>##V3_BDHV12</stp>
        <stp>XOM US Equity</stp>
        <stp>IS_SH_FOR_DILUTED_EPS</stp>
        <stp>FQ1 2014</stp>
        <stp>FQ1 2014</stp>
        <stp>[FA1_m42y3cpi.xlsx]Income - Adjusted!R54C25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4" s="2"/>
      </tp>
      <tp>
        <v>5089</v>
        <stp/>
        <stp>##V3_BDHV12</stp>
        <stp>XOM US Equity</stp>
        <stp>IS_SH_FOR_DILUTED_EPS</stp>
        <stp>FQ3 2010</stp>
        <stp>FQ3 2010</stp>
        <stp>[FA1_m42y3cpi.xlsx]Income - Adjusted!R54C11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4" s="2"/>
      </tp>
      <tp>
        <v>4433</v>
        <stp/>
        <stp>##V3_BDHV12</stp>
        <stp>XOM US Equity</stp>
        <stp>IS_SH_FOR_DILUTED_EPS</stp>
        <stp>FQ2 2013</stp>
        <stp>FQ2 2013</stp>
        <stp>[FA1_m42y3cpi.xlsx]Income - Adjusted!R54C22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4" s="2"/>
      </tp>
      <tp>
        <v>-5758</v>
        <stp/>
        <stp>##V3_BDHV12</stp>
        <stp>XOM US Equity</stp>
        <stp>CF_DECR_CAP_STOCK</stp>
        <stp>FQ4 2010</stp>
        <stp>FQ4 2010</stp>
        <stp>[FA1_m42y3cpi.xlsx]Cash Flow - Standardized!R46C12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6" s="4"/>
      </tp>
      <tp>
        <v>0.75</v>
        <stp/>
        <stp>##V3_BDHV12</stp>
        <stp>XOM US Equity</stp>
        <stp>EQY_DPS</stp>
        <stp>FQ4 2016</stp>
        <stp>FQ4 2016</stp>
        <stp>[FA1_m42y3cpi.xlsx]Income - Adjusted!R69C36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9" s="2"/>
      </tp>
      <tp>
        <v>0.75</v>
        <stp/>
        <stp>##V3_BDHV12</stp>
        <stp>XOM US Equity</stp>
        <stp>EQY_DPS</stp>
        <stp>FQ1 2017</stp>
        <stp>FQ1 2017</stp>
        <stp>[FA1_m42y3cpi.xlsx]Income - Adjusted!R69C37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9" s="2"/>
      </tp>
      <tp>
        <v>0.44</v>
        <stp/>
        <stp>##V3_BDHV12</stp>
        <stp>XOM US Equity</stp>
        <stp>EQY_DPS</stp>
        <stp>FQ2 2010</stp>
        <stp>FQ2 2010</stp>
        <stp>[FA1_m42y3cpi.xlsx]Income - Adjusted!R69C10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9" s="2"/>
      </tp>
      <tp>
        <v>0.63</v>
        <stp/>
        <stp>##V3_BDHV12</stp>
        <stp>XOM US Equity</stp>
        <stp>EQY_DPS</stp>
        <stp>FQ3 2013</stp>
        <stp>FQ3 2013</stp>
        <stp>[FA1_m42y3cpi.xlsx]Income - Adjusted!R69C23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9" s="2"/>
      </tp>
      <tp>
        <v>-5422</v>
        <stp/>
        <stp>##V3_BDHV12</stp>
        <stp>XOM US Equity</stp>
        <stp>CF_DECR_CAP_STOCK</stp>
        <stp>FQ4 2011</stp>
        <stp>FQ4 2011</stp>
        <stp>[FA1_m42y3cpi.xlsx]Cash Flow - Standardized!R46C16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6" s="4"/>
      </tp>
      <tp>
        <v>-427</v>
        <stp/>
        <stp>##V3_BDHV12</stp>
        <stp>XOM US Equity</stp>
        <stp>CF_DECR_CAP_STOCK</stp>
        <stp>FQ1 2018</stp>
        <stp>FQ1 2018</stp>
        <stp>[FA1_m42y3cpi.xlsx]Cash Flow - Standardized!R46C41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6" s="4"/>
      </tp>
      <tp>
        <v>5276</v>
        <stp/>
        <stp>##V3_BDHV12</stp>
        <stp>XOM US Equity</stp>
        <stp>CF_FREE_CASH_FLOW</stp>
        <stp>FQ3 2010</stp>
        <stp>FQ3 2010</stp>
        <stp>[FA1_m42y3cpi.xlsx]Cash Flow - Standardized!R63C11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3" s="4"/>
      </tp>
      <tp>
        <v>4.1132</v>
        <stp/>
        <stp>##V3_BDHV12</stp>
        <stp>XOM US Equity</stp>
        <stp>CHG_PCT_PERIOD</stp>
        <stp>FQ1 2013</stp>
        <stp>FQ1 2013</stp>
        <stp>[FA1_m42y3cpi.xlsx]Stock Value!R7C21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6"/>
      </tp>
      <tp>
        <v>-10.7963</v>
        <stp/>
        <stp>##V3_BDHV12</stp>
        <stp>XOM US Equity</stp>
        <stp>CHG_PCT_PERIOD</stp>
        <stp>FQ1 2018</stp>
        <stp>FQ1 2018</stp>
        <stp>[FA1_m42y3cpi.xlsx]Stock Value!R7C41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" s="6"/>
      </tp>
      <tp>
        <v>8.2705000000000002</v>
        <stp/>
        <stp>##V3_BDHV12</stp>
        <stp>XOM US Equity</stp>
        <stp>CHG_PCT_PERIOD</stp>
        <stp>FQ3 2010</stp>
        <stp>FQ3 2010</stp>
        <stp>[FA1_m42y3cpi.xlsx]Stock Value!R7C11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6"/>
      </tp>
      <tp>
        <v>-10.637</v>
        <stp/>
        <stp>##V3_BDHV12</stp>
        <stp>XOM US Equity</stp>
        <stp>CHG_PCT_PERIOD</stp>
        <stp>FQ3 2015</stp>
        <stp>FQ3 2015</stp>
        <stp>[FA1_m42y3cpi.xlsx]Stock Value!R7C31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6"/>
      </tp>
      <tp>
        <v>5283</v>
        <stp/>
        <stp>##V3_BDHV12</stp>
        <stp>XOM US Equity</stp>
        <stp>CF_FREE_CASH_FLOW</stp>
        <stp>FQ1 2017</stp>
        <stp>FQ1 2017</stp>
        <stp>[FA1_m42y3cpi.xlsx]Cash Flow - Standardized!R63C37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3" s="4"/>
      </tp>
      <tp>
        <v>7371</v>
        <stp/>
        <stp>##V3_BDHV12</stp>
        <stp>XOM US Equity</stp>
        <stp>CF_FREE_CASH_FLOW</stp>
        <stp>FQ3 2011</stp>
        <stp>FQ3 2011</stp>
        <stp>[FA1_m42y3cpi.xlsx]Cash Flow - Standardized!R63C15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3" s="4"/>
      </tp>
      <tp>
        <v>211</v>
        <stp/>
        <stp>##V3_BDHV12</stp>
        <stp>XOM US Equity</stp>
        <stp>CF_FREE_CASH_FLOW</stp>
        <stp>FQ1 2016</stp>
        <stp>FQ1 2016</stp>
        <stp>[FA1_m42y3cpi.xlsx]Cash Flow - Standardized!R63C33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3" s="4"/>
      </tp>
      <tp>
        <v>5416</v>
        <stp/>
        <stp>##V3_BDHV12</stp>
        <stp>XOM US Equity</stp>
        <stp>CF_FREE_CASH_FLOW</stp>
        <stp>FQ3 2012</stp>
        <stp>FQ3 2012</stp>
        <stp>[FA1_m42y3cpi.xlsx]Cash Flow - Standardized!R63C19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3" s="4"/>
      </tp>
      <tp>
        <v>-14.308</v>
        <stp/>
        <stp>##V3_BDHV12</stp>
        <stp>XOM US Equity</stp>
        <stp>NET_DEBT_TO_SHRHLDR_EQTY</stp>
        <stp>FQ1 2009</stp>
        <stp>FQ1 2009</stp>
        <stp>[FA1_m42y3cpi.xlsx]Bal Sheet - Standardized!R87C5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7" s="3"/>
      </tp>
      <tp>
        <v>3292</v>
        <stp/>
        <stp>##V3_BDHV12</stp>
        <stp>XOM US Equity</stp>
        <stp>BS_NUM_OF_TSY_SH</stp>
        <stp>FQ4 2009</stp>
        <stp>FQ4 2009</stp>
        <stp>[FA1_m42y3cpi.xlsx]Bal Sheet - Standardized!R80C8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0" s="3"/>
      </tp>
      <tp>
        <v>-2.6939000000000002</v>
        <stp/>
        <stp>##V3_BDHV12</stp>
        <stp>XOM US Equity</stp>
        <stp>NET_DEBT_TO_SHRHLDR_EQTY</stp>
        <stp>FQ3 2009</stp>
        <stp>FQ3 2009</stp>
        <stp>[FA1_m42y3cpi.xlsx]Bal Sheet - Standardized!R87C7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7" s="3"/>
      </tp>
      <tp>
        <v>-5.8072999999999997</v>
        <stp/>
        <stp>##V3_BDHV12</stp>
        <stp>XOM US Equity</stp>
        <stp>NET_DEBT_TO_SHRHLDR_EQTY</stp>
        <stp>FQ2 2009</stp>
        <stp>FQ2 2009</stp>
        <stp>[FA1_m42y3cpi.xlsx]Bal Sheet - Standardized!R87C6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7" s="3"/>
      </tp>
      <tp>
        <v>2188</v>
        <stp/>
        <stp>##V3_BDHV12</stp>
        <stp>XOM US Equity</stp>
        <stp>IS_TOT_CASH_COM_DVD</stp>
        <stp>FQ1 2011</stp>
        <stp>FQ1 2011</stp>
        <stp>[FA1_m42y3cpi.xlsx]Income - Adjusted!R70C13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0" s="2"/>
      </tp>
      <tp>
        <v>3133</v>
        <stp/>
        <stp>##V3_BDHV12</stp>
        <stp>XOM US Equity</stp>
        <stp>IS_TOT_CASH_COM_DVD</stp>
        <stp>FQ4 2016</stp>
        <stp>FQ4 2016</stp>
        <stp>[FA1_m42y3cpi.xlsx]Income - Adjusted!R70C36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0" s="2"/>
      </tp>
      <tp>
        <v>5045</v>
        <stp/>
        <stp>##V3_BDHV12</stp>
        <stp>XOM US Equity</stp>
        <stp>IS_SH_FOR_DILUTED_EPS</stp>
        <stp>FQ4 2008</stp>
        <stp>FQ4 2008</stp>
        <stp>[FA1_m42y3cpi.xlsx]Per Share!R7C4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5"/>
      </tp>
      <tp>
        <v>1974.8</v>
        <stp/>
        <stp>##V3_BDHV12</stp>
        <stp>XOM US Equity</stp>
        <stp>IS_TOT_CASH_COM_DVD</stp>
        <stp>FQ1 2009</stp>
        <stp>FQ1 2009</stp>
        <stp>[FA1_m42y3cpi.xlsx]Income - Adjusted!R70C5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0" s="2"/>
      </tp>
      <tp>
        <v>2653.92</v>
        <stp/>
        <stp>##V3_BDHV12</stp>
        <stp>XOM US Equity</stp>
        <stp>IS_TOT_CASH_COM_DVD</stp>
        <stp>FQ2 2012</stp>
        <stp>FQ2 2012</stp>
        <stp>[FA1_m42y3cpi.xlsx]Income - Adjusted!R70C18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0" s="2"/>
      </tp>
      <tp>
        <v>5160</v>
        <stp/>
        <stp>##V3_BDHV12</stp>
        <stp>XOM US Equity</stp>
        <stp>IS_SH_FOR_DILUTED_EPS</stp>
        <stp>FQ3 2008</stp>
        <stp>FQ3 2008</stp>
        <stp>[FA1_m42y3cpi.xlsx]Per Share!R7C3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5"/>
      </tp>
      <tp>
        <v>13830</v>
        <stp/>
        <stp>##V3_BDHV12</stp>
        <stp>XOM US Equity</stp>
        <stp>BS_ST_BORROW</stp>
        <stp>FQ4 2016</stp>
        <stp>FQ4 2016</stp>
        <stp>[FA1_m42y3cpi.xlsx]Bal Sheet - Standardized!R47C36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3"/>
      </tp>
      <tp>
        <v>194911</v>
        <stp/>
        <stp>##V3_BDHV12</stp>
        <stp>XOM US Equity</stp>
        <stp>TOTAL_EQUITY</stp>
        <stp>FQ1 2018</stp>
        <stp>FQ1 2018</stp>
        <stp>[FA1_m42y3cpi.xlsx]Bal Sheet - Standardized!R74C41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4" s="3"/>
      </tp>
      <tp>
        <v>0</v>
        <stp/>
        <stp>##V3_BDHV12</stp>
        <stp>XOM US Equity</stp>
        <stp>IS_TOT_CASH_PFD_DVD</stp>
        <stp>FQ1 2011</stp>
        <stp>FQ1 2011</stp>
        <stp>[FA1_m42y3cpi.xlsx]Income - Adjusted!R41C13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1" s="2"/>
      </tp>
      <tp>
        <v>18762</v>
        <stp/>
        <stp>##V3_BDHV12</stp>
        <stp>XOM US Equity</stp>
        <stp>BS_ST_BORROW</stp>
        <stp>FQ4 2015</stp>
        <stp>FQ4 2015</stp>
        <stp>[FA1_m42y3cpi.xlsx]Bal Sheet - Standardized!R47C32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3"/>
      </tp>
      <tp>
        <v>0</v>
        <stp/>
        <stp>##V3_BDHV12</stp>
        <stp>XOM US Equity</stp>
        <stp>IS_TOT_CASH_PFD_DVD</stp>
        <stp>FQ4 2016</stp>
        <stp>FQ4 2016</stp>
        <stp>[FA1_m42y3cpi.xlsx]Income - Adjusted!R41C36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1" s="2"/>
      </tp>
      <tp>
        <v>101.15</v>
        <stp/>
        <stp>##V3_BDHV12</stp>
        <stp>XOM US Equity</stp>
        <stp>PX_OPEN</stp>
        <stp>FQ3 2014</stp>
        <stp>FQ3 2014</stp>
        <stp>[FA1_m42y3cpi.xlsx]Stock Value!R8C27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6"/>
      </tp>
      <tp>
        <v>4203</v>
        <stp/>
        <stp>##V3_BDHV12</stp>
        <stp>XOM US Equity</stp>
        <stp>BS_OTHER_INV</stp>
        <stp>FQ4 2016</stp>
        <stp>FQ4 2016</stp>
        <stp>[FA1_m42y3cpi.xlsx]Bal Sheet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3"/>
      </tp>
      <tp>
        <v>152679</v>
        <stp/>
        <stp>##V3_BDHV12</stp>
        <stp>XOM US Equity</stp>
        <stp>TOTAL_EQUITY</stp>
        <stp>FQ4 2010</stp>
        <stp>FQ4 2010</stp>
        <stp>[FA1_m42y3cpi.xlsx]Bal Sheet - Standardized!R74C12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4" s="3"/>
      </tp>
      <tp>
        <v>90.94</v>
        <stp/>
        <stp>##V3_BDHV12</stp>
        <stp>XOM US Equity</stp>
        <stp>PX_OPEN</stp>
        <stp>FQ1 2017</stp>
        <stp>FQ1 2017</stp>
        <stp>[FA1_m42y3cpi.xlsx]Stock Value!R8C37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" s="6"/>
      </tp>
      <tp>
        <v>85.97</v>
        <stp/>
        <stp>##V3_BDHV12</stp>
        <stp>XOM US Equity</stp>
        <stp>PX_OPEN</stp>
        <stp>FQ1 2012</stp>
        <stp>FQ1 2012</stp>
        <stp>[FA1_m42y3cpi.xlsx]Stock Value!R8C17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6"/>
      </tp>
      <tp>
        <v>0</v>
        <stp/>
        <stp>##V3_BDHV12</stp>
        <stp>XOM US Equity</stp>
        <stp>IS_TOT_CASH_PFD_DVD</stp>
        <stp>FQ2 2012</stp>
        <stp>FQ2 2012</stp>
        <stp>[FA1_m42y3cpi.xlsx]Income - Adjusted!R41C18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1" s="2"/>
      </tp>
      <tp>
        <v>4208</v>
        <stp/>
        <stp>##V3_BDHV12</stp>
        <stp>XOM US Equity</stp>
        <stp>BS_OTHER_INV</stp>
        <stp>FQ4 2015</stp>
        <stp>FQ4 2015</stp>
        <stp>[FA1_m42y3cpi.xlsx]Bal Sheet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3"/>
      </tp>
      <tp>
        <v>101.215</v>
        <stp/>
        <stp>##V3_BDHV12</stp>
        <stp>XOM US Equity</stp>
        <stp>PX_HIGH</stp>
        <stp>FQ1 2014</stp>
        <stp>FQ1 2014</stp>
        <stp>[FA1_m42y3cpi.xlsx]Stock Value!R9C25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9" s="6"/>
      </tp>
      <tp>
        <v>160744</v>
        <stp/>
        <stp>##V3_BDHV12</stp>
        <stp>XOM US Equity</stp>
        <stp>TOTAL_EQUITY</stp>
        <stp>FQ4 2011</stp>
        <stp>FQ4 2011</stp>
        <stp>[FA1_m42y3cpi.xlsx]Bal Sheet - Standardized!R74C16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4" s="3"/>
      </tp>
      <tp>
        <v>85.41</v>
        <stp/>
        <stp>##V3_BDHV12</stp>
        <stp>XOM US Equity</stp>
        <stp>PX_HIGH</stp>
        <stp>FQ3 2011</stp>
        <stp>FQ3 2011</stp>
        <stp>[FA1_m42y3cpi.xlsx]Stock Value!R9C15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9" s="6"/>
      </tp>
      <tp>
        <v>95.55</v>
        <stp/>
        <stp>##V3_BDHV12</stp>
        <stp>XOM US Equity</stp>
        <stp>PX_HIGH</stp>
        <stp>FQ3 2016</stp>
        <stp>FQ3 2016</stp>
        <stp>[FA1_m42y3cpi.xlsx]Stock Value!R9C35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9" s="6"/>
      </tp>
      <tp>
        <v>41.810499999999998</v>
        <stp/>
        <stp>##V3_BDHV12</stp>
        <stp>XOM US Equity</stp>
        <stp>BOOK_VAL_PER_SH</stp>
        <stp>FQ1 2017</stp>
        <stp>FQ1 2017</stp>
        <stp>[FA1_m42y3cpi.xlsx]Per Share!R26C37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6" s="5"/>
      </tp>
      <tp>
        <v>38.737699999999997</v>
        <stp/>
        <stp>##V3_BDHV12</stp>
        <stp>XOM US Equity</stp>
        <stp>BOOK_VAL_PER_SH</stp>
        <stp>FQ3 2013</stp>
        <stp>FQ3 2013</stp>
        <stp>[FA1_m42y3cpi.xlsx]Per Share!R26C23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6" s="5"/>
      </tp>
      <tp>
        <v>27.527899999999999</v>
        <stp/>
        <stp>##V3_BDHV12</stp>
        <stp>XOM US Equity</stp>
        <stp>BOOK_VAL_PER_SH</stp>
        <stp>FQ2 2010</stp>
        <stp>FQ2 2010</stp>
        <stp>[FA1_m42y3cpi.xlsx]Per Share!R26C10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6" s="5"/>
      </tp>
      <tp>
        <v>40.338700000000003</v>
        <stp/>
        <stp>##V3_BDHV12</stp>
        <stp>XOM US Equity</stp>
        <stp>BOOK_VAL_PER_SH</stp>
        <stp>FQ4 2016</stp>
        <stp>FQ4 2016</stp>
        <stp>[FA1_m42y3cpi.xlsx]Per Share!R26C36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6" s="5"/>
      </tp>
      <tp>
        <v>1.4878</v>
        <stp/>
        <stp>##V3_BDHV12</stp>
        <stp>XOM US Equity</stp>
        <stp>IS_BASIC_EPS_CONT_OPS</stp>
        <stp>FQ4 2014</stp>
        <stp>FQ4 2014</stp>
        <stp>[FA1_m42y3cpi.xlsx]Income - Adjusted!R52C28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2" s="2"/>
      </tp>
      <tp>
        <v>1.17</v>
        <stp/>
        <stp>##V3_BDHV12</stp>
        <stp>XOM US Equity</stp>
        <stp>IS_BASIC_EPS_CONT_OPS</stp>
        <stp>FQ1 2015</stp>
        <stp>FQ1 2015</stp>
        <stp>[FA1_m42y3cpi.xlsx]Income - Adjusted!R52C29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2" s="2"/>
      </tp>
      <tp t="s">
        <v>—</v>
        <stp/>
        <stp>##V3_BDHV12</stp>
        <stp>XOM US Equity</stp>
        <stp>IS_NET_INTEREST_EXPENSE</stp>
        <stp>FQ4 2009</stp>
        <stp>FQ4 2009</stp>
        <stp>[FA1_m42y3cpi.xlsx]Income - Adjusted!R18C8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8" s="2"/>
      </tp>
      <tp>
        <v>-726</v>
        <stp/>
        <stp>##V3_BDHV12</stp>
        <stp>XOM US Equity</stp>
        <stp>CF_DECR_CAP_STOCK</stp>
        <stp>FQ1 2016</stp>
        <stp>FQ1 2016</stp>
        <stp>[FA1_m42y3cpi.xlsx]Cash Flow - Standardized!R46C33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6" s="4"/>
      </tp>
      <tp>
        <v>-5468</v>
        <stp/>
        <stp>##V3_BDHV12</stp>
        <stp>XOM US Equity</stp>
        <stp>CF_DECR_CAP_STOCK</stp>
        <stp>FQ3 2011</stp>
        <stp>FQ3 2011</stp>
        <stp>[FA1_m42y3cpi.xlsx]Cash Flow - Standardized!R46C15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6" s="4"/>
      </tp>
      <tp>
        <v>-501</v>
        <stp/>
        <stp>##V3_BDHV12</stp>
        <stp>XOM US Equity</stp>
        <stp>CF_DECR_CAP_STOCK</stp>
        <stp>FQ1 2017</stp>
        <stp>FQ1 2017</stp>
        <stp>[FA1_m42y3cpi.xlsx]Cash Flow - Standardized!R46C37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6" s="4"/>
      </tp>
      <tp>
        <v>-3272</v>
        <stp/>
        <stp>##V3_BDHV12</stp>
        <stp>XOM US Equity</stp>
        <stp>CF_DECR_CAP_STOCK</stp>
        <stp>FQ3 2010</stp>
        <stp>FQ3 2010</stp>
        <stp>[FA1_m42y3cpi.xlsx]Cash Flow - Standardized!R46C11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6" s="4"/>
      </tp>
      <tp>
        <v>0.73</v>
        <stp/>
        <stp>##V3_BDHV12</stp>
        <stp>XOM US Equity</stp>
        <stp>EQY_DPS</stp>
        <stp>FQ4 2015</stp>
        <stp>FQ4 2015</stp>
        <stp>[FA1_m42y3cpi.xlsx]Income - Adjusted!R69C32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9" s="2"/>
      </tp>
      <tp>
        <v>0.47</v>
        <stp/>
        <stp>##V3_BDHV12</stp>
        <stp>XOM US Equity</stp>
        <stp>EQY_DPS</stp>
        <stp>FQ4 2011</stp>
        <stp>FQ4 2011</stp>
        <stp>[FA1_m42y3cpi.xlsx]Income - Adjusted!R69C16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9" s="2"/>
      </tp>
      <tp>
        <v>0.63</v>
        <stp/>
        <stp>##V3_BDHV12</stp>
        <stp>XOM US Equity</stp>
        <stp>EQY_DPS</stp>
        <stp>FQ4 2013</stp>
        <stp>FQ4 2013</stp>
        <stp>[FA1_m42y3cpi.xlsx]Income - Adjusted!R69C24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9" s="2"/>
      </tp>
      <tp>
        <v>0.77</v>
        <stp/>
        <stp>##V3_BDHV12</stp>
        <stp>XOM US Equity</stp>
        <stp>EQY_DPS</stp>
        <stp>FQ4 2017</stp>
        <stp>FQ4 2017</stp>
        <stp>[FA1_m42y3cpi.xlsx]Income - Adjusted!R69C40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9" s="2"/>
      </tp>
      <tp>
        <v>-5098</v>
        <stp/>
        <stp>##V3_BDHV12</stp>
        <stp>XOM US Equity</stp>
        <stp>CF_DECR_CAP_STOCK</stp>
        <stp>FQ3 2012</stp>
        <stp>FQ3 2012</stp>
        <stp>[FA1_m42y3cpi.xlsx]Cash Flow - Standardized!R46C19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6" s="4"/>
      </tp>
      <tp>
        <v>2117</v>
        <stp/>
        <stp>##V3_BDHV12</stp>
        <stp>XOM US Equity</stp>
        <stp>CF_FREE_CASH_FLOW</stp>
        <stp>FQ4 2011</stp>
        <stp>FQ4 2011</stp>
        <stp>[FA1_m42y3cpi.xlsx]Cash Flow - Standardized!R63C16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3" s="4"/>
      </tp>
      <tp>
        <v>3.0712999999999999</v>
        <stp/>
        <stp>##V3_BDHV12</stp>
        <stp>XOM US Equity</stp>
        <stp>CHG_PCT_PERIOD</stp>
        <stp>FQ2 2014</stp>
        <stp>FQ2 2014</stp>
        <stp>[FA1_m42y3cpi.xlsx]Stock Value!R7C26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6"/>
      </tp>
      <tp>
        <v>3.4142999999999999</v>
        <stp/>
        <stp>##V3_BDHV12</stp>
        <stp>XOM US Equity</stp>
        <stp>CHG_PCT_PERIOD</stp>
        <stp>FQ4 2016</stp>
        <stp>FQ4 2016</stp>
        <stp>[FA1_m42y3cpi.xlsx]Stock Value!R7C36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6"/>
      </tp>
      <tp>
        <v>16.7011</v>
        <stp/>
        <stp>##V3_BDHV12</stp>
        <stp>XOM US Equity</stp>
        <stp>CHG_PCT_PERIOD</stp>
        <stp>FQ4 2011</stp>
        <stp>FQ4 2011</stp>
        <stp>[FA1_m42y3cpi.xlsx]Stock Value!R7C16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6"/>
      </tp>
      <tp>
        <v>5385</v>
        <stp/>
        <stp>##V3_BDHV12</stp>
        <stp>XOM US Equity</stp>
        <stp>CF_FREE_CASH_FLOW</stp>
        <stp>FQ4 2010</stp>
        <stp>FQ4 2010</stp>
        <stp>[FA1_m42y3cpi.xlsx]Cash Flow - Standardized!R63C12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3" s="4"/>
      </tp>
      <tp>
        <v>5170</v>
        <stp/>
        <stp>##V3_BDHV12</stp>
        <stp>XOM US Equity</stp>
        <stp>CF_FREE_CASH_FLOW</stp>
        <stp>FQ1 2018</stp>
        <stp>FQ1 2018</stp>
        <stp>[FA1_m42y3cpi.xlsx]Cash Flow - Standardized!R63C41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3" s="4"/>
      </tp>
      <tp t="s">
        <v>—</v>
        <stp/>
        <stp>##V3_BDHV12</stp>
        <stp>XOM US Equity</stp>
        <stp>TCE_RATIO</stp>
        <stp>FQ1 2015</stp>
        <stp>FQ1 2015</stp>
        <stp>[FA1_m42y3cpi.xlsx]Bal Sheet - Standardized!R88C29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8" s="3"/>
      </tp>
      <tp t="s">
        <v>—</v>
        <stp/>
        <stp>##V3_BDHV12</stp>
        <stp>XOM US Equity</stp>
        <stp>TCE_RATIO</stp>
        <stp>FQ2 2017</stp>
        <stp>FQ2 2017</stp>
        <stp>[FA1_m42y3cpi.xlsx]Bal Sheet - Standardized!R88C38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8" s="3"/>
      </tp>
      <tp t="s">
        <v>—</v>
        <stp/>
        <stp>##V3_BDHV12</stp>
        <stp>XOM US Equity</stp>
        <stp>TCE_RATIO</stp>
        <stp>FQ3 2017</stp>
        <stp>FQ3 2017</stp>
        <stp>[FA1_m42y3cpi.xlsx]Bal Sheet - Standardized!R88C39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8" s="3"/>
      </tp>
      <tp>
        <v>1.8216000000000001</v>
        <stp/>
        <stp>##V3_BDHV12</stp>
        <stp>XOM US Equity</stp>
        <stp>CASH_FLOW_PER_SH</stp>
        <stp>FQ2 2018</stp>
        <stp>FQ2 2018</stp>
        <stp>[FA1_m42y3cpi.xlsx]Per Share!R22C42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2" s="5"/>
      </tp>
      <tp>
        <v>2.1943999999999999</v>
        <stp/>
        <stp>##V3_BDHV12</stp>
        <stp>XOM US Equity</stp>
        <stp>CASH_FLOW_PER_SH</stp>
        <stp>FQ2 2012</stp>
        <stp>FQ2 2012</stp>
        <stp>[FA1_m42y3cpi.xlsx]Per Share!R22C18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2" s="5"/>
      </tp>
      <tp>
        <v>1.33</v>
        <stp/>
        <stp>##V3_BDHV12</stp>
        <stp>XOM US Equity</stp>
        <stp>IS_DILUTED_EPS</stp>
        <stp>FQ1 2010</stp>
        <stp>FQ1 2010</stp>
        <stp>[FA1_m42y3cpi.xlsx]Income - Adjusted!R55C9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55" s="2"/>
      </tp>
      <tp>
        <v>2666</v>
        <stp/>
        <stp>##V3_BDHV12</stp>
        <stp>XOM US Equity</stp>
        <stp>IS_TOT_CASH_COM_DVD</stp>
        <stp>FQ1 2013</stp>
        <stp>FQ1 2013</stp>
        <stp>[FA1_m42y3cpi.xlsx]Income - Adjusted!R70C21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0" s="2"/>
      </tp>
      <tp>
        <v>1983.24</v>
        <stp/>
        <stp>##V3_BDHV12</stp>
        <stp>XOM US Equity</stp>
        <stp>IS_TOT_CASH_COM_DVD</stp>
        <stp>FQ1 2010</stp>
        <stp>FQ1 2010</stp>
        <stp>[FA1_m42y3cpi.xlsx]Income - Adjusted!R70C9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0" s="2"/>
      </tp>
      <tp>
        <v>2695</v>
        <stp/>
        <stp>##V3_BDHV12</stp>
        <stp>XOM US Equity</stp>
        <stp>IS_TOT_CASH_COM_DVD</stp>
        <stp>FQ3 2012</stp>
        <stp>FQ3 2012</stp>
        <stp>[FA1_m42y3cpi.xlsx]Income - Adjusted!R70C19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0" s="2"/>
      </tp>
      <tp>
        <v>3653</v>
        <stp/>
        <stp>##V3_BDHV12</stp>
        <stp>XOM US Equity</stp>
        <stp>BS_ST_BORROW</stp>
        <stp>FQ4 2012</stp>
        <stp>FQ4 2012</stp>
        <stp>[FA1_m42y3cpi.xlsx]Bal Sheet - Standardized!R47C20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3"/>
      </tp>
      <tp>
        <v>0</v>
        <stp/>
        <stp>##V3_BDHV12</stp>
        <stp>XOM US Equity</stp>
        <stp>IS_TOT_CASH_PFD_DVD</stp>
        <stp>FQ1 2013</stp>
        <stp>FQ1 2013</stp>
        <stp>[FA1_m42y3cpi.xlsx]Income - Adjusted!R41C21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1" s="2"/>
      </tp>
      <tp>
        <v>15808</v>
        <stp/>
        <stp>##V3_BDHV12</stp>
        <stp>XOM US Equity</stp>
        <stp>BS_ST_BORROW</stp>
        <stp>FQ4 2013</stp>
        <stp>FQ4 2013</stp>
        <stp>[FA1_m42y3cpi.xlsx]Bal Sheet - Standardized!R47C24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3"/>
      </tp>
      <tp>
        <v>4294</v>
        <stp/>
        <stp>##V3_BDHV12</stp>
        <stp>XOM US Equity</stp>
        <stp>BS_OTHER_INV</stp>
        <stp>FQ4 2014</stp>
        <stp>FQ4 2014</stp>
        <stp>[FA1_m42y3cpi.xlsx]Bal Sheet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3"/>
      </tp>
      <tp>
        <v>4110</v>
        <stp/>
        <stp>##V3_BDHV12</stp>
        <stp>XOM US Equity</stp>
        <stp>BS_OTHER_INV</stp>
        <stp>FQ2 2018</stp>
        <stp>FQ2 2018</stp>
        <stp>[FA1_m42y3cpi.xlsx]Bal Sheet - Standardized!R17C42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7" s="3"/>
      </tp>
      <tp>
        <v>3706</v>
        <stp/>
        <stp>##V3_BDHV12</stp>
        <stp>XOM US Equity</stp>
        <stp>BS_OTHER_INV</stp>
        <stp>FQ4 2012</stp>
        <stp>FQ4 2012</stp>
        <stp>[FA1_m42y3cpi.xlsx]Bal Sheet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3"/>
      </tp>
      <tp>
        <v>101.74</v>
        <stp/>
        <stp>##V3_BDHV12</stp>
        <stp>XOM US Equity</stp>
        <stp>PX_HIGH</stp>
        <stp>FQ4 2013</stp>
        <stp>FQ4 2013</stp>
        <stp>[FA1_m42y3cpi.xlsx]Stock Value!R9C24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9" s="6"/>
      </tp>
      <tp>
        <v>97.65</v>
        <stp/>
        <stp>##V3_BDHV12</stp>
        <stp>XOM US Equity</stp>
        <stp>PX_OPEN</stp>
        <stp>FQ2 2014</stp>
        <stp>FQ2 2014</stp>
        <stp>[FA1_m42y3cpi.xlsx]Stock Value!R8C26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6"/>
      </tp>
      <tp>
        <v>4018</v>
        <stp/>
        <stp>##V3_BDHV12</stp>
        <stp>XOM US Equity</stp>
        <stp>BS_OTHER_INV</stp>
        <stp>FQ4 2013</stp>
        <stp>FQ4 2013</stp>
        <stp>[FA1_m42y3cpi.xlsx]Bal Sheet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3"/>
      </tp>
      <tp>
        <v>0</v>
        <stp/>
        <stp>##V3_BDHV12</stp>
        <stp>XOM US Equity</stp>
        <stp>IS_TOT_CASH_PFD_DVD</stp>
        <stp>FQ3 2012</stp>
        <stp>FQ3 2012</stp>
        <stp>[FA1_m42y3cpi.xlsx]Income - Adjusted!R41C19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1" s="2"/>
      </tp>
      <tp>
        <v>20500</v>
        <stp/>
        <stp>##V3_BDHV12</stp>
        <stp>XOM US Equity</stp>
        <stp>BS_ST_BORROW</stp>
        <stp>FQ2 2018</stp>
        <stp>FQ2 2018</stp>
        <stp>[FA1_m42y3cpi.xlsx]Bal Sheet - Standardized!R47C42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7" s="3"/>
      </tp>
      <tp>
        <v>17468</v>
        <stp/>
        <stp>##V3_BDHV12</stp>
        <stp>XOM US Equity</stp>
        <stp>BS_ST_BORROW</stp>
        <stp>FQ4 2014</stp>
        <stp>FQ4 2014</stp>
        <stp>[FA1_m42y3cpi.xlsx]Bal Sheet - Standardized!R47C28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3"/>
      </tp>
      <tp>
        <v>88.13</v>
        <stp/>
        <stp>##V3_BDHV12</stp>
        <stp>XOM US Equity</stp>
        <stp>PX_HIGH</stp>
        <stp>FQ2 2011</stp>
        <stp>FQ2 2011</stp>
        <stp>[FA1_m42y3cpi.xlsx]Stock Value!R9C14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9" s="6"/>
      </tp>
      <tp>
        <v>93.827299999999994</v>
        <stp/>
        <stp>##V3_BDHV12</stp>
        <stp>XOM US Equity</stp>
        <stp>PX_HIGH</stp>
        <stp>FQ2 2016</stp>
        <stp>FQ2 2016</stp>
        <stp>[FA1_m42y3cpi.xlsx]Stock Value!R9C34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9" s="6"/>
      </tp>
      <tp>
        <v>72.05</v>
        <stp/>
        <stp>##V3_BDHV12</stp>
        <stp>XOM US Equity</stp>
        <stp>PX_OPEN</stp>
        <stp>FQ4 2011</stp>
        <stp>FQ4 2011</stp>
        <stp>[FA1_m42y3cpi.xlsx]Stock Value!R8C16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6"/>
      </tp>
      <tp>
        <v>86.94</v>
        <stp/>
        <stp>##V3_BDHV12</stp>
        <stp>XOM US Equity</stp>
        <stp>PX_OPEN</stp>
        <stp>FQ4 2016</stp>
        <stp>FQ4 2016</stp>
        <stp>[FA1_m42y3cpi.xlsx]Stock Value!R8C36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6"/>
      </tp>
      <tp>
        <v>41.080100000000002</v>
        <stp/>
        <stp>##V3_BDHV12</stp>
        <stp>XOM US Equity</stp>
        <stp>BOOK_VAL_PER_SH</stp>
        <stp>FQ1 2014</stp>
        <stp>FQ1 2014</stp>
        <stp>[FA1_m42y3cpi.xlsx]Per Share!R26C25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6" s="5"/>
      </tp>
      <tp>
        <v>28.758900000000001</v>
        <stp/>
        <stp>##V3_BDHV12</stp>
        <stp>XOM US Equity</stp>
        <stp>BOOK_VAL_PER_SH</stp>
        <stp>FQ3 2010</stp>
        <stp>FQ3 2010</stp>
        <stp>[FA1_m42y3cpi.xlsx]Per Share!R26C11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6" s="5"/>
      </tp>
      <tp>
        <v>37.629899999999999</v>
        <stp/>
        <stp>##V3_BDHV12</stp>
        <stp>XOM US Equity</stp>
        <stp>BOOK_VAL_PER_SH</stp>
        <stp>FQ2 2013</stp>
        <stp>FQ2 2013</stp>
        <stp>[FA1_m42y3cpi.xlsx]Per Share!R26C22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6" s="5"/>
      </tp>
      <tp>
        <v>0.36580000000000001</v>
        <stp/>
        <stp>##V3_BDHV12</stp>
        <stp>XOM US Equity</stp>
        <stp>FREE_CASH_FLOW_PER_SH</stp>
        <stp>FQ4 2009</stp>
        <stp>FQ4 2009</stp>
        <stp>[FA1_m42y3cpi.xlsx]Cash Flow - Standardized!R66C8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6" s="4"/>
      </tp>
      <tp>
        <v>4183</v>
        <stp/>
        <stp>##V3_BDHV12</stp>
        <stp>XOM US Equity</stp>
        <stp>IS_SH_FOR_DILUTED_EPS</stp>
        <stp>FQ4 2015</stp>
        <stp>FQ4 2015</stp>
        <stp>[FA1_m42y3cpi.xlsx]Income - Adjusted!R54C32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4" s="2"/>
      </tp>
      <tp>
        <v>4775</v>
        <stp/>
        <stp>##V3_BDHV12</stp>
        <stp>XOM US Equity</stp>
        <stp>IS_SH_FOR_DILUTED_EPS</stp>
        <stp>FQ4 2011</stp>
        <stp>FQ4 2011</stp>
        <stp>[FA1_m42y3cpi.xlsx]Income - Adjusted!R54C16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4" s="2"/>
      </tp>
      <tp>
        <v>4361</v>
        <stp/>
        <stp>##V3_BDHV12</stp>
        <stp>XOM US Equity</stp>
        <stp>IS_SH_FOR_DILUTED_EPS</stp>
        <stp>FQ4 2013</stp>
        <stp>FQ4 2013</stp>
        <stp>[FA1_m42y3cpi.xlsx]Income - Adjusted!R54C24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4" s="2"/>
      </tp>
      <tp>
        <v>4270</v>
        <stp/>
        <stp>##V3_BDHV12</stp>
        <stp>XOM US Equity</stp>
        <stp>IS_SH_FOR_DILUTED_EPS</stp>
        <stp>FQ4 2017</stp>
        <stp>FQ4 2017</stp>
        <stp>[FA1_m42y3cpi.xlsx]Income - Adjusted!R54C40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4" s="2"/>
      </tp>
      <tp>
        <v>-5512</v>
        <stp/>
        <stp>##V3_BDHV12</stp>
        <stp>XOM US Equity</stp>
        <stp>CF_DECR_CAP_STOCK</stp>
        <stp>FQ2 2011</stp>
        <stp>FQ2 2011</stp>
        <stp>[FA1_m42y3cpi.xlsx]Cash Flow - Standardized!R46C14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6" s="4"/>
      </tp>
      <tp>
        <v>-3860</v>
        <stp/>
        <stp>##V3_BDHV12</stp>
        <stp>XOM US Equity</stp>
        <stp>CF_DECR_CAP_STOCK</stp>
        <stp>FQ1 2014</stp>
        <stp>FQ1 2014</stp>
        <stp>[FA1_m42y3cpi.xlsx]Cash Flow - Standardized!R46C25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6" s="4"/>
      </tp>
      <tp>
        <v>-1568</v>
        <stp/>
        <stp>##V3_BDHV12</stp>
        <stp>XOM US Equity</stp>
        <stp>CF_DECR_CAP_STOCK</stp>
        <stp>FQ2 2010</stp>
        <stp>FQ2 2010</stp>
        <stp>[FA1_m42y3cpi.xlsx]Cash Flow - Standardized!R46C10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6" s="4"/>
      </tp>
      <tp>
        <v>-5621</v>
        <stp/>
        <stp>##V3_BDHV12</stp>
        <stp>XOM US Equity</stp>
        <stp>CF_DECR_CAP_STOCK</stp>
        <stp>FQ1 2013</stp>
        <stp>FQ1 2013</stp>
        <stp>[FA1_m42y3cpi.xlsx]Cash Flow - Standardized!R46C21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6" s="4"/>
      </tp>
      <tp>
        <v>-1781</v>
        <stp/>
        <stp>##V3_BDHV12</stp>
        <stp>XOM US Equity</stp>
        <stp>CF_DECR_CAP_STOCK</stp>
        <stp>FQ1 2015</stp>
        <stp>FQ1 2015</stp>
        <stp>[FA1_m42y3cpi.xlsx]Cash Flow - Standardized!R46C29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6" s="4"/>
      </tp>
      <tp>
        <v>-5012</v>
        <stp/>
        <stp>##V3_BDHV12</stp>
        <stp>XOM US Equity</stp>
        <stp>CF_DECR_CAP_STOCK</stp>
        <stp>FQ2 2012</stp>
        <stp>FQ2 2012</stp>
        <stp>[FA1_m42y3cpi.xlsx]Cash Flow - Standardized!R46C18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6" s="4"/>
      </tp>
      <tp>
        <v>2.3241999999999998</v>
        <stp/>
        <stp>##V3_BDHV12</stp>
        <stp>XOM US Equity</stp>
        <stp>CHG_PCT_PERIOD</stp>
        <stp>FQ1 2012</stp>
        <stp>FQ1 2012</stp>
        <stp>[FA1_m42y3cpi.xlsx]Stock Value!R7C17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6"/>
      </tp>
      <tp>
        <v>-9.1402999999999999</v>
        <stp/>
        <stp>##V3_BDHV12</stp>
        <stp>XOM US Equity</stp>
        <stp>CHG_PCT_PERIOD</stp>
        <stp>FQ1 2017</stp>
        <stp>FQ1 2017</stp>
        <stp>[FA1_m42y3cpi.xlsx]Stock Value!R7C37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" s="6"/>
      </tp>
      <tp>
        <v>-6.5852000000000004</v>
        <stp/>
        <stp>##V3_BDHV12</stp>
        <stp>XOM US Equity</stp>
        <stp>CHG_PCT_PERIOD</stp>
        <stp>FQ3 2014</stp>
        <stp>FQ3 2014</stp>
        <stp>[FA1_m42y3cpi.xlsx]Stock Value!R7C27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6"/>
      </tp>
      <tp>
        <v>4181</v>
        <stp/>
        <stp>##V3_BDHV12</stp>
        <stp>XOM US Equity</stp>
        <stp>BS_SH_OUT</stp>
        <stp>FQ1 2015</stp>
        <stp>FQ1 2015</stp>
        <stp>[FA1_m42y3cpi.xlsx]Bal Sheet - Standardized!R79C29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9" s="3"/>
      </tp>
      <tp>
        <v>4237</v>
        <stp/>
        <stp>##V3_BDHV12</stp>
        <stp>XOM US Equity</stp>
        <stp>BS_SH_OUT</stp>
        <stp>FQ3 2017</stp>
        <stp>FQ3 2017</stp>
        <stp>[FA1_m42y3cpi.xlsx]Bal Sheet - Standardized!R79C39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9" s="3"/>
      </tp>
      <tp>
        <v>4237</v>
        <stp/>
        <stp>##V3_BDHV12</stp>
        <stp>XOM US Equity</stp>
        <stp>BS_SH_OUT</stp>
        <stp>FQ2 2017</stp>
        <stp>FQ2 2017</stp>
        <stp>[FA1_m42y3cpi.xlsx]Bal Sheet - Standardized!R79C38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9" s="3"/>
      </tp>
      <tp>
        <v>2.9241000000000001</v>
        <stp/>
        <stp>##V3_BDHV12</stp>
        <stp>XOM US Equity</stp>
        <stp>CASH_FLOW_PER_SH</stp>
        <stp>FQ3 2012</stp>
        <stp>FQ3 2012</stp>
        <stp>[FA1_m42y3cpi.xlsx]Per Share!R22C19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2" s="5"/>
      </tp>
      <tp>
        <v>2274.33</v>
        <stp/>
        <stp>##V3_BDHV12</stp>
        <stp>XOM US Equity</stp>
        <stp>IS_TOT_CASH_COM_DVD</stp>
        <stp>FQ3 2011</stp>
        <stp>FQ3 2011</stp>
        <stp>[FA1_m42y3cpi.xlsx]Income - Adjusted!R70C15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0" s="2"/>
      </tp>
      <tp>
        <v>4722</v>
        <stp/>
        <stp>##V3_BDHV12</stp>
        <stp>XOM US Equity</stp>
        <stp>IS_AVG_NUM_SH_FOR_EPS</stp>
        <stp>FQ1 2010</stp>
        <stp>FQ1 2010</stp>
        <stp>[FA1_m42y3cpi.xlsx]Per Share!R8C9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5"/>
      </tp>
      <tp>
        <v>2075.04</v>
        <stp/>
        <stp>##V3_BDHV12</stp>
        <stp>XOM US Equity</stp>
        <stp>IS_TOT_CASH_COM_DVD</stp>
        <stp>FQ2 2010</stp>
        <stp>FQ2 2010</stp>
        <stp>[FA1_m42y3cpi.xlsx]Income - Adjusted!R70C10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0" s="2"/>
      </tp>
      <tp>
        <v>2874</v>
        <stp/>
        <stp>##V3_BDHV12</stp>
        <stp>XOM US Equity</stp>
        <stp>IS_TOT_CASH_COM_DVD</stp>
        <stp>FQ2 2013</stp>
        <stp>FQ2 2013</stp>
        <stp>[FA1_m42y3cpi.xlsx]Income - Adjusted!R70C22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0" s="2"/>
      </tp>
      <tp>
        <v>2040.8</v>
        <stp/>
        <stp>##V3_BDHV12</stp>
        <stp>XOM US Equity</stp>
        <stp>IS_TOT_CASH_COM_DVD</stp>
        <stp>FQ3 2008</stp>
        <stp>FQ3 2008</stp>
        <stp>[FA1_m42y3cpi.xlsx]Income - Adjusted!R70C3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0" s="2"/>
      </tp>
      <tp>
        <v>16.829000000000001</v>
        <stp/>
        <stp>##V3_BDHV12</stp>
        <stp>XOM US Equity</stp>
        <stp>REVENUE_PER_SH</stp>
        <stp>FQ4 2009</stp>
        <stp>FQ4 2009</stp>
        <stp>[FA1_m42y3cpi.xlsx]Per Share!R11C8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1" s="5"/>
      </tp>
      <tp>
        <v>15.3188</v>
        <stp/>
        <stp>##V3_BDHV12</stp>
        <stp>XOM US Equity</stp>
        <stp>REVENUE_PER_SH</stp>
        <stp>FQ3 2009</stp>
        <stp>FQ3 2009</stp>
        <stp>[FA1_m42y3cpi.xlsx]Per Share!R11C7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1" s="5"/>
      </tp>
      <tp>
        <v>13.5953</v>
        <stp/>
        <stp>##V3_BDHV12</stp>
        <stp>XOM US Equity</stp>
        <stp>REVENUE_PER_SH</stp>
        <stp>FQ2 2009</stp>
        <stp>FQ2 2009</stp>
        <stp>[FA1_m42y3cpi.xlsx]Per Share!R11C6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1" s="5"/>
      </tp>
      <tp>
        <v>11.3879</v>
        <stp/>
        <stp>##V3_BDHV12</stp>
        <stp>XOM US Equity</stp>
        <stp>REVENUE_PER_SH</stp>
        <stp>FQ1 2009</stp>
        <stp>FQ1 2009</stp>
        <stp>[FA1_m42y3cpi.xlsx]Per Share!R11C5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1" s="5"/>
      </tp>
      <tp>
        <v>2009.28</v>
        <stp/>
        <stp>##V3_BDHV12</stp>
        <stp>XOM US Equity</stp>
        <stp>IS_TOT_CASH_COM_DVD</stp>
        <stp>FQ3 2009</stp>
        <stp>FQ3 2009</stp>
        <stp>[FA1_m42y3cpi.xlsx]Income - Adjusted!R70C7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0" s="2"/>
      </tp>
      <tp>
        <v>2787</v>
        <stp/>
        <stp>##V3_BDHV12</stp>
        <stp>XOM US Equity</stp>
        <stp>BS_ST_BORROW</stp>
        <stp>FQ4 2010</stp>
        <stp>FQ4 2010</stp>
        <stp>[FA1_m42y3cpi.xlsx]Bal Sheet - Standardized!R47C12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3"/>
      </tp>
      <tp>
        <v>0</v>
        <stp/>
        <stp>##V3_BDHV12</stp>
        <stp>XOM US Equity</stp>
        <stp>IS_TOT_CASH_PFD_DVD</stp>
        <stp>FQ3 2011</stp>
        <stp>FQ3 2011</stp>
        <stp>[FA1_m42y3cpi.xlsx]Income - Adjusted!R41C15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1" s="2"/>
      </tp>
      <tp>
        <v>7711</v>
        <stp/>
        <stp>##V3_BDHV12</stp>
        <stp>XOM US Equity</stp>
        <stp>BS_ST_BORROW</stp>
        <stp>FQ4 2011</stp>
        <stp>FQ4 2011</stp>
        <stp>[FA1_m42y3cpi.xlsx]Bal Sheet - Standardized!R47C16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3"/>
      </tp>
      <tp>
        <v>4169</v>
        <stp/>
        <stp>##V3_BDHV12</stp>
        <stp>XOM US Equity</stp>
        <stp>BS_OTHER_INV</stp>
        <stp>FQ1 2018</stp>
        <stp>FQ1 2018</stp>
        <stp>[FA1_m42y3cpi.xlsx]Bal Sheet - Standardized!R17C41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7" s="3"/>
      </tp>
      <tp>
        <v>0</v>
        <stp/>
        <stp>##V3_BDHV12</stp>
        <stp>XOM US Equity</stp>
        <stp>IS_TOT_CASH_PFD_DVD</stp>
        <stp>FQ2 2010</stp>
        <stp>FQ2 2010</stp>
        <stp>[FA1_m42y3cpi.xlsx]Income - Adjusted!R41C10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1" s="2"/>
      </tp>
      <tp>
        <v>0</v>
        <stp/>
        <stp>##V3_BDHV12</stp>
        <stp>XOM US Equity</stp>
        <stp>IS_TOT_CASH_PFD_DVD</stp>
        <stp>FQ2 2013</stp>
        <stp>FQ2 2013</stp>
        <stp>[FA1_m42y3cpi.xlsx]Income - Adjusted!R41C22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1" s="2"/>
      </tp>
      <tp>
        <v>3124</v>
        <stp/>
        <stp>##V3_BDHV12</stp>
        <stp>XOM US Equity</stp>
        <stp>BS_OTHER_INV</stp>
        <stp>FQ4 2010</stp>
        <stp>FQ4 2010</stp>
        <stp>[FA1_m42y3cpi.xlsx]Bal Sheet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3"/>
      </tp>
      <tp>
        <v>173830</v>
        <stp/>
        <stp>##V3_BDHV12</stp>
        <stp>XOM US Equity</stp>
        <stp>TOTAL_EQUITY</stp>
        <stp>FQ4 2016</stp>
        <stp>FQ4 2016</stp>
        <stp>[FA1_m42y3cpi.xlsx]Bal Sheet - Standardized!R74C36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4" s="3"/>
      </tp>
      <tp>
        <v>93.36</v>
        <stp/>
        <stp>##V3_BDHV12</stp>
        <stp>XOM US Equity</stp>
        <stp>PX_OPEN</stp>
        <stp>FQ3 2016</stp>
        <stp>FQ3 2016</stp>
        <stp>[FA1_m42y3cpi.xlsx]Stock Value!R8C35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6"/>
      </tp>
      <tp>
        <v>81.19</v>
        <stp/>
        <stp>##V3_BDHV12</stp>
        <stp>XOM US Equity</stp>
        <stp>PX_OPEN</stp>
        <stp>FQ3 2011</stp>
        <stp>FQ3 2011</stp>
        <stp>[FA1_m42y3cpi.xlsx]Stock Value!R8C15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6"/>
      </tp>
      <tp>
        <v>100.6</v>
        <stp/>
        <stp>##V3_BDHV12</stp>
        <stp>XOM US Equity</stp>
        <stp>PX_OPEN</stp>
        <stp>FQ1 2014</stp>
        <stp>FQ1 2014</stp>
        <stp>[FA1_m42y3cpi.xlsx]Stock Value!R8C25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6"/>
      </tp>
      <tp>
        <v>3359</v>
        <stp/>
        <stp>##V3_BDHV12</stp>
        <stp>XOM US Equity</stp>
        <stp>BS_OTHER_INV</stp>
        <stp>FQ4 2011</stp>
        <stp>FQ4 2011</stp>
        <stp>[FA1_m42y3cpi.xlsx]Bal Sheet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3"/>
      </tp>
      <tp>
        <v>87.94</v>
        <stp/>
        <stp>##V3_BDHV12</stp>
        <stp>XOM US Equity</stp>
        <stp>PX_HIGH</stp>
        <stp>FQ1 2012</stp>
        <stp>FQ1 2012</stp>
        <stp>[FA1_m42y3cpi.xlsx]Stock Value!R9C17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9" s="6"/>
      </tp>
      <tp>
        <v>91.34</v>
        <stp/>
        <stp>##V3_BDHV12</stp>
        <stp>XOM US Equity</stp>
        <stp>PX_HIGH</stp>
        <stp>FQ1 2017</stp>
        <stp>FQ1 2017</stp>
        <stp>[FA1_m42y3cpi.xlsx]Stock Value!R9C37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9" s="6"/>
      </tp>
      <tp>
        <v>19836</v>
        <stp/>
        <stp>##V3_BDHV12</stp>
        <stp>XOM US Equity</stp>
        <stp>BS_ST_BORROW</stp>
        <stp>FQ1 2018</stp>
        <stp>FQ1 2018</stp>
        <stp>[FA1_m42y3cpi.xlsx]Bal Sheet - Standardized!R47C41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7" s="3"/>
      </tp>
      <tp>
        <v>176810</v>
        <stp/>
        <stp>##V3_BDHV12</stp>
        <stp>XOM US Equity</stp>
        <stp>TOTAL_EQUITY</stp>
        <stp>FQ4 2015</stp>
        <stp>FQ4 2015</stp>
        <stp>[FA1_m42y3cpi.xlsx]Bal Sheet - Standardized!R74C32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4" s="3"/>
      </tp>
      <tp>
        <v>104.76</v>
        <stp/>
        <stp>##V3_BDHV12</stp>
        <stp>XOM US Equity</stp>
        <stp>PX_HIGH</stp>
        <stp>FQ3 2014</stp>
        <stp>FQ3 2014</stp>
        <stp>[FA1_m42y3cpi.xlsx]Stock Value!R9C27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9" s="6"/>
      </tp>
      <tp>
        <v>37.562100000000001</v>
        <stp/>
        <stp>##V3_BDHV12</stp>
        <stp>XOM US Equity</stp>
        <stp>BOOK_VAL_PER_SH</stp>
        <stp>FQ1 2013</stp>
        <stp>FQ1 2013</stp>
        <stp>[FA1_m42y3cpi.xlsx]Per Share!R26C21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6" s="5"/>
      </tp>
      <tp>
        <v>30.751100000000001</v>
        <stp/>
        <stp>##V3_BDHV12</stp>
        <stp>XOM US Equity</stp>
        <stp>BOOK_VAL_PER_SH</stp>
        <stp>FQ1 2011</stp>
        <stp>FQ1 2011</stp>
        <stp>[FA1_m42y3cpi.xlsx]Per Share!R26C13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6" s="5"/>
      </tp>
      <tp>
        <v>41.136000000000003</v>
        <stp/>
        <stp>##V3_BDHV12</stp>
        <stp>XOM US Equity</stp>
        <stp>BOOK_VAL_PER_SH</stp>
        <stp>FQ2 2016</stp>
        <stp>FQ2 2016</stp>
        <stp>[FA1_m42y3cpi.xlsx]Per Share!R26C34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6" s="5"/>
      </tp>
      <tp>
        <v>42.474800000000002</v>
        <stp/>
        <stp>##V3_BDHV12</stp>
        <stp>XOM US Equity</stp>
        <stp>BOOK_VAL_PER_SH</stp>
        <stp>FQ2 2014</stp>
        <stp>FQ2 2014</stp>
        <stp>[FA1_m42y3cpi.xlsx]Per Share!R26C26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6" s="5"/>
      </tp>
      <tp>
        <v>36.842100000000002</v>
        <stp/>
        <stp>##V3_BDHV12</stp>
        <stp>XOM US Equity</stp>
        <stp>BOOK_VAL_PER_SH</stp>
        <stp>FQ4 2012</stp>
        <stp>FQ4 2012</stp>
        <stp>[FA1_m42y3cpi.xlsx]Per Share!R26C20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6" s="5"/>
      </tp>
      <tp>
        <v>29.491700000000002</v>
        <stp/>
        <stp>##V3_BDHV12</stp>
        <stp>XOM US Equity</stp>
        <stp>BOOK_VAL_PER_SH</stp>
        <stp>FQ4 2010</stp>
        <stp>FQ4 2010</stp>
        <stp>[FA1_m42y3cpi.xlsx]Per Share!R26C12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6" s="5"/>
      </tp>
      <tp>
        <v>0.93</v>
        <stp/>
        <stp>##V3_BDHV12</stp>
        <stp>XOM US Equity</stp>
        <stp>IS_BASIC_EPS_CONT_OPS</stp>
        <stp>FQ3 2017</stp>
        <stp>FQ3 2017</stp>
        <stp>[FA1_m42y3cpi.xlsx]Income - Adjusted!R52C39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2" s="2"/>
      </tp>
      <tp>
        <v>2.59</v>
        <stp/>
        <stp>##V3_BDHV12</stp>
        <stp>XOM US Equity</stp>
        <stp>IS_DIL_EPS_CONT_OPS</stp>
        <stp>FQ3 2008</stp>
        <stp>FQ3 2008</stp>
        <stp>[FA1_m42y3cpi.xlsx]Per Share!R19C3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9" s="5"/>
      </tp>
      <tp>
        <v>1.55</v>
        <stp/>
        <stp>##V3_BDHV12</stp>
        <stp>XOM US Equity</stp>
        <stp>IS_DIL_EPS_CONT_OPS</stp>
        <stp>FQ4 2008</stp>
        <stp>FQ4 2008</stp>
        <stp>[FA1_m42y3cpi.xlsx]Per Share!R19C4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9" s="5"/>
      </tp>
      <tp>
        <v>4843</v>
        <stp/>
        <stp>##V3_BDHV12</stp>
        <stp>XOM US Equity</stp>
        <stp>IS_SH_FOR_DILUTED_EPS</stp>
        <stp>FQ3 2011</stp>
        <stp>FQ3 2011</stp>
        <stp>[FA1_m42y3cpi.xlsx]Income - Adjusted!R54C15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4" s="2"/>
      </tp>
      <tp>
        <v>4190</v>
        <stp/>
        <stp>##V3_BDHV12</stp>
        <stp>XOM US Equity</stp>
        <stp>IS_SH_FOR_DILUTED_EPS</stp>
        <stp>FQ3 2015</stp>
        <stp>FQ3 2015</stp>
        <stp>[FA1_m42y3cpi.xlsx]Income - Adjusted!R54C31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4" s="2"/>
      </tp>
      <tp>
        <v>-5704</v>
        <stp/>
        <stp>##V3_BDHV12</stp>
        <stp>XOM US Equity</stp>
        <stp>CF_DECR_CAP_STOCK</stp>
        <stp>FQ1 2012</stp>
        <stp>FQ1 2012</stp>
        <stp>[FA1_m42y3cpi.xlsx]Cash Flow - Standardized!R46C17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6" s="4"/>
      </tp>
      <tp>
        <v>3177</v>
        <stp/>
        <stp>##V3_BDHV12</stp>
        <stp>XOM US Equity</stp>
        <stp>CF_DEPR_AMORT</stp>
        <stp>FQ4 2008</stp>
        <stp>FQ4 2008</stp>
        <stp>[FA1_m42y3cpi.xlsx]Cash Flow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4"/>
      </tp>
      <tp>
        <v>-501</v>
        <stp/>
        <stp>##V3_BDHV12</stp>
        <stp>XOM US Equity</stp>
        <stp>CF_DECR_CAP_STOCK</stp>
        <stp>FQ3 2015</stp>
        <stp>FQ3 2015</stp>
        <stp>[FA1_m42y3cpi.xlsx]Cash Flow - Standardized!R46C31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6" s="4"/>
      </tp>
      <tp>
        <v>3008</v>
        <stp/>
        <stp>##V3_BDHV12</stp>
        <stp>XOM US Equity</stp>
        <stp>CF_DEPR_AMORT</stp>
        <stp>FQ3 2008</stp>
        <stp>FQ3 2008</stp>
        <stp>[FA1_m42y3cpi.xlsx]Cash Flow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4"/>
      </tp>
      <tp>
        <v>-1</v>
        <stp/>
        <stp>##V3_BDHV12</stp>
        <stp>XOM US Equity</stp>
        <stp>CF_DECR_CAP_STOCK</stp>
        <stp>FQ3 2016</stp>
        <stp>FQ3 2016</stp>
        <stp>[FA1_m42y3cpi.xlsx]Cash Flow - Standardized!R46C35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6" s="4"/>
      </tp>
      <tp>
        <v>-3003</v>
        <stp/>
        <stp>##V3_BDHV12</stp>
        <stp>XOM US Equity</stp>
        <stp>CF_DECR_CAP_STOCK</stp>
        <stp>FQ2 2014</stp>
        <stp>FQ2 2014</stp>
        <stp>[FA1_m42y3cpi.xlsx]Cash Flow - Standardized!R46C26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6" s="4"/>
      </tp>
      <tp>
        <v>0.47</v>
        <stp/>
        <stp>##V3_BDHV12</stp>
        <stp>XOM US Equity</stp>
        <stp>EQY_DPS</stp>
        <stp>FQ1 2012</stp>
        <stp>FQ1 2012</stp>
        <stp>[FA1_m42y3cpi.xlsx]Income - Adjusted!R69C17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9" s="2"/>
      </tp>
      <tp>
        <v>0.73</v>
        <stp/>
        <stp>##V3_BDHV12</stp>
        <stp>XOM US Equity</stp>
        <stp>EQY_DPS</stp>
        <stp>FQ1 2016</stp>
        <stp>FQ1 2016</stp>
        <stp>[FA1_m42y3cpi.xlsx]Income - Adjusted!R69C33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9" s="2"/>
      </tp>
      <tp>
        <v>0.47</v>
        <stp/>
        <stp>##V3_BDHV12</stp>
        <stp>XOM US Equity</stp>
        <stp>EQY_DPS</stp>
        <stp>FQ2 2011</stp>
        <stp>FQ2 2011</stp>
        <stp>[FA1_m42y3cpi.xlsx]Income - Adjusted!R69C14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9" s="2"/>
      </tp>
      <tp>
        <v>0.73</v>
        <stp/>
        <stp>##V3_BDHV12</stp>
        <stp>XOM US Equity</stp>
        <stp>EQY_DPS</stp>
        <stp>FQ2 2015</stp>
        <stp>FQ2 2015</stp>
        <stp>[FA1_m42y3cpi.xlsx]Income - Adjusted!R69C30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9" s="2"/>
      </tp>
      <tp>
        <v>-232</v>
        <stp/>
        <stp>##V3_BDHV12</stp>
        <stp>XOM US Equity</stp>
        <stp>CF_DECR_CAP_STOCK</stp>
        <stp>FQ4 2017</stp>
        <stp>FQ4 2017</stp>
        <stp>[FA1_m42y3cpi.xlsx]Cash Flow - Standardized!R46C40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6" s="4"/>
      </tp>
      <tp>
        <v>-4031</v>
        <stp/>
        <stp>##V3_BDHV12</stp>
        <stp>XOM US Equity</stp>
        <stp>CF_DECR_CAP_STOCK</stp>
        <stp>FQ2 2013</stp>
        <stp>FQ2 2013</stp>
        <stp>[FA1_m42y3cpi.xlsx]Cash Flow - Standardized!R46C22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6" s="4"/>
      </tp>
      <tp>
        <v>-5653</v>
        <stp/>
        <stp>##V3_BDHV12</stp>
        <stp>XOM US Equity</stp>
        <stp>CF_DECR_CAP_STOCK</stp>
        <stp>FQ1 2011</stp>
        <stp>FQ1 2011</stp>
        <stp>[FA1_m42y3cpi.xlsx]Cash Flow - Standardized!R46C13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6" s="4"/>
      </tp>
      <tp>
        <v>-1</v>
        <stp/>
        <stp>##V3_BDHV12</stp>
        <stp>XOM US Equity</stp>
        <stp>CF_DECR_CAP_STOCK</stp>
        <stp>FQ3 2017</stp>
        <stp>FQ3 2017</stp>
        <stp>[FA1_m42y3cpi.xlsx]Cash Flow - Standardized!R46C39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6" s="4"/>
      </tp>
      <tp>
        <v>-1756</v>
        <stp/>
        <stp>##V3_BDHV12</stp>
        <stp>XOM US Equity</stp>
        <stp>CF_FREE_CASH_FLOW</stp>
        <stp>FQ4 2015</stp>
        <stp>FQ4 2015</stp>
        <stp>[FA1_m42y3cpi.xlsx]Cash Flow - Standardized!R63C32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3" s="4"/>
      </tp>
      <tp>
        <v>-3.2688000000000001</v>
        <stp/>
        <stp>##V3_BDHV12</stp>
        <stp>XOM US Equity</stp>
        <stp>CHG_PCT_PERIOD</stp>
        <stp>FQ2 2011</stp>
        <stp>FQ2 2011</stp>
        <stp>[FA1_m42y3cpi.xlsx]Stock Value!R7C14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6"/>
      </tp>
      <tp>
        <v>12.1426</v>
        <stp/>
        <stp>##V3_BDHV12</stp>
        <stp>XOM US Equity</stp>
        <stp>CHG_PCT_PERIOD</stp>
        <stp>FQ2 2016</stp>
        <stp>FQ2 2016</stp>
        <stp>[FA1_m42y3cpi.xlsx]Stock Value!R7C34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6"/>
      </tp>
      <tp>
        <v>17.619700000000002</v>
        <stp/>
        <stp>##V3_BDHV12</stp>
        <stp>XOM US Equity</stp>
        <stp>CHG_PCT_PERIOD</stp>
        <stp>FQ4 2013</stp>
        <stp>FQ4 2013</stp>
        <stp>[FA1_m42y3cpi.xlsx]Stock Value!R7C24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6"/>
      </tp>
      <tp>
        <v>3509</v>
        <stp/>
        <stp>##V3_BDHV12</stp>
        <stp>XOM US Equity</stp>
        <stp>CF_FREE_CASH_FLOW</stp>
        <stp>FQ4 2016</stp>
        <stp>FQ4 2016</stp>
        <stp>[FA1_m42y3cpi.xlsx]Cash Flow - Standardized!R63C36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3" s="4"/>
      </tp>
      <tp>
        <v>3321</v>
        <stp/>
        <stp>##V3_BDHV12</stp>
        <stp>XOM US Equity</stp>
        <stp>BS_NUM_OF_TSY_SH</stp>
        <stp>FQ1 2010</stp>
        <stp>FQ1 2010</stp>
        <stp>[FA1_m42y3cpi.xlsx]Bal Sheet - Standardized!R80C9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0" s="3"/>
      </tp>
      <tp>
        <v>3054</v>
        <stp/>
        <stp>##V3_BDHV12</stp>
        <stp>XOM US Equity</stp>
        <stp>IS_TOT_CASH_COM_DVD</stp>
        <stp>FQ4 2015</stp>
        <stp>FQ4 2015</stp>
        <stp>[FA1_m42y3cpi.xlsx]Income - Adjusted!R70C32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0" s="2"/>
      </tp>
      <tp>
        <v>2305.8200000000002</v>
        <stp/>
        <stp>##V3_BDHV12</stp>
        <stp>XOM US Equity</stp>
        <stp>IS_TOT_CASH_COM_DVD</stp>
        <stp>FQ2 2011</stp>
        <stp>FQ2 2011</stp>
        <stp>[FA1_m42y3cpi.xlsx]Income - Adjusted!R70C14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0" s="2"/>
      </tp>
      <tp>
        <v>2317</v>
        <stp/>
        <stp>##V3_BDHV12</stp>
        <stp>XOM US Equity</stp>
        <stp>IS_TOT_CASH_COM_DVD</stp>
        <stp>FQ1 2012</stp>
        <stp>FQ1 2012</stp>
        <stp>[FA1_m42y3cpi.xlsx]Income - Adjusted!R70C17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0" s="2"/>
      </tp>
      <tp>
        <v>2768.85</v>
        <stp/>
        <stp>##V3_BDHV12</stp>
        <stp>XOM US Equity</stp>
        <stp>IS_TOT_CASH_COM_DVD</stp>
        <stp>FQ3 2013</stp>
        <stp>FQ3 2013</stp>
        <stp>[FA1_m42y3cpi.xlsx]Income - Adjusted!R70C23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0" s="2"/>
      </tp>
      <tp>
        <v>2233.44</v>
        <stp/>
        <stp>##V3_BDHV12</stp>
        <stp>XOM US Equity</stp>
        <stp>IS_TOT_CASH_COM_DVD</stp>
        <stp>FQ3 2010</stp>
        <stp>FQ3 2010</stp>
        <stp>[FA1_m42y3cpi.xlsx]Income - Adjusted!R70C11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0" s="2"/>
      </tp>
      <tp>
        <v>1.33</v>
        <stp/>
        <stp>##V3_BDHV12</stp>
        <stp>XOM US Equity</stp>
        <stp>IS_EPS</stp>
        <stp>FQ1 2010</stp>
        <stp>FQ1 2010</stp>
        <stp>[FA1_m42y3cpi.xlsx]Per Share!R14C9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4" s="5"/>
      </tp>
      <tp>
        <v>2924</v>
        <stp/>
        <stp>##V3_BDHV12</stp>
        <stp>XOM US Equity</stp>
        <stp>IS_TOT_CASH_COM_DVD</stp>
        <stp>FQ4 2014</stp>
        <stp>FQ4 2014</stp>
        <stp>[FA1_m42y3cpi.xlsx]Income - Adjusted!R70C28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0" s="2"/>
      </tp>
      <tp>
        <v>14.712999999999999</v>
        <stp/>
        <stp>##V3_BDHV12</stp>
        <stp>XOM US Equity</stp>
        <stp>REVENUE_PER_SH</stp>
        <stp>FQ4 2008</stp>
        <stp>FQ4 2008</stp>
        <stp>[FA1_m42y3cpi.xlsx]Per Share!R11C4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1" s="5"/>
      </tp>
      <tp>
        <v>24.0608</v>
        <stp/>
        <stp>##V3_BDHV12</stp>
        <stp>XOM US Equity</stp>
        <stp>REVENUE_PER_SH</stp>
        <stp>FQ3 2008</stp>
        <stp>FQ3 2008</stp>
        <stp>[FA1_m42y3cpi.xlsx]Per Share!R11C3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1" s="5"/>
      </tp>
      <tp>
        <v>2039</v>
        <stp/>
        <stp>##V3_BDHV12</stp>
        <stp>XOM US Equity</stp>
        <stp>IS_TOT_CASH_COM_DVD</stp>
        <stp>FQ2 2009</stp>
        <stp>FQ2 2009</stp>
        <stp>[FA1_m42y3cpi.xlsx]Income - Adjusted!R70C6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0" s="2"/>
      </tp>
      <tp>
        <v>0</v>
        <stp/>
        <stp>##V3_BDHV12</stp>
        <stp>XOM US Equity</stp>
        <stp>IS_TOT_CASH_PFD_DVD</stp>
        <stp>FQ4 2015</stp>
        <stp>FQ4 2015</stp>
        <stp>[FA1_m42y3cpi.xlsx]Income - Adjusted!R41C32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1" s="2"/>
      </tp>
      <tp>
        <v>0</v>
        <stp/>
        <stp>##V3_BDHV12</stp>
        <stp>XOM US Equity</stp>
        <stp>IS_TOT_CASH_PFD_DVD</stp>
        <stp>FQ2 2011</stp>
        <stp>FQ2 2011</stp>
        <stp>[FA1_m42y3cpi.xlsx]Income - Adjusted!R41C14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1" s="2"/>
      </tp>
      <tp>
        <v>0</v>
        <stp/>
        <stp>##V3_BDHV12</stp>
        <stp>XOM US Equity</stp>
        <stp>IS_TOT_CASH_PFD_DVD</stp>
        <stp>FQ1 2012</stp>
        <stp>FQ1 2012</stp>
        <stp>[FA1_m42y3cpi.xlsx]Income - Adjusted!R41C17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1" s="2"/>
      </tp>
      <tp>
        <v>193533</v>
        <stp/>
        <stp>##V3_BDHV12</stp>
        <stp>XOM US Equity</stp>
        <stp>TOTAL_EQUITY</stp>
        <stp>FQ2 2018</stp>
        <stp>FQ2 2018</stp>
        <stp>[FA1_m42y3cpi.xlsx]Bal Sheet - Standardized!R74C42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4" s="3"/>
      </tp>
      <tp>
        <v>181064</v>
        <stp/>
        <stp>##V3_BDHV12</stp>
        <stp>XOM US Equity</stp>
        <stp>TOTAL_EQUITY</stp>
        <stp>FQ4 2014</stp>
        <stp>FQ4 2014</stp>
        <stp>[FA1_m42y3cpi.xlsx]Bal Sheet - Standardized!R74C28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4" s="3"/>
      </tp>
      <tp>
        <v>0</v>
        <stp/>
        <stp>##V3_BDHV12</stp>
        <stp>XOM US Equity</stp>
        <stp>IS_TOT_CASH_PFD_DVD</stp>
        <stp>FQ3 2013</stp>
        <stp>FQ3 2013</stp>
        <stp>[FA1_m42y3cpi.xlsx]Income - Adjusted!R41C23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1" s="2"/>
      </tp>
      <tp>
        <v>0</v>
        <stp/>
        <stp>##V3_BDHV12</stp>
        <stp>XOM US Equity</stp>
        <stp>IS_TOT_CASH_PFD_DVD</stp>
        <stp>FQ3 2010</stp>
        <stp>FQ3 2010</stp>
        <stp>[FA1_m42y3cpi.xlsx]Income - Adjusted!R41C11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1" s="2"/>
      </tp>
      <tp>
        <v>93.215000000000003</v>
        <stp/>
        <stp>##V3_BDHV12</stp>
        <stp>XOM US Equity</stp>
        <stp>PX_HIGH</stp>
        <stp>FQ4 2016</stp>
        <stp>FQ4 2016</stp>
        <stp>[FA1_m42y3cpi.xlsx]Stock Value!R9C36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9" s="6"/>
      </tp>
      <tp>
        <v>85.63</v>
        <stp/>
        <stp>##V3_BDHV12</stp>
        <stp>XOM US Equity</stp>
        <stp>PX_HIGH</stp>
        <stp>FQ4 2011</stp>
        <stp>FQ4 2011</stp>
        <stp>[FA1_m42y3cpi.xlsx]Stock Value!R9C16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9" s="6"/>
      </tp>
      <tp>
        <v>82.4</v>
        <stp/>
        <stp>##V3_BDHV12</stp>
        <stp>XOM US Equity</stp>
        <stp>PX_OPEN</stp>
        <stp>FQ2 2016</stp>
        <stp>FQ2 2016</stp>
        <stp>[FA1_m42y3cpi.xlsx]Stock Value!R8C34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6"/>
      </tp>
      <tp>
        <v>84.72</v>
        <stp/>
        <stp>##V3_BDHV12</stp>
        <stp>XOM US Equity</stp>
        <stp>PX_OPEN</stp>
        <stp>FQ2 2011</stp>
        <stp>FQ2 2011</stp>
        <stp>[FA1_m42y3cpi.xlsx]Stock Value!R8C14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6"/>
      </tp>
      <tp>
        <v>171660</v>
        <stp/>
        <stp>##V3_BDHV12</stp>
        <stp>XOM US Equity</stp>
        <stp>TOTAL_EQUITY</stp>
        <stp>FQ4 2012</stp>
        <stp>FQ4 2012</stp>
        <stp>[FA1_m42y3cpi.xlsx]Bal Sheet - Standardized!R74C20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4" s="3"/>
      </tp>
      <tp>
        <v>0</v>
        <stp/>
        <stp>##V3_BDHV12</stp>
        <stp>XOM US Equity</stp>
        <stp>IS_TOT_CASH_PFD_DVD</stp>
        <stp>FQ4 2014</stp>
        <stp>FQ4 2014</stp>
        <stp>[FA1_m42y3cpi.xlsx]Income - Adjusted!R41C28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1" s="2"/>
      </tp>
      <tp>
        <v>104.61</v>
        <stp/>
        <stp>##V3_BDHV12</stp>
        <stp>XOM US Equity</stp>
        <stp>PX_HIGH</stp>
        <stp>FQ2 2014</stp>
        <stp>FQ2 2014</stp>
        <stp>[FA1_m42y3cpi.xlsx]Stock Value!R9C26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9" s="6"/>
      </tp>
      <tp>
        <v>180495</v>
        <stp/>
        <stp>##V3_BDHV12</stp>
        <stp>XOM US Equity</stp>
        <stp>TOTAL_EQUITY</stp>
        <stp>FQ4 2013</stp>
        <stp>FQ4 2013</stp>
        <stp>[FA1_m42y3cpi.xlsx]Bal Sheet - Standardized!R74C24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4" s="3"/>
      </tp>
      <tp>
        <v>85.99</v>
        <stp/>
        <stp>##V3_BDHV12</stp>
        <stp>XOM US Equity</stp>
        <stp>PX_OPEN</stp>
        <stp>FQ4 2013</stp>
        <stp>FQ4 2013</stp>
        <stp>[FA1_m42y3cpi.xlsx]Stock Value!R8C24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6"/>
      </tp>
      <tp t="s">
        <v>—</v>
        <stp/>
        <stp>##V3_BDHV12</stp>
        <stp>XOM US Equity</stp>
        <stp>NUM_OF_EMPLOYEES</stp>
        <stp>FQ2 2018</stp>
        <stp>FQ2 2018</stp>
        <stp>[FA1_m42y3cpi.xlsx]Bal Sheet - Standardized!R91C42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91" s="3"/>
      </tp>
      <tp t="s">
        <v>—</v>
        <stp/>
        <stp>##V3_BDHV12</stp>
        <stp>XOM US Equity</stp>
        <stp>NUM_OF_EMPLOYEES</stp>
        <stp>FQ1 2018</stp>
        <stp>FQ1 2018</stp>
        <stp>[FA1_m42y3cpi.xlsx]Bal Sheet - Standardized!R91C41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91" s="3"/>
      </tp>
      <tp>
        <v>41.1374</v>
        <stp/>
        <stp>##V3_BDHV12</stp>
        <stp>XOM US Equity</stp>
        <stp>BOOK_VAL_PER_SH</stp>
        <stp>FQ3 2016</stp>
        <stp>FQ3 2016</stp>
        <stp>[FA1_m42y3cpi.xlsx]Per Share!R26C35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6" s="5"/>
      </tp>
      <tp>
        <v>42.641599999999997</v>
        <stp/>
        <stp>##V3_BDHV12</stp>
        <stp>XOM US Equity</stp>
        <stp>BOOK_VAL_PER_SH</stp>
        <stp>FQ3 2014</stp>
        <stp>FQ3 2014</stp>
        <stp>[FA1_m42y3cpi.xlsx]Per Share!R26C27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6" s="5"/>
      </tp>
      <tp t="s">
        <v>—</v>
        <stp/>
        <stp>##V3_BDHV12</stp>
        <stp>XOM US Equity</stp>
        <stp>NUM_OF_EMPLOYEES</stp>
        <stp>FQ2 2012</stp>
        <stp>FQ2 2012</stp>
        <stp>[FA1_m42y3cpi.xlsx]Bal Sheet - Standardized!R91C18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91" s="3"/>
      </tp>
      <tp t="s">
        <v>—</v>
        <stp/>
        <stp>##V3_BDHV12</stp>
        <stp>XOM US Equity</stp>
        <stp>NUM_OF_EMPLOYEES</stp>
        <stp>FQ3 2012</stp>
        <stp>FQ3 2012</stp>
        <stp>[FA1_m42y3cpi.xlsx]Bal Sheet - Standardized!R91C19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91" s="3"/>
      </tp>
      <tp>
        <v>75300</v>
        <stp/>
        <stp>##V3_BDHV12</stp>
        <stp>XOM US Equity</stp>
        <stp>NUM_OF_EMPLOYEES</stp>
        <stp>FQ4 2014</stp>
        <stp>FQ4 2014</stp>
        <stp>[FA1_m42y3cpi.xlsx]Bal Sheet - Standardized!R91C28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91" s="3"/>
      </tp>
      <tp>
        <v>0.78</v>
        <stp/>
        <stp>##V3_BDHV12</stp>
        <stp>XOM US Equity</stp>
        <stp>IS_BASIC_EPS_CONT_OPS</stp>
        <stp>FQ2 2017</stp>
        <stp>FQ2 2017</stp>
        <stp>[FA1_m42y3cpi.xlsx]Income - Adjusted!R52C38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2" s="2"/>
      </tp>
      <tp>
        <v>1.3721999999999999</v>
        <stp/>
        <stp>##V3_BDHV12</stp>
        <stp>XOM US Equity</stp>
        <stp>IS_DIL_EPS_CONT_OPS</stp>
        <stp>FQ1 2010</stp>
        <stp>FQ1 2010</stp>
        <stp>[FA1_m42y3cpi.xlsx]Per Share!R19C9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9" s="5"/>
      </tp>
      <tp>
        <v>4716</v>
        <stp/>
        <stp>##V3_BDHV12</stp>
        <stp>XOM US Equity</stp>
        <stp>IS_SH_FOR_DILUTED_EPS</stp>
        <stp>FQ1 2012</stp>
        <stp>FQ1 2012</stp>
        <stp>[FA1_m42y3cpi.xlsx]Income - Adjusted!R54C17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4" s="2"/>
      </tp>
      <tp>
        <v>4178</v>
        <stp/>
        <stp>##V3_BDHV12</stp>
        <stp>XOM US Equity</stp>
        <stp>IS_SH_FOR_DILUTED_EPS</stp>
        <stp>FQ1 2016</stp>
        <stp>FQ1 2016</stp>
        <stp>[FA1_m42y3cpi.xlsx]Income - Adjusted!R54C33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4" s="2"/>
      </tp>
      <tp>
        <v>4912</v>
        <stp/>
        <stp>##V3_BDHV12</stp>
        <stp>XOM US Equity</stp>
        <stp>IS_SH_FOR_DILUTED_EPS</stp>
        <stp>FQ2 2011</stp>
        <stp>FQ2 2011</stp>
        <stp>[FA1_m42y3cpi.xlsx]Income - Adjusted!R54C14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4" s="2"/>
      </tp>
      <tp>
        <v>4200</v>
        <stp/>
        <stp>##V3_BDHV12</stp>
        <stp>XOM US Equity</stp>
        <stp>IS_SH_FOR_DILUTED_EPS</stp>
        <stp>FQ2 2015</stp>
        <stp>FQ2 2015</stp>
        <stp>[FA1_m42y3cpi.xlsx]Income - Adjusted!R54C30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4" s="2"/>
      </tp>
      <tp>
        <v>2927</v>
        <stp/>
        <stp>##V3_BDHV12</stp>
        <stp>XOM US Equity</stp>
        <stp>CF_DEPR_AMORT</stp>
        <stp>FQ3 2009</stp>
        <stp>FQ3 2009</stp>
        <stp>[FA1_m42y3cpi.xlsx]Cash Flow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4"/>
      </tp>
      <tp>
        <v>3004</v>
        <stp/>
        <stp>##V3_BDHV12</stp>
        <stp>XOM US Equity</stp>
        <stp>CF_DEPR_AMORT</stp>
        <stp>FQ2 2009</stp>
        <stp>FQ2 2009</stp>
        <stp>[FA1_m42y3cpi.xlsx]Cash Flow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4"/>
      </tp>
      <tp>
        <v>2793</v>
        <stp/>
        <stp>##V3_BDHV12</stp>
        <stp>XOM US Equity</stp>
        <stp>CF_DEPR_AMORT</stp>
        <stp>FQ1 2009</stp>
        <stp>FQ1 2009</stp>
        <stp>[FA1_m42y3cpi.xlsx]Cash Flow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4"/>
      </tp>
      <tp>
        <v>-1003</v>
        <stp/>
        <stp>##V3_BDHV12</stp>
        <stp>XOM US Equity</stp>
        <stp>CF_DECR_CAP_STOCK</stp>
        <stp>FQ2 2015</stp>
        <stp>FQ2 2015</stp>
        <stp>[FA1_m42y3cpi.xlsx]Cash Flow - Standardized!R46C30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6" s="4"/>
      </tp>
      <tp>
        <v>-1</v>
        <stp/>
        <stp>##V3_BDHV12</stp>
        <stp>XOM US Equity</stp>
        <stp>CF_DECR_CAP_STOCK</stp>
        <stp>FQ2 2016</stp>
        <stp>FQ2 2016</stp>
        <stp>[FA1_m42y3cpi.xlsx]Cash Flow - Standardized!R46C34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6" s="4"/>
      </tp>
      <tp>
        <v>-3002</v>
        <stp/>
        <stp>##V3_BDHV12</stp>
        <stp>XOM US Equity</stp>
        <stp>CF_DECR_CAP_STOCK</stp>
        <stp>FQ3 2014</stp>
        <stp>FQ3 2014</stp>
        <stp>[FA1_m42y3cpi.xlsx]Cash Flow - Standardized!R46C27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6" s="4"/>
      </tp>
      <tp>
        <v>0.47</v>
        <stp/>
        <stp>##V3_BDHV12</stp>
        <stp>XOM US Equity</stp>
        <stp>EQY_DPS</stp>
        <stp>FQ3 2011</stp>
        <stp>FQ3 2011</stp>
        <stp>[FA1_m42y3cpi.xlsx]Income - Adjusted!R69C15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9" s="2"/>
      </tp>
      <tp>
        <v>0.73</v>
        <stp/>
        <stp>##V3_BDHV12</stp>
        <stp>XOM US Equity</stp>
        <stp>EQY_DPS</stp>
        <stp>FQ3 2015</stp>
        <stp>FQ3 2015</stp>
        <stp>[FA1_m42y3cpi.xlsx]Income - Adjusted!R69C31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9" s="2"/>
      </tp>
      <tp>
        <v>-3044</v>
        <stp/>
        <stp>##V3_BDHV12</stp>
        <stp>XOM US Equity</stp>
        <stp>CF_DECR_CAP_STOCK</stp>
        <stp>FQ3 2013</stp>
        <stp>FQ3 2013</stp>
        <stp>[FA1_m42y3cpi.xlsx]Cash Flow - Standardized!R46C23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6" s="4"/>
      </tp>
      <tp t="s">
        <v>—</v>
        <stp/>
        <stp>##V3_BDHV12</stp>
        <stp>XOM US Equity</stp>
        <stp>BS_OPTIONS_OUTSTANDING</stp>
        <stp>FQ2 2017</stp>
        <stp>FQ2 2017</stp>
        <stp>[FA1_m42y3cpi.xlsx]Bal Sheet - Standardized!R85C38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5" s="3"/>
      </tp>
      <tp t="s">
        <v>—</v>
        <stp/>
        <stp>##V3_BDHV12</stp>
        <stp>XOM US Equity</stp>
        <stp>BS_OPTIONS_OUTSTANDING</stp>
        <stp>FQ3 2017</stp>
        <stp>FQ3 2017</stp>
        <stp>[FA1_m42y3cpi.xlsx]Bal Sheet - Standardized!R85C39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5" s="3"/>
      </tp>
      <tp>
        <v>-13</v>
        <stp/>
        <stp>##V3_BDHV12</stp>
        <stp>XOM US Equity</stp>
        <stp>CF_DECR_CAP_STOCK</stp>
        <stp>FQ2 2017</stp>
        <stp>FQ2 2017</stp>
        <stp>[FA1_m42y3cpi.xlsx]Cash Flow - Standardized!R46C38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6" s="4"/>
      </tp>
      <tp t="s">
        <v>—</v>
        <stp/>
        <stp>##V3_BDHV12</stp>
        <stp>XOM US Equity</stp>
        <stp>BS_OPTIONS_OUTSTANDING</stp>
        <stp>FQ1 2015</stp>
        <stp>FQ1 2015</stp>
        <stp>[FA1_m42y3cpi.xlsx]Bal Sheet - Standardized!R85C29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5" s="3"/>
      </tp>
      <tp>
        <v>3193</v>
        <stp/>
        <stp>##V3_BDHV12</stp>
        <stp>XOM US Equity</stp>
        <stp>CF_DEPR_AMORT</stp>
        <stp>FQ4 2009</stp>
        <stp>FQ4 2009</stp>
        <stp>[FA1_m42y3cpi.xlsx]Cash Flow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4"/>
      </tp>
      <tp>
        <v>-3.4782999999999999</v>
        <stp/>
        <stp>##V3_BDHV12</stp>
        <stp>XOM US Equity</stp>
        <stp>CHG_PCT_PERIOD</stp>
        <stp>FQ1 2014</stp>
        <stp>FQ1 2014</stp>
        <stp>[FA1_m42y3cpi.xlsx]Stock Value!R7C25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6"/>
      </tp>
      <tp>
        <v>1782</v>
        <stp/>
        <stp>##V3_BDHV12</stp>
        <stp>XOM US Equity</stp>
        <stp>CF_FREE_CASH_FLOW</stp>
        <stp>FQ4 2013</stp>
        <stp>FQ4 2013</stp>
        <stp>[FA1_m42y3cpi.xlsx]Cash Flow - Standardized!R63C24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3" s="4"/>
      </tp>
      <tp>
        <v>-10.752000000000001</v>
        <stp/>
        <stp>##V3_BDHV12</stp>
        <stp>XOM US Equity</stp>
        <stp>CHG_PCT_PERIOD</stp>
        <stp>FQ3 2011</stp>
        <stp>FQ3 2011</stp>
        <stp>[FA1_m42y3cpi.xlsx]Stock Value!R7C15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6"/>
      </tp>
      <tp>
        <v>-6.8914</v>
        <stp/>
        <stp>##V3_BDHV12</stp>
        <stp>XOM US Equity</stp>
        <stp>CHG_PCT_PERIOD</stp>
        <stp>FQ3 2016</stp>
        <stp>FQ3 2016</stp>
        <stp>[FA1_m42y3cpi.xlsx]Stock Value!R7C35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6"/>
      </tp>
      <tp>
        <v>3167</v>
        <stp/>
        <stp>##V3_BDHV12</stp>
        <stp>XOM US Equity</stp>
        <stp>CF_FREE_CASH_FLOW</stp>
        <stp>FQ4 2012</stp>
        <stp>FQ4 2012</stp>
        <stp>[FA1_m42y3cpi.xlsx]Cash Flow - Standardized!R63C20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3" s="4"/>
      </tp>
      <tp>
        <v>2853</v>
        <stp/>
        <stp>##V3_BDHV12</stp>
        <stp>XOM US Equity</stp>
        <stp>CF_FREE_CASH_FLOW</stp>
        <stp>FQ2 2018</stp>
        <stp>FQ2 2018</stp>
        <stp>[FA1_m42y3cpi.xlsx]Cash Flow - Standardized!R63C42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3" s="4"/>
      </tp>
      <tp>
        <v>-1469</v>
        <stp/>
        <stp>##V3_BDHV12</stp>
        <stp>XOM US Equity</stp>
        <stp>CF_FREE_CASH_FLOW</stp>
        <stp>FQ4 2014</stp>
        <stp>FQ4 2014</stp>
        <stp>[FA1_m42y3cpi.xlsx]Cash Flow - Standardized!R63C28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3" s="4"/>
      </tp>
      <tp>
        <v>64831</v>
        <stp/>
        <stp>##V3_BDHV12</stp>
        <stp>XOM US Equity</stp>
        <stp>IS_COG_AND_SERVICES_SOLD</stp>
        <stp>FQ4 2009</stp>
        <stp>FQ4 2009</stp>
        <stp>[FA1_m42y3cpi.xlsx]Income - Adjusted!R9C8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>
        <v>-22.4846</v>
        <stp/>
        <stp>##V3_BDHV12</stp>
        <stp>XOM US Equity</stp>
        <stp>NET_DEBT_TO_SHRHLDR_EQTY</stp>
        <stp>FQ3 2008</stp>
        <stp>FQ3 2008</stp>
        <stp>[FA1_m42y3cpi.xlsx]Bal Sheet - Standardized!R87C3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7" s="3"/>
      </tp>
      <tp>
        <v>-19.215</v>
        <stp/>
        <stp>##V3_BDHV12</stp>
        <stp>XOM US Equity</stp>
        <stp>NET_DEBT_TO_SHRHLDR_EQTY</stp>
        <stp>FQ4 2008</stp>
        <stp>FQ4 2008</stp>
        <stp>[FA1_m42y3cpi.xlsx]Bal Sheet - Standardized!R87C4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7" s="3"/>
      </tp>
      <tp>
        <v>1.9950999999999999</v>
        <stp/>
        <stp>##V3_BDHV12</stp>
        <stp>XOM US Equity</stp>
        <stp>CASH_FLOW_PER_SH</stp>
        <stp>FQ1 2018</stp>
        <stp>FQ1 2018</stp>
        <stp>[FA1_m42y3cpi.xlsx]Per Share!R22C41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2" s="5"/>
      </tp>
      <tp t="s">
        <v>—</v>
        <stp/>
        <stp>##V3_BDHV12</stp>
        <stp>XOM US Equity</stp>
        <stp>BS_DERIV_&amp;_HEDGING_ASSETS_ST</stp>
        <stp>FQ1 2016</stp>
        <stp>FQ1 2016</stp>
        <stp>[FA1_m42y3cpi.xlsx]Bal Sheet - Standardized!R19C33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3"/>
      </tp>
      <tp t="s">
        <v>—</v>
        <stp/>
        <stp>##V3_BDHV12</stp>
        <stp>XOM US Equity</stp>
        <stp>BS_DERIV_&amp;_HEDGING_ASSETS_LT</stp>
        <stp>FQ3 2011</stp>
        <stp>FQ3 2011</stp>
        <stp>[FA1_m42y3cpi.xlsx]Bal Sheet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3"/>
      </tp>
      <tp t="s">
        <v>—</v>
        <stp/>
        <stp>##V3_BDHV12</stp>
        <stp>XOM US Equity</stp>
        <stp>BS_DERIV_&amp;_HEDGING_ASSETS_LT</stp>
        <stp>FQ1 2016</stp>
        <stp>FQ1 2016</stp>
        <stp>[FA1_m42y3cpi.xlsx]Bal Sheet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3"/>
      </tp>
      <tp t="s">
        <v>—</v>
        <stp/>
        <stp>##V3_BDHV12</stp>
        <stp>XOM US Equity</stp>
        <stp>BS_DERIV_&amp;_HEDGING_ASSETS_ST</stp>
        <stp>FQ3 2011</stp>
        <stp>FQ3 2011</stp>
        <stp>[FA1_m42y3cpi.xlsx]Bal Sheet - Standardized!R19C15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3"/>
      </tp>
      <tp>
        <v>0</v>
        <stp/>
        <stp>##V3_BDHV12</stp>
        <stp>XOM US Equity</stp>
        <stp>IS_TOT_CASH_PFD_DVD</stp>
        <stp>FQ4 2009</stp>
        <stp>FQ4 2009</stp>
        <stp>[FA1_m42y3cpi.xlsx]Income - Adjusted!R41C8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2"/>
      </tp>
      <tp>
        <v>53</v>
        <stp/>
        <stp>##V3_BDHV12</stp>
        <stp>XOM US Equity</stp>
        <stp>BS_DERIV_&amp;_HEDGING_ASSETS_LT</stp>
        <stp>FQ3 2010</stp>
        <stp>FQ3 2010</stp>
        <stp>[FA1_m42y3cpi.xlsx]Bal Sheet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3"/>
      </tp>
      <tp t="s">
        <v>—</v>
        <stp/>
        <stp>##V3_BDHV12</stp>
        <stp>XOM US Equity</stp>
        <stp>BS_DERIV_&amp;_HEDGING_ASSETS_ST</stp>
        <stp>FQ1 2017</stp>
        <stp>FQ1 2017</stp>
        <stp>[FA1_m42y3cpi.xlsx]Bal Sheet - Standardized!R19C37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9" s="3"/>
      </tp>
      <tp>
        <v>343012</v>
        <stp/>
        <stp>##V3_BDHV12</stp>
        <stp>XOM US Equity</stp>
        <stp>BS_TOT_ASSET</stp>
        <stp>FQ2 2017</stp>
        <stp>FQ2 2017</stp>
        <stp>[FA1_m42y3cpi.xlsx]Bal Sheet - Standardized!R39C38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9" s="3"/>
      </tp>
      <tp>
        <v>792</v>
        <stp/>
        <stp>##V3_BDHV12</stp>
        <stp>XOM US Equity</stp>
        <stp>BS_DERIV_&amp;_HEDGING_ASSETS_ST</stp>
        <stp>FQ3 2010</stp>
        <stp>FQ3 2010</stp>
        <stp>[FA1_m42y3cpi.xlsx]Bal Sheet - Standardized!R19C11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3"/>
      </tp>
      <tp t="s">
        <v>—</v>
        <stp/>
        <stp>##V3_BDHV12</stp>
        <stp>XOM US Equity</stp>
        <stp>BS_DERIV_&amp;_HEDGING_ASSETS_LT</stp>
        <stp>FQ1 2017</stp>
        <stp>FQ1 2017</stp>
        <stp>[FA1_m42y3cpi.xlsx]Bal Sheet - Standardized!R34C37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4" s="3"/>
      </tp>
      <tp>
        <v>347564</v>
        <stp/>
        <stp>##V3_BDHV12</stp>
        <stp>XOM US Equity</stp>
        <stp>BS_TOT_ASSET</stp>
        <stp>FQ3 2013</stp>
        <stp>FQ3 2013</stp>
        <stp>[FA1_m42y3cpi.xlsx]Bal Sheet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3"/>
      </tp>
      <tp>
        <v>4760</v>
        <stp/>
        <stp>##V3_BDHV12</stp>
        <stp>XOM US Equity</stp>
        <stp>IS_SH_FOR_DILUTED_EPS</stp>
        <stp>FQ4 2009</stp>
        <stp>FQ4 2009</stp>
        <stp>[FA1_m42y3cpi.xlsx]Per Share!R7C8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5"/>
      </tp>
      <tp>
        <v>0</v>
        <stp/>
        <stp>##V3_BDHV12</stp>
        <stp>XOM US Equity</stp>
        <stp>IS_TOT_CASH_PFD_DVD</stp>
        <stp>FQ4 2008</stp>
        <stp>FQ4 2008</stp>
        <stp>[FA1_m42y3cpi.xlsx]Income - Adjusted!R41C4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2"/>
      </tp>
      <tp>
        <v>342473</v>
        <stp/>
        <stp>##V3_BDHV12</stp>
        <stp>XOM US Equity</stp>
        <stp>BS_TOT_ASSET</stp>
        <stp>FQ2 2016</stp>
        <stp>FQ2 2016</stp>
        <stp>[FA1_m42y3cpi.xlsx]Bal Sheet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3"/>
      </tp>
      <tp>
        <v>352764</v>
        <stp/>
        <stp>##V3_BDHV12</stp>
        <stp>XOM US Equity</stp>
        <stp>BS_TOT_ASSET</stp>
        <stp>FQ3 2014</stp>
        <stp>FQ3 2014</stp>
        <stp>[FA1_m42y3cpi.xlsx]Bal Sheet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3"/>
      </tp>
      <tp>
        <v>348260</v>
        <stp/>
        <stp>##V3_BDHV12</stp>
        <stp>XOM US Equity</stp>
        <stp>BS_TOT_ASSET</stp>
        <stp>FQ2 2015</stp>
        <stp>FQ2 2015</stp>
        <stp>[FA1_m42y3cpi.xlsx]Bal Sheet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3"/>
      </tp>
      <tp t="s">
        <v>—</v>
        <stp/>
        <stp>##V3_BDHV12</stp>
        <stp>XOM US Equity</stp>
        <stp>BS_DERIV_&amp;_HEDGING_ASSETS_ST</stp>
        <stp>FQ3 2012</stp>
        <stp>FQ3 2012</stp>
        <stp>[FA1_m42y3cpi.xlsx]Bal Sheet - Standardized!R19C19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3"/>
      </tp>
      <tp t="s">
        <v>—</v>
        <stp/>
        <stp>##V3_BDHV12</stp>
        <stp>XOM US Equity</stp>
        <stp>BS_DERIV_&amp;_HEDGING_ASSETS_LT</stp>
        <stp>FQ3 2012</stp>
        <stp>FQ3 2012</stp>
        <stp>[FA1_m42y3cpi.xlsx]Bal Sheet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3"/>
      </tp>
      <tp>
        <v>3334</v>
        <stp/>
        <stp>##V3_BDHV12</stp>
        <stp>XOM US Equity</stp>
        <stp>IS_TOT_CASH_COM_DVD</stp>
        <stp>FQ1 2018</stp>
        <stp>FQ1 2018</stp>
        <stp>[FA1_m42y3cpi.xlsx]Income - Adjusted!R70C41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0" s="2"/>
      </tp>
      <tp>
        <v>107064</v>
        <stp/>
        <stp>##V3_BDHV12</stp>
        <stp>XOM US Equity</stp>
        <stp>NON_CUR_LIAB</stp>
        <stp>FQ1 2017</stp>
        <stp>FQ1 2017</stp>
        <stp>[FA1_m42y3cpi.xlsx]Bal Sheet - Standardized!R65C37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5" s="3"/>
      </tp>
      <tp>
        <v>87654</v>
        <stp/>
        <stp>##V3_BDHV12</stp>
        <stp>XOM US Equity</stp>
        <stp>NON_CUR_LIAB</stp>
        <stp>FQ3 2010</stp>
        <stp>FQ3 2010</stp>
        <stp>[FA1_m42y3cpi.xlsx]Bal Sheet - Standardized!R65C11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5" s="3"/>
      </tp>
      <tp>
        <v>115565</v>
        <stp/>
        <stp>##V3_BDHV12</stp>
        <stp>XOM US Equity</stp>
        <stp>NON_CUR_LIAB</stp>
        <stp>FQ1 2016</stp>
        <stp>FQ1 2016</stp>
        <stp>[FA1_m42y3cpi.xlsx]Bal Sheet - Standardized!R65C33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5" s="3"/>
      </tp>
      <tp>
        <v>86044</v>
        <stp/>
        <stp>##V3_BDHV12</stp>
        <stp>XOM US Equity</stp>
        <stp>NON_CUR_LIAB</stp>
        <stp>FQ3 2011</stp>
        <stp>FQ3 2011</stp>
        <stp>[FA1_m42y3cpi.xlsx]Bal Sheet - Standardized!R65C15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5" s="3"/>
      </tp>
      <tp>
        <v>92775</v>
        <stp/>
        <stp>##V3_BDHV12</stp>
        <stp>XOM US Equity</stp>
        <stp>NON_CUR_LIAB</stp>
        <stp>FQ3 2012</stp>
        <stp>FQ3 2012</stp>
        <stp>[FA1_m42y3cpi.xlsx]Bal Sheet - Standardized!R65C19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5" s="3"/>
      </tp>
      <tp>
        <v>93.45</v>
        <stp/>
        <stp>##V3_BDHV12</stp>
        <stp>XOM US Equity</stp>
        <stp>PX_HIGH</stp>
        <stp>FQ1 2015</stp>
        <stp>FQ1 2015</stp>
        <stp>[FA1_m42y3cpi.xlsx]Stock Value!R9C29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9" s="6"/>
      </tp>
      <tp>
        <v>92.57</v>
        <stp/>
        <stp>##V3_BDHV12</stp>
        <stp>XOM US Equity</stp>
        <stp>PX_HIGH</stp>
        <stp>FQ3 2012</stp>
        <stp>FQ3 2012</stp>
        <stp>[FA1_m42y3cpi.xlsx]Stock Value!R9C19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9" s="6"/>
      </tp>
      <tp>
        <v>82.49</v>
        <stp/>
        <stp>##V3_BDHV12</stp>
        <stp>XOM US Equity</stp>
        <stp>PX_HIGH</stp>
        <stp>FQ3 2017</stp>
        <stp>FQ3 2017</stp>
        <stp>[FA1_m42y3cpi.xlsx]Stock Value!R9C39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9" s="6"/>
      </tp>
      <tp>
        <v>0</v>
        <stp/>
        <stp>##V3_BDHV12</stp>
        <stp>XOM US Equity</stp>
        <stp>IS_TOT_CASH_PFD_DVD</stp>
        <stp>FQ1 2018</stp>
        <stp>FQ1 2018</stp>
        <stp>[FA1_m42y3cpi.xlsx]Income - Adjusted!R41C41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1" s="2"/>
      </tp>
      <tp>
        <v>40.953600000000002</v>
        <stp/>
        <stp>##V3_BDHV12</stp>
        <stp>XOM US Equity</stp>
        <stp>BOOK_VAL_PER_SH</stp>
        <stp>FQ1 2015</stp>
        <stp>FQ1 2015</stp>
        <stp>[FA1_m42y3cpi.xlsx]Per Share!R26C29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6" s="5"/>
      </tp>
      <tp>
        <v>41.5137</v>
        <stp/>
        <stp>##V3_BDHV12</stp>
        <stp>XOM US Equity</stp>
        <stp>BOOK_VAL_PER_SH</stp>
        <stp>FQ4 2014</stp>
        <stp>FQ4 2014</stp>
        <stp>[FA1_m42y3cpi.xlsx]Per Share!R26C28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6" s="5"/>
      </tp>
      <tp t="s">
        <v>—</v>
        <stp/>
        <stp>##V3_BDHV12</stp>
        <stp>XOM US Equity</stp>
        <stp>NUM_OF_EMPLOYEES</stp>
        <stp>FQ2 2011</stp>
        <stp>FQ2 2011</stp>
        <stp>[FA1_m42y3cpi.xlsx]Bal Sheet - Standardized!R91C14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91" s="3"/>
      </tp>
      <tp t="s">
        <v>—</v>
        <stp/>
        <stp>##V3_BDHV12</stp>
        <stp>XOM US Equity</stp>
        <stp>NUM_OF_EMPLOYEES</stp>
        <stp>FQ3 2011</stp>
        <stp>FQ3 2011</stp>
        <stp>[FA1_m42y3cpi.xlsx]Bal Sheet - Standardized!R91C15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91" s="3"/>
      </tp>
      <tp t="s">
        <v>—</v>
        <stp/>
        <stp>##V3_BDHV12</stp>
        <stp>XOM US Equity</stp>
        <stp>NUM_OF_EMPLOYEES</stp>
        <stp>FQ2 2015</stp>
        <stp>FQ2 2015</stp>
        <stp>[FA1_m42y3cpi.xlsx]Bal Sheet - Standardized!R91C30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91" s="3"/>
      </tp>
      <tp t="s">
        <v>—</v>
        <stp/>
        <stp>##V3_BDHV12</stp>
        <stp>XOM US Equity</stp>
        <stp>NUM_OF_EMPLOYEES</stp>
        <stp>FQ3 2015</stp>
        <stp>FQ3 2015</stp>
        <stp>[FA1_m42y3cpi.xlsx]Bal Sheet - Standardized!R91C31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91" s="3"/>
      </tp>
      <tp>
        <v>-5596</v>
        <stp/>
        <stp>##V3_BDHV12</stp>
        <stp>XOM US Equity</stp>
        <stp>CFF_ACTIVITIES_DETAILED</stp>
        <stp>FQ2 2014</stp>
        <stp>FQ2 2014</stp>
        <stp>[FA1_m42y3cpi.xlsx]Cash Flow - Standardized!R49C26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9" s="4"/>
      </tp>
      <tp>
        <v>-1296</v>
        <stp/>
        <stp>##V3_BDHV12</stp>
        <stp>XOM US Equity</stp>
        <stp>CFF_ACTIVITIES_DETAILED</stp>
        <stp>FQ3 2016</stp>
        <stp>FQ3 2016</stp>
        <stp>[FA1_m42y3cpi.xlsx]Cash Flow - Standardized!R49C35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9" s="4"/>
      </tp>
      <tp>
        <v>-1837</v>
        <stp/>
        <stp>##V3_BDHV12</stp>
        <stp>XOM US Equity</stp>
        <stp>CFF_ACTIVITIES_DETAILED</stp>
        <stp>FQ4 2017</stp>
        <stp>FQ4 2017</stp>
        <stp>[FA1_m42y3cpi.xlsx]Cash Flow - Standardized!R49C40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9" s="4"/>
      </tp>
      <tp>
        <v>-6749</v>
        <stp/>
        <stp>##V3_BDHV12</stp>
        <stp>XOM US Equity</stp>
        <stp>CFF_ACTIVITIES_DETAILED</stp>
        <stp>FQ1 2011</stp>
        <stp>FQ1 2011</stp>
        <stp>[FA1_m42y3cpi.xlsx]Cash Flow - Standardized!R49C13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9" s="4"/>
      </tp>
      <tp>
        <v>-715</v>
        <stp/>
        <stp>##V3_BDHV12</stp>
        <stp>XOM US Equity</stp>
        <stp>CFF_ACTIVITIES_DETAILED</stp>
        <stp>FQ2 2013</stp>
        <stp>FQ2 2013</stp>
        <stp>[FA1_m42y3cpi.xlsx]Cash Flow - Standardized!R49C22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9" s="4"/>
      </tp>
      <tp>
        <v>-4</v>
        <stp/>
        <stp>##V3_BDHV12</stp>
        <stp>XOM US Equity</stp>
        <stp>CF_PYMT_LT_DEBT_&amp;_CAPITAL_LEASE</stp>
        <stp>FQ3 2012</stp>
        <stp>FQ3 2012</stp>
        <stp>[FA1_m42y3cpi.xlsx]Cash Flow - Standardized!R43C19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3" s="4"/>
      </tp>
      <tp>
        <v>-8130</v>
        <stp/>
        <stp>##V3_BDHV12</stp>
        <stp>XOM US Equity</stp>
        <stp>CFF_ACTIVITIES_DETAILED</stp>
        <stp>FQ1 2012</stp>
        <stp>FQ1 2012</stp>
        <stp>[FA1_m42y3cpi.xlsx]Cash Flow - Standardized!R49C17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9" s="4"/>
      </tp>
      <tp>
        <v>0.88770000000000004</v>
        <stp/>
        <stp>##V3_BDHV12</stp>
        <stp>XOM US Equity</stp>
        <stp>IS_BASIC_EPS_CONT_OPS</stp>
        <stp>FQ4 2016</stp>
        <stp>FQ4 2016</stp>
        <stp>[FA1_m42y3cpi.xlsx]Income - Adjusted!R52C36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2" s="2"/>
      </tp>
      <tp>
        <v>1.6899</v>
        <stp/>
        <stp>##V3_BDHV12</stp>
        <stp>XOM US Equity</stp>
        <stp>IS_BASIC_EPS_CONT_OPS</stp>
        <stp>FQ2 2010</stp>
        <stp>FQ2 2010</stp>
        <stp>[FA1_m42y3cpi.xlsx]Income - Adjusted!R52C10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2" s="2"/>
      </tp>
      <tp>
        <v>1.79</v>
        <stp/>
        <stp>##V3_BDHV12</stp>
        <stp>XOM US Equity</stp>
        <stp>IS_BASIC_EPS_CONT_OPS</stp>
        <stp>FQ3 2013</stp>
        <stp>FQ3 2013</stp>
        <stp>[FA1_m42y3cpi.xlsx]Income - Adjusted!R52C23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2" s="2"/>
      </tp>
      <tp>
        <v>0.95</v>
        <stp/>
        <stp>##V3_BDHV12</stp>
        <stp>XOM US Equity</stp>
        <stp>IS_BASIC_EPS_CONT_OPS</stp>
        <stp>FQ1 2017</stp>
        <stp>FQ1 2017</stp>
        <stp>[FA1_m42y3cpi.xlsx]Income - Adjusted!R52C37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2" s="2"/>
      </tp>
      <tp>
        <v>-3402</v>
        <stp/>
        <stp>##V3_BDHV12</stp>
        <stp>XOM US Equity</stp>
        <stp>CFF_ACTIVITIES_DETAILED</stp>
        <stp>FQ3 2015</stp>
        <stp>FQ3 2015</stp>
        <stp>[FA1_m42y3cpi.xlsx]Cash Flow - Standardized!R49C31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9" s="4"/>
      </tp>
      <tp t="s">
        <v>—</v>
        <stp/>
        <stp>##V3_BDHV12</stp>
        <stp>XOM US Equity</stp>
        <stp>IS_NET_INTEREST_EXPENSE</stp>
        <stp>FQ1 2010</stp>
        <stp>FQ1 2010</stp>
        <stp>[FA1_m42y3cpi.xlsx]Income - Adjusted!R18C9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8" s="2"/>
      </tp>
      <tp>
        <v>-2571</v>
        <stp/>
        <stp>##V3_BDHV12</stp>
        <stp>XOM US Equity</stp>
        <stp>CF_PYMT_LT_DEBT_&amp;_CAPITAL_LEASE</stp>
        <stp>FQ3 2010</stp>
        <stp>FQ3 2010</stp>
        <stp>[FA1_m42y3cpi.xlsx]Cash Flow - Standardized!R43C11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3" s="4"/>
      </tp>
      <tp>
        <v>0</v>
        <stp/>
        <stp>##V3_BDHV12</stp>
        <stp>XOM US Equity</stp>
        <stp>CF_PYMT_LT_DEBT_&amp;_CAPITAL_LEASE</stp>
        <stp>FQ1 2017</stp>
        <stp>FQ1 2017</stp>
        <stp>[FA1_m42y3cpi.xlsx]Cash Flow - Standardized!R43C37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3" s="4"/>
      </tp>
      <tp>
        <v>-193</v>
        <stp/>
        <stp>##V3_BDHV12</stp>
        <stp>XOM US Equity</stp>
        <stp>CF_PYMT_LT_DEBT_&amp;_CAPITAL_LEASE</stp>
        <stp>FQ3 2011</stp>
        <stp>FQ3 2011</stp>
        <stp>[FA1_m42y3cpi.xlsx]Cash Flow - Standardized!R43C15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3" s="4"/>
      </tp>
      <tp>
        <v>-4988</v>
        <stp/>
        <stp>##V3_BDHV12</stp>
        <stp>XOM US Equity</stp>
        <stp>CFF_ACTIVITIES_DETAILED</stp>
        <stp>FQ3 2017</stp>
        <stp>FQ3 2017</stp>
        <stp>[FA1_m42y3cpi.xlsx]Cash Flow - Standardized!R49C39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9" s="4"/>
      </tp>
      <tp>
        <v>4271</v>
        <stp/>
        <stp>##V3_BDHV12</stp>
        <stp>XOM US Equity</stp>
        <stp>IS_SH_FOR_DILUTED_EPS</stp>
        <stp>FQ2 2018</stp>
        <stp>FQ2 2018</stp>
        <stp>[FA1_m42y3cpi.xlsx]Income - Adjusted!R54C42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4" s="2"/>
      </tp>
      <tp>
        <v>4656</v>
        <stp/>
        <stp>##V3_BDHV12</stp>
        <stp>XOM US Equity</stp>
        <stp>IS_SH_FOR_DILUTED_EPS</stp>
        <stp>FQ2 2012</stp>
        <stp>FQ2 2012</stp>
        <stp>[FA1_m42y3cpi.xlsx]Income - Adjusted!R54C18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4" s="2"/>
      </tp>
      <tp>
        <v>0</v>
        <stp/>
        <stp>##V3_BDHV12</stp>
        <stp>XOM US Equity</stp>
        <stp>CF_PYMT_LT_DEBT_&amp;_CAPITAL_LEASE</stp>
        <stp>FQ1 2016</stp>
        <stp>FQ1 2016</stp>
        <stp>[FA1_m42y3cpi.xlsx]Cash Flow - Standardized!R43C33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3" s="4"/>
      </tp>
      <tp>
        <v>849</v>
        <stp/>
        <stp>##V3_BDHV12</stp>
        <stp>XOM US Equity</stp>
        <stp>CF_INCR_CAP_STOCK</stp>
        <stp>FQ4 2010</stp>
        <stp>FQ4 2010</stp>
        <stp>[FA1_m42y3cpi.xlsx]Cash Flow - Standardized!R45C12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5" s="4"/>
      </tp>
      <tp>
        <v>0.56999999999999995</v>
        <stp/>
        <stp>##V3_BDHV12</stp>
        <stp>XOM US Equity</stp>
        <stp>EQY_DPS</stp>
        <stp>FQ3 2012</stp>
        <stp>FQ3 2012</stp>
        <stp>[FA1_m42y3cpi.xlsx]Income - Adjusted!R69C19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9" s="2"/>
      </tp>
      <tp>
        <v>348</v>
        <stp/>
        <stp>##V3_BDHV12</stp>
        <stp>XOM US Equity</stp>
        <stp>CF_INCR_CAP_STOCK</stp>
        <stp>FQ4 2011</stp>
        <stp>FQ4 2011</stp>
        <stp>[FA1_m42y3cpi.xlsx]Cash Flow - Standardized!R45C16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5" s="4"/>
      </tp>
      <tp>
        <v>0</v>
        <stp/>
        <stp>##V3_BDHV12</stp>
        <stp>XOM US Equity</stp>
        <stp>CF_INCR_CAP_STOCK</stp>
        <stp>FQ1 2018</stp>
        <stp>FQ1 2018</stp>
        <stp>[FA1_m42y3cpi.xlsx]Cash Flow - Standardized!R45C41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5" s="4"/>
      </tp>
      <tp t="s">
        <v>—</v>
        <stp/>
        <stp>##V3_BDHV12</stp>
        <stp>XOM US Equity</stp>
        <stp>BS_OPTIONS_OUTSTANDING</stp>
        <stp>FQ2 2010</stp>
        <stp>FQ2 2010</stp>
        <stp>[FA1_m42y3cpi.xlsx]Bal Sheet - Standardized!R85C10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5" s="3"/>
      </tp>
      <tp t="s">
        <v>—</v>
        <stp/>
        <stp>##V3_BDHV12</stp>
        <stp>XOM US Equity</stp>
        <stp>BS_OPTIONS_OUTSTANDING</stp>
        <stp>FQ3 2010</stp>
        <stp>FQ3 2010</stp>
        <stp>[FA1_m42y3cpi.xlsx]Bal Sheet - Standardized!R85C11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5" s="3"/>
      </tp>
      <tp>
        <v>4294</v>
        <stp/>
        <stp>##V3_BDHV12</stp>
        <stp>XOM US Equity</stp>
        <stp>BS_SH_OUT</stp>
        <stp>FQ1 2014</stp>
        <stp>FQ1 2014</stp>
        <stp>[FA1_m42y3cpi.xlsx]Bal Sheet - Standardized!R79C25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9" s="3"/>
      </tp>
      <tp>
        <v>4265</v>
        <stp/>
        <stp>##V3_BDHV12</stp>
        <stp>XOM US Equity</stp>
        <stp>BS_SH_OUT</stp>
        <stp>FQ2 2014</stp>
        <stp>FQ2 2014</stp>
        <stp>[FA1_m42y3cpi.xlsx]Bal Sheet - Standardized!R79C26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9" s="3"/>
      </tp>
      <tp>
        <v>4235</v>
        <stp/>
        <stp>##V3_BDHV12</stp>
        <stp>XOM US Equity</stp>
        <stp>BS_SH_OUT</stp>
        <stp>FQ3 2014</stp>
        <stp>FQ3 2014</stp>
        <stp>[FA1_m42y3cpi.xlsx]Bal Sheet - Standardized!R79C27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9" s="3"/>
      </tp>
      <tp t="s">
        <v>—</v>
        <stp/>
        <stp>##V3_BDHV12</stp>
        <stp>XOM US Equity</stp>
        <stp>TCE_RATIO</stp>
        <stp>FQ1 2017</stp>
        <stp>FQ1 2017</stp>
        <stp>[FA1_m42y3cpi.xlsx]Bal Sheet - Standardized!R88C37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8" s="3"/>
      </tp>
      <tp>
        <v>4147</v>
        <stp/>
        <stp>##V3_BDHV12</stp>
        <stp>XOM US Equity</stp>
        <stp>BS_SH_OUT</stp>
        <stp>FQ3 2016</stp>
        <stp>FQ3 2016</stp>
        <stp>[FA1_m42y3cpi.xlsx]Bal Sheet - Standardized!R79C35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9" s="3"/>
      </tp>
      <tp>
        <v>4147</v>
        <stp/>
        <stp>##V3_BDHV12</stp>
        <stp>XOM US Equity</stp>
        <stp>BS_SH_OUT</stp>
        <stp>FQ2 2016</stp>
        <stp>FQ2 2016</stp>
        <stp>[FA1_m42y3cpi.xlsx]Bal Sheet - Standardized!R79C34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9" s="3"/>
      </tp>
      <tp t="s">
        <v>—</v>
        <stp/>
        <stp>##V3_BDHV12</stp>
        <stp>XOM US Equity</stp>
        <stp>BS_DERIV_&amp;_HEDGING_ASSETS_LT</stp>
        <stp>FQ2 2011</stp>
        <stp>FQ2 2011</stp>
        <stp>[FA1_m42y3cpi.xlsx]Bal Sheet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3"/>
      </tp>
      <tp t="s">
        <v>—</v>
        <stp/>
        <stp>##V3_BDHV12</stp>
        <stp>XOM US Equity</stp>
        <stp>BS_DERIV_&amp;_HEDGING_ASSETS_ST</stp>
        <stp>FQ2 2011</stp>
        <stp>FQ2 2011</stp>
        <stp>[FA1_m42y3cpi.xlsx]Bal Sheet - Standardized!R19C14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3"/>
      </tp>
      <tp t="s">
        <v>—</v>
        <stp/>
        <stp>##V3_BDHV12</stp>
        <stp>XOM US Equity</stp>
        <stp>BS_DERIV_&amp;_HEDGING_ASSETS_ST</stp>
        <stp>FQ1 2014</stp>
        <stp>FQ1 2014</stp>
        <stp>[FA1_m42y3cpi.xlsx]Bal Sheet - Standardized!R19C25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3"/>
      </tp>
      <tp>
        <v>78</v>
        <stp/>
        <stp>##V3_BDHV12</stp>
        <stp>XOM US Equity</stp>
        <stp>BS_DERIV_&amp;_HEDGING_ASSETS_LT</stp>
        <stp>FQ2 2010</stp>
        <stp>FQ2 2010</stp>
        <stp>[FA1_m42y3cpi.xlsx]Bal Sheet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3"/>
      </tp>
      <tp t="s">
        <v>—</v>
        <stp/>
        <stp>##V3_BDHV12</stp>
        <stp>XOM US Equity</stp>
        <stp>BS_DERIV_&amp;_HEDGING_ASSETS_LT</stp>
        <stp>FQ1 2013</stp>
        <stp>FQ1 2013</stp>
        <stp>[FA1_m42y3cpi.xlsx]Bal Sheet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3"/>
      </tp>
      <tp>
        <v>349427</v>
        <stp/>
        <stp>##V3_BDHV12</stp>
        <stp>XOM US Equity</stp>
        <stp>BS_TOT_ASSET</stp>
        <stp>FQ3 2017</stp>
        <stp>FQ3 2017</stp>
        <stp>[FA1_m42y3cpi.xlsx]Bal Sheet - Standardized!R39C39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9" s="3"/>
      </tp>
      <tp>
        <v>999</v>
        <stp/>
        <stp>##V3_BDHV12</stp>
        <stp>XOM US Equity</stp>
        <stp>BS_DERIV_&amp;_HEDGING_ASSETS_ST</stp>
        <stp>FQ2 2010</stp>
        <stp>FQ2 2010</stp>
        <stp>[FA1_m42y3cpi.xlsx]Bal Sheet - Standardized!R19C10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3"/>
      </tp>
      <tp t="s">
        <v>—</v>
        <stp/>
        <stp>##V3_BDHV12</stp>
        <stp>XOM US Equity</stp>
        <stp>BS_DERIV_&amp;_HEDGING_ASSETS_LT</stp>
        <stp>FQ1 2014</stp>
        <stp>FQ1 2014</stp>
        <stp>[FA1_m42y3cpi.xlsx]Bal Sheet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3"/>
      </tp>
      <tp t="s">
        <v>—</v>
        <stp/>
        <stp>##V3_BDHV12</stp>
        <stp>XOM US Equity</stp>
        <stp>BS_DERIV_&amp;_HEDGING_ASSETS_ST</stp>
        <stp>FQ1 2013</stp>
        <stp>FQ1 2013</stp>
        <stp>[FA1_m42y3cpi.xlsx]Bal Sheet - Standardized!R19C21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3"/>
      </tp>
      <tp>
        <v>341615</v>
        <stp/>
        <stp>##V3_BDHV12</stp>
        <stp>XOM US Equity</stp>
        <stp>BS_TOT_ASSET</stp>
        <stp>FQ2 2013</stp>
        <stp>FQ2 2013</stp>
        <stp>[FA1_m42y3cpi.xlsx]Bal Sheet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3"/>
      </tp>
      <tp>
        <v>319533</v>
        <stp/>
        <stp>##V3_BDHV12</stp>
        <stp>XOM US Equity</stp>
        <stp>BS_TOT_ASSET</stp>
        <stp>FQ1 2011</stp>
        <stp>FQ1 2011</stp>
        <stp>[FA1_m42y3cpi.xlsx]Bal Sheet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3"/>
      </tp>
      <tp>
        <v>348691</v>
        <stp/>
        <stp>##V3_BDHV12</stp>
        <stp>XOM US Equity</stp>
        <stp>BS_TOT_ASSET</stp>
        <stp>FQ4 2017</stp>
        <stp>FQ4 2017</stp>
        <stp>[FA1_m42y3cpi.xlsx]Bal Sheet - Standardized!R39C40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9" s="3"/>
      </tp>
      <tp t="s">
        <v>—</v>
        <stp/>
        <stp>##V3_BDHV12</stp>
        <stp>XOM US Equity</stp>
        <stp>BS_DERIV_&amp;_HEDGING_ASSETS_ST</stp>
        <stp>FQ1 2015</stp>
        <stp>FQ1 2015</stp>
        <stp>[FA1_m42y3cpi.xlsx]Bal Sheet - Standardized!R19C29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3"/>
      </tp>
      <tp>
        <v>339386</v>
        <stp/>
        <stp>##V3_BDHV12</stp>
        <stp>XOM US Equity</stp>
        <stp>BS_TOT_ASSET</stp>
        <stp>FQ3 2016</stp>
        <stp>FQ3 2016</stp>
        <stp>[FA1_m42y3cpi.xlsx]Bal Sheet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3"/>
      </tp>
      <tp>
        <v>358586</v>
        <stp/>
        <stp>##V3_BDHV12</stp>
        <stp>XOM US Equity</stp>
        <stp>BS_TOT_ASSET</stp>
        <stp>FQ2 2014</stp>
        <stp>FQ2 2014</stp>
        <stp>[FA1_m42y3cpi.xlsx]Bal Sheet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3"/>
      </tp>
      <tp t="s">
        <v>—</v>
        <stp/>
        <stp>##V3_BDHV12</stp>
        <stp>XOM US Equity</stp>
        <stp>BS_DERIV_&amp;_HEDGING_ASSETS_LT</stp>
        <stp>FQ1 2015</stp>
        <stp>FQ1 2015</stp>
        <stp>[FA1_m42y3cpi.xlsx]Bal Sheet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3"/>
      </tp>
      <tp>
        <v>340662</v>
        <stp/>
        <stp>##V3_BDHV12</stp>
        <stp>XOM US Equity</stp>
        <stp>BS_TOT_ASSET</stp>
        <stp>FQ3 2015</stp>
        <stp>FQ3 2015</stp>
        <stp>[FA1_m42y3cpi.xlsx]Bal Sheet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3"/>
      </tp>
      <tp t="s">
        <v>—</v>
        <stp/>
        <stp>##V3_BDHV12</stp>
        <stp>XOM US Equity</stp>
        <stp>BS_DERIV_&amp;_HEDGING_ASSETS_ST</stp>
        <stp>FQ2 2012</stp>
        <stp>FQ2 2012</stp>
        <stp>[FA1_m42y3cpi.xlsx]Bal Sheet - Standardized!R19C18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3"/>
      </tp>
      <tp t="s">
        <v>—</v>
        <stp/>
        <stp>##V3_BDHV12</stp>
        <stp>XOM US Equity</stp>
        <stp>BS_DERIV_&amp;_HEDGING_ASSETS_LT</stp>
        <stp>FQ2 2012</stp>
        <stp>FQ2 2012</stp>
        <stp>[FA1_m42y3cpi.xlsx]Bal Sheet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3"/>
      </tp>
      <tp>
        <v>345152</v>
        <stp/>
        <stp>##V3_BDHV12</stp>
        <stp>XOM US Equity</stp>
        <stp>BS_TOT_ASSET</stp>
        <stp>FQ1 2012</stp>
        <stp>FQ1 2012</stp>
        <stp>[FA1_m42y3cpi.xlsx]Bal Sheet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3"/>
      </tp>
      <tp>
        <v>100034</v>
        <stp/>
        <stp>##V3_BDHV12</stp>
        <stp>XOM US Equity</stp>
        <stp>NON_CUR_LIAB</stp>
        <stp>FQ1 2014</stp>
        <stp>FQ1 2014</stp>
        <stp>[FA1_m42y3cpi.xlsx]Bal Sheet - Standardized!R65C25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5" s="3"/>
      </tp>
      <tp>
        <v>96478</v>
        <stp/>
        <stp>##V3_BDHV12</stp>
        <stp>XOM US Equity</stp>
        <stp>NON_CUR_LIAB</stp>
        <stp>FQ1 2013</stp>
        <stp>FQ1 2013</stp>
        <stp>[FA1_m42y3cpi.xlsx]Bal Sheet - Standardized!R65C21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5" s="3"/>
      </tp>
      <tp>
        <v>87880</v>
        <stp/>
        <stp>##V3_BDHV12</stp>
        <stp>XOM US Equity</stp>
        <stp>NON_CUR_LIAB</stp>
        <stp>FQ2 2010</stp>
        <stp>FQ2 2010</stp>
        <stp>[FA1_m42y3cpi.xlsx]Bal Sheet - Standardized!R65C10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5" s="3"/>
      </tp>
      <tp>
        <v>89836</v>
        <stp/>
        <stp>##V3_BDHV12</stp>
        <stp>XOM US Equity</stp>
        <stp>NON_CUR_LIAB</stp>
        <stp>FQ2 2011</stp>
        <stp>FQ2 2011</stp>
        <stp>[FA1_m42y3cpi.xlsx]Bal Sheet - Standardized!R65C14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5" s="3"/>
      </tp>
      <tp>
        <v>97.2</v>
        <stp/>
        <stp>##V3_BDHV12</stp>
        <stp>XOM US Equity</stp>
        <stp>PX_HIGH</stp>
        <stp>FQ4 2014</stp>
        <stp>FQ4 2014</stp>
        <stp>[FA1_m42y3cpi.xlsx]Stock Value!R9C28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9" s="6"/>
      </tp>
      <tp>
        <v>91524</v>
        <stp/>
        <stp>##V3_BDHV12</stp>
        <stp>XOM US Equity</stp>
        <stp>NON_CUR_LIAB</stp>
        <stp>FQ2 2012</stp>
        <stp>FQ2 2012</stp>
        <stp>[FA1_m42y3cpi.xlsx]Bal Sheet - Standardized!R65C18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5" s="3"/>
      </tp>
      <tp>
        <v>109582</v>
        <stp/>
        <stp>##V3_BDHV12</stp>
        <stp>XOM US Equity</stp>
        <stp>NON_CUR_LIAB</stp>
        <stp>FQ1 2015</stp>
        <stp>FQ1 2015</stp>
        <stp>[FA1_m42y3cpi.xlsx]Bal Sheet - Standardized!R65C29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5" s="3"/>
      </tp>
      <tp>
        <v>87.67</v>
        <stp/>
        <stp>##V3_BDHV12</stp>
        <stp>XOM US Equity</stp>
        <stp>PX_HIGH</stp>
        <stp>FQ2 2012</stp>
        <stp>FQ2 2012</stp>
        <stp>[FA1_m42y3cpi.xlsx]Stock Value!R9C18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9" s="6"/>
      </tp>
      <tp>
        <v>83.69</v>
        <stp/>
        <stp>##V3_BDHV12</stp>
        <stp>XOM US Equity</stp>
        <stp>PX_HIGH</stp>
        <stp>FQ2 2017</stp>
        <stp>FQ2 2017</stp>
        <stp>[FA1_m42y3cpi.xlsx]Stock Value!R9C38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9" s="6"/>
      </tp>
      <tp>
        <v>1.0358000000000001</v>
        <stp/>
        <stp>##V3_BDHV12</stp>
        <stp>XOM US Equity</stp>
        <stp>FREE_CASH_FLOW_PER_SH</stp>
        <stp>FQ4 2008</stp>
        <stp>FQ4 2008</stp>
        <stp>[FA1_m42y3cpi.xlsx]Cash Flow - Standardized!R66C4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6" s="4"/>
      </tp>
      <tp>
        <v>83600</v>
        <stp/>
        <stp>##V3_BDHV12</stp>
        <stp>XOM US Equity</stp>
        <stp>NUM_OF_EMPLOYEES</stp>
        <stp>FQ4 2010</stp>
        <stp>FQ4 2010</stp>
        <stp>[FA1_m42y3cpi.xlsx]Bal Sheet - Standardized!R91C12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91" s="3"/>
      </tp>
      <tp>
        <v>76900</v>
        <stp/>
        <stp>##V3_BDHV12</stp>
        <stp>XOM US Equity</stp>
        <stp>NUM_OF_EMPLOYEES</stp>
        <stp>FQ4 2012</stp>
        <stp>FQ4 2012</stp>
        <stp>[FA1_m42y3cpi.xlsx]Bal Sheet - Standardized!R91C20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91" s="3"/>
      </tp>
      <tp>
        <v>1.8151999999999999</v>
        <stp/>
        <stp>##V3_BDHV12</stp>
        <stp>XOM US Equity</stp>
        <stp>FREE_CASH_FLOW_PER_SH</stp>
        <stp>FQ3 2008</stp>
        <stp>FQ3 2008</stp>
        <stp>[FA1_m42y3cpi.xlsx]Cash Flow - Standardized!R66C3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6" s="4"/>
      </tp>
      <tp>
        <v>-5673</v>
        <stp/>
        <stp>##V3_BDHV12</stp>
        <stp>XOM US Equity</stp>
        <stp>CFF_ACTIVITIES_DETAILED</stp>
        <stp>FQ3 2014</stp>
        <stp>FQ3 2014</stp>
        <stp>[FA1_m42y3cpi.xlsx]Cash Flow - Standardized!R49C27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9" s="4"/>
      </tp>
      <tp>
        <v>-1775</v>
        <stp/>
        <stp>##V3_BDHV12</stp>
        <stp>XOM US Equity</stp>
        <stp>CFF_ACTIVITIES_DETAILED</stp>
        <stp>FQ2 2016</stp>
        <stp>FQ2 2016</stp>
        <stp>[FA1_m42y3cpi.xlsx]Cash Flow - Standardized!R49C34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9" s="4"/>
      </tp>
      <tp>
        <v>-3889</v>
        <stp/>
        <stp>##V3_BDHV12</stp>
        <stp>XOM US Equity</stp>
        <stp>CFF_ACTIVITIES_DETAILED</stp>
        <stp>FQ3 2013</stp>
        <stp>FQ3 2013</stp>
        <stp>[FA1_m42y3cpi.xlsx]Cash Flow - Standardized!R49C23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9" s="4"/>
      </tp>
      <tp>
        <v>-6</v>
        <stp/>
        <stp>##V3_BDHV12</stp>
        <stp>XOM US Equity</stp>
        <stp>CF_PYMT_LT_DEBT_&amp;_CAPITAL_LEASE</stp>
        <stp>FQ2 2012</stp>
        <stp>FQ2 2012</stp>
        <stp>[FA1_m42y3cpi.xlsx]Cash Flow - Standardized!R43C18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3" s="4"/>
      </tp>
      <tp>
        <v>1.55</v>
        <stp/>
        <stp>##V3_BDHV12</stp>
        <stp>XOM US Equity</stp>
        <stp>IS_BASIC_EPS_CONT_OPS</stp>
        <stp>FQ2 2013</stp>
        <stp>FQ2 2013</stp>
        <stp>[FA1_m42y3cpi.xlsx]Income - Adjusted!R52C22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2" s="2"/>
      </tp>
      <tp>
        <v>1.4481999999999999</v>
        <stp/>
        <stp>##V3_BDHV12</stp>
        <stp>XOM US Equity</stp>
        <stp>IS_BASIC_EPS_CONT_OPS</stp>
        <stp>FQ3 2010</stp>
        <stp>FQ3 2010</stp>
        <stp>[FA1_m42y3cpi.xlsx]Income - Adjusted!R52C11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2" s="2"/>
      </tp>
      <tp>
        <v>2.1</v>
        <stp/>
        <stp>##V3_BDHV12</stp>
        <stp>XOM US Equity</stp>
        <stp>IS_BASIC_EPS_CONT_OPS</stp>
        <stp>FQ1 2014</stp>
        <stp>FQ1 2014</stp>
        <stp>[FA1_m42y3cpi.xlsx]Income - Adjusted!R52C25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2" s="2"/>
      </tp>
      <tp>
        <v>-10</v>
        <stp/>
        <stp>##V3_BDHV12</stp>
        <stp>XOM US Equity</stp>
        <stp>CF_PYMT_LT_DEBT_&amp;_CAPITAL_LEASE</stp>
        <stp>FQ1 2015</stp>
        <stp>FQ1 2015</stp>
        <stp>[FA1_m42y3cpi.xlsx]Cash Flow - Standardized!R43C29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3" s="4"/>
      </tp>
      <tp>
        <v>-3194</v>
        <stp/>
        <stp>##V3_BDHV12</stp>
        <stp>XOM US Equity</stp>
        <stp>CFF_ACTIVITIES_DETAILED</stp>
        <stp>FQ2 2015</stp>
        <stp>FQ2 2015</stp>
        <stp>[FA1_m42y3cpi.xlsx]Cash Flow - Standardized!R49C30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9" s="4"/>
      </tp>
      <tp>
        <v>0</v>
        <stp/>
        <stp>##V3_BDHV12</stp>
        <stp>XOM US Equity</stp>
        <stp>CF_PYMT_LT_DEBT_&amp;_CAPITAL_LEASE</stp>
        <stp>FQ1 2013</stp>
        <stp>FQ1 2013</stp>
        <stp>[FA1_m42y3cpi.xlsx]Cash Flow - Standardized!R43C21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3" s="4"/>
      </tp>
      <tp>
        <v>-13</v>
        <stp/>
        <stp>##V3_BDHV12</stp>
        <stp>XOM US Equity</stp>
        <stp>CF_PYMT_LT_DEBT_&amp;_CAPITAL_LEASE</stp>
        <stp>FQ2 2010</stp>
        <stp>FQ2 2010</stp>
        <stp>[FA1_m42y3cpi.xlsx]Cash Flow - Standardized!R43C10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3" s="4"/>
      </tp>
      <tp>
        <v>0</v>
        <stp/>
        <stp>##V3_BDHV12</stp>
        <stp>XOM US Equity</stp>
        <stp>CF_PYMT_LT_DEBT_&amp;_CAPITAL_LEASE</stp>
        <stp>FQ1 2014</stp>
        <stp>FQ1 2014</stp>
        <stp>[FA1_m42y3cpi.xlsx]Cash Flow - Standardized!R43C25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3" s="4"/>
      </tp>
      <tp>
        <v>-14</v>
        <stp/>
        <stp>##V3_BDHV12</stp>
        <stp>XOM US Equity</stp>
        <stp>CF_PYMT_LT_DEBT_&amp;_CAPITAL_LEASE</stp>
        <stp>FQ2 2011</stp>
        <stp>FQ2 2011</stp>
        <stp>[FA1_m42y3cpi.xlsx]Cash Flow - Standardized!R43C14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3" s="4"/>
      </tp>
      <tp>
        <v>-5059</v>
        <stp/>
        <stp>##V3_BDHV12</stp>
        <stp>XOM US Equity</stp>
        <stp>CFF_ACTIVITIES_DETAILED</stp>
        <stp>FQ2 2017</stp>
        <stp>FQ2 2017</stp>
        <stp>[FA1_m42y3cpi.xlsx]Cash Flow - Standardized!R49C38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9" s="4"/>
      </tp>
      <tp>
        <v>4597</v>
        <stp/>
        <stp>##V3_BDHV12</stp>
        <stp>XOM US Equity</stp>
        <stp>IS_SH_FOR_DILUTED_EPS</stp>
        <stp>FQ3 2012</stp>
        <stp>FQ3 2012</stp>
        <stp>[FA1_m42y3cpi.xlsx]Income - Adjusted!R54C19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4" s="2"/>
      </tp>
      <tp>
        <v>118</v>
        <stp/>
        <stp>##V3_BDHV12</stp>
        <stp>XOM US Equity</stp>
        <stp>IS_NET_INTEREST_EXPENSE</stp>
        <stp>FQ4 2008</stp>
        <stp>FQ4 2008</stp>
        <stp>[FA1_m42y3cpi.xlsx]Income - Adjusted!R18C4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8" s="2"/>
      </tp>
      <tp>
        <v>318</v>
        <stp/>
        <stp>##V3_BDHV12</stp>
        <stp>XOM US Equity</stp>
        <stp>IS_NET_INTEREST_EXPENSE</stp>
        <stp>FQ3 2008</stp>
        <stp>FQ3 2008</stp>
        <stp>[FA1_m42y3cpi.xlsx]Income - Adjusted!R18C3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8" s="2"/>
      </tp>
      <tp>
        <v>0.82</v>
        <stp/>
        <stp>##V3_BDHV12</stp>
        <stp>XOM US Equity</stp>
        <stp>EQY_DPS</stp>
        <stp>FQ2 2018</stp>
        <stp>FQ2 2018</stp>
        <stp>[FA1_m42y3cpi.xlsx]Income - Adjusted!R69C42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9" s="2"/>
      </tp>
      <tp>
        <v>0.56999999999999995</v>
        <stp/>
        <stp>##V3_BDHV12</stp>
        <stp>XOM US Equity</stp>
        <stp>EQY_DPS</stp>
        <stp>FQ2 2012</stp>
        <stp>FQ2 2012</stp>
        <stp>[FA1_m42y3cpi.xlsx]Income - Adjusted!R69C18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9" s="2"/>
      </tp>
      <tp t="s">
        <v>—</v>
        <stp/>
        <stp>##V3_BDHV12</stp>
        <stp>XOM US Equity</stp>
        <stp>BS_OPTIONS_OUTSTANDING</stp>
        <stp>FQ4 2017</stp>
        <stp>FQ4 2017</stp>
        <stp>[FA1_m42y3cpi.xlsx]Bal Sheet - Standardized!R85C40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5" s="3"/>
      </tp>
      <tp t="s">
        <v>—</v>
        <stp/>
        <stp>##V3_BDHV12</stp>
        <stp>XOM US Equity</stp>
        <stp>BS_OPTIONS_OUTSTANDING</stp>
        <stp>FQ4 2015</stp>
        <stp>FQ4 2015</stp>
        <stp>[FA1_m42y3cpi.xlsx]Bal Sheet - Standardized!R85C32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5" s="3"/>
      </tp>
      <tp>
        <v>1.506</v>
        <stp/>
        <stp>##V3_BDHV12</stp>
        <stp>XOM US Equity</stp>
        <stp>BS_OPTIONS_OUTSTANDING</stp>
        <stp>FQ4 2013</stp>
        <stp>FQ4 2013</stp>
        <stp>[FA1_m42y3cpi.xlsx]Bal Sheet - Standardized!R85C24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5" s="3"/>
      </tp>
      <tp t="s">
        <v>—</v>
        <stp/>
        <stp>##V3_BDHV12</stp>
        <stp>XOM US Equity</stp>
        <stp>BS_OPTIONS_OUTSTANDING</stp>
        <stp>FQ3 2013</stp>
        <stp>FQ3 2013</stp>
        <stp>[FA1_m42y3cpi.xlsx]Bal Sheet - Standardized!R85C23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5" s="3"/>
      </tp>
      <tp t="s">
        <v>—</v>
        <stp/>
        <stp>##V3_BDHV12</stp>
        <stp>XOM US Equity</stp>
        <stp>BS_OPTIONS_OUTSTANDING</stp>
        <stp>FQ2 2013</stp>
        <stp>FQ2 2013</stp>
        <stp>[FA1_m42y3cpi.xlsx]Bal Sheet - Standardized!R85C22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5" s="3"/>
      </tp>
      <tp t="s">
        <v>—</v>
        <stp/>
        <stp>##V3_BDHV12</stp>
        <stp>XOM US Equity</stp>
        <stp>BS_OPTIONS_OUTSTANDING</stp>
        <stp>FQ1 2013</stp>
        <stp>FQ1 2013</stp>
        <stp>[FA1_m42y3cpi.xlsx]Bal Sheet - Standardized!R85C21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5" s="3"/>
      </tp>
      <tp>
        <v>5.5490000000000004</v>
        <stp/>
        <stp>##V3_BDHV12</stp>
        <stp>XOM US Equity</stp>
        <stp>BS_OPTIONS_OUTSTANDING</stp>
        <stp>FQ4 2011</stp>
        <stp>FQ4 2011</stp>
        <stp>[FA1_m42y3cpi.xlsx]Bal Sheet - Standardized!R85C16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5" s="3"/>
      </tp>
      <tp t="s">
        <v>—</v>
        <stp/>
        <stp>##V3_BDHV12</stp>
        <stp>XOM US Equity</stp>
        <stp>BS_OPTIONS_OUTSTANDING</stp>
        <stp>FQ1 2011</stp>
        <stp>FQ1 2011</stp>
        <stp>[FA1_m42y3cpi.xlsx]Bal Sheet - Standardized!R85C13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5" s="3"/>
      </tp>
      <tp t="s">
        <v>—</v>
        <stp/>
        <stp>##V3_BDHV12</stp>
        <stp>XOM US Equity</stp>
        <stp>TCE_RATIO</stp>
        <stp>FQ3 2014</stp>
        <stp>FQ3 2014</stp>
        <stp>[FA1_m42y3cpi.xlsx]Bal Sheet - Standardized!R88C27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8" s="3"/>
      </tp>
      <tp t="s">
        <v>—</v>
        <stp/>
        <stp>##V3_BDHV12</stp>
        <stp>XOM US Equity</stp>
        <stp>TCE_RATIO</stp>
        <stp>FQ2 2014</stp>
        <stp>FQ2 2014</stp>
        <stp>[FA1_m42y3cpi.xlsx]Bal Sheet - Standardized!R88C26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8" s="3"/>
      </tp>
      <tp t="s">
        <v>—</v>
        <stp/>
        <stp>##V3_BDHV12</stp>
        <stp>XOM US Equity</stp>
        <stp>TCE_RATIO</stp>
        <stp>FQ1 2014</stp>
        <stp>FQ1 2014</stp>
        <stp>[FA1_m42y3cpi.xlsx]Bal Sheet - Standardized!R88C25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8" s="3"/>
      </tp>
      <tp>
        <v>4237</v>
        <stp/>
        <stp>##V3_BDHV12</stp>
        <stp>XOM US Equity</stp>
        <stp>BS_SH_OUT</stp>
        <stp>FQ1 2017</stp>
        <stp>FQ1 2017</stp>
        <stp>[FA1_m42y3cpi.xlsx]Bal Sheet - Standardized!R79C37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9" s="3"/>
      </tp>
      <tp t="s">
        <v>—</v>
        <stp/>
        <stp>##V3_BDHV12</stp>
        <stp>XOM US Equity</stp>
        <stp>TCE_RATIO</stp>
        <stp>FQ2 2016</stp>
        <stp>FQ2 2016</stp>
        <stp>[FA1_m42y3cpi.xlsx]Bal Sheet - Standardized!R88C34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8" s="3"/>
      </tp>
      <tp t="s">
        <v>—</v>
        <stp/>
        <stp>##V3_BDHV12</stp>
        <stp>XOM US Equity</stp>
        <stp>TCE_RATIO</stp>
        <stp>FQ3 2016</stp>
        <stp>FQ3 2016</stp>
        <stp>[FA1_m42y3cpi.xlsx]Bal Sheet - Standardized!R88C35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8" s="3"/>
      </tp>
      <tp>
        <v>1.0470999999999999</v>
        <stp/>
        <stp>##V3_BDHV12</stp>
        <stp>XOM US Equity</stp>
        <stp>CASH_FLOW_PER_SH</stp>
        <stp>FQ4 2015</stp>
        <stp>FQ4 2015</stp>
        <stp>[FA1_m42y3cpi.xlsx]Per Share!R22C32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2" s="5"/>
      </tp>
      <tp>
        <v>2.2530999999999999</v>
        <stp/>
        <stp>##V3_BDHV12</stp>
        <stp>XOM US Equity</stp>
        <stp>CASH_FLOW_PER_SH</stp>
        <stp>FQ4 2011</stp>
        <stp>FQ4 2011</stp>
        <stp>[FA1_m42y3cpi.xlsx]Per Share!R22C16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2" s="5"/>
      </tp>
      <tp>
        <v>2.3407</v>
        <stp/>
        <stp>##V3_BDHV12</stp>
        <stp>XOM US Equity</stp>
        <stp>CASH_FLOW_PER_SH</stp>
        <stp>FQ4 2013</stp>
        <stp>FQ4 2013</stp>
        <stp>[FA1_m42y3cpi.xlsx]Per Share!R22C24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2" s="5"/>
      </tp>
      <tp>
        <v>1.7356</v>
        <stp/>
        <stp>##V3_BDHV12</stp>
        <stp>XOM US Equity</stp>
        <stp>CASH_FLOW_PER_SH</stp>
        <stp>FQ4 2017</stp>
        <stp>FQ4 2017</stp>
        <stp>[FA1_m42y3cpi.xlsx]Per Share!R22C40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2" s="5"/>
      </tp>
      <tp t="s">
        <v>—</v>
        <stp/>
        <stp>##V3_BDHV12</stp>
        <stp>XOM US Equity</stp>
        <stp>BS_DERIV_&amp;_HEDGING_ASSETS_ST</stp>
        <stp>FQ1 2012</stp>
        <stp>FQ1 2012</stp>
        <stp>[FA1_m42y3cpi.xlsx]Bal Sheet - Standardized!R19C17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3"/>
      </tp>
      <tp t="s">
        <v>—</v>
        <stp/>
        <stp>##V3_BDHV12</stp>
        <stp>XOM US Equity</stp>
        <stp>BS_DERIV_&amp;_HEDGING_ASSETS_LT</stp>
        <stp>FQ3 2015</stp>
        <stp>FQ3 2015</stp>
        <stp>[FA1_m42y3cpi.xlsx]Bal Sheet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3"/>
      </tp>
      <tp t="s">
        <v>—</v>
        <stp/>
        <stp>##V3_BDHV12</stp>
        <stp>XOM US Equity</stp>
        <stp>BS_DERIV_&amp;_HEDGING_ASSETS_LT</stp>
        <stp>FQ1 2012</stp>
        <stp>FQ1 2012</stp>
        <stp>[FA1_m42y3cpi.xlsx]Bal Sheet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3"/>
      </tp>
      <tp>
        <v>329645</v>
        <stp/>
        <stp>##V3_BDHV12</stp>
        <stp>XOM US Equity</stp>
        <stp>BS_TOT_ASSET</stp>
        <stp>FQ2 2012</stp>
        <stp>FQ2 2012</stp>
        <stp>[FA1_m42y3cpi.xlsx]Bal Sheet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3"/>
      </tp>
      <tp t="s">
        <v>—</v>
        <stp/>
        <stp>##V3_BDHV12</stp>
        <stp>XOM US Equity</stp>
        <stp>BS_DERIV_&amp;_HEDGING_ASSETS_ST</stp>
        <stp>FQ3 2015</stp>
        <stp>FQ3 2015</stp>
        <stp>[FA1_m42y3cpi.xlsx]Bal Sheet - Standardized!R19C31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3"/>
      </tp>
      <tp t="s">
        <v>—</v>
        <stp/>
        <stp>##V3_BDHV12</stp>
        <stp>XOM US Equity</stp>
        <stp>BS_DERIV_&amp;_HEDGING_ASSETS_ST</stp>
        <stp>FQ3 2016</stp>
        <stp>FQ3 2016</stp>
        <stp>[FA1_m42y3cpi.xlsx]Bal Sheet - Standardized!R19C35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3"/>
      </tp>
      <tp t="s">
        <v>#N/A Requesting Data...</v>
        <stp/>
        <stp>##V3_BDHV12</stp>
        <stp>XOM US Equity</stp>
        <stp>BS_DERIV_&amp;_HEDGING_ASSETS_ST</stp>
        <stp>FQ2 2014</stp>
        <stp>FQ2 2014</stp>
        <stp>[FA1_m42y3cpi.xlsx]Bal Sheet - Standardized!R19C26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3"/>
      </tp>
      <tp t="s">
        <v>—</v>
        <stp/>
        <stp>##V3_BDHV12</stp>
        <stp>XOM US Equity</stp>
        <stp>BS_DERIV_&amp;_HEDGING_ASSETS_LT</stp>
        <stp>FQ2 2013</stp>
        <stp>FQ2 2013</stp>
        <stp>[FA1_m42y3cpi.xlsx]Bal Sheet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3"/>
      </tp>
      <tp t="s">
        <v>—</v>
        <stp/>
        <stp>##V3_BDHV12</stp>
        <stp>XOM US Equity</stp>
        <stp>BS_DERIV_&amp;_HEDGING_ASSETS_LT</stp>
        <stp>FQ1 2011</stp>
        <stp>FQ1 2011</stp>
        <stp>[FA1_m42y3cpi.xlsx]Bal Sheet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3"/>
      </tp>
      <tp t="s">
        <v>—</v>
        <stp/>
        <stp>##V3_BDHV12</stp>
        <stp>XOM US Equity</stp>
        <stp>BS_DERIV_&amp;_HEDGING_ASSETS_LT</stp>
        <stp>FQ4 2017</stp>
        <stp>FQ4 2017</stp>
        <stp>[FA1_m42y3cpi.xlsx]Bal Sheet - Standardized!R34C40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4" s="3"/>
      </tp>
      <tp>
        <v>342961</v>
        <stp/>
        <stp>##V3_BDHV12</stp>
        <stp>XOM US Equity</stp>
        <stp>BS_TOT_ASSET</stp>
        <stp>FQ1 2015</stp>
        <stp>FQ1 2015</stp>
        <stp>[FA1_m42y3cpi.xlsx]Bal Sheet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3"/>
      </tp>
      <tp t="s">
        <v>—</v>
        <stp/>
        <stp>##V3_BDHV12</stp>
        <stp>XOM US Equity</stp>
        <stp>BS_DERIV_&amp;_HEDGING_ASSETS_LT</stp>
        <stp>FQ3 2016</stp>
        <stp>FQ3 2016</stp>
        <stp>[FA1_m42y3cpi.xlsx]Bal Sheet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3"/>
      </tp>
      <tp t="s">
        <v>—</v>
        <stp/>
        <stp>##V3_BDHV12</stp>
        <stp>XOM US Equity</stp>
        <stp>BS_DERIV_&amp;_HEDGING_ASSETS_LT</stp>
        <stp>FQ2 2014</stp>
        <stp>FQ2 2014</stp>
        <stp>[FA1_m42y3cpi.xlsx]Bal Sheet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3"/>
      </tp>
      <tp t="s">
        <v>—</v>
        <stp/>
        <stp>##V3_BDHV12</stp>
        <stp>XOM US Equity</stp>
        <stp>BS_DERIV_&amp;_HEDGING_ASSETS_ST</stp>
        <stp>FQ4 2017</stp>
        <stp>FQ4 2017</stp>
        <stp>[FA1_m42y3cpi.xlsx]Bal Sheet - Standardized!R19C40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9" s="3"/>
      </tp>
      <tp t="s">
        <v>—</v>
        <stp/>
        <stp>##V3_BDHV12</stp>
        <stp>XOM US Equity</stp>
        <stp>BS_DERIV_&amp;_HEDGING_ASSETS_ST</stp>
        <stp>FQ2 2013</stp>
        <stp>FQ2 2013</stp>
        <stp>[FA1_m42y3cpi.xlsx]Bal Sheet - Standardized!R19C22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3"/>
      </tp>
      <tp t="s">
        <v>—</v>
        <stp/>
        <stp>##V3_BDHV12</stp>
        <stp>XOM US Equity</stp>
        <stp>BS_DERIV_&amp;_HEDGING_ASSETS_ST</stp>
        <stp>FQ1 2011</stp>
        <stp>FQ1 2011</stp>
        <stp>[FA1_m42y3cpi.xlsx]Bal Sheet - Standardized!R19C13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3"/>
      </tp>
      <tp>
        <v>339639</v>
        <stp/>
        <stp>##V3_BDHV12</stp>
        <stp>XOM US Equity</stp>
        <stp>BS_TOT_ASSET</stp>
        <stp>FQ1 2013</stp>
        <stp>FQ1 2013</stp>
        <stp>[FA1_m42y3cpi.xlsx]Bal Sheet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3"/>
      </tp>
      <tp>
        <v>291068</v>
        <stp/>
        <stp>##V3_BDHV12</stp>
        <stp>XOM US Equity</stp>
        <stp>BS_TOT_ASSET</stp>
        <stp>FQ2 2010</stp>
        <stp>FQ2 2010</stp>
        <stp>[FA1_m42y3cpi.xlsx]Bal Sheet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3"/>
      </tp>
      <tp t="s">
        <v>—</v>
        <stp/>
        <stp>##V3_BDHV12</stp>
        <stp>XOM US Equity</stp>
        <stp>BS_DERIV_&amp;_HEDGING_ASSETS_ST</stp>
        <stp>FQ3 2017</stp>
        <stp>FQ3 2017</stp>
        <stp>[FA1_m42y3cpi.xlsx]Bal Sheet - Standardized!R19C39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9" s="3"/>
      </tp>
      <tp>
        <v>353033</v>
        <stp/>
        <stp>##V3_BDHV12</stp>
        <stp>XOM US Equity</stp>
        <stp>BS_TOT_ASSET</stp>
        <stp>FQ1 2014</stp>
        <stp>FQ1 2014</stp>
        <stp>[FA1_m42y3cpi.xlsx]Bal Sheet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3"/>
      </tp>
      <tp t="s">
        <v>—</v>
        <stp/>
        <stp>##V3_BDHV12</stp>
        <stp>XOM US Equity</stp>
        <stp>BS_DERIV_&amp;_HEDGING_ASSETS_LT</stp>
        <stp>FQ3 2017</stp>
        <stp>FQ3 2017</stp>
        <stp>[FA1_m42y3cpi.xlsx]Bal Sheet - Standardized!R34C39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4" s="3"/>
      </tp>
      <tp>
        <v>326204</v>
        <stp/>
        <stp>##V3_BDHV12</stp>
        <stp>XOM US Equity</stp>
        <stp>BS_TOT_ASSET</stp>
        <stp>FQ2 2011</stp>
        <stp>FQ2 2011</stp>
        <stp>[FA1_m42y3cpi.xlsx]Bal Sheet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3"/>
      </tp>
      <tp>
        <v>100926</v>
        <stp/>
        <stp>##V3_BDHV12</stp>
        <stp>XOM US Equity</stp>
        <stp>NON_CUR_LIAB</stp>
        <stp>FQ2 2014</stp>
        <stp>FQ2 2014</stp>
        <stp>[FA1_m42y3cpi.xlsx]Bal Sheet - Standardized!R65C26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5" s="3"/>
      </tp>
      <tp>
        <v>112355</v>
        <stp/>
        <stp>##V3_BDHV12</stp>
        <stp>XOM US Equity</stp>
        <stp>NON_CUR_LIAB</stp>
        <stp>FQ3 2016</stp>
        <stp>FQ3 2016</stp>
        <stp>[FA1_m42y3cpi.xlsx]Bal Sheet - Standardized!R65C35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5" s="3"/>
      </tp>
      <tp>
        <v>88426</v>
        <stp/>
        <stp>##V3_BDHV12</stp>
        <stp>XOM US Equity</stp>
        <stp>NON_CUR_LIAB</stp>
        <stp>FQ1 2011</stp>
        <stp>FQ1 2011</stp>
        <stp>[FA1_m42y3cpi.xlsx]Bal Sheet - Standardized!R65C13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5" s="3"/>
      </tp>
      <tp>
        <v>97339</v>
        <stp/>
        <stp>##V3_BDHV12</stp>
        <stp>XOM US Equity</stp>
        <stp>NON_CUR_LIAB</stp>
        <stp>FQ2 2013</stp>
        <stp>FQ2 2013</stp>
        <stp>[FA1_m42y3cpi.xlsx]Bal Sheet - Standardized!R65C22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5" s="3"/>
      </tp>
      <tp>
        <v>96420</v>
        <stp/>
        <stp>##V3_BDHV12</stp>
        <stp>XOM US Equity</stp>
        <stp>NON_CUR_LIAB</stp>
        <stp>FQ4 2017</stp>
        <stp>FQ4 2017</stp>
        <stp>[FA1_m42y3cpi.xlsx]Bal Sheet - Standardized!R65C40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5" s="3"/>
      </tp>
      <tp>
        <v>101041</v>
        <stp/>
        <stp>##V3_BDHV12</stp>
        <stp>XOM US Equity</stp>
        <stp>NON_CUR_LIAB</stp>
        <stp>FQ1 2012</stp>
        <stp>FQ1 2012</stp>
        <stp>[FA1_m42y3cpi.xlsx]Bal Sheet - Standardized!R65C17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5" s="3"/>
      </tp>
      <tp>
        <v>108995</v>
        <stp/>
        <stp>##V3_BDHV12</stp>
        <stp>XOM US Equity</stp>
        <stp>NON_CUR_LIAB</stp>
        <stp>FQ3 2015</stp>
        <stp>FQ3 2015</stp>
        <stp>[FA1_m42y3cpi.xlsx]Bal Sheet - Standardized!R65C31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5" s="3"/>
      </tp>
      <tp>
        <v>80.790000000000006</v>
        <stp/>
        <stp>##V3_BDHV12</stp>
        <stp>XOM US Equity</stp>
        <stp>PX_OPEN</stp>
        <stp>FQ3 2017</stp>
        <stp>FQ3 2017</stp>
        <stp>[FA1_m42y3cpi.xlsx]Stock Value!R8C39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" s="6"/>
      </tp>
      <tp>
        <v>85.44</v>
        <stp/>
        <stp>##V3_BDHV12</stp>
        <stp>XOM US Equity</stp>
        <stp>PX_OPEN</stp>
        <stp>FQ3 2012</stp>
        <stp>FQ3 2012</stp>
        <stp>[FA1_m42y3cpi.xlsx]Stock Value!R8C19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6"/>
      </tp>
      <tp>
        <v>92.25</v>
        <stp/>
        <stp>##V3_BDHV12</stp>
        <stp>XOM US Equity</stp>
        <stp>PX_OPEN</stp>
        <stp>FQ1 2015</stp>
        <stp>FQ1 2015</stp>
        <stp>[FA1_m42y3cpi.xlsx]Stock Value!R8C29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6"/>
      </tp>
      <tp>
        <v>106452</v>
        <stp/>
        <stp>##V3_BDHV12</stp>
        <stp>XOM US Equity</stp>
        <stp>NON_CUR_LIAB</stp>
        <stp>FQ3 2017</stp>
        <stp>FQ3 2017</stp>
        <stp>[FA1_m42y3cpi.xlsx]Bal Sheet - Standardized!R65C39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5" s="3"/>
      </tp>
      <tp>
        <v>43.020099999999999</v>
        <stp/>
        <stp>##V3_BDHV12</stp>
        <stp>XOM US Equity</stp>
        <stp>BOOK_VAL_PER_SH</stp>
        <stp>FQ3 2017</stp>
        <stp>FQ3 2017</stp>
        <stp>[FA1_m42y3cpi.xlsx]Per Share!R26C39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6" s="5"/>
      </tp>
      <tp>
        <v>-3246</v>
        <stp/>
        <stp>##V3_BDHV12</stp>
        <stp>XOM US Equity</stp>
        <stp>CFF_ACTIVITIES_DETAILED</stp>
        <stp>FQ1 2017</stp>
        <stp>FQ1 2017</stp>
        <stp>[FA1_m42y3cpi.xlsx]Cash Flow - Standardized!R49C37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9" s="4"/>
      </tp>
      <tp>
        <v>-7697</v>
        <stp/>
        <stp>##V3_BDHV12</stp>
        <stp>XOM US Equity</stp>
        <stp>CFF_ACTIVITIES_DETAILED</stp>
        <stp>FQ3 2010</stp>
        <stp>FQ3 2010</stp>
        <stp>[FA1_m42y3cpi.xlsx]Cash Flow - Standardized!R49C11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9" s="4"/>
      </tp>
      <tp>
        <v>524</v>
        <stp/>
        <stp>##V3_BDHV12</stp>
        <stp>XOM US Equity</stp>
        <stp>CFF_ACTIVITIES_DETAILED</stp>
        <stp>FQ1 2016</stp>
        <stp>FQ1 2016</stp>
        <stp>[FA1_m42y3cpi.xlsx]Cash Flow - Standardized!R49C33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9" s="4"/>
      </tp>
      <tp>
        <v>2.0672999999999999</v>
        <stp/>
        <stp>##V3_BDHV12</stp>
        <stp>XOM US Equity</stp>
        <stp>IS_BASIC_EPS_CONT_OPS</stp>
        <stp>FQ4 2012</stp>
        <stp>FQ4 2012</stp>
        <stp>[FA1_m42y3cpi.xlsx]Income - Adjusted!R52C20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2" s="2"/>
      </tp>
      <tp>
        <v>1.8601999999999999</v>
        <stp/>
        <stp>##V3_BDHV12</stp>
        <stp>XOM US Equity</stp>
        <stp>IS_BASIC_EPS_CONT_OPS</stp>
        <stp>FQ4 2010</stp>
        <stp>FQ4 2010</stp>
        <stp>[FA1_m42y3cpi.xlsx]Income - Adjusted!R52C12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2" s="2"/>
      </tp>
      <tp>
        <v>2.0499999999999998</v>
        <stp/>
        <stp>##V3_BDHV12</stp>
        <stp>XOM US Equity</stp>
        <stp>IS_BASIC_EPS_CONT_OPS</stp>
        <stp>FQ2 2014</stp>
        <stp>FQ2 2014</stp>
        <stp>[FA1_m42y3cpi.xlsx]Income - Adjusted!R52C26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2" s="2"/>
      </tp>
      <tp>
        <v>0.41</v>
        <stp/>
        <stp>##V3_BDHV12</stp>
        <stp>XOM US Equity</stp>
        <stp>IS_BASIC_EPS_CONT_OPS</stp>
        <stp>FQ2 2016</stp>
        <stp>FQ2 2016</stp>
        <stp>[FA1_m42y3cpi.xlsx]Income - Adjusted!R52C34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2" s="2"/>
      </tp>
      <tp>
        <v>2.12</v>
        <stp/>
        <stp>##V3_BDHV12</stp>
        <stp>XOM US Equity</stp>
        <stp>IS_BASIC_EPS_CONT_OPS</stp>
        <stp>FQ1 2013</stp>
        <stp>FQ1 2013</stp>
        <stp>[FA1_m42y3cpi.xlsx]Income - Adjusted!R52C21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2" s="2"/>
      </tp>
      <tp>
        <v>2.14</v>
        <stp/>
        <stp>##V3_BDHV12</stp>
        <stp>XOM US Equity</stp>
        <stp>IS_BASIC_EPS_CONT_OPS</stp>
        <stp>FQ1 2011</stp>
        <stp>FQ1 2011</stp>
        <stp>[FA1_m42y3cpi.xlsx]Income - Adjusted!R52C13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2" s="2"/>
      </tp>
      <tp>
        <v>0</v>
        <stp/>
        <stp>##V3_BDHV12</stp>
        <stp>XOM US Equity</stp>
        <stp>CF_PYMT_LT_DEBT_&amp;_CAPITAL_LEASE</stp>
        <stp>FQ3 2017</stp>
        <stp>FQ3 2017</stp>
        <stp>[FA1_m42y3cpi.xlsx]Cash Flow - Standardized!R43C39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3" s="4"/>
      </tp>
      <tp>
        <v>-7397</v>
        <stp/>
        <stp>##V3_BDHV12</stp>
        <stp>XOM US Equity</stp>
        <stp>CFF_ACTIVITIES_DETAILED</stp>
        <stp>FQ3 2011</stp>
        <stp>FQ3 2011</stp>
        <stp>[FA1_m42y3cpi.xlsx]Cash Flow - Standardized!R49C15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9" s="4"/>
      </tp>
      <tp>
        <v>-10860</v>
        <stp/>
        <stp>##V3_BDHV12</stp>
        <stp>XOM US Equity</stp>
        <stp>CFF_ACTIVITIES_DETAILED</stp>
        <stp>FQ3 2012</stp>
        <stp>FQ3 2012</stp>
        <stp>[FA1_m42y3cpi.xlsx]Cash Flow - Standardized!R49C19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9" s="4"/>
      </tp>
      <tp>
        <v>0</v>
        <stp/>
        <stp>##V3_BDHV12</stp>
        <stp>XOM US Equity</stp>
        <stp>CF_PYMT_LT_DEBT_&amp;_CAPITAL_LEASE</stp>
        <stp>FQ4 2017</stp>
        <stp>FQ4 2017</stp>
        <stp>[FA1_m42y3cpi.xlsx]Cash Flow - Standardized!R43C40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3" s="4"/>
      </tp>
      <tp>
        <v>0</v>
        <stp/>
        <stp>##V3_BDHV12</stp>
        <stp>XOM US Equity</stp>
        <stp>CF_PYMT_LT_DEBT_&amp;_CAPITAL_LEASE</stp>
        <stp>FQ2 2013</stp>
        <stp>FQ2 2013</stp>
        <stp>[FA1_m42y3cpi.xlsx]Cash Flow - Standardized!R43C22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3" s="4"/>
      </tp>
      <tp>
        <v>-29</v>
        <stp/>
        <stp>##V3_BDHV12</stp>
        <stp>XOM US Equity</stp>
        <stp>CF_PYMT_LT_DEBT_&amp;_CAPITAL_LEASE</stp>
        <stp>FQ1 2011</stp>
        <stp>FQ1 2011</stp>
        <stp>[FA1_m42y3cpi.xlsx]Cash Flow - Standardized!R43C13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3" s="4"/>
      </tp>
      <tp>
        <v>0</v>
        <stp/>
        <stp>##V3_BDHV12</stp>
        <stp>XOM US Equity</stp>
        <stp>CF_PYMT_LT_DEBT_&amp;_CAPITAL_LEASE</stp>
        <stp>FQ3 2016</stp>
        <stp>FQ3 2016</stp>
        <stp>[FA1_m42y3cpi.xlsx]Cash Flow - Standardized!R43C35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3" s="4"/>
      </tp>
      <tp>
        <v>0</v>
        <stp/>
        <stp>##V3_BDHV12</stp>
        <stp>XOM US Equity</stp>
        <stp>CF_PYMT_LT_DEBT_&amp;_CAPITAL_LEASE</stp>
        <stp>FQ2 2014</stp>
        <stp>FQ2 2014</stp>
        <stp>[FA1_m42y3cpi.xlsx]Cash Flow - Standardized!R43C26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3" s="4"/>
      </tp>
      <tp>
        <v>-5</v>
        <stp/>
        <stp>##V3_BDHV12</stp>
        <stp>XOM US Equity</stp>
        <stp>CF_PYMT_LT_DEBT_&amp;_CAPITAL_LEASE</stp>
        <stp>FQ3 2015</stp>
        <stp>FQ3 2015</stp>
        <stp>[FA1_m42y3cpi.xlsx]Cash Flow - Standardized!R43C31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3" s="4"/>
      </tp>
      <tp>
        <v>4090</v>
        <stp/>
        <stp>##V3_BDHV12</stp>
        <stp>XOM US Equity</stp>
        <stp>EARN_FOR_COMMON</stp>
        <stp>FQ2 2009</stp>
        <stp>FQ2 2009</stp>
        <stp>[FA1_m42y3cpi.xlsx]Income - Adjusted!R45C6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5" s="2"/>
      </tp>
      <tp>
        <v>4730</v>
        <stp/>
        <stp>##V3_BDHV12</stp>
        <stp>XOM US Equity</stp>
        <stp>EARN_FOR_COMMON</stp>
        <stp>FQ3 2009</stp>
        <stp>FQ3 2009</stp>
        <stp>[FA1_m42y3cpi.xlsx]Income - Adjusted!R45C7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5" s="2"/>
      </tp>
      <tp>
        <v>4550</v>
        <stp/>
        <stp>##V3_BDHV12</stp>
        <stp>XOM US Equity</stp>
        <stp>EARN_FOR_COMMON</stp>
        <stp>FQ1 2009</stp>
        <stp>FQ1 2009</stp>
        <stp>[FA1_m42y3cpi.xlsx]Income - Adjusted!R45C5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5" s="2"/>
      </tp>
      <tp>
        <v>-5</v>
        <stp/>
        <stp>##V3_BDHV12</stp>
        <stp>XOM US Equity</stp>
        <stp>CF_PYMT_LT_DEBT_&amp;_CAPITAL_LEASE</stp>
        <stp>FQ1 2012</stp>
        <stp>FQ1 2012</stp>
        <stp>[FA1_m42y3cpi.xlsx]Cash Flow - Standardized!R43C17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3" s="4"/>
      </tp>
      <tp>
        <v>0</v>
        <stp/>
        <stp>##V3_BDHV12</stp>
        <stp>XOM US Equity</stp>
        <stp>CF_INCR_CAP_STOCK</stp>
        <stp>FQ4 2016</stp>
        <stp>FQ4 2016</stp>
        <stp>[FA1_m42y3cpi.xlsx]Cash Flow - Standardized!R45C36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5" s="4"/>
      </tp>
      <tp>
        <v>0.77</v>
        <stp/>
        <stp>##V3_BDHV12</stp>
        <stp>XOM US Equity</stp>
        <stp>EQY_DPS</stp>
        <stp>FQ1 2018</stp>
        <stp>FQ1 2018</stp>
        <stp>[FA1_m42y3cpi.xlsx]Income - Adjusted!R69C41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9" s="2"/>
      </tp>
      <tp>
        <v>7</v>
        <stp/>
        <stp>##V3_BDHV12</stp>
        <stp>XOM US Equity</stp>
        <stp>CF_INCR_CAP_STOCK</stp>
        <stp>FQ4 2015</stp>
        <stp>FQ4 2015</stp>
        <stp>[FA1_m42y3cpi.xlsx]Cash Flow - Standardized!R45C32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5" s="4"/>
      </tp>
      <tp t="s">
        <v>—</v>
        <stp/>
        <stp>##V3_BDHV12</stp>
        <stp>XOM US Equity</stp>
        <stp>BS_OPTIONS_OUTSTANDING</stp>
        <stp>FQ2 2016</stp>
        <stp>FQ2 2016</stp>
        <stp>[FA1_m42y3cpi.xlsx]Bal Sheet - Standardized!R85C34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5" s="3"/>
      </tp>
      <tp t="s">
        <v>—</v>
        <stp/>
        <stp>##V3_BDHV12</stp>
        <stp>XOM US Equity</stp>
        <stp>BS_OPTIONS_OUTSTANDING</stp>
        <stp>FQ3 2016</stp>
        <stp>FQ3 2016</stp>
        <stp>[FA1_m42y3cpi.xlsx]Bal Sheet - Standardized!R85C35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5" s="3"/>
      </tp>
      <tp t="s">
        <v>—</v>
        <stp/>
        <stp>##V3_BDHV12</stp>
        <stp>XOM US Equity</stp>
        <stp>BS_OPTIONS_OUTSTANDING</stp>
        <stp>FQ3 2014</stp>
        <stp>FQ3 2014</stp>
        <stp>[FA1_m42y3cpi.xlsx]Bal Sheet - Standardized!R85C27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5" s="3"/>
      </tp>
      <tp t="s">
        <v>—</v>
        <stp/>
        <stp>##V3_BDHV12</stp>
        <stp>XOM US Equity</stp>
        <stp>BS_OPTIONS_OUTSTANDING</stp>
        <stp>FQ2 2014</stp>
        <stp>FQ2 2014</stp>
        <stp>[FA1_m42y3cpi.xlsx]Bal Sheet - Standardized!R85C26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5" s="3"/>
      </tp>
      <tp t="s">
        <v>—</v>
        <stp/>
        <stp>##V3_BDHV12</stp>
        <stp>XOM US Equity</stp>
        <stp>BS_OPTIONS_OUTSTANDING</stp>
        <stp>FQ1 2014</stp>
        <stp>FQ1 2014</stp>
        <stp>[FA1_m42y3cpi.xlsx]Bal Sheet - Standardized!R85C25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5" s="3"/>
      </tp>
      <tp>
        <v>-1.3374999999999999</v>
        <stp/>
        <stp>##V3_BDHV12</stp>
        <stp>XOM US Equity</stp>
        <stp>CHG_PCT_PERIOD</stp>
        <stp>FQ2 2012</stp>
        <stp>FQ2 2012</stp>
        <stp>[FA1_m42y3cpi.xlsx]Stock Value!R7C18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6"/>
      </tp>
      <tp>
        <v>-1.5608</v>
        <stp/>
        <stp>##V3_BDHV12</stp>
        <stp>XOM US Equity</stp>
        <stp>CHG_PCT_PERIOD</stp>
        <stp>FQ2 2017</stp>
        <stp>FQ2 2017</stp>
        <stp>[FA1_m42y3cpi.xlsx]Stock Value!R7C38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" s="6"/>
      </tp>
      <tp>
        <v>-1.7012</v>
        <stp/>
        <stp>##V3_BDHV12</stp>
        <stp>XOM US Equity</stp>
        <stp>CHG_PCT_PERIOD</stp>
        <stp>FQ4 2014</stp>
        <stp>FQ4 2014</stp>
        <stp>[FA1_m42y3cpi.xlsx]Stock Value!R7C28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6"/>
      </tp>
      <tp>
        <v>46.637999999999998</v>
        <stp/>
        <stp>##V3_BDHV12</stp>
        <stp>XOM US Equity</stp>
        <stp>TCE_RATIO</stp>
        <stp>FQ4 2011</stp>
        <stp>FQ4 2011</stp>
        <stp>[FA1_m42y3cpi.xlsx]Bal Sheet - Standardized!R88C16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8" s="3"/>
      </tp>
      <tp t="s">
        <v>—</v>
        <stp/>
        <stp>##V3_BDHV12</stp>
        <stp>XOM US Equity</stp>
        <stp>TCE_RATIO</stp>
        <stp>FQ1 2011</stp>
        <stp>FQ1 2011</stp>
        <stp>[FA1_m42y3cpi.xlsx]Bal Sheet - Standardized!R88C13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8" s="3"/>
      </tp>
      <tp>
        <v>5043</v>
        <stp/>
        <stp>##V3_BDHV12</stp>
        <stp>XOM US Equity</stp>
        <stp>BS_SH_OUT</stp>
        <stp>FQ3 2010</stp>
        <stp>FQ3 2010</stp>
        <stp>[FA1_m42y3cpi.xlsx]Bal Sheet - Standardized!R79C11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9" s="3"/>
      </tp>
      <tp>
        <v>5092</v>
        <stp/>
        <stp>##V3_BDHV12</stp>
        <stp>XOM US Equity</stp>
        <stp>BS_SH_OUT</stp>
        <stp>FQ2 2010</stp>
        <stp>FQ2 2010</stp>
        <stp>[FA1_m42y3cpi.xlsx]Bal Sheet - Standardized!R79C10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9" s="3"/>
      </tp>
      <tp>
        <v>50.172699999999999</v>
        <stp/>
        <stp>##V3_BDHV12</stp>
        <stp>XOM US Equity</stp>
        <stp>TCE_RATIO</stp>
        <stp>FQ4 2013</stp>
        <stp>FQ4 2013</stp>
        <stp>[FA1_m42y3cpi.xlsx]Bal Sheet - Standardized!R88C24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8" s="3"/>
      </tp>
      <tp t="s">
        <v>—</v>
        <stp/>
        <stp>##V3_BDHV12</stp>
        <stp>XOM US Equity</stp>
        <stp>TCE_RATIO</stp>
        <stp>FQ3 2013</stp>
        <stp>FQ3 2013</stp>
        <stp>[FA1_m42y3cpi.xlsx]Bal Sheet - Standardized!R88C23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8" s="3"/>
      </tp>
      <tp t="s">
        <v>—</v>
        <stp/>
        <stp>##V3_BDHV12</stp>
        <stp>XOM US Equity</stp>
        <stp>TCE_RATIO</stp>
        <stp>FQ2 2013</stp>
        <stp>FQ2 2013</stp>
        <stp>[FA1_m42y3cpi.xlsx]Bal Sheet - Standardized!R88C22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8" s="3"/>
      </tp>
      <tp t="s">
        <v>—</v>
        <stp/>
        <stp>##V3_BDHV12</stp>
        <stp>XOM US Equity</stp>
        <stp>TCE_RATIO</stp>
        <stp>FQ1 2013</stp>
        <stp>FQ1 2013</stp>
        <stp>[FA1_m42y3cpi.xlsx]Bal Sheet - Standardized!R88C21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8" s="3"/>
      </tp>
      <tp>
        <v>50.722200000000001</v>
        <stp/>
        <stp>##V3_BDHV12</stp>
        <stp>XOM US Equity</stp>
        <stp>TCE_RATIO</stp>
        <stp>FQ4 2015</stp>
        <stp>FQ4 2015</stp>
        <stp>[FA1_m42y3cpi.xlsx]Bal Sheet - Standardized!R88C32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8" s="3"/>
      </tp>
      <tp>
        <v>53.826500000000003</v>
        <stp/>
        <stp>##V3_BDHV12</stp>
        <stp>XOM US Equity</stp>
        <stp>TCE_RATIO</stp>
        <stp>FQ4 2017</stp>
        <stp>FQ4 2017</stp>
        <stp>[FA1_m42y3cpi.xlsx]Bal Sheet - Standardized!R88C40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8" s="3"/>
      </tp>
      <tp>
        <v>3.0686</v>
        <stp/>
        <stp>##V3_BDHV12</stp>
        <stp>XOM US Equity</stp>
        <stp>CASH_FLOW_PER_SH</stp>
        <stp>FQ3 2011</stp>
        <stp>FQ3 2011</stp>
        <stp>[FA1_m42y3cpi.xlsx]Per Share!R22C15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2" s="5"/>
      </tp>
      <tp>
        <v>2.1894999999999998</v>
        <stp/>
        <stp>##V3_BDHV12</stp>
        <stp>XOM US Equity</stp>
        <stp>CASH_FLOW_PER_SH</stp>
        <stp>FQ3 2015</stp>
        <stp>FQ3 2015</stp>
        <stp>[FA1_m42y3cpi.xlsx]Per Share!R22C31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2" s="5"/>
      </tp>
      <tp t="s">
        <v>—</v>
        <stp/>
        <stp>##V3_BDHV12</stp>
        <stp>XOM US Equity</stp>
        <stp>BS_DERIV_&amp;_HEDGING_ASSETS_LT</stp>
        <stp>FQ2 2015</stp>
        <stp>FQ2 2015</stp>
        <stp>[FA1_m42y3cpi.xlsx]Bal Sheet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3"/>
      </tp>
      <tp>
        <v>335191</v>
        <stp/>
        <stp>##V3_BDHV12</stp>
        <stp>XOM US Equity</stp>
        <stp>BS_TOT_ASSET</stp>
        <stp>FQ3 2012</stp>
        <stp>FQ3 2012</stp>
        <stp>[FA1_m42y3cpi.xlsx]Bal Sheet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3"/>
      </tp>
      <tp t="s">
        <v>—</v>
        <stp/>
        <stp>##V3_BDHV12</stp>
        <stp>XOM US Equity</stp>
        <stp>BS_DERIV_&amp;_HEDGING_ASSETS_ST</stp>
        <stp>FQ2 2015</stp>
        <stp>FQ2 2015</stp>
        <stp>[FA1_m42y3cpi.xlsx]Bal Sheet - Standardized!R19C30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3"/>
      </tp>
      <tp t="s">
        <v>—</v>
        <stp/>
        <stp>##V3_BDHV12</stp>
        <stp>XOM US Equity</stp>
        <stp>BS_DERIV_&amp;_HEDGING_ASSETS_ST</stp>
        <stp>FQ2 2016</stp>
        <stp>FQ2 2016</stp>
        <stp>[FA1_m42y3cpi.xlsx]Bal Sheet - Standardized!R19C34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3"/>
      </tp>
      <tp t="s">
        <v>—</v>
        <stp/>
        <stp>##V3_BDHV12</stp>
        <stp>XOM US Equity</stp>
        <stp>BS_DERIV_&amp;_HEDGING_ASSETS_ST</stp>
        <stp>FQ3 2014</stp>
        <stp>FQ3 2014</stp>
        <stp>[FA1_m42y3cpi.xlsx]Bal Sheet - Standardized!R19C27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3"/>
      </tp>
      <tp t="s">
        <v>—</v>
        <stp/>
        <stp>##V3_BDHV12</stp>
        <stp>XOM US Equity</stp>
        <stp>BS_DERIV_&amp;_HEDGING_ASSETS_LT</stp>
        <stp>FQ3 2013</stp>
        <stp>FQ3 2013</stp>
        <stp>[FA1_m42y3cpi.xlsx]Bal Sheet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3"/>
      </tp>
      <tp t="s">
        <v>—</v>
        <stp/>
        <stp>##V3_BDHV12</stp>
        <stp>XOM US Equity</stp>
        <stp>BS_DERIV_&amp;_HEDGING_ASSETS_LT</stp>
        <stp>FQ2 2016</stp>
        <stp>FQ2 2016</stp>
        <stp>[FA1_m42y3cpi.xlsx]Bal Sheet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3"/>
      </tp>
      <tp t="s">
        <v>—</v>
        <stp/>
        <stp>##V3_BDHV12</stp>
        <stp>XOM US Equity</stp>
        <stp>BS_DERIV_&amp;_HEDGING_ASSETS_LT</stp>
        <stp>FQ3 2014</stp>
        <stp>FQ3 2014</stp>
        <stp>[FA1_m42y3cpi.xlsx]Bal Sheet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3"/>
      </tp>
      <tp t="s">
        <v>—</v>
        <stp/>
        <stp>##V3_BDHV12</stp>
        <stp>XOM US Equity</stp>
        <stp>BS_DERIV_&amp;_HEDGING_ASSETS_ST</stp>
        <stp>FQ3 2013</stp>
        <stp>FQ3 2013</stp>
        <stp>[FA1_m42y3cpi.xlsx]Bal Sheet - Standardized!R19C23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3"/>
      </tp>
      <tp>
        <v>299994</v>
        <stp/>
        <stp>##V3_BDHV12</stp>
        <stp>XOM US Equity</stp>
        <stp>BS_TOT_ASSET</stp>
        <stp>FQ3 2010</stp>
        <stp>FQ3 2010</stp>
        <stp>[FA1_m42y3cpi.xlsx]Bal Sheet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3"/>
      </tp>
      <tp t="s">
        <v>—</v>
        <stp/>
        <stp>##V3_BDHV12</stp>
        <stp>XOM US Equity</stp>
        <stp>BS_DERIV_&amp;_HEDGING_ASSETS_ST</stp>
        <stp>FQ2 2017</stp>
        <stp>FQ2 2017</stp>
        <stp>[FA1_m42y3cpi.xlsx]Bal Sheet - Standardized!R19C38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9" s="3"/>
      </tp>
      <tp>
        <v>344209</v>
        <stp/>
        <stp>##V3_BDHV12</stp>
        <stp>XOM US Equity</stp>
        <stp>BS_TOT_ASSET</stp>
        <stp>FQ1 2017</stp>
        <stp>FQ1 2017</stp>
        <stp>[FA1_m42y3cpi.xlsx]Bal Sheet - Standardized!R39C37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9" s="3"/>
      </tp>
      <tp t="s">
        <v>—</v>
        <stp/>
        <stp>##V3_BDHV12</stp>
        <stp>XOM US Equity</stp>
        <stp>BS_DERIV_&amp;_HEDGING_ASSETS_LT</stp>
        <stp>FQ2 2017</stp>
        <stp>FQ2 2017</stp>
        <stp>[FA1_m42y3cpi.xlsx]Bal Sheet - Standardized!R34C38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4" s="3"/>
      </tp>
      <tp>
        <v>323227</v>
        <stp/>
        <stp>##V3_BDHV12</stp>
        <stp>XOM US Equity</stp>
        <stp>BS_TOT_ASSET</stp>
        <stp>FQ3 2011</stp>
        <stp>FQ3 2011</stp>
        <stp>[FA1_m42y3cpi.xlsx]Bal Sheet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3"/>
      </tp>
      <tp>
        <v>3502</v>
        <stp/>
        <stp>##V3_BDHV12</stp>
        <stp>XOM US Equity</stp>
        <stp>IS_TOT_CASH_COM_DVD</stp>
        <stp>FQ2 2018</stp>
        <stp>FQ2 2018</stp>
        <stp>[FA1_m42y3cpi.xlsx]Income - Adjusted!R70C42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0" s="2"/>
      </tp>
      <tp>
        <v>4937</v>
        <stp/>
        <stp>##V3_BDHV12</stp>
        <stp>XOM US Equity</stp>
        <stp>IS_AVG_NUM_SH_FOR_EPS</stp>
        <stp>FQ1 2009</stp>
        <stp>FQ1 2009</stp>
        <stp>[FA1_m42y3cpi.xlsx]Per Share!R8C5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5"/>
      </tp>
      <tp>
        <v>4851</v>
        <stp/>
        <stp>##V3_BDHV12</stp>
        <stp>XOM US Equity</stp>
        <stp>IS_AVG_NUM_SH_FOR_EPS</stp>
        <stp>FQ2 2009</stp>
        <stp>FQ2 2009</stp>
        <stp>[FA1_m42y3cpi.xlsx]Per Share!R8C6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5"/>
      </tp>
      <tp>
        <v>342789</v>
        <stp/>
        <stp>##V3_BDHV12</stp>
        <stp>XOM US Equity</stp>
        <stp>BS_TOT_ASSET</stp>
        <stp>FQ1 2016</stp>
        <stp>FQ1 2016</stp>
        <stp>[FA1_m42y3cpi.xlsx]Bal Sheet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3"/>
      </tp>
      <tp>
        <v>4784</v>
        <stp/>
        <stp>##V3_BDHV12</stp>
        <stp>XOM US Equity</stp>
        <stp>IS_AVG_NUM_SH_FOR_EPS</stp>
        <stp>FQ3 2009</stp>
        <stp>FQ3 2009</stp>
        <stp>[FA1_m42y3cpi.xlsx]Per Share!R8C7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5"/>
      </tp>
      <tp>
        <v>99285</v>
        <stp/>
        <stp>##V3_BDHV12</stp>
        <stp>XOM US Equity</stp>
        <stp>NON_CUR_LIAB</stp>
        <stp>FQ3 2014</stp>
        <stp>FQ3 2014</stp>
        <stp>[FA1_m42y3cpi.xlsx]Bal Sheet - Standardized!R65C27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5" s="3"/>
      </tp>
      <tp>
        <v>114094</v>
        <stp/>
        <stp>##V3_BDHV12</stp>
        <stp>XOM US Equity</stp>
        <stp>NON_CUR_LIAB</stp>
        <stp>FQ2 2016</stp>
        <stp>FQ2 2016</stp>
        <stp>[FA1_m42y3cpi.xlsx]Bal Sheet - Standardized!R65C34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5" s="3"/>
      </tp>
      <tp>
        <v>99337</v>
        <stp/>
        <stp>##V3_BDHV12</stp>
        <stp>XOM US Equity</stp>
        <stp>NON_CUR_LIAB</stp>
        <stp>FQ3 2013</stp>
        <stp>FQ3 2013</stp>
        <stp>[FA1_m42y3cpi.xlsx]Bal Sheet - Standardized!R65C23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5" s="3"/>
      </tp>
      <tp>
        <v>110890</v>
        <stp/>
        <stp>##V3_BDHV12</stp>
        <stp>XOM US Equity</stp>
        <stp>NON_CUR_LIAB</stp>
        <stp>FQ2 2015</stp>
        <stp>FQ2 2015</stp>
        <stp>[FA1_m42y3cpi.xlsx]Bal Sheet - Standardized!R65C30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5" s="3"/>
      </tp>
      <tp>
        <v>82.02</v>
        <stp/>
        <stp>##V3_BDHV12</stp>
        <stp>XOM US Equity</stp>
        <stp>PX_OPEN</stp>
        <stp>FQ2 2017</stp>
        <stp>FQ2 2017</stp>
        <stp>[FA1_m42y3cpi.xlsx]Stock Value!R8C38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" s="6"/>
      </tp>
      <tp>
        <v>86.6</v>
        <stp/>
        <stp>##V3_BDHV12</stp>
        <stp>XOM US Equity</stp>
        <stp>PX_OPEN</stp>
        <stp>FQ2 2012</stp>
        <stp>FQ2 2012</stp>
        <stp>[FA1_m42y3cpi.xlsx]Stock Value!R8C18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6"/>
      </tp>
      <tp>
        <v>106225</v>
        <stp/>
        <stp>##V3_BDHV12</stp>
        <stp>XOM US Equity</stp>
        <stp>NON_CUR_LIAB</stp>
        <stp>FQ2 2017</stp>
        <stp>FQ2 2017</stp>
        <stp>[FA1_m42y3cpi.xlsx]Bal Sheet - Standardized!R65C38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5" s="3"/>
      </tp>
      <tp>
        <v>0</v>
        <stp/>
        <stp>##V3_BDHV12</stp>
        <stp>XOM US Equity</stp>
        <stp>IS_TOT_CASH_PFD_DVD</stp>
        <stp>FQ2 2018</stp>
        <stp>FQ2 2018</stp>
        <stp>[FA1_m42y3cpi.xlsx]Income - Adjusted!R41C42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1" s="2"/>
      </tp>
      <tp>
        <v>94.11</v>
        <stp/>
        <stp>##V3_BDHV12</stp>
        <stp>XOM US Equity</stp>
        <stp>PX_OPEN</stp>
        <stp>FQ4 2014</stp>
        <stp>FQ4 2014</stp>
        <stp>[FA1_m42y3cpi.xlsx]Stock Value!R8C28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6"/>
      </tp>
      <tp>
        <v>42.288899999999998</v>
        <stp/>
        <stp>##V3_BDHV12</stp>
        <stp>XOM US Equity</stp>
        <stp>BOOK_VAL_PER_SH</stp>
        <stp>FQ2 2017</stp>
        <stp>FQ2 2017</stp>
        <stp>[FA1_m42y3cpi.xlsx]Per Share!R26C38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6" s="5"/>
      </tp>
      <tp t="s">
        <v>—</v>
        <stp/>
        <stp>##V3_BDHV12</stp>
        <stp>XOM US Equity</stp>
        <stp>NUM_OF_EMPLOYEES</stp>
        <stp>FQ1 2012</stp>
        <stp>FQ1 2012</stp>
        <stp>[FA1_m42y3cpi.xlsx]Bal Sheet - Standardized!R91C17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91" s="3"/>
      </tp>
      <tp t="s">
        <v>—</v>
        <stp/>
        <stp>##V3_BDHV12</stp>
        <stp>XOM US Equity</stp>
        <stp>NUM_OF_EMPLOYEES</stp>
        <stp>FQ1 2016</stp>
        <stp>FQ1 2016</stp>
        <stp>[FA1_m42y3cpi.xlsx]Bal Sheet - Standardized!R91C33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91" s="3"/>
      </tp>
      <tp>
        <v>71100</v>
        <stp/>
        <stp>##V3_BDHV12</stp>
        <stp>XOM US Equity</stp>
        <stp>NUM_OF_EMPLOYEES</stp>
        <stp>FQ4 2016</stp>
        <stp>FQ4 2016</stp>
        <stp>[FA1_m42y3cpi.xlsx]Bal Sheet - Standardized!R91C36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91" s="3"/>
      </tp>
      <tp>
        <v>-7816</v>
        <stp/>
        <stp>##V3_BDHV12</stp>
        <stp>XOM US Equity</stp>
        <stp>CFF_ACTIVITIES_DETAILED</stp>
        <stp>FQ1 2014</stp>
        <stp>FQ1 2014</stp>
        <stp>[FA1_m42y3cpi.xlsx]Cash Flow - Standardized!R49C25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9" s="4"/>
      </tp>
      <tp>
        <v>-4177</v>
        <stp/>
        <stp>##V3_BDHV12</stp>
        <stp>XOM US Equity</stp>
        <stp>CFF_ACTIVITIES_DETAILED</stp>
        <stp>FQ2 2010</stp>
        <stp>FQ2 2010</stp>
        <stp>[FA1_m42y3cpi.xlsx]Cash Flow - Standardized!R49C10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9" s="4"/>
      </tp>
      <tp>
        <v>-6694</v>
        <stp/>
        <stp>##V3_BDHV12</stp>
        <stp>XOM US Equity</stp>
        <stp>CFF_ACTIVITIES_DETAILED</stp>
        <stp>FQ1 2013</stp>
        <stp>FQ1 2013</stp>
        <stp>[FA1_m42y3cpi.xlsx]Cash Flow - Standardized!R49C21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9" s="4"/>
      </tp>
      <tp>
        <v>1.8900000000000001</v>
        <stp/>
        <stp>##V3_BDHV12</stp>
        <stp>XOM US Equity</stp>
        <stp>IS_BASIC_EPS_CONT_OPS</stp>
        <stp>FQ3 2014</stp>
        <stp>FQ3 2014</stp>
        <stp>[FA1_m42y3cpi.xlsx]Income - Adjusted!R52C27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2" s="2"/>
      </tp>
      <tp>
        <v>0.63</v>
        <stp/>
        <stp>##V3_BDHV12</stp>
        <stp>XOM US Equity</stp>
        <stp>IS_BASIC_EPS_CONT_OPS</stp>
        <stp>FQ3 2016</stp>
        <stp>FQ3 2016</stp>
        <stp>[FA1_m42y3cpi.xlsx]Income - Adjusted!R52C35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2" s="2"/>
      </tp>
      <tp>
        <v>0</v>
        <stp/>
        <stp>##V3_BDHV12</stp>
        <stp>XOM US Equity</stp>
        <stp>CF_PYMT_LT_DEBT_&amp;_CAPITAL_LEASE</stp>
        <stp>FQ2 2017</stp>
        <stp>FQ2 2017</stp>
        <stp>[FA1_m42y3cpi.xlsx]Cash Flow - Standardized!R43C38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3" s="4"/>
      </tp>
      <tp>
        <v>-7065</v>
        <stp/>
        <stp>##V3_BDHV12</stp>
        <stp>XOM US Equity</stp>
        <stp>CFF_ACTIVITIES_DETAILED</stp>
        <stp>FQ2 2011</stp>
        <stp>FQ2 2011</stp>
        <stp>[FA1_m42y3cpi.xlsx]Cash Flow - Standardized!R49C14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9" s="4"/>
      </tp>
      <tp>
        <v>-7153</v>
        <stp/>
        <stp>##V3_BDHV12</stp>
        <stp>XOM US Equity</stp>
        <stp>CFF_ACTIVITIES_DETAILED</stp>
        <stp>FQ2 2012</stp>
        <stp>FQ2 2012</stp>
        <stp>[FA1_m42y3cpi.xlsx]Cash Flow - Standardized!R49C18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9" s="4"/>
      </tp>
      <tp>
        <v>0</v>
        <stp/>
        <stp>##V3_BDHV12</stp>
        <stp>XOM US Equity</stp>
        <stp>CF_PYMT_LT_DEBT_&amp;_CAPITAL_LEASE</stp>
        <stp>FQ3 2013</stp>
        <stp>FQ3 2013</stp>
        <stp>[FA1_m42y3cpi.xlsx]Cash Flow - Standardized!R43C23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3" s="4"/>
      </tp>
      <tp>
        <v>0</v>
        <stp/>
        <stp>##V3_BDHV12</stp>
        <stp>XOM US Equity</stp>
        <stp>CF_PYMT_LT_DEBT_&amp;_CAPITAL_LEASE</stp>
        <stp>FQ2 2016</stp>
        <stp>FQ2 2016</stp>
        <stp>[FA1_m42y3cpi.xlsx]Cash Flow - Standardized!R43C34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3" s="4"/>
      </tp>
      <tp>
        <v>0</v>
        <stp/>
        <stp>##V3_BDHV12</stp>
        <stp>XOM US Equity</stp>
        <stp>CF_PYMT_LT_DEBT_&amp;_CAPITAL_LEASE</stp>
        <stp>FQ3 2014</stp>
        <stp>FQ3 2014</stp>
        <stp>[FA1_m42y3cpi.xlsx]Cash Flow - Standardized!R43C27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3" s="4"/>
      </tp>
      <tp>
        <v>-3</v>
        <stp/>
        <stp>##V3_BDHV12</stp>
        <stp>XOM US Equity</stp>
        <stp>CF_PYMT_LT_DEBT_&amp;_CAPITAL_LEASE</stp>
        <stp>FQ2 2015</stp>
        <stp>FQ2 2015</stp>
        <stp>[FA1_m42y3cpi.xlsx]Cash Flow - Standardized!R43C30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3" s="4"/>
      </tp>
      <tp>
        <v>-854</v>
        <stp/>
        <stp>##V3_BDHV12</stp>
        <stp>XOM US Equity</stp>
        <stp>CFF_ACTIVITIES_DETAILED</stp>
        <stp>FQ1 2015</stp>
        <stp>FQ1 2015</stp>
        <stp>[FA1_m42y3cpi.xlsx]Cash Flow - Standardized!R49C29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9" s="4"/>
      </tp>
      <tp>
        <v>1.27</v>
        <stp/>
        <stp>##V3_BDHV12</stp>
        <stp>XOM US Equity</stp>
        <stp>IS_DIL_EPS_CONT_OPS</stp>
        <stp>FQ4 2009</stp>
        <stp>FQ4 2009</stp>
        <stp>[FA1_m42y3cpi.xlsx]Per Share!R19C8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9" s="5"/>
      </tp>
      <tp>
        <v>4270</v>
        <stp/>
        <stp>##V3_BDHV12</stp>
        <stp>XOM US Equity</stp>
        <stp>IS_SH_FOR_DILUTED_EPS</stp>
        <stp>FQ1 2018</stp>
        <stp>FQ1 2018</stp>
        <stp>[FA1_m42y3cpi.xlsx]Income - Adjusted!R54C41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4" s="2"/>
      </tp>
      <tp t="s">
        <v>—</v>
        <stp/>
        <stp>##V3_BDHV12</stp>
        <stp>XOM US Equity</stp>
        <stp>CF_STOCK_BASED_COMPENSATION</stp>
        <stp>FQ4 2009</stp>
        <stp>FQ4 2009</stp>
        <stp>[FA1_m42y3cpi.xlsx]Cash Flow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4"/>
      </tp>
      <tp>
        <v>139</v>
        <stp/>
        <stp>##V3_BDHV12</stp>
        <stp>XOM US Equity</stp>
        <stp>CF_INCR_CAP_STOCK</stp>
        <stp>FQ4 2012</stp>
        <stp>FQ4 2012</stp>
        <stp>[FA1_m42y3cpi.xlsx]Cash Flow - Standardized!R45C20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5" s="4"/>
      </tp>
      <tp t="s">
        <v>—</v>
        <stp/>
        <stp>##V3_BDHV12</stp>
        <stp>XOM US Equity</stp>
        <stp>CF_STOCK_BASED_COMPENSATION</stp>
        <stp>FQ1 2010</stp>
        <stp>FQ1 2010</stp>
        <stp>[FA1_m42y3cpi.xlsx]Cash Flow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4"/>
      </tp>
      <tp>
        <v>38</v>
        <stp/>
        <stp>##V3_BDHV12</stp>
        <stp>XOM US Equity</stp>
        <stp>CF_INCR_CAP_STOCK</stp>
        <stp>FQ4 2013</stp>
        <stp>FQ4 2013</stp>
        <stp>[FA1_m42y3cpi.xlsx]Cash Flow - Standardized!R45C24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5" s="4"/>
      </tp>
      <tp t="s">
        <v>—</v>
        <stp/>
        <stp>##V3_BDHV12</stp>
        <stp>XOM US Equity</stp>
        <stp>BS_OPTIONS_OUTSTANDING</stp>
        <stp>FQ1 2017</stp>
        <stp>FQ1 2017</stp>
        <stp>[FA1_m42y3cpi.xlsx]Bal Sheet - Standardized!R85C37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5" s="3"/>
      </tp>
      <tp t="s">
        <v>—</v>
        <stp/>
        <stp>##V3_BDHV12</stp>
        <stp>XOM US Equity</stp>
        <stp>CF_STOCK_BASED_COMPENSATION</stp>
        <stp>FQ3 2009</stp>
        <stp>FQ3 2009</stp>
        <stp>[FA1_m42y3cpi.xlsx]Cash Flow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4"/>
      </tp>
      <tp t="s">
        <v>—</v>
        <stp/>
        <stp>##V3_BDHV12</stp>
        <stp>XOM US Equity</stp>
        <stp>CF_STOCK_BASED_COMPENSATION</stp>
        <stp>FQ2 2009</stp>
        <stp>FQ2 2009</stp>
        <stp>[FA1_m42y3cpi.xlsx]Cash Flow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4"/>
      </tp>
      <tp t="s">
        <v>—</v>
        <stp/>
        <stp>##V3_BDHV12</stp>
        <stp>XOM US Equity</stp>
        <stp>CF_STOCK_BASED_COMPENSATION</stp>
        <stp>FQ1 2009</stp>
        <stp>FQ1 2009</stp>
        <stp>[FA1_m42y3cpi.xlsx]Cash Flow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4"/>
      </tp>
      <tp>
        <v>0</v>
        <stp/>
        <stp>##V3_BDHV12</stp>
        <stp>XOM US Equity</stp>
        <stp>CF_INCR_CAP_STOCK</stp>
        <stp>FQ2 2018</stp>
        <stp>FQ2 2018</stp>
        <stp>[FA1_m42y3cpi.xlsx]Cash Flow - Standardized!R45C42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5" s="4"/>
      </tp>
      <tp>
        <v>125</v>
        <stp/>
        <stp>##V3_BDHV12</stp>
        <stp>XOM US Equity</stp>
        <stp>CF_INCR_CAP_STOCK</stp>
        <stp>FQ4 2014</stp>
        <stp>FQ4 2014</stp>
        <stp>[FA1_m42y3cpi.xlsx]Cash Flow - Standardized!R45C28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5" s="4"/>
      </tp>
      <tp t="s">
        <v>—</v>
        <stp/>
        <stp>##V3_BDHV12</stp>
        <stp>XOM US Equity</stp>
        <stp>CF_STOCK_BASED_COMPENSATION</stp>
        <stp>FQ3 2008</stp>
        <stp>FQ3 2008</stp>
        <stp>[FA1_m42y3cpi.xlsx]Cash Flow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4"/>
      </tp>
      <tp t="s">
        <v>—</v>
        <stp/>
        <stp>##V3_BDHV12</stp>
        <stp>XOM US Equity</stp>
        <stp>CF_STOCK_BASED_COMPENSATION</stp>
        <stp>FQ4 2008</stp>
        <stp>FQ4 2008</stp>
        <stp>[FA1_m42y3cpi.xlsx]Cash Flow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4"/>
      </tp>
      <tp>
        <v>-8.0584000000000007</v>
        <stp/>
        <stp>##V3_BDHV12</stp>
        <stp>XOM US Equity</stp>
        <stp>CHG_PCT_PERIOD</stp>
        <stp>FQ1 2015</stp>
        <stp>FQ1 2015</stp>
        <stp>[FA1_m42y3cpi.xlsx]Stock Value!R7C29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6"/>
      </tp>
      <tp>
        <v>6.8715999999999999</v>
        <stp/>
        <stp>##V3_BDHV12</stp>
        <stp>XOM US Equity</stp>
        <stp>CHG_PCT_PERIOD</stp>
        <stp>FQ3 2012</stp>
        <stp>FQ3 2012</stp>
        <stp>[FA1_m42y3cpi.xlsx]Stock Value!R7C19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6"/>
      </tp>
      <tp>
        <v>1.5484</v>
        <stp/>
        <stp>##V3_BDHV12</stp>
        <stp>XOM US Equity</stp>
        <stp>CHG_PCT_PERIOD</stp>
        <stp>FQ3 2017</stp>
        <stp>FQ3 2017</stp>
        <stp>[FA1_m42y3cpi.xlsx]Stock Value!R7C39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" s="6"/>
      </tp>
      <tp t="s">
        <v>—</v>
        <stp/>
        <stp>##V3_BDHV12</stp>
        <stp>XOM US Equity</stp>
        <stp>IS_COG_AND_SERVICES_SOLD</stp>
        <stp>FQ3 2008</stp>
        <stp>FQ3 2008</stp>
        <stp>[FA1_m42y3cpi.xlsx]Income - Adjusted!R9C3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 t="s">
        <v>—</v>
        <stp/>
        <stp>##V3_BDHV12</stp>
        <stp>XOM US Equity</stp>
        <stp>IS_COG_AND_SERVICES_SOLD</stp>
        <stp>FQ4 2008</stp>
        <stp>FQ4 2008</stp>
        <stp>[FA1_m42y3cpi.xlsx]Income - Adjusted!R9C4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>
        <v>3213</v>
        <stp/>
        <stp>##V3_BDHV12</stp>
        <stp>XOM US Equity</stp>
        <stp>BS_NUM_OF_TSY_SH</stp>
        <stp>FQ2 2009</stp>
        <stp>FQ2 2009</stp>
        <stp>[FA1_m42y3cpi.xlsx]Bal Sheet - Standardized!R80C6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0" s="3"/>
      </tp>
      <tp>
        <v>3272</v>
        <stp/>
        <stp>##V3_BDHV12</stp>
        <stp>XOM US Equity</stp>
        <stp>BS_NUM_OF_TSY_SH</stp>
        <stp>FQ3 2009</stp>
        <stp>FQ3 2009</stp>
        <stp>[FA1_m42y3cpi.xlsx]Bal Sheet - Standardized!R80C7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0" s="3"/>
      </tp>
      <tp>
        <v>-1.0892999999999999</v>
        <stp/>
        <stp>##V3_BDHV12</stp>
        <stp>XOM US Equity</stp>
        <stp>NET_DEBT_TO_SHRHLDR_EQTY</stp>
        <stp>FQ4 2009</stp>
        <stp>FQ4 2009</stp>
        <stp>[FA1_m42y3cpi.xlsx]Bal Sheet - Standardized!R87C8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7" s="3"/>
      </tp>
      <tp>
        <v>3139</v>
        <stp/>
        <stp>##V3_BDHV12</stp>
        <stp>XOM US Equity</stp>
        <stp>BS_NUM_OF_TSY_SH</stp>
        <stp>FQ1 2009</stp>
        <stp>FQ1 2009</stp>
        <stp>[FA1_m42y3cpi.xlsx]Bal Sheet - Standardized!R80C5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0" s="3"/>
      </tp>
      <tp>
        <v>4926</v>
        <stp/>
        <stp>##V3_BDHV12</stp>
        <stp>XOM US Equity</stp>
        <stp>BS_SH_OUT</stp>
        <stp>FQ1 2011</stp>
        <stp>FQ1 2011</stp>
        <stp>[FA1_m42y3cpi.xlsx]Bal Sheet - Standardized!R79C13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9" s="3"/>
      </tp>
      <tp>
        <v>4734</v>
        <stp/>
        <stp>##V3_BDHV12</stp>
        <stp>XOM US Equity</stp>
        <stp>BS_SH_OUT</stp>
        <stp>FQ4 2011</stp>
        <stp>FQ4 2011</stp>
        <stp>[FA1_m42y3cpi.xlsx]Bal Sheet - Standardized!R79C16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9" s="3"/>
      </tp>
      <tp t="s">
        <v>—</v>
        <stp/>
        <stp>##V3_BDHV12</stp>
        <stp>XOM US Equity</stp>
        <stp>TCE_RATIO</stp>
        <stp>FQ2 2010</stp>
        <stp>FQ2 2010</stp>
        <stp>[FA1_m42y3cpi.xlsx]Bal Sheet - Standardized!R88C10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8" s="3"/>
      </tp>
      <tp t="s">
        <v>—</v>
        <stp/>
        <stp>##V3_BDHV12</stp>
        <stp>XOM US Equity</stp>
        <stp>TCE_RATIO</stp>
        <stp>FQ3 2010</stp>
        <stp>FQ3 2010</stp>
        <stp>[FA1_m42y3cpi.xlsx]Bal Sheet - Standardized!R88C11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8" s="3"/>
      </tp>
      <tp>
        <v>4446</v>
        <stp/>
        <stp>##V3_BDHV12</stp>
        <stp>XOM US Equity</stp>
        <stp>BS_SH_OUT</stp>
        <stp>FQ1 2013</stp>
        <stp>FQ1 2013</stp>
        <stp>[FA1_m42y3cpi.xlsx]Bal Sheet - Standardized!R79C21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9" s="3"/>
      </tp>
      <tp>
        <v>4402</v>
        <stp/>
        <stp>##V3_BDHV12</stp>
        <stp>XOM US Equity</stp>
        <stp>BS_SH_OUT</stp>
        <stp>FQ2 2013</stp>
        <stp>FQ2 2013</stp>
        <stp>[FA1_m42y3cpi.xlsx]Bal Sheet - Standardized!R79C22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9" s="3"/>
      </tp>
      <tp>
        <v>4369</v>
        <stp/>
        <stp>##V3_BDHV12</stp>
        <stp>XOM US Equity</stp>
        <stp>BS_SH_OUT</stp>
        <stp>FQ3 2013</stp>
        <stp>FQ3 2013</stp>
        <stp>[FA1_m42y3cpi.xlsx]Bal Sheet - Standardized!R79C23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9" s="3"/>
      </tp>
      <tp>
        <v>4335</v>
        <stp/>
        <stp>##V3_BDHV12</stp>
        <stp>XOM US Equity</stp>
        <stp>BS_SH_OUT</stp>
        <stp>FQ4 2013</stp>
        <stp>FQ4 2013</stp>
        <stp>[FA1_m42y3cpi.xlsx]Bal Sheet - Standardized!R79C24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9" s="3"/>
      </tp>
      <tp>
        <v>4156</v>
        <stp/>
        <stp>##V3_BDHV12</stp>
        <stp>XOM US Equity</stp>
        <stp>BS_SH_OUT</stp>
        <stp>FQ4 2015</stp>
        <stp>FQ4 2015</stp>
        <stp>[FA1_m42y3cpi.xlsx]Bal Sheet - Standardized!R79C32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9" s="3"/>
      </tp>
      <tp>
        <v>4239</v>
        <stp/>
        <stp>##V3_BDHV12</stp>
        <stp>XOM US Equity</stp>
        <stp>BS_SH_OUT</stp>
        <stp>FQ4 2017</stp>
        <stp>FQ4 2017</stp>
        <stp>[FA1_m42y3cpi.xlsx]Bal Sheet - Standardized!R79C40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9" s="3"/>
      </tp>
      <tp>
        <v>2.6272000000000002</v>
        <stp/>
        <stp>##V3_BDHV12</stp>
        <stp>XOM US Equity</stp>
        <stp>CASH_FLOW_PER_SH</stp>
        <stp>FQ2 2011</stp>
        <stp>FQ2 2011</stp>
        <stp>[FA1_m42y3cpi.xlsx]Per Share!R22C14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2" s="5"/>
      </tp>
      <tp>
        <v>2.0933000000000002</v>
        <stp/>
        <stp>##V3_BDHV12</stp>
        <stp>XOM US Equity</stp>
        <stp>CASH_FLOW_PER_SH</stp>
        <stp>FQ2 2015</stp>
        <stp>FQ2 2015</stp>
        <stp>[FA1_m42y3cpi.xlsx]Per Share!R22C30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2" s="5"/>
      </tp>
      <tp>
        <v>4.0906000000000002</v>
        <stp/>
        <stp>##V3_BDHV12</stp>
        <stp>XOM US Equity</stp>
        <stp>CASH_FLOW_PER_SH</stp>
        <stp>FQ1 2012</stp>
        <stp>FQ1 2012</stp>
        <stp>[FA1_m42y3cpi.xlsx]Per Share!R22C17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2" s="5"/>
      </tp>
      <tp>
        <v>1.1516999999999999</v>
        <stp/>
        <stp>##V3_BDHV12</stp>
        <stp>XOM US Equity</stp>
        <stp>CASH_FLOW_PER_SH</stp>
        <stp>FQ1 2016</stp>
        <stp>FQ1 2016</stp>
        <stp>[FA1_m42y3cpi.xlsx]Per Share!R22C33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2" s="5"/>
      </tp>
      <tp t="s">
        <v>—</v>
        <stp/>
        <stp>##V3_BDHV12</stp>
        <stp>XOM US Equity</stp>
        <stp>BS_DERIV_&amp;_HEDGING_ASSETS_LT</stp>
        <stp>FQ4 2012</stp>
        <stp>FQ4 2012</stp>
        <stp>[FA1_m42y3cpi.xlsx]Bal Sheet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3"/>
      </tp>
      <tp t="s">
        <v>—</v>
        <stp/>
        <stp>##V3_BDHV12</stp>
        <stp>XOM US Equity</stp>
        <stp>BS_DERIV_&amp;_HEDGING_ASSETS_ST</stp>
        <stp>FQ4 2012</stp>
        <stp>FQ4 2012</stp>
        <stp>[FA1_m42y3cpi.xlsx]Bal Sheet - Standardized!R19C20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3"/>
      </tp>
      <tp>
        <v>348826</v>
        <stp/>
        <stp>##V3_BDHV12</stp>
        <stp>XOM US Equity</stp>
        <stp>BS_TOT_ASSET</stp>
        <stp>FQ1 2018</stp>
        <stp>FQ1 2018</stp>
        <stp>[FA1_m42y3cpi.xlsx]Bal Sheet - Standardized!R39C41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9" s="3"/>
      </tp>
      <tp t="s">
        <v>—</v>
        <stp/>
        <stp>##V3_BDHV12</stp>
        <stp>XOM US Equity</stp>
        <stp>BS_DERIV_&amp;_HEDGING_ASSETS_LT</stp>
        <stp>FQ4 2013</stp>
        <stp>FQ4 2013</stp>
        <stp>[FA1_m42y3cpi.xlsx]Bal Sheet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3"/>
      </tp>
      <tp t="s">
        <v>—</v>
        <stp/>
        <stp>##V3_BDHV12</stp>
        <stp>XOM US Equity</stp>
        <stp>BS_DERIV_&amp;_HEDGING_ASSETS_ST</stp>
        <stp>FQ4 2013</stp>
        <stp>FQ4 2013</stp>
        <stp>[FA1_m42y3cpi.xlsx]Bal Sheet - Standardized!R19C24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3"/>
      </tp>
      <tp>
        <v>331052</v>
        <stp/>
        <stp>##V3_BDHV12</stp>
        <stp>XOM US Equity</stp>
        <stp>BS_TOT_ASSET</stp>
        <stp>FQ4 2011</stp>
        <stp>FQ4 2011</stp>
        <stp>[FA1_m42y3cpi.xlsx]Bal Sheet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3"/>
      </tp>
      <tp>
        <v>0</v>
        <stp/>
        <stp>##V3_BDHV12</stp>
        <stp>XOM US Equity</stp>
        <stp>IS_TOT_CASH_PFD_DVD</stp>
        <stp>FQ1 2010</stp>
        <stp>FQ1 2010</stp>
        <stp>[FA1_m42y3cpi.xlsx]Income - Adjusted!R41C9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2"/>
      </tp>
      <tp t="s">
        <v>—</v>
        <stp/>
        <stp>##V3_BDHV12</stp>
        <stp>XOM US Equity</stp>
        <stp>BS_DERIV_&amp;_HEDGING_ASSETS_ST</stp>
        <stp>FQ4 2014</stp>
        <stp>FQ4 2014</stp>
        <stp>[FA1_m42y3cpi.xlsx]Bal Sheet - Standardized!R19C28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3"/>
      </tp>
      <tp t="s">
        <v>—</v>
        <stp/>
        <stp>##V3_BDHV12</stp>
        <stp>XOM US Equity</stp>
        <stp>BS_DERIV_&amp;_HEDGING_ASSETS_ST</stp>
        <stp>FQ2 2018</stp>
        <stp>FQ2 2018</stp>
        <stp>[FA1_m42y3cpi.xlsx]Bal Sheet - Standardized!R19C42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9" s="3"/>
      </tp>
      <tp>
        <v>302510</v>
        <stp/>
        <stp>##V3_BDHV12</stp>
        <stp>XOM US Equity</stp>
        <stp>BS_TOT_ASSET</stp>
        <stp>FQ4 2010</stp>
        <stp>FQ4 2010</stp>
        <stp>[FA1_m42y3cpi.xlsx]Bal Sheet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3"/>
      </tp>
      <tp t="s">
        <v>—</v>
        <stp/>
        <stp>##V3_BDHV12</stp>
        <stp>XOM US Equity</stp>
        <stp>BS_DERIV_&amp;_HEDGING_ASSETS_LT</stp>
        <stp>FQ2 2018</stp>
        <stp>FQ2 2018</stp>
        <stp>[FA1_m42y3cpi.xlsx]Bal Sheet - Standardized!R34C42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4" s="3"/>
      </tp>
      <tp t="s">
        <v>—</v>
        <stp/>
        <stp>##V3_BDHV12</stp>
        <stp>XOM US Equity</stp>
        <stp>BS_DERIV_&amp;_HEDGING_ASSETS_LT</stp>
        <stp>FQ4 2014</stp>
        <stp>FQ4 2014</stp>
        <stp>[FA1_m42y3cpi.xlsx]Bal Sheet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3"/>
      </tp>
      <tp>
        <v>94589</v>
        <stp/>
        <stp>##V3_BDHV12</stp>
        <stp>XOM US Equity</stp>
        <stp>NON_CUR_LIAB</stp>
        <stp>FQ4 2013</stp>
        <stp>FQ4 2013</stp>
        <stp>[FA1_m42y3cpi.xlsx]Bal Sheet - Standardized!R65C24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5" s="3"/>
      </tp>
      <tp>
        <v>97996</v>
        <stp/>
        <stp>##V3_BDHV12</stp>
        <stp>XOM US Equity</stp>
        <stp>NON_CUR_LIAB</stp>
        <stp>FQ4 2012</stp>
        <stp>FQ4 2012</stp>
        <stp>[FA1_m42y3cpi.xlsx]Bal Sheet - Standardized!R65C20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5" s="3"/>
      </tp>
      <tp>
        <v>103796</v>
        <stp/>
        <stp>##V3_BDHV12</stp>
        <stp>XOM US Equity</stp>
        <stp>NON_CUR_LIAB</stp>
        <stp>FQ4 2014</stp>
        <stp>FQ4 2014</stp>
        <stp>[FA1_m42y3cpi.xlsx]Bal Sheet - Standardized!R65C28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5" s="3"/>
      </tp>
      <tp>
        <v>92810</v>
        <stp/>
        <stp>##V3_BDHV12</stp>
        <stp>XOM US Equity</stp>
        <stp>NON_CUR_LIAB</stp>
        <stp>FQ2 2018</stp>
        <stp>FQ2 2018</stp>
        <stp>[FA1_m42y3cpi.xlsx]Bal Sheet - Standardized!R65C42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5" s="3"/>
      </tp>
      <tp t="s">
        <v>—</v>
        <stp/>
        <stp>##V3_BDHV12</stp>
        <stp>XOM US Equity</stp>
        <stp>NUM_OF_EMPLOYEES</stp>
        <stp>FQ1 2011</stp>
        <stp>FQ1 2011</stp>
        <stp>[FA1_m42y3cpi.xlsx]Bal Sheet - Standardized!R91C13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91" s="3"/>
      </tp>
      <tp>
        <v>82100</v>
        <stp/>
        <stp>##V3_BDHV12</stp>
        <stp>XOM US Equity</stp>
        <stp>NUM_OF_EMPLOYEES</stp>
        <stp>FQ4 2011</stp>
        <stp>FQ4 2011</stp>
        <stp>[FA1_m42y3cpi.xlsx]Bal Sheet - Standardized!R91C16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91" s="3"/>
      </tp>
      <tp t="s">
        <v>—</v>
        <stp/>
        <stp>##V3_BDHV12</stp>
        <stp>XOM US Equity</stp>
        <stp>NUM_OF_EMPLOYEES</stp>
        <stp>FQ1 2013</stp>
        <stp>FQ1 2013</stp>
        <stp>[FA1_m42y3cpi.xlsx]Bal Sheet - Standardized!R91C21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91" s="3"/>
      </tp>
      <tp t="s">
        <v>—</v>
        <stp/>
        <stp>##V3_BDHV12</stp>
        <stp>XOM US Equity</stp>
        <stp>NUM_OF_EMPLOYEES</stp>
        <stp>FQ3 2013</stp>
        <stp>FQ3 2013</stp>
        <stp>[FA1_m42y3cpi.xlsx]Bal Sheet - Standardized!R91C23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91" s="3"/>
      </tp>
      <tp t="s">
        <v>—</v>
        <stp/>
        <stp>##V3_BDHV12</stp>
        <stp>XOM US Equity</stp>
        <stp>NUM_OF_EMPLOYEES</stp>
        <stp>FQ2 2013</stp>
        <stp>FQ2 2013</stp>
        <stp>[FA1_m42y3cpi.xlsx]Bal Sheet - Standardized!R91C22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91" s="3"/>
      </tp>
      <tp>
        <v>75000</v>
        <stp/>
        <stp>##V3_BDHV12</stp>
        <stp>XOM US Equity</stp>
        <stp>NUM_OF_EMPLOYEES</stp>
        <stp>FQ4 2013</stp>
        <stp>FQ4 2013</stp>
        <stp>[FA1_m42y3cpi.xlsx]Bal Sheet - Standardized!R91C24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91" s="3"/>
      </tp>
      <tp>
        <v>73500</v>
        <stp/>
        <stp>##V3_BDHV12</stp>
        <stp>XOM US Equity</stp>
        <stp>NUM_OF_EMPLOYEES</stp>
        <stp>FQ4 2015</stp>
        <stp>FQ4 2015</stp>
        <stp>[FA1_m42y3cpi.xlsx]Bal Sheet - Standardized!R91C32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91" s="3"/>
      </tp>
      <tp>
        <v>69600</v>
        <stp/>
        <stp>##V3_BDHV12</stp>
        <stp>XOM US Equity</stp>
        <stp>NUM_OF_EMPLOYEES</stp>
        <stp>FQ4 2017</stp>
        <stp>FQ4 2017</stp>
        <stp>[FA1_m42y3cpi.xlsx]Bal Sheet - Standardized!R91C40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91" s="3"/>
      </tp>
      <tp>
        <v>0</v>
        <stp/>
        <stp>##V3_BDHV12</stp>
        <stp>XOM US Equity</stp>
        <stp>CF_PYMT_LT_DEBT_&amp;_CAPITAL_LEASE</stp>
        <stp>FQ2 2018</stp>
        <stp>FQ2 2018</stp>
        <stp>[FA1_m42y3cpi.xlsx]Cash Flow - Standardized!R43C42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3" s="4"/>
      </tp>
      <tp>
        <v>-69</v>
        <stp/>
        <stp>##V3_BDHV12</stp>
        <stp>XOM US Equity</stp>
        <stp>CF_PYMT_LT_DEBT_&amp;_CAPITAL_LEASE</stp>
        <stp>FQ4 2014</stp>
        <stp>FQ4 2014</stp>
        <stp>[FA1_m42y3cpi.xlsx]Cash Flow - Standardized!R43C28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3" s="4"/>
      </tp>
      <tp>
        <v>2.13</v>
        <stp/>
        <stp>##V3_BDHV12</stp>
        <stp>XOM US Equity</stp>
        <stp>IS_BASIC_EPS_CONT_OPS</stp>
        <stp>FQ3 2011</stp>
        <stp>FQ3 2011</stp>
        <stp>[FA1_m42y3cpi.xlsx]Income - Adjusted!R52C15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2" s="2"/>
      </tp>
      <tp>
        <v>1.01</v>
        <stp/>
        <stp>##V3_BDHV12</stp>
        <stp>XOM US Equity</stp>
        <stp>IS_BASIC_EPS_CONT_OPS</stp>
        <stp>FQ3 2015</stp>
        <stp>FQ3 2015</stp>
        <stp>[FA1_m42y3cpi.xlsx]Income - Adjusted!R52C31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2" s="2"/>
      </tp>
      <tp>
        <v>-13</v>
        <stp/>
        <stp>##V3_BDHV12</stp>
        <stp>XOM US Equity</stp>
        <stp>CF_PYMT_LT_DEBT_&amp;_CAPITAL_LEASE</stp>
        <stp>FQ4 2013</stp>
        <stp>FQ4 2013</stp>
        <stp>[FA1_m42y3cpi.xlsx]Cash Flow - Standardized!R43C24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3" s="4"/>
      </tp>
      <tp>
        <v>-132</v>
        <stp/>
        <stp>##V3_BDHV12</stp>
        <stp>XOM US Equity</stp>
        <stp>CF_PYMT_LT_DEBT_&amp;_CAPITAL_LEASE</stp>
        <stp>FQ4 2012</stp>
        <stp>FQ4 2012</stp>
        <stp>[FA1_m42y3cpi.xlsx]Cash Flow - Standardized!R43C20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3" s="4"/>
      </tp>
      <tp t="s">
        <v>—</v>
        <stp/>
        <stp>##V3_BDHV12</stp>
        <stp>XOM US Equity</stp>
        <stp>IS_NET_INTEREST_EXPENSE</stp>
        <stp>FQ2 2009</stp>
        <stp>FQ2 2009</stp>
        <stp>[FA1_m42y3cpi.xlsx]Income - Adjusted!R18C6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8" s="2"/>
      </tp>
      <tp t="s">
        <v>—</v>
        <stp/>
        <stp>##V3_BDHV12</stp>
        <stp>XOM US Equity</stp>
        <stp>IS_NET_INTEREST_EXPENSE</stp>
        <stp>FQ3 2009</stp>
        <stp>FQ3 2009</stp>
        <stp>[FA1_m42y3cpi.xlsx]Income - Adjusted!R18C7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8" s="2"/>
      </tp>
      <tp t="s">
        <v>—</v>
        <stp/>
        <stp>##V3_BDHV12</stp>
        <stp>XOM US Equity</stp>
        <stp>IS_NET_INTEREST_EXPENSE</stp>
        <stp>FQ1 2009</stp>
        <stp>FQ1 2009</stp>
        <stp>[FA1_m42y3cpi.xlsx]Income - Adjusted!R18C5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8" s="2"/>
      </tp>
      <tp>
        <v>4271</v>
        <stp/>
        <stp>##V3_BDHV12</stp>
        <stp>XOM US Equity</stp>
        <stp>IS_SH_FOR_DILUTED_EPS</stp>
        <stp>FQ3 2017</stp>
        <stp>FQ3 2017</stp>
        <stp>[FA1_m42y3cpi.xlsx]Income - Adjusted!R54C39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4" s="2"/>
      </tp>
      <tp>
        <v>0</v>
        <stp/>
        <stp>##V3_BDHV12</stp>
        <stp>XOM US Equity</stp>
        <stp>CF_INCR_CAP_STOCK</stp>
        <stp>FQ2 2015</stp>
        <stp>FQ2 2015</stp>
        <stp>[FA1_m42y3cpi.xlsx]Cash Flow - Standardized!R45C30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5" s="4"/>
      </tp>
      <tp>
        <v>4</v>
        <stp/>
        <stp>##V3_BDHV12</stp>
        <stp>XOM US Equity</stp>
        <stp>CF_INCR_CAP_STOCK</stp>
        <stp>FQ3 2014</stp>
        <stp>FQ3 2014</stp>
        <stp>[FA1_m42y3cpi.xlsx]Cash Flow - Standardized!R45C27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5" s="4"/>
      </tp>
      <tp>
        <v>2</v>
        <stp/>
        <stp>##V3_BDHV12</stp>
        <stp>XOM US Equity</stp>
        <stp>CF_INCR_CAP_STOCK</stp>
        <stp>FQ2 2016</stp>
        <stp>FQ2 2016</stp>
        <stp>[FA1_m42y3cpi.xlsx]Cash Flow - Standardized!R45C34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5" s="4"/>
      </tp>
      <tp>
        <v>0.77</v>
        <stp/>
        <stp>##V3_BDHV12</stp>
        <stp>XOM US Equity</stp>
        <stp>EQY_DPS</stp>
        <stp>FQ2 2017</stp>
        <stp>FQ2 2017</stp>
        <stp>[FA1_m42y3cpi.xlsx]Income - Adjusted!R69C38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9" s="2"/>
      </tp>
      <tp>
        <v>44</v>
        <stp/>
        <stp>##V3_BDHV12</stp>
        <stp>XOM US Equity</stp>
        <stp>CF_INCR_CAP_STOCK</stp>
        <stp>FQ3 2013</stp>
        <stp>FQ3 2013</stp>
        <stp>[FA1_m42y3cpi.xlsx]Cash Flow - Standardized!R45C23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5" s="4"/>
      </tp>
      <tp>
        <v>0</v>
        <stp/>
        <stp>##V3_BDHV12</stp>
        <stp>XOM US Equity</stp>
        <stp>CF_INCR_CAP_STOCK</stp>
        <stp>FQ2 2017</stp>
        <stp>FQ2 2017</stp>
        <stp>[FA1_m42y3cpi.xlsx]Cash Flow - Standardized!R45C38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5" s="4"/>
      </tp>
      <tp>
        <v>2.355</v>
        <stp/>
        <stp>##V3_BDHV12</stp>
        <stp>XOM US Equity</stp>
        <stp>BS_OPTIONS_OUTSTANDING</stp>
        <stp>FQ4 2012</stp>
        <stp>FQ4 2012</stp>
        <stp>[FA1_m42y3cpi.xlsx]Bal Sheet - Standardized!R85C20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5" s="3"/>
      </tp>
      <tp>
        <v>29.509</v>
        <stp/>
        <stp>##V3_BDHV12</stp>
        <stp>XOM US Equity</stp>
        <stp>BS_OPTIONS_OUTSTANDING</stp>
        <stp>FQ4 2010</stp>
        <stp>FQ4 2010</stp>
        <stp>[FA1_m42y3cpi.xlsx]Bal Sheet - Standardized!R85C12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5" s="3"/>
      </tp>
      <tp>
        <v>4676</v>
        <stp/>
        <stp>##V3_BDHV12</stp>
        <stp>XOM US Equity</stp>
        <stp>BS_SH_OUT</stp>
        <stp>FQ1 2012</stp>
        <stp>FQ1 2012</stp>
        <stp>[FA1_m42y3cpi.xlsx]Bal Sheet - Standardized!R79C17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9" s="3"/>
      </tp>
      <tp>
        <v>4147</v>
        <stp/>
        <stp>##V3_BDHV12</stp>
        <stp>XOM US Equity</stp>
        <stp>BS_SH_OUT</stp>
        <stp>FQ1 2016</stp>
        <stp>FQ1 2016</stp>
        <stp>[FA1_m42y3cpi.xlsx]Bal Sheet - Standardized!R79C33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9" s="3"/>
      </tp>
      <tp>
        <v>4148</v>
        <stp/>
        <stp>##V3_BDHV12</stp>
        <stp>XOM US Equity</stp>
        <stp>BS_SH_OUT</stp>
        <stp>FQ4 2016</stp>
        <stp>FQ4 2016</stp>
        <stp>[FA1_m42y3cpi.xlsx]Bal Sheet - Standardized!R79C36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9" s="3"/>
      </tp>
      <tp t="s">
        <v>—</v>
        <stp/>
        <stp>##V3_BDHV12</stp>
        <stp>XOM US Equity</stp>
        <stp>BS_DERIVATIVE_&amp;_HEDGING_LIABS_LT</stp>
        <stp>FQ1 2009</stp>
        <stp>FQ1 2009</stp>
        <stp>[FA1_m42y3cpi.xlsx]Bal Sheet - Standardized!R63C5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3" s="3"/>
      </tp>
      <tp t="s">
        <v>—</v>
        <stp/>
        <stp>##V3_BDHV12</stp>
        <stp>XOM US Equity</stp>
        <stp>BS_DERIVATIVE_&amp;_HEDGING_LIABS_LT</stp>
        <stp>FQ2 2009</stp>
        <stp>FQ2 2009</stp>
        <stp>[FA1_m42y3cpi.xlsx]Bal Sheet - Standardized!R63C6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3" s="3"/>
      </tp>
      <tp t="s">
        <v>—</v>
        <stp/>
        <stp>##V3_BDHV12</stp>
        <stp>XOM US Equity</stp>
        <stp>BS_DERIVATIVE_&amp;_HEDGING_LIABS_LT</stp>
        <stp>FQ3 2009</stp>
        <stp>FQ3 2009</stp>
        <stp>[FA1_m42y3cpi.xlsx]Bal Sheet - Standardized!R63C7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3" s="3"/>
      </tp>
      <tp t="s">
        <v>—</v>
        <stp/>
        <stp>##V3_BDHV12</stp>
        <stp>XOM US Equity</stp>
        <stp>BS_DERIVATIVE_&amp;_HEDGING_LIABS_LT</stp>
        <stp>FQ4 2008</stp>
        <stp>FQ4 2008</stp>
        <stp>[FA1_m42y3cpi.xlsx]Bal Sheet - Standardized!R63C4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3" s="3"/>
      </tp>
      <tp t="s">
        <v>—</v>
        <stp/>
        <stp>##V3_BDHV12</stp>
        <stp>XOM US Equity</stp>
        <stp>BS_DERIVATIVE_&amp;_HEDGING_LIABS_LT</stp>
        <stp>FQ3 2008</stp>
        <stp>FQ3 2008</stp>
        <stp>[FA1_m42y3cpi.xlsx]Bal Sheet - Standardized!R63C3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3" s="3"/>
      </tp>
      <tp>
        <v>2.9239000000000002</v>
        <stp/>
        <stp>##V3_BDHV12</stp>
        <stp>XOM US Equity</stp>
        <stp>CASH_FLOW_PER_SH</stp>
        <stp>FQ4 2012</stp>
        <stp>FQ4 2012</stp>
        <stp>[FA1_m42y3cpi.xlsx]Per Share!R22C20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2" s="5"/>
      </tp>
      <tp>
        <v>2.6252</v>
        <stp/>
        <stp>##V3_BDHV12</stp>
        <stp>XOM US Equity</stp>
        <stp>CASH_FLOW_PER_SH</stp>
        <stp>FQ4 2010</stp>
        <stp>FQ4 2010</stp>
        <stp>[FA1_m42y3cpi.xlsx]Per Share!R22C12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2" s="5"/>
      </tp>
      <tp>
        <v>2.3742000000000001</v>
        <stp/>
        <stp>##V3_BDHV12</stp>
        <stp>XOM US Equity</stp>
        <stp>CASH_FLOW_PER_SH</stp>
        <stp>FQ2 2014</stp>
        <stp>FQ2 2014</stp>
        <stp>[FA1_m42y3cpi.xlsx]Per Share!R22C26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2" s="5"/>
      </tp>
      <tp>
        <v>1.0897000000000001</v>
        <stp/>
        <stp>##V3_BDHV12</stp>
        <stp>XOM US Equity</stp>
        <stp>CASH_FLOW_PER_SH</stp>
        <stp>FQ2 2016</stp>
        <stp>FQ2 2016</stp>
        <stp>[FA1_m42y3cpi.xlsx]Per Share!R22C34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2" s="5"/>
      </tp>
      <tp>
        <v>3.0305</v>
        <stp/>
        <stp>##V3_BDHV12</stp>
        <stp>XOM US Equity</stp>
        <stp>CASH_FLOW_PER_SH</stp>
        <stp>FQ1 2013</stp>
        <stp>FQ1 2013</stp>
        <stp>[FA1_m42y3cpi.xlsx]Per Share!R22C21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2" s="5"/>
      </tp>
      <tp>
        <v>3.3963000000000001</v>
        <stp/>
        <stp>##V3_BDHV12</stp>
        <stp>XOM US Equity</stp>
        <stp>CASH_FLOW_PER_SH</stp>
        <stp>FQ1 2011</stp>
        <stp>FQ1 2011</stp>
        <stp>[FA1_m42y3cpi.xlsx]Per Share!R22C13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2" s="5"/>
      </tp>
      <tp t="s">
        <v>—</v>
        <stp/>
        <stp>##V3_BDHV12</stp>
        <stp>XOM US Equity</stp>
        <stp>BS_DERIVATIVE_&amp;_HEDGING_LIABS_LT</stp>
        <stp>FQ4 2009</stp>
        <stp>FQ4 2009</stp>
        <stp>[FA1_m42y3cpi.xlsx]Bal Sheet - Standardized!R63C8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3" s="3"/>
      </tp>
      <tp t="s">
        <v>—</v>
        <stp/>
        <stp>##V3_BDHV12</stp>
        <stp>XOM US Equity</stp>
        <stp>BS_DERIVATIVE_&amp;_HEDGING_LIABS_LT</stp>
        <stp>FQ1 2010</stp>
        <stp>FQ1 2010</stp>
        <stp>[FA1_m42y3cpi.xlsx]Bal Sheet - Standardized!R63C9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3" s="3"/>
      </tp>
      <tp>
        <v>1.55</v>
        <stp/>
        <stp>##V3_BDHV12</stp>
        <stp>XOM US Equity</stp>
        <stp>IS_DILUTED_EPS</stp>
        <stp>FQ4 2008</stp>
        <stp>FQ4 2008</stp>
        <stp>[FA1_m42y3cpi.xlsx]Income - Adjusted!R55C4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55" s="2"/>
      </tp>
      <tp>
        <v>2.86</v>
        <stp/>
        <stp>##V3_BDHV12</stp>
        <stp>XOM US Equity</stp>
        <stp>IS_DILUTED_EPS</stp>
        <stp>FQ3 2008</stp>
        <stp>FQ3 2008</stp>
        <stp>[FA1_m42y3cpi.xlsx]Income - Adjusted!R55C3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55" s="2"/>
      </tp>
      <tp t="s">
        <v>—</v>
        <stp/>
        <stp>##V3_BDHV12</stp>
        <stp>XOM US Equity</stp>
        <stp>BS_DERIV_&amp;_HEDGING_ASSETS_ST</stp>
        <stp>FQ4 2016</stp>
        <stp>FQ4 2016</stp>
        <stp>[FA1_m42y3cpi.xlsx]Bal Sheet - Standardized!R19C36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3"/>
      </tp>
      <tp t="s">
        <v>—</v>
        <stp/>
        <stp>##V3_BDHV12</stp>
        <stp>XOM US Equity</stp>
        <stp>BS_DERIV_&amp;_HEDGING_ASSETS_LT</stp>
        <stp>FQ4 2016</stp>
        <stp>FQ4 2016</stp>
        <stp>[FA1_m42y3cpi.xlsx]Bal Sheet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3"/>
      </tp>
      <tp>
        <v>4736</v>
        <stp/>
        <stp>##V3_BDHV12</stp>
        <stp>XOM US Equity</stp>
        <stp>IS_SH_FOR_DILUTED_EPS</stp>
        <stp>FQ1 2010</stp>
        <stp>FQ1 2010</stp>
        <stp>[FA1_m42y3cpi.xlsx]Per Share!R7C9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5"/>
      </tp>
      <tp t="s">
        <v>—</v>
        <stp/>
        <stp>##V3_BDHV12</stp>
        <stp>XOM US Equity</stp>
        <stp>BS_DERIV_&amp;_HEDGING_ASSETS_LT</stp>
        <stp>FQ4 2015</stp>
        <stp>FQ4 2015</stp>
        <stp>[FA1_m42y3cpi.xlsx]Bal Sheet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3"/>
      </tp>
      <tp t="s">
        <v>—</v>
        <stp/>
        <stp>##V3_BDHV12</stp>
        <stp>XOM US Equity</stp>
        <stp>BS_DERIV_&amp;_HEDGING_ASSETS_ST</stp>
        <stp>FQ4 2015</stp>
        <stp>FQ4 2015</stp>
        <stp>[FA1_m42y3cpi.xlsx]Bal Sheet - Standardized!R19C32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3"/>
      </tp>
      <tp>
        <v>0</v>
        <stp/>
        <stp>##V3_BDHV12</stp>
        <stp>XOM US Equity</stp>
        <stp>IS_TOT_CASH_PFD_DVD</stp>
        <stp>FQ1 2009</stp>
        <stp>FQ1 2009</stp>
        <stp>[FA1_m42y3cpi.xlsx]Income - Adjusted!R41C5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2"/>
      </tp>
      <tp>
        <v>105972</v>
        <stp/>
        <stp>##V3_BDHV12</stp>
        <stp>XOM US Equity</stp>
        <stp>NON_CUR_LIAB</stp>
        <stp>FQ4 2015</stp>
        <stp>FQ4 2015</stp>
        <stp>[FA1_m42y3cpi.xlsx]Bal Sheet - Standardized!R65C32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5" s="3"/>
      </tp>
      <tp>
        <v>108846</v>
        <stp/>
        <stp>##V3_BDHV12</stp>
        <stp>XOM US Equity</stp>
        <stp>NON_CUR_LIAB</stp>
        <stp>FQ4 2016</stp>
        <stp>FQ4 2016</stp>
        <stp>[FA1_m42y3cpi.xlsx]Bal Sheet - Standardized!R65C36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5" s="3"/>
      </tp>
      <tp>
        <v>44.448500000000003</v>
        <stp/>
        <stp>##V3_BDHV12</stp>
        <stp>XOM US Equity</stp>
        <stp>BOOK_VAL_PER_SH</stp>
        <stp>FQ1 2018</stp>
        <stp>FQ1 2018</stp>
        <stp>[FA1_m42y3cpi.xlsx]Per Share!R26C41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6" s="5"/>
      </tp>
      <tp t="s">
        <v>—</v>
        <stp/>
        <stp>##V3_BDHV12</stp>
        <stp>XOM US Equity</stp>
        <stp>NUM_OF_EMPLOYEES</stp>
        <stp>FQ2 2010</stp>
        <stp>FQ2 2010</stp>
        <stp>[FA1_m42y3cpi.xlsx]Bal Sheet - Standardized!R91C10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91" s="3"/>
      </tp>
      <tp t="s">
        <v>—</v>
        <stp/>
        <stp>##V3_BDHV12</stp>
        <stp>XOM US Equity</stp>
        <stp>NUM_OF_EMPLOYEES</stp>
        <stp>FQ3 2010</stp>
        <stp>FQ3 2010</stp>
        <stp>[FA1_m42y3cpi.xlsx]Bal Sheet - Standardized!R91C11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91" s="3"/>
      </tp>
      <tp>
        <v>0.85819999999999996</v>
        <stp/>
        <stp>##V3_BDHV12</stp>
        <stp>XOM US Equity</stp>
        <stp>FREE_CASH_FLOW_PER_SH</stp>
        <stp>FQ1 2009</stp>
        <stp>FQ1 2009</stp>
        <stp>[FA1_m42y3cpi.xlsx]Cash Flow - Standardized!R66C5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6" s="4"/>
      </tp>
      <tp>
        <v>0.69750000000000001</v>
        <stp/>
        <stp>##V3_BDHV12</stp>
        <stp>XOM US Equity</stp>
        <stp>FREE_CASH_FLOW_PER_SH</stp>
        <stp>FQ3 2009</stp>
        <stp>FQ3 2009</stp>
        <stp>[FA1_m42y3cpi.xlsx]Cash Flow - Standardized!R66C7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6" s="4"/>
      </tp>
      <tp>
        <v>-0.69430000000000003</v>
        <stp/>
        <stp>##V3_BDHV12</stp>
        <stp>XOM US Equity</stp>
        <stp>FREE_CASH_FLOW_PER_SH</stp>
        <stp>FQ2 2009</stp>
        <stp>FQ2 2009</stp>
        <stp>[FA1_m42y3cpi.xlsx]Cash Flow - Standardized!R66C6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6" s="4"/>
      </tp>
      <tp>
        <v>-7045</v>
        <stp/>
        <stp>##V3_BDHV12</stp>
        <stp>XOM US Equity</stp>
        <stp>CFF_ACTIVITIES_DETAILED</stp>
        <stp>FQ4 2011</stp>
        <stp>FQ4 2011</stp>
        <stp>[FA1_m42y3cpi.xlsx]Cash Flow - Standardized!R49C16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9" s="4"/>
      </tp>
      <tp>
        <v>2.19</v>
        <stp/>
        <stp>##V3_BDHV12</stp>
        <stp>XOM US Equity</stp>
        <stp>IS_BASIC_EPS_CONT_OPS</stp>
        <stp>FQ2 2011</stp>
        <stp>FQ2 2011</stp>
        <stp>[FA1_m42y3cpi.xlsx]Income - Adjusted!R52C14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2" s="2"/>
      </tp>
      <tp>
        <v>1</v>
        <stp/>
        <stp>##V3_BDHV12</stp>
        <stp>XOM US Equity</stp>
        <stp>IS_BASIC_EPS_CONT_OPS</stp>
        <stp>FQ2 2015</stp>
        <stp>FQ2 2015</stp>
        <stp>[FA1_m42y3cpi.xlsx]Income - Adjusted!R52C30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2" s="2"/>
      </tp>
      <tp>
        <v>2</v>
        <stp/>
        <stp>##V3_BDHV12</stp>
        <stp>XOM US Equity</stp>
        <stp>IS_BASIC_EPS_CONT_OPS</stp>
        <stp>FQ1 2012</stp>
        <stp>FQ1 2012</stp>
        <stp>[FA1_m42y3cpi.xlsx]Income - Adjusted!R52C17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2" s="2"/>
      </tp>
      <tp>
        <v>0.43</v>
        <stp/>
        <stp>##V3_BDHV12</stp>
        <stp>XOM US Equity</stp>
        <stp>IS_BASIC_EPS_CONT_OPS</stp>
        <stp>FQ1 2016</stp>
        <stp>FQ1 2016</stp>
        <stp>[FA1_m42y3cpi.xlsx]Income - Adjusted!R52C33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2" s="2"/>
      </tp>
      <tp>
        <v>-10430</v>
        <stp/>
        <stp>##V3_BDHV12</stp>
        <stp>XOM US Equity</stp>
        <stp>CFF_ACTIVITIES_DETAILED</stp>
        <stp>FQ4 2010</stp>
        <stp>FQ4 2010</stp>
        <stp>[FA1_m42y3cpi.xlsx]Cash Flow - Standardized!R49C12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9" s="4"/>
      </tp>
      <tp>
        <v>-5742</v>
        <stp/>
        <stp>##V3_BDHV12</stp>
        <stp>XOM US Equity</stp>
        <stp>CFF_ACTIVITIES_DETAILED</stp>
        <stp>FQ1 2018</stp>
        <stp>FQ1 2018</stp>
        <stp>[FA1_m42y3cpi.xlsx]Cash Flow - Standardized!R49C41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9" s="4"/>
      </tp>
      <tp>
        <v>-8</v>
        <stp/>
        <stp>##V3_BDHV12</stp>
        <stp>XOM US Equity</stp>
        <stp>CF_PYMT_LT_DEBT_&amp;_CAPITAL_LEASE</stp>
        <stp>FQ4 2015</stp>
        <stp>FQ4 2015</stp>
        <stp>[FA1_m42y3cpi.xlsx]Cash Flow - Standardized!R43C32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3" s="4"/>
      </tp>
      <tp>
        <v>4271</v>
        <stp/>
        <stp>##V3_BDHV12</stp>
        <stp>XOM US Equity</stp>
        <stp>IS_SH_FOR_DILUTED_EPS</stp>
        <stp>FQ2 2017</stp>
        <stp>FQ2 2017</stp>
        <stp>[FA1_m42y3cpi.xlsx]Income - Adjusted!R54C38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4" s="2"/>
      </tp>
      <tp>
        <v>0</v>
        <stp/>
        <stp>##V3_BDHV12</stp>
        <stp>XOM US Equity</stp>
        <stp>CF_PYMT_LT_DEBT_&amp;_CAPITAL_LEASE</stp>
        <stp>FQ4 2016</stp>
        <stp>FQ4 2016</stp>
        <stp>[FA1_m42y3cpi.xlsx]Cash Flow - Standardized!R43C36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3" s="4"/>
      </tp>
      <tp>
        <v>82</v>
        <stp/>
        <stp>##V3_BDHV12</stp>
        <stp>XOM US Equity</stp>
        <stp>CF_INCR_CAP_STOCK</stp>
        <stp>FQ1 2012</stp>
        <stp>FQ1 2012</stp>
        <stp>[FA1_m42y3cpi.xlsx]Cash Flow - Standardized!R45C17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5" s="4"/>
      </tp>
      <tp>
        <v>-307</v>
        <stp/>
        <stp>##V3_BDHV12</stp>
        <stp>XOM US Equity</stp>
        <stp>INC_DEC_IN_OT_OP_AST_LIAB_DETAIL</stp>
        <stp>FQ4 2009</stp>
        <stp>FQ4 2009</stp>
        <stp>[FA1_m42y3cpi.xlsx]Cash Flow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4"/>
      </tp>
      <tp>
        <v>0</v>
        <stp/>
        <stp>##V3_BDHV12</stp>
        <stp>XOM US Equity</stp>
        <stp>CF_INCR_CAP_STOCK</stp>
        <stp>FQ3 2015</stp>
        <stp>FQ3 2015</stp>
        <stp>[FA1_m42y3cpi.xlsx]Cash Flow - Standardized!R45C31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5" s="4"/>
      </tp>
      <tp>
        <v>3201</v>
        <stp/>
        <stp>##V3_BDHV12</stp>
        <stp>XOM US Equity</stp>
        <stp>INC_DEC_IN_OT_OP_AST_LIAB_DETAIL</stp>
        <stp>FQ1 2010</stp>
        <stp>FQ1 2010</stp>
        <stp>[FA1_m42y3cpi.xlsx]Cash Flow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4"/>
      </tp>
      <tp>
        <v>14</v>
        <stp/>
        <stp>##V3_BDHV12</stp>
        <stp>XOM US Equity</stp>
        <stp>CF_INCR_CAP_STOCK</stp>
        <stp>FQ2 2014</stp>
        <stp>FQ2 2014</stp>
        <stp>[FA1_m42y3cpi.xlsx]Cash Flow - Standardized!R45C26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5" s="4"/>
      </tp>
      <tp>
        <v>0</v>
        <stp/>
        <stp>##V3_BDHV12</stp>
        <stp>XOM US Equity</stp>
        <stp>CF_INCR_CAP_STOCK</stp>
        <stp>FQ3 2016</stp>
        <stp>FQ3 2016</stp>
        <stp>[FA1_m42y3cpi.xlsx]Cash Flow - Standardized!R45C35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5" s="4"/>
      </tp>
      <tp>
        <v>0.77</v>
        <stp/>
        <stp>##V3_BDHV12</stp>
        <stp>XOM US Equity</stp>
        <stp>EQY_DPS</stp>
        <stp>FQ3 2017</stp>
        <stp>FQ3 2017</stp>
        <stp>[FA1_m42y3cpi.xlsx]Income - Adjusted!R69C39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9" s="2"/>
      </tp>
      <tp>
        <v>0</v>
        <stp/>
        <stp>##V3_BDHV12</stp>
        <stp>XOM US Equity</stp>
        <stp>CF_INCR_CAP_STOCK</stp>
        <stp>FQ4 2017</stp>
        <stp>FQ4 2017</stp>
        <stp>[FA1_m42y3cpi.xlsx]Cash Flow - Standardized!R45C40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5" s="4"/>
      </tp>
      <tp>
        <v>384</v>
        <stp/>
        <stp>##V3_BDHV12</stp>
        <stp>XOM US Equity</stp>
        <stp>CF_INCR_CAP_STOCK</stp>
        <stp>FQ1 2011</stp>
        <stp>FQ1 2011</stp>
        <stp>[FA1_m42y3cpi.xlsx]Cash Flow - Standardized!R45C13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5" s="4"/>
      </tp>
      <tp>
        <v>14</v>
        <stp/>
        <stp>##V3_BDHV12</stp>
        <stp>XOM US Equity</stp>
        <stp>CF_INCR_CAP_STOCK</stp>
        <stp>FQ2 2013</stp>
        <stp>FQ2 2013</stp>
        <stp>[FA1_m42y3cpi.xlsx]Cash Flow - Standardized!R45C22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5" s="4"/>
      </tp>
      <tp>
        <v>-2124</v>
        <stp/>
        <stp>##V3_BDHV12</stp>
        <stp>XOM US Equity</stp>
        <stp>INC_DEC_IN_OT_OP_AST_LIAB_DETAIL</stp>
        <stp>FQ2 2009</stp>
        <stp>FQ2 2009</stp>
        <stp>[FA1_m42y3cpi.xlsx]Cash Flow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4"/>
      </tp>
      <tp>
        <v>140</v>
        <stp/>
        <stp>##V3_BDHV12</stp>
        <stp>XOM US Equity</stp>
        <stp>INC_DEC_IN_OT_OP_AST_LIAB_DETAIL</stp>
        <stp>FQ3 2009</stp>
        <stp>FQ3 2009</stp>
        <stp>[FA1_m42y3cpi.xlsx]Cash Flow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4"/>
      </tp>
      <tp>
        <v>1132</v>
        <stp/>
        <stp>##V3_BDHV12</stp>
        <stp>XOM US Equity</stp>
        <stp>INC_DEC_IN_OT_OP_AST_LIAB_DETAIL</stp>
        <stp>FQ1 2009</stp>
        <stp>FQ1 2009</stp>
        <stp>[FA1_m42y3cpi.xlsx]Cash Flow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4"/>
      </tp>
      <tp>
        <v>0</v>
        <stp/>
        <stp>##V3_BDHV12</stp>
        <stp>XOM US Equity</stp>
        <stp>CF_INCR_CAP_STOCK</stp>
        <stp>FQ3 2017</stp>
        <stp>FQ3 2017</stp>
        <stp>[FA1_m42y3cpi.xlsx]Cash Flow - Standardized!R45C39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5" s="4"/>
      </tp>
      <tp t="s">
        <v>—</v>
        <stp/>
        <stp>##V3_BDHV12</stp>
        <stp>XOM US Equity</stp>
        <stp>BS_OPTIONS_OUTSTANDING</stp>
        <stp>FQ2 2015</stp>
        <stp>FQ2 2015</stp>
        <stp>[FA1_m42y3cpi.xlsx]Bal Sheet - Standardized!R85C30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5" s="3"/>
      </tp>
      <tp t="s">
        <v>—</v>
        <stp/>
        <stp>##V3_BDHV12</stp>
        <stp>XOM US Equity</stp>
        <stp>BS_OPTIONS_OUTSTANDING</stp>
        <stp>FQ3 2015</stp>
        <stp>FQ3 2015</stp>
        <stp>[FA1_m42y3cpi.xlsx]Bal Sheet - Standardized!R85C31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5" s="3"/>
      </tp>
      <tp>
        <v>-1713</v>
        <stp/>
        <stp>##V3_BDHV12</stp>
        <stp>XOM US Equity</stp>
        <stp>INC_DEC_IN_OT_OP_AST_LIAB_DETAIL</stp>
        <stp>FQ4 2008</stp>
        <stp>FQ4 2008</stp>
        <stp>[FA1_m42y3cpi.xlsx]Cash Flow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4"/>
      </tp>
      <tp>
        <v>-2856</v>
        <stp/>
        <stp>##V3_BDHV12</stp>
        <stp>XOM US Equity</stp>
        <stp>INC_DEC_IN_OT_OP_AST_LIAB_DETAIL</stp>
        <stp>FQ3 2008</stp>
        <stp>FQ3 2008</stp>
        <stp>[FA1_m42y3cpi.xlsx]Cash Flow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4"/>
      </tp>
      <tp t="s">
        <v>—</v>
        <stp/>
        <stp>##V3_BDHV12</stp>
        <stp>XOM US Equity</stp>
        <stp>BS_OPTIONS_OUTSTANDING</stp>
        <stp>FQ2 2011</stp>
        <stp>FQ2 2011</stp>
        <stp>[FA1_m42y3cpi.xlsx]Bal Sheet - Standardized!R85C14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5" s="3"/>
      </tp>
      <tp t="s">
        <v>—</v>
        <stp/>
        <stp>##V3_BDHV12</stp>
        <stp>XOM US Equity</stp>
        <stp>BS_OPTIONS_OUTSTANDING</stp>
        <stp>FQ3 2011</stp>
        <stp>FQ3 2011</stp>
        <stp>[FA1_m42y3cpi.xlsx]Bal Sheet - Standardized!R85C15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5" s="3"/>
      </tp>
      <tp>
        <v>1086</v>
        <stp/>
        <stp>##V3_BDHV12</stp>
        <stp>XOM US Equity</stp>
        <stp>OTHER_NON_CASH_ADJ_LESS_DETAILED</stp>
        <stp>FQ4 2008</stp>
        <stp>FQ4 2008</stp>
        <stp>[FA1_m42y3cpi.xlsx]Cash Flow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4"/>
      </tp>
      <tp>
        <v>-579</v>
        <stp/>
        <stp>##V3_BDHV12</stp>
        <stp>XOM US Equity</stp>
        <stp>OTHER_NON_CASH_ADJ_LESS_DETAILED</stp>
        <stp>FQ3 2008</stp>
        <stp>FQ3 2008</stp>
        <stp>[FA1_m42y3cpi.xlsx]Cash Flow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4"/>
      </tp>
      <tp>
        <v>435</v>
        <stp/>
        <stp>##V3_BDHV12</stp>
        <stp>XOM US Equity</stp>
        <stp>OTHER_NON_CASH_ADJ_LESS_DETAILED</stp>
        <stp>FQ1 2009</stp>
        <stp>FQ1 2009</stp>
        <stp>[FA1_m42y3cpi.xlsx]Cash Flow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4"/>
      </tp>
      <tp>
        <v>-2633</v>
        <stp/>
        <stp>##V3_BDHV12</stp>
        <stp>XOM US Equity</stp>
        <stp>OTHER_NON_CASH_ADJ_LESS_DETAILED</stp>
        <stp>FQ2 2009</stp>
        <stp>FQ2 2009</stp>
        <stp>[FA1_m42y3cpi.xlsx]Cash Flow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4"/>
      </tp>
      <tp>
        <v>1030</v>
        <stp/>
        <stp>##V3_BDHV12</stp>
        <stp>XOM US Equity</stp>
        <stp>OTHER_NON_CASH_ADJ_LESS_DETAILED</stp>
        <stp>FQ3 2009</stp>
        <stp>FQ3 2009</stp>
        <stp>[FA1_m42y3cpi.xlsx]Cash Flow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4"/>
      </tp>
      <tp>
        <v>265</v>
        <stp/>
        <stp>##V3_BDHV12</stp>
        <stp>XOM US Equity</stp>
        <stp>OTHER_NON_CASH_ADJ_LESS_DETAILED</stp>
        <stp>FQ1 2010</stp>
        <stp>FQ1 2010</stp>
        <stp>[FA1_m42y3cpi.xlsx]Cash Flow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4"/>
      </tp>
      <tp>
        <v>-432</v>
        <stp/>
        <stp>##V3_BDHV12</stp>
        <stp>XOM US Equity</stp>
        <stp>OTHER_NON_CASH_ADJ_LESS_DETAILED</stp>
        <stp>FQ4 2009</stp>
        <stp>FQ4 2009</stp>
        <stp>[FA1_m42y3cpi.xlsx]Cash Flow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4"/>
      </tp>
      <tp t="s">
        <v>—</v>
        <stp/>
        <stp>##V3_BDHV12</stp>
        <stp>XOM US Equity</stp>
        <stp>TCE_RATIO</stp>
        <stp>FQ1 2012</stp>
        <stp>FQ1 2012</stp>
        <stp>[FA1_m42y3cpi.xlsx]Bal Sheet - Standardized!R88C17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8" s="3"/>
      </tp>
      <tp>
        <v>50.656300000000002</v>
        <stp/>
        <stp>##V3_BDHV12</stp>
        <stp>XOM US Equity</stp>
        <stp>TCE_RATIO</stp>
        <stp>FQ4 2016</stp>
        <stp>FQ4 2016</stp>
        <stp>[FA1_m42y3cpi.xlsx]Bal Sheet - Standardized!R88C36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8" s="3"/>
      </tp>
      <tp t="s">
        <v>—</v>
        <stp/>
        <stp>##V3_BDHV12</stp>
        <stp>XOM US Equity</stp>
        <stp>TCE_RATIO</stp>
        <stp>FQ1 2016</stp>
        <stp>FQ1 2016</stp>
        <stp>[FA1_m42y3cpi.xlsx]Bal Sheet - Standardized!R88C33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8" s="3"/>
      </tp>
      <tp t="s">
        <v>—</v>
        <stp/>
        <stp>##V3_BDHV12</stp>
        <stp>XOM US Equity</stp>
        <stp>CF_CHANGE_IN_INVENTORIES</stp>
        <stp>FQ2 2009</stp>
        <stp>FQ2 2009</stp>
        <stp>[FA1_m42y3cpi.xlsx]Cash Flow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4"/>
      </tp>
      <tp t="s">
        <v>—</v>
        <stp/>
        <stp>##V3_BDHV12</stp>
        <stp>XOM US Equity</stp>
        <stp>CF_CHANGE_IN_INVENTORIES</stp>
        <stp>FQ3 2009</stp>
        <stp>FQ3 2009</stp>
        <stp>[FA1_m42y3cpi.xlsx]Cash Flow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4"/>
      </tp>
      <tp t="s">
        <v>—</v>
        <stp/>
        <stp>##V3_BDHV12</stp>
        <stp>XOM US Equity</stp>
        <stp>CF_CHANGE_IN_INVENTORIES</stp>
        <stp>FQ1 2009</stp>
        <stp>FQ1 2009</stp>
        <stp>[FA1_m42y3cpi.xlsx]Cash Flow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4"/>
      </tp>
      <tp>
        <v>2.9051</v>
        <stp/>
        <stp>##V3_BDHV12</stp>
        <stp>XOM US Equity</stp>
        <stp>CASH_FLOW_PER_SH</stp>
        <stp>FQ3 2014</stp>
        <stp>FQ3 2014</stp>
        <stp>[FA1_m42y3cpi.xlsx]Per Share!R22C27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2" s="5"/>
      </tp>
      <tp>
        <v>1.2817000000000001</v>
        <stp/>
        <stp>##V3_BDHV12</stp>
        <stp>XOM US Equity</stp>
        <stp>CASH_FLOW_PER_SH</stp>
        <stp>FQ3 2016</stp>
        <stp>FQ3 2016</stp>
        <stp>[FA1_m42y3cpi.xlsx]Per Share!R22C35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2" s="5"/>
      </tp>
      <tp>
        <v>-1285</v>
        <stp/>
        <stp>##V3_BDHV12</stp>
        <stp>XOM US Equity</stp>
        <stp>CF_CHANGE_IN_INVENTORIES</stp>
        <stp>FQ4 2008</stp>
        <stp>FQ4 2008</stp>
        <stp>[FA1_m42y3cpi.xlsx]Cash Flow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4"/>
      </tp>
      <tp t="s">
        <v>—</v>
        <stp/>
        <stp>##V3_BDHV12</stp>
        <stp>XOM US Equity</stp>
        <stp>CF_CHANGE_IN_INVENTORIES</stp>
        <stp>FQ3 2008</stp>
        <stp>FQ3 2008</stp>
        <stp>[FA1_m42y3cpi.xlsx]Cash Flow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4"/>
      </tp>
      <tp t="s">
        <v>—</v>
        <stp/>
        <stp>##V3_BDHV12</stp>
        <stp>XOM US Equity</stp>
        <stp>CF_CHANGE_IN_INVENTORIES</stp>
        <stp>FQ4 2009</stp>
        <stp>FQ4 2009</stp>
        <stp>[FA1_m42y3cpi.xlsx]Cash Flow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4"/>
      </tp>
      <tp t="s">
        <v>—</v>
        <stp/>
        <stp>##V3_BDHV12</stp>
        <stp>XOM US Equity</stp>
        <stp>CF_CHANGE_IN_INVENTORIES</stp>
        <stp>FQ1 2010</stp>
        <stp>FQ1 2010</stp>
        <stp>[FA1_m42y3cpi.xlsx]Cash Flow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4"/>
      </tp>
      <tp>
        <v>1.27</v>
        <stp/>
        <stp>##V3_BDHV12</stp>
        <stp>XOM US Equity</stp>
        <stp>IS_DILUTED_EPS</stp>
        <stp>FQ4 2009</stp>
        <stp>FQ4 2009</stp>
        <stp>[FA1_m42y3cpi.xlsx]Income - Adjusted!R55C8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55" s="2"/>
      </tp>
      <tp>
        <v>0.81</v>
        <stp/>
        <stp>##V3_BDHV12</stp>
        <stp>XOM US Equity</stp>
        <stp>IS_DILUTED_EPS</stp>
        <stp>FQ2 2009</stp>
        <stp>FQ2 2009</stp>
        <stp>[FA1_m42y3cpi.xlsx]Income - Adjusted!R55C6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55" s="2"/>
      </tp>
      <tp>
        <v>0.98</v>
        <stp/>
        <stp>##V3_BDHV12</stp>
        <stp>XOM US Equity</stp>
        <stp>IS_DILUTED_EPS</stp>
        <stp>FQ3 2009</stp>
        <stp>FQ3 2009</stp>
        <stp>[FA1_m42y3cpi.xlsx]Income - Adjusted!R55C7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55" s="2"/>
      </tp>
      <tp>
        <v>0.92</v>
        <stp/>
        <stp>##V3_BDHV12</stp>
        <stp>XOM US Equity</stp>
        <stp>IS_DILUTED_EPS</stp>
        <stp>FQ1 2009</stp>
        <stp>FQ1 2009</stp>
        <stp>[FA1_m42y3cpi.xlsx]Income - Adjusted!R55C5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55" s="2"/>
      </tp>
      <tp>
        <v>336758</v>
        <stp/>
        <stp>##V3_BDHV12</stp>
        <stp>XOM US Equity</stp>
        <stp>BS_TOT_ASSET</stp>
        <stp>FQ4 2015</stp>
        <stp>FQ4 2015</stp>
        <stp>[FA1_m42y3cpi.xlsx]Bal Sheet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3"/>
      </tp>
      <tp>
        <v>0.82</v>
        <stp/>
        <stp>##V3_BDHV12</stp>
        <stp>XOM US Equity</stp>
        <stp>IS_EPS</stp>
        <stp>FQ2 2009</stp>
        <stp>FQ2 2009</stp>
        <stp>[FA1_m42y3cpi.xlsx]Per Share!R14C6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4" s="5"/>
      </tp>
      <tp>
        <v>0.98</v>
        <stp/>
        <stp>##V3_BDHV12</stp>
        <stp>XOM US Equity</stp>
        <stp>IS_EPS</stp>
        <stp>FQ3 2009</stp>
        <stp>FQ3 2009</stp>
        <stp>[FA1_m42y3cpi.xlsx]Per Share!R14C7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4" s="5"/>
      </tp>
      <tp>
        <v>0.92</v>
        <stp/>
        <stp>##V3_BDHV12</stp>
        <stp>XOM US Equity</stp>
        <stp>IS_EPS</stp>
        <stp>FQ1 2009</stp>
        <stp>FQ1 2009</stp>
        <stp>[FA1_m42y3cpi.xlsx]Per Share!R14C5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4" s="5"/>
      </tp>
      <tp>
        <v>1.27</v>
        <stp/>
        <stp>##V3_BDHV12</stp>
        <stp>XOM US Equity</stp>
        <stp>IS_EPS</stp>
        <stp>FQ4 2009</stp>
        <stp>FQ4 2009</stp>
        <stp>[FA1_m42y3cpi.xlsx]Per Share!R14C8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4" s="5"/>
      </tp>
      <tp>
        <v>0</v>
        <stp/>
        <stp>##V3_BDHV12</stp>
        <stp>XOM US Equity</stp>
        <stp>IS_TOT_CASH_PFD_DVD</stp>
        <stp>FQ2 2009</stp>
        <stp>FQ2 2009</stp>
        <stp>[FA1_m42y3cpi.xlsx]Income - Adjusted!R41C6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2"/>
      </tp>
      <tp>
        <v>330314</v>
        <stp/>
        <stp>##V3_BDHV12</stp>
        <stp>XOM US Equity</stp>
        <stp>BS_TOT_ASSET</stp>
        <stp>FQ4 2016</stp>
        <stp>FQ4 2016</stp>
        <stp>[FA1_m42y3cpi.xlsx]Bal Sheet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3"/>
      </tp>
      <tp>
        <v>44.218699999999998</v>
        <stp/>
        <stp>##V3_BDHV12</stp>
        <stp>XOM US Equity</stp>
        <stp>BOOK_VAL_PER_SH</stp>
        <stp>FQ2 2018</stp>
        <stp>FQ2 2018</stp>
        <stp>[FA1_m42y3cpi.xlsx]Per Share!R26C42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6" s="5"/>
      </tp>
      <tp>
        <v>35.271000000000001</v>
        <stp/>
        <stp>##V3_BDHV12</stp>
        <stp>XOM US Equity</stp>
        <stp>BOOK_VAL_PER_SH</stp>
        <stp>FQ2 2012</stp>
        <stp>FQ2 2012</stp>
        <stp>[FA1_m42y3cpi.xlsx]Per Share!R26C18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6" s="5"/>
      </tp>
      <tp t="s">
        <v>—</v>
        <stp/>
        <stp>##V3_BDHV12</stp>
        <stp>XOM US Equity</stp>
        <stp>NUM_OF_EMPLOYEES</stp>
        <stp>FQ1 2017</stp>
        <stp>FQ1 2017</stp>
        <stp>[FA1_m42y3cpi.xlsx]Bal Sheet - Standardized!R91C37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91" s="3"/>
      </tp>
      <tp t="s">
        <v>—</v>
        <stp/>
        <stp>##V3_BDHV12</stp>
        <stp>XOM US Equity</stp>
        <stp>BS_LT_RECEIVABLES</stp>
        <stp>FQ2 2009</stp>
        <stp>FQ2 2009</stp>
        <stp>[FA1_m42y3cpi.xlsx]Bal Sheet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3"/>
      </tp>
      <tp t="s">
        <v>—</v>
        <stp/>
        <stp>##V3_BDHV12</stp>
        <stp>XOM US Equity</stp>
        <stp>BS_LT_RECEIVABLES</stp>
        <stp>FQ3 2009</stp>
        <stp>FQ3 2009</stp>
        <stp>[FA1_m42y3cpi.xlsx]Bal Sheet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3"/>
      </tp>
      <tp t="s">
        <v>—</v>
        <stp/>
        <stp>##V3_BDHV12</stp>
        <stp>XOM US Equity</stp>
        <stp>BS_LT_RECEIVABLES</stp>
        <stp>FQ1 2009</stp>
        <stp>FQ1 2009</stp>
        <stp>[FA1_m42y3cpi.xlsx]Bal Sheet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3"/>
      </tp>
      <tp>
        <v>-4178</v>
        <stp/>
        <stp>##V3_BDHV12</stp>
        <stp>XOM US Equity</stp>
        <stp>CFF_ACTIVITIES_DETAILED</stp>
        <stp>FQ4 2013</stp>
        <stp>FQ4 2013</stp>
        <stp>[FA1_m42y3cpi.xlsx]Cash Flow - Standardized!R49C24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9" s="4"/>
      </tp>
      <tp>
        <v>-7725</v>
        <stp/>
        <stp>##V3_BDHV12</stp>
        <stp>XOM US Equity</stp>
        <stp>CFF_ACTIVITIES_DETAILED</stp>
        <stp>FQ4 2012</stp>
        <stp>FQ4 2012</stp>
        <stp>[FA1_m42y3cpi.xlsx]Cash Flow - Standardized!R49C20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9" s="4"/>
      </tp>
      <tp t="s">
        <v>—</v>
        <stp/>
        <stp>##V3_BDHV12</stp>
        <stp>XOM US Equity</stp>
        <stp>BS_LT_RECEIVABLES</stp>
        <stp>FQ4 2008</stp>
        <stp>FQ4 2008</stp>
        <stp>[FA1_m42y3cpi.xlsx]Bal Sheet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3"/>
      </tp>
      <tp t="s">
        <v>—</v>
        <stp/>
        <stp>##V3_BDHV12</stp>
        <stp>XOM US Equity</stp>
        <stp>BS_LT_RECEIVABLES</stp>
        <stp>FQ3 2008</stp>
        <stp>FQ3 2008</stp>
        <stp>[FA1_m42y3cpi.xlsx]Bal Sheet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3"/>
      </tp>
      <tp>
        <v>6500</v>
        <stp/>
        <stp>##V3_BDHV12</stp>
        <stp>XOM US Equity</stp>
        <stp>EARN_FOR_COMMON</stp>
        <stp>FQ1 2010</stp>
        <stp>FQ1 2010</stp>
        <stp>[FA1_m42y3cpi.xlsx]Income - Adjusted!R45C9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5" s="2"/>
      </tp>
      <tp>
        <v>1197</v>
        <stp/>
        <stp>##V3_BDHV12</stp>
        <stp>XOM US Equity</stp>
        <stp>CFF_ACTIVITIES_DETAILED</stp>
        <stp>FQ4 2014</stp>
        <stp>FQ4 2014</stp>
        <stp>[FA1_m42y3cpi.xlsx]Cash Flow - Standardized!R49C28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9" s="4"/>
      </tp>
      <tp>
        <v>-3244</v>
        <stp/>
        <stp>##V3_BDHV12</stp>
        <stp>XOM US Equity</stp>
        <stp>CFF_ACTIVITIES_DETAILED</stp>
        <stp>FQ2 2018</stp>
        <stp>FQ2 2018</stp>
        <stp>[FA1_m42y3cpi.xlsx]Cash Flow - Standardized!R49C42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9" s="4"/>
      </tp>
      <tp>
        <v>5677</v>
        <stp/>
        <stp>##V3_BDHV12</stp>
        <stp>XOM US Equity</stp>
        <stp>BS_LT_RECEIVABLES</stp>
        <stp>FQ4 2009</stp>
        <stp>FQ4 2009</stp>
        <stp>[FA1_m42y3cpi.xlsx]Bal Sheet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3"/>
      </tp>
      <tp t="s">
        <v>—</v>
        <stp/>
        <stp>##V3_BDHV12</stp>
        <stp>XOM US Equity</stp>
        <stp>BS_LT_RECEIVABLES</stp>
        <stp>FQ1 2010</stp>
        <stp>FQ1 2010</stp>
        <stp>[FA1_m42y3cpi.xlsx]Bal Sheet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3"/>
      </tp>
      <tp>
        <v>4211</v>
        <stp/>
        <stp>##V3_BDHV12</stp>
        <stp>XOM US Equity</stp>
        <stp>IS_SH_FOR_DILUTED_EPS</stp>
        <stp>FQ1 2015</stp>
        <stp>FQ1 2015</stp>
        <stp>[FA1_m42y3cpi.xlsx]Income - Adjusted!R54C29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4" s="2"/>
      </tp>
      <tp>
        <v>4235</v>
        <stp/>
        <stp>##V3_BDHV12</stp>
        <stp>XOM US Equity</stp>
        <stp>IS_SH_FOR_DILUTED_EPS</stp>
        <stp>FQ4 2014</stp>
        <stp>FQ4 2014</stp>
        <stp>[FA1_m42y3cpi.xlsx]Income - Adjusted!R54C28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4" s="2"/>
      </tp>
      <tp>
        <v>-5565</v>
        <stp/>
        <stp>##V3_BDHV12</stp>
        <stp>XOM US Equity</stp>
        <stp>CF_PURCHASE_OF_FIXED_PROD_ASSETS</stp>
        <stp>FQ2 2009</stp>
        <stp>FQ2 2009</stp>
        <stp>[FA1_m42y3cpi.xlsx]Cash Flow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4"/>
      </tp>
      <tp>
        <v>-5490</v>
        <stp/>
        <stp>##V3_BDHV12</stp>
        <stp>XOM US Equity</stp>
        <stp>CF_PURCHASE_OF_FIXED_PROD_ASSETS</stp>
        <stp>FQ3 2009</stp>
        <stp>FQ3 2009</stp>
        <stp>[FA1_m42y3cpi.xlsx]Cash Flow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4"/>
      </tp>
      <tp>
        <v>-4673</v>
        <stp/>
        <stp>##V3_BDHV12</stp>
        <stp>XOM US Equity</stp>
        <stp>CF_PURCHASE_OF_FIXED_PROD_ASSETS</stp>
        <stp>FQ1 2009</stp>
        <stp>FQ1 2009</stp>
        <stp>[FA1_m42y3cpi.xlsx]Cash Flow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4"/>
      </tp>
      <tp>
        <v>239</v>
        <stp/>
        <stp>##V3_BDHV12</stp>
        <stp>XOM US Equity</stp>
        <stp>CF_INCR_CAP_STOCK</stp>
        <stp>FQ2 2011</stp>
        <stp>FQ2 2011</stp>
        <stp>[FA1_m42y3cpi.xlsx]Cash Flow - Standardized!R45C14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5" s="4"/>
      </tp>
      <tp t="s">
        <v>—</v>
        <stp/>
        <stp>##V3_BDHV12</stp>
        <stp>XOM US Equity</stp>
        <stp>CF_PURCHASE_OF_FIXED_PROD_ASSETS</stp>
        <stp>FQ3 2008</stp>
        <stp>FQ3 2008</stp>
        <stp>[FA1_m42y3cpi.xlsx]Cash Flow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4"/>
      </tp>
      <tp t="s">
        <v>—</v>
        <stp/>
        <stp>##V3_BDHV12</stp>
        <stp>XOM US Equity</stp>
        <stp>CF_PURCHASE_OF_FIXED_PROD_ASSETS</stp>
        <stp>FQ4 2008</stp>
        <stp>FQ4 2008</stp>
        <stp>[FA1_m42y3cpi.xlsx]Cash Flow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4"/>
      </tp>
      <tp>
        <v>2</v>
        <stp/>
        <stp>##V3_BDHV12</stp>
        <stp>XOM US Equity</stp>
        <stp>CF_INCR_CAP_STOCK</stp>
        <stp>FQ1 2014</stp>
        <stp>FQ1 2014</stp>
        <stp>[FA1_m42y3cpi.xlsx]Cash Flow - Standardized!R45C25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5" s="4"/>
      </tp>
      <tp>
        <v>97</v>
        <stp/>
        <stp>##V3_BDHV12</stp>
        <stp>XOM US Equity</stp>
        <stp>CF_INCR_CAP_STOCK</stp>
        <stp>FQ2 2010</stp>
        <stp>FQ2 2010</stp>
        <stp>[FA1_m42y3cpi.xlsx]Cash Flow - Standardized!R45C10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5" s="4"/>
      </tp>
      <tp>
        <v>2</v>
        <stp/>
        <stp>##V3_BDHV12</stp>
        <stp>XOM US Equity</stp>
        <stp>CF_INCR_CAP_STOCK</stp>
        <stp>FQ1 2013</stp>
        <stp>FQ1 2013</stp>
        <stp>[FA1_m42y3cpi.xlsx]Cash Flow - Standardized!R45C21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5" s="4"/>
      </tp>
      <tp>
        <v>-6763</v>
        <stp/>
        <stp>##V3_BDHV12</stp>
        <stp>XOM US Equity</stp>
        <stp>CF_PURCHASE_OF_FIXED_PROD_ASSETS</stp>
        <stp>FQ4 2009</stp>
        <stp>FQ4 2009</stp>
        <stp>[FA1_m42y3cpi.xlsx]Cash Flow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4"/>
      </tp>
      <tp>
        <v>0</v>
        <stp/>
        <stp>##V3_BDHV12</stp>
        <stp>XOM US Equity</stp>
        <stp>CF_INCR_CAP_STOCK</stp>
        <stp>FQ1 2015</stp>
        <stp>FQ1 2015</stp>
        <stp>[FA1_m42y3cpi.xlsx]Cash Flow - Standardized!R45C29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5" s="4"/>
      </tp>
      <tp t="s">
        <v>—</v>
        <stp/>
        <stp>##V3_BDHV12</stp>
        <stp>XOM US Equity</stp>
        <stp>BS_OPTIONS_OUTSTANDING</stp>
        <stp>FQ4 2016</stp>
        <stp>FQ4 2016</stp>
        <stp>[FA1_m42y3cpi.xlsx]Bal Sheet - Standardized!R85C36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5" s="3"/>
      </tp>
      <tp t="s">
        <v>—</v>
        <stp/>
        <stp>##V3_BDHV12</stp>
        <stp>XOM US Equity</stp>
        <stp>BS_OPTIONS_OUTSTANDING</stp>
        <stp>FQ1 2016</stp>
        <stp>FQ1 2016</stp>
        <stp>[FA1_m42y3cpi.xlsx]Bal Sheet - Standardized!R85C33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5" s="3"/>
      </tp>
      <tp>
        <v>4</v>
        <stp/>
        <stp>##V3_BDHV12</stp>
        <stp>XOM US Equity</stp>
        <stp>CF_INCR_CAP_STOCK</stp>
        <stp>FQ2 2012</stp>
        <stp>FQ2 2012</stp>
        <stp>[FA1_m42y3cpi.xlsx]Cash Flow - Standardized!R45C18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5" s="4"/>
      </tp>
      <tp>
        <v>-5756</v>
        <stp/>
        <stp>##V3_BDHV12</stp>
        <stp>XOM US Equity</stp>
        <stp>CF_PURCHASE_OF_FIXED_PROD_ASSETS</stp>
        <stp>FQ1 2010</stp>
        <stp>FQ1 2010</stp>
        <stp>[FA1_m42y3cpi.xlsx]Cash Flow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4"/>
      </tp>
      <tp t="s">
        <v>—</v>
        <stp/>
        <stp>##V3_BDHV12</stp>
        <stp>XOM US Equity</stp>
        <stp>BS_OPTIONS_OUTSTANDING</stp>
        <stp>FQ1 2012</stp>
        <stp>FQ1 2012</stp>
        <stp>[FA1_m42y3cpi.xlsx]Bal Sheet - Standardized!R85C17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5" s="3"/>
      </tp>
      <tp>
        <v>3280</v>
        <stp/>
        <stp>##V3_BDHV12</stp>
        <stp>XOM US Equity</stp>
        <stp>CF_DEPR_AMORT</stp>
        <stp>FQ1 2010</stp>
        <stp>FQ1 2010</stp>
        <stp>[FA1_m42y3cpi.xlsx]Cash Flow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4"/>
      </tp>
      <tp t="s">
        <v>—</v>
        <stp/>
        <stp>##V3_BDHV12</stp>
        <stp>XOM US Equity</stp>
        <stp>TCE_RATIO</stp>
        <stp>FQ2 2011</stp>
        <stp>FQ2 2011</stp>
        <stp>[FA1_m42y3cpi.xlsx]Bal Sheet - Standardized!R88C14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8" s="3"/>
      </tp>
      <tp t="s">
        <v>—</v>
        <stp/>
        <stp>##V3_BDHV12</stp>
        <stp>XOM US Equity</stp>
        <stp>TCE_RATIO</stp>
        <stp>FQ3 2011</stp>
        <stp>FQ3 2011</stp>
        <stp>[FA1_m42y3cpi.xlsx]Bal Sheet - Standardized!R88C15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8" s="3"/>
      </tp>
      <tp>
        <v>-3.7199</v>
        <stp/>
        <stp>##V3_BDHV12</stp>
        <stp>XOM US Equity</stp>
        <stp>NET_DEBT_TO_SHRHLDR_EQTY</stp>
        <stp>FQ1 2010</stp>
        <stp>FQ1 2010</stp>
        <stp>[FA1_m42y3cpi.xlsx]Bal Sheet - Standardized!R87C9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7" s="3"/>
      </tp>
      <tp>
        <v>4979</v>
        <stp/>
        <stp>##V3_BDHV12</stp>
        <stp>XOM US Equity</stp>
        <stp>BS_SH_OUT</stp>
        <stp>FQ4 2010</stp>
        <stp>FQ4 2010</stp>
        <stp>[FA1_m42y3cpi.xlsx]Bal Sheet - Standardized!R79C12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9" s="3"/>
      </tp>
      <tp>
        <v>4502</v>
        <stp/>
        <stp>##V3_BDHV12</stp>
        <stp>XOM US Equity</stp>
        <stp>BS_SH_OUT</stp>
        <stp>FQ4 2012</stp>
        <stp>FQ4 2012</stp>
        <stp>[FA1_m42y3cpi.xlsx]Bal Sheet - Standardized!R79C20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9" s="3"/>
      </tp>
      <tp t="s">
        <v>—</v>
        <stp/>
        <stp>##V3_BDHV12</stp>
        <stp>XOM US Equity</stp>
        <stp>TCE_RATIO</stp>
        <stp>FQ2 2015</stp>
        <stp>FQ2 2015</stp>
        <stp>[FA1_m42y3cpi.xlsx]Bal Sheet - Standardized!R88C30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8" s="3"/>
      </tp>
      <tp t="s">
        <v>—</v>
        <stp/>
        <stp>##V3_BDHV12</stp>
        <stp>XOM US Equity</stp>
        <stp>TCE_RATIO</stp>
        <stp>FQ3 2015</stp>
        <stp>FQ3 2015</stp>
        <stp>[FA1_m42y3cpi.xlsx]Bal Sheet - Standardized!R88C31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8" s="3"/>
      </tp>
      <tp>
        <v>1.7711000000000001</v>
        <stp/>
        <stp>##V3_BDHV12</stp>
        <stp>XOM US Equity</stp>
        <stp>CASH_FLOW_PER_SH</stp>
        <stp>FQ4 2016</stp>
        <stp>FQ4 2016</stp>
        <stp>[FA1_m42y3cpi.xlsx]Per Share!R22C36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2" s="5"/>
      </tp>
      <tp>
        <v>1.9582000000000002</v>
        <stp/>
        <stp>##V3_BDHV12</stp>
        <stp>XOM US Equity</stp>
        <stp>CASH_FLOW_PER_SH</stp>
        <stp>FQ2 2010</stp>
        <stp>FQ2 2010</stp>
        <stp>[FA1_m42y3cpi.xlsx]Per Share!R22C10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2" s="5"/>
      </tp>
      <tp>
        <v>3.056</v>
        <stp/>
        <stp>##V3_BDHV12</stp>
        <stp>XOM US Equity</stp>
        <stp>CASH_FLOW_PER_SH</stp>
        <stp>FQ3 2013</stp>
        <stp>FQ3 2013</stp>
        <stp>[FA1_m42y3cpi.xlsx]Per Share!R22C23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2" s="5"/>
      </tp>
      <tp>
        <v>1.9354</v>
        <stp/>
        <stp>##V3_BDHV12</stp>
        <stp>XOM US Equity</stp>
        <stp>CASH_FLOW_PER_SH</stp>
        <stp>FQ1 2017</stp>
        <stp>FQ1 2017</stp>
        <stp>[FA1_m42y3cpi.xlsx]Per Share!R22C37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2" s="5"/>
      </tp>
      <tp t="s">
        <v>—</v>
        <stp/>
        <stp>##V3_BDHV12</stp>
        <stp>XOM US Equity</stp>
        <stp>BS_DERIV_&amp;_HEDGING_ASSETS_LT</stp>
        <stp>FQ4 2010</stp>
        <stp>FQ4 2010</stp>
        <stp>[FA1_m42y3cpi.xlsx]Bal Sheet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3"/>
      </tp>
      <tp t="s">
        <v>—</v>
        <stp/>
        <stp>##V3_BDHV12</stp>
        <stp>XOM US Equity</stp>
        <stp>BS_DERIV_&amp;_HEDGING_ASSETS_ST</stp>
        <stp>FQ4 2010</stp>
        <stp>FQ4 2010</stp>
        <stp>[FA1_m42y3cpi.xlsx]Bal Sheet - Standardized!R19C12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3"/>
      </tp>
      <tp>
        <v>348790</v>
        <stp/>
        <stp>##V3_BDHV12</stp>
        <stp>XOM US Equity</stp>
        <stp>BS_TOT_ASSET</stp>
        <stp>FQ2 2018</stp>
        <stp>FQ2 2018</stp>
        <stp>[FA1_m42y3cpi.xlsx]Bal Sheet - Standardized!R39C42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9" s="3"/>
      </tp>
      <tp>
        <v>349493</v>
        <stp/>
        <stp>##V3_BDHV12</stp>
        <stp>XOM US Equity</stp>
        <stp>BS_TOT_ASSET</stp>
        <stp>FQ4 2014</stp>
        <stp>FQ4 2014</stp>
        <stp>[FA1_m42y3cpi.xlsx]Bal Sheet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3"/>
      </tp>
      <tp t="s">
        <v>—</v>
        <stp/>
        <stp>##V3_BDHV12</stp>
        <stp>XOM US Equity</stp>
        <stp>BS_DERIV_&amp;_HEDGING_ASSETS_LT</stp>
        <stp>FQ4 2011</stp>
        <stp>FQ4 2011</stp>
        <stp>[FA1_m42y3cpi.xlsx]Bal Sheet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3"/>
      </tp>
      <tp t="s">
        <v>—</v>
        <stp/>
        <stp>##V3_BDHV12</stp>
        <stp>XOM US Equity</stp>
        <stp>BS_DERIV_&amp;_HEDGING_ASSETS_ST</stp>
        <stp>FQ4 2011</stp>
        <stp>FQ4 2011</stp>
        <stp>[FA1_m42y3cpi.xlsx]Bal Sheet - Standardized!R19C16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3"/>
      </tp>
      <tp>
        <v>346808</v>
        <stp/>
        <stp>##V3_BDHV12</stp>
        <stp>XOM US Equity</stp>
        <stp>BS_TOT_ASSET</stp>
        <stp>FQ4 2013</stp>
        <stp>FQ4 2013</stp>
        <stp>[FA1_m42y3cpi.xlsx]Bal Sheet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3"/>
      </tp>
      <tp>
        <v>4980.8900000000003</v>
        <stp/>
        <stp>##V3_BDHV12</stp>
        <stp>XOM US Equity</stp>
        <stp>IS_AVG_NUM_SH_FOR_EPS</stp>
        <stp>FQ4 2008</stp>
        <stp>FQ4 2008</stp>
        <stp>[FA1_m42y3cpi.xlsx]Per Share!R8C4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5"/>
      </tp>
      <tp>
        <v>0</v>
        <stp/>
        <stp>##V3_BDHV12</stp>
        <stp>XOM US Equity</stp>
        <stp>IS_TOT_CASH_PFD_DVD</stp>
        <stp>FQ3 2008</stp>
        <stp>FQ3 2008</stp>
        <stp>[FA1_m42y3cpi.xlsx]Income - Adjusted!R41C3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2"/>
      </tp>
      <tp>
        <v>2.89</v>
        <stp/>
        <stp>##V3_BDHV12</stp>
        <stp>XOM US Equity</stp>
        <stp>IS_EPS</stp>
        <stp>FQ3 2008</stp>
        <stp>FQ3 2008</stp>
        <stp>[FA1_m42y3cpi.xlsx]Per Share!R14C3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4" s="5"/>
      </tp>
      <tp>
        <v>1.5699999999999998</v>
        <stp/>
        <stp>##V3_BDHV12</stp>
        <stp>XOM US Equity</stp>
        <stp>IS_EPS</stp>
        <stp>FQ4 2008</stp>
        <stp>FQ4 2008</stp>
        <stp>[FA1_m42y3cpi.xlsx]Per Share!R14C4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4" s="5"/>
      </tp>
      <tp>
        <v>16.989000000000001</v>
        <stp/>
        <stp>##V3_BDHV12</stp>
        <stp>XOM US Equity</stp>
        <stp>REVENUE_PER_SH</stp>
        <stp>FQ1 2010</stp>
        <stp>FQ1 2010</stp>
        <stp>[FA1_m42y3cpi.xlsx]Per Share!R11C9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1" s="5"/>
      </tp>
      <tp>
        <v>0</v>
        <stp/>
        <stp>##V3_BDHV12</stp>
        <stp>XOM US Equity</stp>
        <stp>IS_TOT_CASH_PFD_DVD</stp>
        <stp>FQ3 2009</stp>
        <stp>FQ3 2009</stp>
        <stp>[FA1_m42y3cpi.xlsx]Income - Adjusted!R41C7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2"/>
      </tp>
      <tp t="s">
        <v>—</v>
        <stp/>
        <stp>##V3_BDHV12</stp>
        <stp>XOM US Equity</stp>
        <stp>BS_DERIV_&amp;_HEDGING_ASSETS_ST</stp>
        <stp>FQ1 2018</stp>
        <stp>FQ1 2018</stp>
        <stp>[FA1_m42y3cpi.xlsx]Bal Sheet - Standardized!R19C41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9" s="3"/>
      </tp>
      <tp>
        <v>333795</v>
        <stp/>
        <stp>##V3_BDHV12</stp>
        <stp>XOM US Equity</stp>
        <stp>BS_TOT_ASSET</stp>
        <stp>FQ4 2012</stp>
        <stp>FQ4 2012</stp>
        <stp>[FA1_m42y3cpi.xlsx]Bal Sheet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3"/>
      </tp>
      <tp>
        <v>5102</v>
        <stp/>
        <stp>##V3_BDHV12</stp>
        <stp>XOM US Equity</stp>
        <stp>IS_AVG_NUM_SH_FOR_EPS</stp>
        <stp>FQ3 2008</stp>
        <stp>FQ3 2008</stp>
        <stp>[FA1_m42y3cpi.xlsx]Per Share!R8C3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5"/>
      </tp>
      <tp t="s">
        <v>—</v>
        <stp/>
        <stp>##V3_BDHV12</stp>
        <stp>XOM US Equity</stp>
        <stp>BS_DERIV_&amp;_HEDGING_ASSETS_LT</stp>
        <stp>FQ1 2018</stp>
        <stp>FQ1 2018</stp>
        <stp>[FA1_m42y3cpi.xlsx]Bal Sheet - Standardized!R34C41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4" s="3"/>
      </tp>
      <tp>
        <v>92803</v>
        <stp/>
        <stp>##V3_BDHV12</stp>
        <stp>XOM US Equity</stp>
        <stp>NON_CUR_LIAB</stp>
        <stp>FQ4 2011</stp>
        <stp>FQ4 2011</stp>
        <stp>[FA1_m42y3cpi.xlsx]Bal Sheet - Standardized!R65C16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5" s="3"/>
      </tp>
      <tp>
        <v>87198</v>
        <stp/>
        <stp>##V3_BDHV12</stp>
        <stp>XOM US Equity</stp>
        <stp>NON_CUR_LIAB</stp>
        <stp>FQ4 2010</stp>
        <stp>FQ4 2010</stp>
        <stp>[FA1_m42y3cpi.xlsx]Bal Sheet - Standardized!R65C12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5" s="3"/>
      </tp>
      <tp>
        <v>93609</v>
        <stp/>
        <stp>##V3_BDHV12</stp>
        <stp>XOM US Equity</stp>
        <stp>NON_CUR_LIAB</stp>
        <stp>FQ1 2018</stp>
        <stp>FQ1 2018</stp>
        <stp>[FA1_m42y3cpi.xlsx]Bal Sheet - Standardized!R65C41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5" s="3"/>
      </tp>
      <tp>
        <v>36.567900000000002</v>
        <stp/>
        <stp>##V3_BDHV12</stp>
        <stp>XOM US Equity</stp>
        <stp>BOOK_VAL_PER_SH</stp>
        <stp>FQ3 2012</stp>
        <stp>FQ3 2012</stp>
        <stp>[FA1_m42y3cpi.xlsx]Per Share!R26C19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6" s="5"/>
      </tp>
      <tp t="s">
        <v>—</v>
        <stp/>
        <stp>##V3_BDHV12</stp>
        <stp>XOM US Equity</stp>
        <stp>NUM_OF_EMPLOYEES</stp>
        <stp>FQ1 2014</stp>
        <stp>FQ1 2014</stp>
        <stp>[FA1_m42y3cpi.xlsx]Bal Sheet - Standardized!R91C25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91" s="3"/>
      </tp>
      <tp t="s">
        <v>—</v>
        <stp/>
        <stp>##V3_BDHV12</stp>
        <stp>XOM US Equity</stp>
        <stp>NUM_OF_EMPLOYEES</stp>
        <stp>FQ3 2014</stp>
        <stp>FQ3 2014</stp>
        <stp>[FA1_m42y3cpi.xlsx]Bal Sheet - Standardized!R91C27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91" s="3"/>
      </tp>
      <tp t="s">
        <v>—</v>
        <stp/>
        <stp>##V3_BDHV12</stp>
        <stp>XOM US Equity</stp>
        <stp>NUM_OF_EMPLOYEES</stp>
        <stp>FQ2 2014</stp>
        <stp>FQ2 2014</stp>
        <stp>[FA1_m42y3cpi.xlsx]Bal Sheet - Standardized!R91C26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91" s="3"/>
      </tp>
      <tp t="s">
        <v>—</v>
        <stp/>
        <stp>##V3_BDHV12</stp>
        <stp>XOM US Equity</stp>
        <stp>NUM_OF_EMPLOYEES</stp>
        <stp>FQ2 2016</stp>
        <stp>FQ2 2016</stp>
        <stp>[FA1_m42y3cpi.xlsx]Bal Sheet - Standardized!R91C34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91" s="3"/>
      </tp>
      <tp t="s">
        <v>—</v>
        <stp/>
        <stp>##V3_BDHV12</stp>
        <stp>XOM US Equity</stp>
        <stp>NUM_OF_EMPLOYEES</stp>
        <stp>FQ3 2016</stp>
        <stp>FQ3 2016</stp>
        <stp>[FA1_m42y3cpi.xlsx]Bal Sheet - Standardized!R91C35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91" s="3"/>
      </tp>
      <tp>
        <v>413</v>
        <stp/>
        <stp>##V3_BDHV12</stp>
        <stp>XOM US Equity</stp>
        <stp>CFF_ACTIVITIES_DETAILED</stp>
        <stp>FQ4 2015</stp>
        <stp>FQ4 2015</stp>
        <stp>[FA1_m42y3cpi.xlsx]Cash Flow - Standardized!R49C32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9" s="4"/>
      </tp>
      <tp>
        <v>0</v>
        <stp/>
        <stp>##V3_BDHV12</stp>
        <stp>XOM US Equity</stp>
        <stp>CF_PYMT_LT_DEBT_&amp;_CAPITAL_LEASE</stp>
        <stp>FQ1 2018</stp>
        <stp>FQ1 2018</stp>
        <stp>[FA1_m42y3cpi.xlsx]Cash Flow - Standardized!R43C41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3" s="4"/>
      </tp>
      <tp>
        <v>-6746</v>
        <stp/>
        <stp>##V3_BDHV12</stp>
        <stp>XOM US Equity</stp>
        <stp>CFF_ACTIVITIES_DETAILED</stp>
        <stp>FQ4 2016</stp>
        <stp>FQ4 2016</stp>
        <stp>[FA1_m42y3cpi.xlsx]Cash Flow - Standardized!R49C36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9" s="4"/>
      </tp>
      <tp>
        <v>0.67</v>
        <stp/>
        <stp>##V3_BDHV12</stp>
        <stp>XOM US Equity</stp>
        <stp>IS_BASIC_EPS_CONT_OPS</stp>
        <stp>FQ4 2015</stp>
        <stp>FQ4 2015</stp>
        <stp>[FA1_m42y3cpi.xlsx]Income - Adjusted!R52C32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2" s="2"/>
      </tp>
      <tp>
        <v>1.97</v>
        <stp/>
        <stp>##V3_BDHV12</stp>
        <stp>XOM US Equity</stp>
        <stp>IS_BASIC_EPS_CONT_OPS</stp>
        <stp>FQ4 2011</stp>
        <stp>FQ4 2011</stp>
        <stp>[FA1_m42y3cpi.xlsx]Income - Adjusted!R52C16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2" s="2"/>
      </tp>
      <tp>
        <v>1.9100000000000001</v>
        <stp/>
        <stp>##V3_BDHV12</stp>
        <stp>XOM US Equity</stp>
        <stp>IS_BASIC_EPS_CONT_OPS</stp>
        <stp>FQ4 2013</stp>
        <stp>FQ4 2013</stp>
        <stp>[FA1_m42y3cpi.xlsx]Income - Adjusted!R52C24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2" s="2"/>
      </tp>
      <tp>
        <v>0.874</v>
        <stp/>
        <stp>##V3_BDHV12</stp>
        <stp>XOM US Equity</stp>
        <stp>IS_BASIC_EPS_CONT_OPS</stp>
        <stp>FQ4 2017</stp>
        <stp>FQ4 2017</stp>
        <stp>[FA1_m42y3cpi.xlsx]Income - Adjusted!R52C40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2" s="2"/>
      </tp>
      <tp>
        <v>-30</v>
        <stp/>
        <stp>##V3_BDHV12</stp>
        <stp>XOM US Equity</stp>
        <stp>CF_PYMT_LT_DEBT_&amp;_CAPITAL_LEASE</stp>
        <stp>FQ4 2011</stp>
        <stp>FQ4 2011</stp>
        <stp>[FA1_m42y3cpi.xlsx]Cash Flow - Standardized!R43C16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3" s="4"/>
      </tp>
      <tp>
        <v>-3637</v>
        <stp/>
        <stp>##V3_BDHV12</stp>
        <stp>XOM US Equity</stp>
        <stp>CF_PYMT_LT_DEBT_&amp;_CAPITAL_LEASE</stp>
        <stp>FQ4 2010</stp>
        <stp>FQ4 2010</stp>
        <stp>[FA1_m42y3cpi.xlsx]Cash Flow - Standardized!R43C12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3" s="4"/>
      </tp>
      <tp>
        <v>7820</v>
        <stp/>
        <stp>##V3_BDHV12</stp>
        <stp>XOM US Equity</stp>
        <stp>EARN_FOR_COMMON</stp>
        <stp>FQ4 2008</stp>
        <stp>FQ4 2008</stp>
        <stp>[FA1_m42y3cpi.xlsx]Income - Adjusted!R45C4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5" s="2"/>
      </tp>
      <tp>
        <v>14830</v>
        <stp/>
        <stp>##V3_BDHV12</stp>
        <stp>XOM US Equity</stp>
        <stp>EARN_FOR_COMMON</stp>
        <stp>FQ3 2008</stp>
        <stp>FQ3 2008</stp>
        <stp>[FA1_m42y3cpi.xlsx]Income - Adjusted!R45C3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5" s="2"/>
      </tp>
      <tp>
        <v>5</v>
        <stp/>
        <stp>##V3_BDHV12</stp>
        <stp>XOM US Equity</stp>
        <stp>CF_INCR_CAP_STOCK</stp>
        <stp>FQ1 2016</stp>
        <stp>FQ1 2016</stp>
        <stp>[FA1_m42y3cpi.xlsx]Cash Flow - Standardized!R45C33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5" s="4"/>
      </tp>
      <tp>
        <v>213</v>
        <stp/>
        <stp>##V3_BDHV12</stp>
        <stp>XOM US Equity</stp>
        <stp>CF_INCR_CAP_STOCK</stp>
        <stp>FQ3 2011</stp>
        <stp>FQ3 2011</stp>
        <stp>[FA1_m42y3cpi.xlsx]Cash Flow - Standardized!R45C15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5" s="4"/>
      </tp>
      <tp>
        <v>0</v>
        <stp/>
        <stp>##V3_BDHV12</stp>
        <stp>XOM US Equity</stp>
        <stp>CF_INCR_CAP_STOCK</stp>
        <stp>FQ1 2017</stp>
        <stp>FQ1 2017</stp>
        <stp>[FA1_m42y3cpi.xlsx]Cash Flow - Standardized!R45C37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5" s="4"/>
      </tp>
      <tp>
        <v>177</v>
        <stp/>
        <stp>##V3_BDHV12</stp>
        <stp>XOM US Equity</stp>
        <stp>CF_INCR_CAP_STOCK</stp>
        <stp>FQ3 2010</stp>
        <stp>FQ3 2010</stp>
        <stp>[FA1_m42y3cpi.xlsx]Cash Flow - Standardized!R45C11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5" s="4"/>
      </tp>
      <tp>
        <v>0.69</v>
        <stp/>
        <stp>##V3_BDHV12</stp>
        <stp>XOM US Equity</stp>
        <stp>EQY_DPS</stp>
        <stp>FQ4 2014</stp>
        <stp>FQ4 2014</stp>
        <stp>[FA1_m42y3cpi.xlsx]Income - Adjusted!R69C28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9" s="2"/>
      </tp>
      <tp>
        <v>0.69</v>
        <stp/>
        <stp>##V3_BDHV12</stp>
        <stp>XOM US Equity</stp>
        <stp>EQY_DPS</stp>
        <stp>FQ1 2015</stp>
        <stp>FQ1 2015</stp>
        <stp>[FA1_m42y3cpi.xlsx]Income - Adjusted!R69C29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9" s="2"/>
      </tp>
      <tp>
        <v>98</v>
        <stp/>
        <stp>##V3_BDHV12</stp>
        <stp>XOM US Equity</stp>
        <stp>CF_INCR_CAP_STOCK</stp>
        <stp>FQ3 2012</stp>
        <stp>FQ3 2012</stp>
        <stp>[FA1_m42y3cpi.xlsx]Cash Flow - Standardized!R45C19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5" s="4"/>
      </tp>
      <tp>
        <v>58880</v>
        <stp/>
        <stp>##V3_BDHV12</stp>
        <stp>XOM US Equity</stp>
        <stp>IS_COG_AND_SERVICES_SOLD</stp>
        <stp>FQ3 2009</stp>
        <stp>FQ3 2009</stp>
        <stp>[FA1_m42y3cpi.xlsx]Income - Adjusted!R9C7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>
        <v>53368</v>
        <stp/>
        <stp>##V3_BDHV12</stp>
        <stp>XOM US Equity</stp>
        <stp>IS_COG_AND_SERVICES_SOLD</stp>
        <stp>FQ2 2009</stp>
        <stp>FQ2 2009</stp>
        <stp>[FA1_m42y3cpi.xlsx]Income - Adjusted!R9C6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>
        <v>43573</v>
        <stp/>
        <stp>##V3_BDHV12</stp>
        <stp>XOM US Equity</stp>
        <stp>IS_COG_AND_SERVICES_SOLD</stp>
        <stp>FQ1 2009</stp>
        <stp>FQ1 2009</stp>
        <stp>[FA1_m42y3cpi.xlsx]Income - Adjusted!R9C5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>
        <v>3043</v>
        <stp/>
        <stp>##V3_BDHV12</stp>
        <stp>XOM US Equity</stp>
        <stp>BS_NUM_OF_TSY_SH</stp>
        <stp>FQ4 2008</stp>
        <stp>FQ4 2008</stp>
        <stp>[FA1_m42y3cpi.xlsx]Bal Sheet - Standardized!R80C4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0" s="3"/>
      </tp>
      <tp>
        <v>2932</v>
        <stp/>
        <stp>##V3_BDHV12</stp>
        <stp>XOM US Equity</stp>
        <stp>BS_NUM_OF_TSY_SH</stp>
        <stp>FQ3 2008</stp>
        <stp>FQ3 2008</stp>
        <stp>[FA1_m42y3cpi.xlsx]Bal Sheet - Standardized!R80C3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0" s="3"/>
      </tp>
      <tp>
        <v>4793</v>
        <stp/>
        <stp>##V3_BDHV12</stp>
        <stp>XOM US Equity</stp>
        <stp>BS_SH_OUT</stp>
        <stp>FQ3 2011</stp>
        <stp>FQ3 2011</stp>
        <stp>[FA1_m42y3cpi.xlsx]Bal Sheet - Standardized!R79C15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9" s="3"/>
      </tp>
      <tp>
        <v>4862</v>
        <stp/>
        <stp>##V3_BDHV12</stp>
        <stp>XOM US Equity</stp>
        <stp>BS_SH_OUT</stp>
        <stp>FQ2 2011</stp>
        <stp>FQ2 2011</stp>
        <stp>[FA1_m42y3cpi.xlsx]Bal Sheet - Standardized!R79C14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9" s="3"/>
      </tp>
      <tp>
        <v>48.540199999999999</v>
        <stp/>
        <stp>##V3_BDHV12</stp>
        <stp>XOM US Equity</stp>
        <stp>TCE_RATIO</stp>
        <stp>FQ4 2010</stp>
        <stp>FQ4 2010</stp>
        <stp>[FA1_m42y3cpi.xlsx]Bal Sheet - Standardized!R88C12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8" s="3"/>
      </tp>
      <tp>
        <v>49.690100000000001</v>
        <stp/>
        <stp>##V3_BDHV12</stp>
        <stp>XOM US Equity</stp>
        <stp>TCE_RATIO</stp>
        <stp>FQ4 2012</stp>
        <stp>FQ4 2012</stp>
        <stp>[FA1_m42y3cpi.xlsx]Bal Sheet - Standardized!R88C20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8" s="3"/>
      </tp>
      <tp>
        <v>4163</v>
        <stp/>
        <stp>##V3_BDHV12</stp>
        <stp>XOM US Equity</stp>
        <stp>BS_SH_OUT</stp>
        <stp>FQ3 2015</stp>
        <stp>FQ3 2015</stp>
        <stp>[FA1_m42y3cpi.xlsx]Bal Sheet - Standardized!R79C31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9" s="3"/>
      </tp>
      <tp>
        <v>4169</v>
        <stp/>
        <stp>##V3_BDHV12</stp>
        <stp>XOM US Equity</stp>
        <stp>BS_SH_OUT</stp>
        <stp>FQ2 2015</stp>
        <stp>FQ2 2015</stp>
        <stp>[FA1_m42y3cpi.xlsx]Bal Sheet - Standardized!R79C30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9" s="3"/>
      </tp>
      <tp>
        <v>1.7330999999999999</v>
        <stp/>
        <stp>##V3_BDHV12</stp>
        <stp>XOM US Equity</stp>
        <stp>CASH_FLOW_PER_SH</stp>
        <stp>FQ2 2013</stp>
        <stp>FQ2 2013</stp>
        <stp>[FA1_m42y3cpi.xlsx]Per Share!R22C22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2" s="5"/>
      </tp>
      <tp>
        <v>2.5762</v>
        <stp/>
        <stp>##V3_BDHV12</stp>
        <stp>XOM US Equity</stp>
        <stp>CASH_FLOW_PER_SH</stp>
        <stp>FQ3 2010</stp>
        <stp>FQ3 2010</stp>
        <stp>[FA1_m42y3cpi.xlsx]Per Share!R22C11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2" s="5"/>
      </tp>
      <tp>
        <v>3.4895999999999998</v>
        <stp/>
        <stp>##V3_BDHV12</stp>
        <stp>XOM US Equity</stp>
        <stp>CASH_FLOW_PER_SH</stp>
        <stp>FQ1 2014</stp>
        <stp>FQ1 2014</stp>
        <stp>[FA1_m42y3cpi.xlsx]Per Share!R22C25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2" s="5"/>
      </tp>
      <tp>
        <v>0</v>
        <stp/>
        <stp>##V3_BDHV12</stp>
        <stp>XOM US Equity</stp>
        <stp>OTHER_CURRENT_LIABS_DETAILED</stp>
        <stp>FQ4 2010</stp>
        <stp>FQ4 2010</stp>
        <stp>[FA1_m42y3cpi.xlsx]Bal Sheet - Standardized!R54C12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4" s="3"/>
      </tp>
      <tp>
        <v>7351.3</v>
        <stp/>
        <stp>##V3_BDHV12</stp>
        <stp>XOM US Equity</stp>
        <stp>EARN_FOR_COMMON</stp>
        <stp>FQ3 2010</stp>
        <stp>FQ3 2010</stp>
        <stp>[FA1_m42y3cpi.xlsx]Income - Adjusted!R45C11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5" s="2"/>
      </tp>
      <tp>
        <v>6860</v>
        <stp/>
        <stp>##V3_BDHV12</stp>
        <stp>XOM US Equity</stp>
        <stp>EARN_FOR_COMMON</stp>
        <stp>FQ2 2013</stp>
        <stp>FQ2 2013</stp>
        <stp>[FA1_m42y3cpi.xlsx]Income - Adjusted!R45C22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5" s="2"/>
      </tp>
      <tp>
        <v>9100</v>
        <stp/>
        <stp>##V3_BDHV12</stp>
        <stp>XOM US Equity</stp>
        <stp>EARN_FOR_COMMON</stp>
        <stp>FQ1 2014</stp>
        <stp>FQ1 2014</stp>
        <stp>[FA1_m42y3cpi.xlsx]Income - Adjusted!R45C25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5" s="2"/>
      </tp>
      <tp>
        <v>-526</v>
        <stp/>
        <stp>##V3_BDHV12</stp>
        <stp>XOM US Equity</stp>
        <stp>IS_OTHER_NON_OPERATING_INC_LOSS</stp>
        <stp>FQ2 2017</stp>
        <stp>FQ2 2017</stp>
        <stp>[FA1_m42y3cpi.xlsx]Income - Adjusted!R23C38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23" s="2"/>
      </tp>
      <tp>
        <v>3899</v>
        <stp/>
        <stp>##V3_BDHV12</stp>
        <stp>XOM US Equity</stp>
        <stp>IS_DEPR_EXP</stp>
        <stp>FQ2 2012</stp>
        <stp>FQ2 2012</stp>
        <stp>[FA1_m42y3cpi.xlsx]Income - Adjusted!R71C18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1" s="2"/>
      </tp>
      <tp>
        <v>0</v>
        <stp/>
        <stp>##V3_BDHV12</stp>
        <stp>XOM US Equity</stp>
        <stp>OTHER_CURRENT_LIABS_DETAILED</stp>
        <stp>FQ4 2011</stp>
        <stp>FQ4 2011</stp>
        <stp>[FA1_m42y3cpi.xlsx]Bal Sheet - Standardized!R54C16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4" s="3"/>
      </tp>
      <tp>
        <v>0</v>
        <stp/>
        <stp>##V3_BDHV12</stp>
        <stp>XOM US Equity</stp>
        <stp>OTHER_CURRENT_LIABS_DETAILED</stp>
        <stp>FQ1 2018</stp>
        <stp>FQ1 2018</stp>
        <stp>[FA1_m42y3cpi.xlsx]Bal Sheet - Standardized!R54C41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4" s="3"/>
      </tp>
      <tp>
        <v>87.28</v>
        <stp/>
        <stp>##V3_BDHV12</stp>
        <stp>XOM US Equity</stp>
        <stp>PX_LAST</stp>
        <stp>FQ3 2016</stp>
        <stp>FQ3 2016</stp>
        <stp>[FA1_m42y3cpi.xlsx]Stock Value!R6C35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6"/>
      </tp>
      <tp>
        <v>72.63</v>
        <stp/>
        <stp>##V3_BDHV12</stp>
        <stp>XOM US Equity</stp>
        <stp>PX_LAST</stp>
        <stp>FQ3 2011</stp>
        <stp>FQ3 2011</stp>
        <stp>[FA1_m42y3cpi.xlsx]Stock Value!R6C15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6"/>
      </tp>
      <tp>
        <v>3761</v>
        <stp/>
        <stp>##V3_BDHV12</stp>
        <stp>XOM US Equity</stp>
        <stp>IS_DEPR_EXP</stp>
        <stp>FQ1 2011</stp>
        <stp>FQ1 2011</stp>
        <stp>[FA1_m42y3cpi.xlsx]Income - Adjusted!R71C13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1" s="2"/>
      </tp>
      <tp>
        <v>97.68</v>
        <stp/>
        <stp>##V3_BDHV12</stp>
        <stp>XOM US Equity</stp>
        <stp>PX_LAST</stp>
        <stp>FQ1 2014</stp>
        <stp>FQ1 2014</stp>
        <stp>[FA1_m42y3cpi.xlsx]Stock Value!R6C25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6"/>
      </tp>
      <tp t="s">
        <v>—</v>
        <stp/>
        <stp>##V3_BDHV12</stp>
        <stp>XOM US Equity</stp>
        <stp>IS_NET_INTEREST_EXPENSE</stp>
        <stp>FQ4 2016</stp>
        <stp>FQ4 2016</stp>
        <stp>[FA1_m42y3cpi.xlsx]Income - Adjusted!R18C36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8" s="2"/>
      </tp>
      <tp t="s">
        <v>—</v>
        <stp/>
        <stp>##V3_BDHV12</stp>
        <stp>XOM US Equity</stp>
        <stp>IS_NET_INTEREST_EXPENSE</stp>
        <stp>FQ3 2013</stp>
        <stp>FQ3 2013</stp>
        <stp>[FA1_m42y3cpi.xlsx]Income - Adjusted!R18C23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8" s="2"/>
      </tp>
      <tp t="s">
        <v>—</v>
        <stp/>
        <stp>##V3_BDHV12</stp>
        <stp>XOM US Equity</stp>
        <stp>IS_NET_INTEREST_EXPENSE</stp>
        <stp>FQ2 2010</stp>
        <stp>FQ2 2010</stp>
        <stp>[FA1_m42y3cpi.xlsx]Income - Adjusted!R18C10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8" s="2"/>
      </tp>
      <tp t="s">
        <v>—</v>
        <stp/>
        <stp>##V3_BDHV12</stp>
        <stp>XOM US Equity</stp>
        <stp>IS_NET_INTEREST_EXPENSE</stp>
        <stp>FQ1 2017</stp>
        <stp>FQ1 2017</stp>
        <stp>[FA1_m42y3cpi.xlsx]Income - Adjusted!R18C37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8" s="2"/>
      </tp>
      <tp>
        <v>8117</v>
        <stp/>
        <stp>##V3_BDHV12</stp>
        <stp>XOM US Equity</stp>
        <stp>IS_DEPR_EXP</stp>
        <stp>FQ4 2016</stp>
        <stp>FQ4 2016</stp>
        <stp>[FA1_m42y3cpi.xlsx]Income - Adjusted!R71C36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1" s="2"/>
      </tp>
      <tp t="s">
        <v>—</v>
        <stp/>
        <stp>##V3_BDHV12</stp>
        <stp>XOM US Equity</stp>
        <stp>IS_SALE_OF_BUSINESS</stp>
        <stp>FQ1 2012</stp>
        <stp>FQ1 2012</stp>
        <stp>[FA1_m42y3cpi.xlsx]Income - Adjusted!R29C17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2"/>
      </tp>
      <tp t="s">
        <v>—</v>
        <stp/>
        <stp>##V3_BDHV12</stp>
        <stp>XOM US Equity</stp>
        <stp>IS_SALE_OF_BUSINESS</stp>
        <stp>FQ2 2011</stp>
        <stp>FQ2 2011</stp>
        <stp>[FA1_m42y3cpi.xlsx]Income - Adjusted!R29C14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2"/>
      </tp>
      <tp t="s">
        <v>—</v>
        <stp/>
        <stp>##V3_BDHV12</stp>
        <stp>XOM US Equity</stp>
        <stp>IS_SALE_OF_BUSINESS</stp>
        <stp>FQ4 2015</stp>
        <stp>FQ4 2015</stp>
        <stp>[FA1_m42y3cpi.xlsx]Income - Adjusted!R29C32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2"/>
      </tp>
      <tp t="s">
        <v>—</v>
        <stp/>
        <stp>##V3_BDHV12</stp>
        <stp>XOM US Equity</stp>
        <stp>IS_SALE_OF_BUSINESS</stp>
        <stp>FQ3 2013</stp>
        <stp>FQ3 2013</stp>
        <stp>[FA1_m42y3cpi.xlsx]Income - Adjusted!R29C23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2"/>
      </tp>
      <tp t="s">
        <v>—</v>
        <stp/>
        <stp>##V3_BDHV12</stp>
        <stp>XOM US Equity</stp>
        <stp>IS_SALE_OF_BUSINESS</stp>
        <stp>FQ3 2010</stp>
        <stp>FQ3 2010</stp>
        <stp>[FA1_m42y3cpi.xlsx]Income - Adjusted!R29C11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2"/>
      </tp>
      <tp t="s">
        <v>—</v>
        <stp/>
        <stp>##V3_BDHV12</stp>
        <stp>XOM US Equity</stp>
        <stp>IS_SALE_OF_BUSINESS</stp>
        <stp>FQ4 2014</stp>
        <stp>FQ4 2014</stp>
        <stp>[FA1_m42y3cpi.xlsx]Income - Adjusted!R29C28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2"/>
      </tp>
      <tp>
        <v>-1.8401999999999998</v>
        <stp/>
        <stp>##V3_BDHV12</stp>
        <stp>XOM US Equity</stp>
        <stp>NET_DEBT_TO_SHRHLDR_EQTY</stp>
        <stp>FQ1 2012</stp>
        <stp>FQ1 2012</stp>
        <stp>[FA1_m42y3cpi.xlsx]Bal Sheet - Standardized!R87C17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7" s="3"/>
      </tp>
      <tp>
        <v>22.496099999999998</v>
        <stp/>
        <stp>##V3_BDHV12</stp>
        <stp>XOM US Equity</stp>
        <stp>NET_DEBT_TO_SHRHLDR_EQTY</stp>
        <stp>FQ4 2016</stp>
        <stp>FQ4 2016</stp>
        <stp>[FA1_m42y3cpi.xlsx]Bal Sheet - Standardized!R87C36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7" s="3"/>
      </tp>
      <tp>
        <v>21.435500000000001</v>
        <stp/>
        <stp>##V3_BDHV12</stp>
        <stp>XOM US Equity</stp>
        <stp>NET_DEBT_TO_SHRHLDR_EQTY</stp>
        <stp>FQ1 2016</stp>
        <stp>FQ1 2016</stp>
        <stp>[FA1_m42y3cpi.xlsx]Bal Sheet - Standardized!R87C33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7" s="3"/>
      </tp>
      <tp>
        <v>0</v>
        <stp/>
        <stp>##V3_BDHV12</stp>
        <stp>XOM US Equity</stp>
        <stp>CF_ACQUISITION_OF_INTANG_ASSETS</stp>
        <stp>FQ3 2012</stp>
        <stp>FQ3 2012</stp>
        <stp>[FA1_m42y3cpi.xlsx]Cash Flow - Standardized!R26C19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4"/>
      </tp>
      <tp>
        <v>3285</v>
        <stp/>
        <stp>##V3_BDHV12</stp>
        <stp>XOM US Equity</stp>
        <stp>BS_NUM_OF_TSY_SH</stp>
        <stp>FQ4 2011</stp>
        <stp>FQ4 2011</stp>
        <stp>[FA1_m42y3cpi.xlsx]Bal Sheet - Standardized!R80C16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0" s="3"/>
      </tp>
      <tp>
        <v>3093</v>
        <stp/>
        <stp>##V3_BDHV12</stp>
        <stp>XOM US Equity</stp>
        <stp>BS_NUM_OF_TSY_SH</stp>
        <stp>FQ1 2011</stp>
        <stp>FQ1 2011</stp>
        <stp>[FA1_m42y3cpi.xlsx]Bal Sheet - Standardized!R80C13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0" s="3"/>
      </tp>
      <tp>
        <v>4267</v>
        <stp/>
        <stp>##V3_BDHV12</stp>
        <stp>XOM US Equity</stp>
        <stp>IS_AVG_NUM_SH_FOR_EPS</stp>
        <stp>FQ3 2014</stp>
        <stp>FQ3 2014</stp>
        <stp>[FA1_m42y3cpi.xlsx]Income - Adjusted!R49C27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9" s="2"/>
      </tp>
      <tp>
        <v>4178</v>
        <stp/>
        <stp>##V3_BDHV12</stp>
        <stp>XOM US Equity</stp>
        <stp>IS_AVG_NUM_SH_FOR_EPS</stp>
        <stp>FQ3 2016</stp>
        <stp>FQ3 2016</stp>
        <stp>[FA1_m42y3cpi.xlsx]Income - Adjusted!R49C35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9" s="2"/>
      </tp>
      <tp>
        <v>3684</v>
        <stp/>
        <stp>##V3_BDHV12</stp>
        <stp>XOM US Equity</stp>
        <stp>BS_NUM_OF_TSY_SH</stp>
        <stp>FQ4 2013</stp>
        <stp>FQ4 2013</stp>
        <stp>[FA1_m42y3cpi.xlsx]Bal Sheet - Standardized!R80C24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0" s="3"/>
      </tp>
      <tp>
        <v>3573</v>
        <stp/>
        <stp>##V3_BDHV12</stp>
        <stp>XOM US Equity</stp>
        <stp>BS_NUM_OF_TSY_SH</stp>
        <stp>FQ1 2013</stp>
        <stp>FQ1 2013</stp>
        <stp>[FA1_m42y3cpi.xlsx]Bal Sheet - Standardized!R80C21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0" s="3"/>
      </tp>
      <tp>
        <v>3650</v>
        <stp/>
        <stp>##V3_BDHV12</stp>
        <stp>XOM US Equity</stp>
        <stp>BS_NUM_OF_TSY_SH</stp>
        <stp>FQ3 2013</stp>
        <stp>FQ3 2013</stp>
        <stp>[FA1_m42y3cpi.xlsx]Bal Sheet - Standardized!R80C23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0" s="3"/>
      </tp>
      <tp>
        <v>3617</v>
        <stp/>
        <stp>##V3_BDHV12</stp>
        <stp>XOM US Equity</stp>
        <stp>BS_NUM_OF_TSY_SH</stp>
        <stp>FQ2 2013</stp>
        <stp>FQ2 2013</stp>
        <stp>[FA1_m42y3cpi.xlsx]Bal Sheet - Standardized!R80C22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0" s="3"/>
      </tp>
      <tp>
        <v>3863</v>
        <stp/>
        <stp>##V3_BDHV12</stp>
        <stp>XOM US Equity</stp>
        <stp>BS_NUM_OF_TSY_SH</stp>
        <stp>FQ4 2015</stp>
        <stp>FQ4 2015</stp>
        <stp>[FA1_m42y3cpi.xlsx]Bal Sheet - Standardized!R80C32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0" s="3"/>
      </tp>
      <tp>
        <v>3780</v>
        <stp/>
        <stp>##V3_BDHV12</stp>
        <stp>XOM US Equity</stp>
        <stp>BS_NUM_OF_TSY_SH</stp>
        <stp>FQ4 2017</stp>
        <stp>FQ4 2017</stp>
        <stp>[FA1_m42y3cpi.xlsx]Bal Sheet - Standardized!R80C40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0" s="3"/>
      </tp>
      <tp>
        <v>0</v>
        <stp/>
        <stp>##V3_BDHV12</stp>
        <stp>XOM US Equity</stp>
        <stp>CF_ACQUISITION_OF_INTANG_ASSETS</stp>
        <stp>FQ1 2017</stp>
        <stp>FQ1 2017</stp>
        <stp>[FA1_m42y3cpi.xlsx]Cash Flow - Standardized!R26C37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4"/>
      </tp>
      <tp>
        <v>0</v>
        <stp/>
        <stp>##V3_BDHV12</stp>
        <stp>XOM US Equity</stp>
        <stp>CF_ACQUISITION_OF_INTANG_ASSETS</stp>
        <stp>FQ3 2010</stp>
        <stp>FQ3 2010</stp>
        <stp>[FA1_m42y3cpi.xlsx]Cash Flow - Standardized!R26C11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4"/>
      </tp>
      <tp>
        <v>0</v>
        <stp/>
        <stp>##V3_BDHV12</stp>
        <stp>XOM US Equity</stp>
        <stp>CF_ACQUISITION_OF_INTANG_ASSETS</stp>
        <stp>FQ1 2016</stp>
        <stp>FQ1 2016</stp>
        <stp>[FA1_m42y3cpi.xlsx]Cash Flow - Standardized!R26C33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4"/>
      </tp>
      <tp>
        <v>0</v>
        <stp/>
        <stp>##V3_BDHV12</stp>
        <stp>XOM US Equity</stp>
        <stp>CF_ACQUISITION_OF_INTANG_ASSETS</stp>
        <stp>FQ3 2011</stp>
        <stp>FQ3 2011</stp>
        <stp>[FA1_m42y3cpi.xlsx]Cash Flow - Standardized!R26C15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4"/>
      </tp>
      <tp>
        <v>1.8900000000000001</v>
        <stp/>
        <stp>##V3_BDHV12</stp>
        <stp>XOM US Equity</stp>
        <stp>IS_BASIC_EPS_CONT_OPS</stp>
        <stp>FQ3 2014</stp>
        <stp>FQ3 2014</stp>
        <stp>[FA1_m42y3cpi.xlsx]Per Share!R16C27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6" s="5"/>
      </tp>
      <tp>
        <v>0.63</v>
        <stp/>
        <stp>##V3_BDHV12</stp>
        <stp>XOM US Equity</stp>
        <stp>IS_BASIC_EPS_CONT_OPS</stp>
        <stp>FQ3 2016</stp>
        <stp>FQ3 2016</stp>
        <stp>[FA1_m42y3cpi.xlsx]Per Share!R16C35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6" s="5"/>
      </tp>
      <tp>
        <v>13442</v>
        <stp/>
        <stp>##V3_BDHV12</stp>
        <stp>XOM US Equity</stp>
        <stp>CF_CASH_FROM_OPER</stp>
        <stp>FQ3 2012</stp>
        <stp>FQ3 2012</stp>
        <stp>[FA1_m42y3cpi.xlsx]Cash Flow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4"/>
      </tp>
      <tp>
        <v>8173</v>
        <stp/>
        <stp>##V3_BDHV12</stp>
        <stp>XOM US Equity</stp>
        <stp>CF_CASH_FROM_OPER</stp>
        <stp>FQ1 2017</stp>
        <stp>FQ1 2017</stp>
        <stp>[FA1_m42y3cpi.xlsx]Cash Flow - Standardized!R17C37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7" s="4"/>
      </tp>
      <tp>
        <v>1.5232000000000001</v>
        <stp/>
        <stp>##V3_BDHV12</stp>
        <stp>XOM US Equity</stp>
        <stp>FREE_CASH_FLOW_PER_SH</stp>
        <stp>FQ3 2011</stp>
        <stp>FQ3 2011</stp>
        <stp>[FA1_m42y3cpi.xlsx]Per Share!R23C15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3" s="5"/>
      </tp>
      <tp>
        <v>0.66180000000000005</v>
        <stp/>
        <stp>##V3_BDHV12</stp>
        <stp>XOM US Equity</stp>
        <stp>FREE_CASH_FLOW_PER_SH</stp>
        <stp>FQ3 2015</stp>
        <stp>FQ3 2015</stp>
        <stp>[FA1_m42y3cpi.xlsx]Per Share!R23C31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3" s="5"/>
      </tp>
      <tp>
        <v>13077</v>
        <stp/>
        <stp>##V3_BDHV12</stp>
        <stp>XOM US Equity</stp>
        <stp>CF_CASH_FROM_OPER</stp>
        <stp>FQ3 2010</stp>
        <stp>FQ3 2010</stp>
        <stp>[FA1_m42y3cpi.xlsx]Cash Flow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4"/>
      </tp>
      <tp>
        <v>4812</v>
        <stp/>
        <stp>##V3_BDHV12</stp>
        <stp>XOM US Equity</stp>
        <stp>CF_CASH_FROM_OPER</stp>
        <stp>FQ1 2016</stp>
        <stp>FQ1 2016</stp>
        <stp>[FA1_m42y3cpi.xlsx]Cash Flow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4"/>
      </tp>
      <tp>
        <v>14849</v>
        <stp/>
        <stp>##V3_BDHV12</stp>
        <stp>XOM US Equity</stp>
        <stp>CF_CASH_FROM_OPER</stp>
        <stp>FQ3 2011</stp>
        <stp>FQ3 2011</stp>
        <stp>[FA1_m42y3cpi.xlsx]Cash Flow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4"/>
      </tp>
      <tp>
        <v>140</v>
        <stp/>
        <stp>##V3_BDHV12</stp>
        <stp>XOM US Equity</stp>
        <stp>IS_NET_ABNORMAL_ITEMS</stp>
        <stp>FQ2 2009</stp>
        <stp>FQ2 2009</stp>
        <stp>[FA1_m42y3cpi.xlsx]Income - Adjusted!R46C6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2"/>
      </tp>
      <tp>
        <v>0.4</v>
        <stp/>
        <stp>##V3_BDHV12</stp>
        <stp>XOM US Equity</stp>
        <stp>EQY_DPS</stp>
        <stp>FQ4 2008</stp>
        <stp>FQ4 2008</stp>
        <stp>[FA1_m42y3cpi.xlsx]Income - Adjusted!R69C4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9" s="2"/>
      </tp>
      <tp>
        <v>0.4</v>
        <stp/>
        <stp>##V3_BDHV12</stp>
        <stp>XOM US Equity</stp>
        <stp>EQY_DPS</stp>
        <stp>FQ3 2008</stp>
        <stp>FQ3 2008</stp>
        <stp>[FA1_m42y3cpi.xlsx]Income - Adjusted!R69C3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9" s="2"/>
      </tp>
      <tp>
        <v>2747</v>
        <stp/>
        <stp>##V3_BDHV12</stp>
        <stp>XOM US Equity</stp>
        <stp>IS_SG&amp;A_EXPENSE</stp>
        <stp>FQ1 2018</stp>
        <stp>FQ1 2018</stp>
        <stp>[FA1_m42y3cpi.xlsx]Income - Adjusted!R14C41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4" s="2"/>
      </tp>
      <tp>
        <v>3707</v>
        <stp/>
        <stp>##V3_BDHV12</stp>
        <stp>XOM US Equity</stp>
        <stp>EARN_FOR_COMMON</stp>
        <stp>FQ4 2016</stp>
        <stp>FQ4 2016</stp>
        <stp>[FA1_m42y3cpi.xlsx]Income - Adjusted!R45C36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5" s="2"/>
      </tp>
      <tp>
        <v>7870</v>
        <stp/>
        <stp>##V3_BDHV12</stp>
        <stp>XOM US Equity</stp>
        <stp>EARN_FOR_COMMON</stp>
        <stp>FQ3 2013</stp>
        <stp>FQ3 2013</stp>
        <stp>[FA1_m42y3cpi.xlsx]Income - Adjusted!R45C23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5" s="2"/>
      </tp>
      <tp>
        <v>7969.75</v>
        <stp/>
        <stp>##V3_BDHV12</stp>
        <stp>XOM US Equity</stp>
        <stp>EARN_FOR_COMMON</stp>
        <stp>FQ2 2010</stp>
        <stp>FQ2 2010</stp>
        <stp>[FA1_m42y3cpi.xlsx]Income - Adjusted!R45C10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5" s="2"/>
      </tp>
      <tp>
        <v>4010</v>
        <stp/>
        <stp>##V3_BDHV12</stp>
        <stp>XOM US Equity</stp>
        <stp>EARN_FOR_COMMON</stp>
        <stp>FQ1 2017</stp>
        <stp>FQ1 2017</stp>
        <stp>[FA1_m42y3cpi.xlsx]Income - Adjusted!R45C37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5" s="2"/>
      </tp>
      <tp>
        <v>-278</v>
        <stp/>
        <stp>##V3_BDHV12</stp>
        <stp>XOM US Equity</stp>
        <stp>IS_OTHER_NON_OPERATING_INC_LOSS</stp>
        <stp>FQ3 2017</stp>
        <stp>FQ3 2017</stp>
        <stp>[FA1_m42y3cpi.xlsx]Income - Adjusted!R23C39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23" s="2"/>
      </tp>
      <tp>
        <v>4037</v>
        <stp/>
        <stp>##V3_BDHV12</stp>
        <stp>XOM US Equity</stp>
        <stp>IS_DEPR_EXP</stp>
        <stp>FQ3 2012</stp>
        <stp>FQ3 2012</stp>
        <stp>[FA1_m42y3cpi.xlsx]Income - Adjusted!R71C19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1" s="2"/>
      </tp>
      <tp>
        <v>101.2</v>
        <stp/>
        <stp>##V3_BDHV12</stp>
        <stp>XOM US Equity</stp>
        <stp>PX_LAST</stp>
        <stp>FQ4 2013</stp>
        <stp>FQ4 2013</stp>
        <stp>[FA1_m42y3cpi.xlsx]Stock Value!R6C24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6"/>
      </tp>
      <tp>
        <v>93.74</v>
        <stp/>
        <stp>##V3_BDHV12</stp>
        <stp>XOM US Equity</stp>
        <stp>PX_LAST</stp>
        <stp>FQ2 2016</stp>
        <stp>FQ2 2016</stp>
        <stp>[FA1_m42y3cpi.xlsx]Stock Value!R6C34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6"/>
      </tp>
      <tp>
        <v>81.38</v>
        <stp/>
        <stp>##V3_BDHV12</stp>
        <stp>XOM US Equity</stp>
        <stp>PX_LAST</stp>
        <stp>FQ2 2011</stp>
        <stp>FQ2 2011</stp>
        <stp>[FA1_m42y3cpi.xlsx]Stock Value!R6C14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6"/>
      </tp>
      <tp>
        <v>4100</v>
        <stp/>
        <stp>##V3_BDHV12</stp>
        <stp>XOM US Equity</stp>
        <stp>IS_DEPR_EXP</stp>
        <stp>FQ1 2013</stp>
        <stp>FQ1 2013</stp>
        <stp>[FA1_m42y3cpi.xlsx]Income - Adjusted!R71C21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1" s="2"/>
      </tp>
      <tp t="s">
        <v>—</v>
        <stp/>
        <stp>##V3_BDHV12</stp>
        <stp>XOM US Equity</stp>
        <stp>IS_NET_INTEREST_EXPENSE</stp>
        <stp>FQ3 2010</stp>
        <stp>FQ3 2010</stp>
        <stp>[FA1_m42y3cpi.xlsx]Income - Adjusted!R18C11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8" s="2"/>
      </tp>
      <tp t="s">
        <v>—</v>
        <stp/>
        <stp>##V3_BDHV12</stp>
        <stp>XOM US Equity</stp>
        <stp>IS_NET_INTEREST_EXPENSE</stp>
        <stp>FQ2 2013</stp>
        <stp>FQ2 2013</stp>
        <stp>[FA1_m42y3cpi.xlsx]Income - Adjusted!R18C22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8" s="2"/>
      </tp>
      <tp t="s">
        <v>—</v>
        <stp/>
        <stp>##V3_BDHV12</stp>
        <stp>XOM US Equity</stp>
        <stp>IS_NET_INTEREST_EXPENSE</stp>
        <stp>FQ1 2014</stp>
        <stp>FQ1 2014</stp>
        <stp>[FA1_m42y3cpi.xlsx]Income - Adjusted!R18C25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8" s="2"/>
      </tp>
      <tp t="s">
        <v>—</v>
        <stp/>
        <stp>##V3_BDHV12</stp>
        <stp>XOM US Equity</stp>
        <stp>IS_SALE_OF_BUSINESS</stp>
        <stp>FQ3 2011</stp>
        <stp>FQ3 2011</stp>
        <stp>[FA1_m42y3cpi.xlsx]Income - Adjusted!R29C15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2"/>
      </tp>
      <tp t="s">
        <v>—</v>
        <stp/>
        <stp>##V3_BDHV12</stp>
        <stp>XOM US Equity</stp>
        <stp>IS_SALE_OF_BUSINESS</stp>
        <stp>FQ2 2010</stp>
        <stp>FQ2 2010</stp>
        <stp>[FA1_m42y3cpi.xlsx]Income - Adjusted!R29C10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2"/>
      </tp>
      <tp t="s">
        <v>—</v>
        <stp/>
        <stp>##V3_BDHV12</stp>
        <stp>XOM US Equity</stp>
        <stp>IS_SALE_OF_BUSINESS</stp>
        <stp>FQ2 2013</stp>
        <stp>FQ2 2013</stp>
        <stp>[FA1_m42y3cpi.xlsx]Income - Adjusted!R29C22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2"/>
      </tp>
      <tp>
        <v>0</v>
        <stp/>
        <stp>##V3_BDHV12</stp>
        <stp>XOM US Equity</stp>
        <stp>CF_ACQUISITION_OF_INTANG_ASSETS</stp>
        <stp>FQ2 2012</stp>
        <stp>FQ2 2012</stp>
        <stp>[FA1_m42y3cpi.xlsx]Cash Flow - Standardized!R26C18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4"/>
      </tp>
      <tp>
        <v>2927</v>
        <stp/>
        <stp>##V3_BDHV12</stp>
        <stp>XOM US Equity</stp>
        <stp>BS_NUM_OF_TSY_SH</stp>
        <stp>FQ2 2010</stp>
        <stp>FQ2 2010</stp>
        <stp>[FA1_m42y3cpi.xlsx]Bal Sheet - Standardized!R80C10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0" s="3"/>
      </tp>
      <tp>
        <v>2976</v>
        <stp/>
        <stp>##V3_BDHV12</stp>
        <stp>XOM US Equity</stp>
        <stp>BS_NUM_OF_TSY_SH</stp>
        <stp>FQ3 2010</stp>
        <stp>FQ3 2010</stp>
        <stp>[FA1_m42y3cpi.xlsx]Bal Sheet - Standardized!R80C11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0" s="3"/>
      </tp>
      <tp>
        <v>4297</v>
        <stp/>
        <stp>##V3_BDHV12</stp>
        <stp>XOM US Equity</stp>
        <stp>IS_AVG_NUM_SH_FOR_EPS</stp>
        <stp>FQ2 2014</stp>
        <stp>FQ2 2014</stp>
        <stp>[FA1_m42y3cpi.xlsx]Income - Adjusted!R49C26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9" s="2"/>
      </tp>
      <tp>
        <v>4147</v>
        <stp/>
        <stp>##V3_BDHV12</stp>
        <stp>XOM US Equity</stp>
        <stp>IS_AVG_NUM_SH_FOR_EPS</stp>
        <stp>FQ2 2016</stp>
        <stp>FQ2 2016</stp>
        <stp>[FA1_m42y3cpi.xlsx]Income - Adjusted!R49C34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9" s="2"/>
      </tp>
      <tp>
        <v>4485</v>
        <stp/>
        <stp>##V3_BDHV12</stp>
        <stp>XOM US Equity</stp>
        <stp>IS_AVG_NUM_SH_FOR_EPS</stp>
        <stp>FQ1 2013</stp>
        <stp>FQ1 2013</stp>
        <stp>[FA1_m42y3cpi.xlsx]Income - Adjusted!R49C21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9" s="2"/>
      </tp>
      <tp>
        <v>4963</v>
        <stp/>
        <stp>##V3_BDHV12</stp>
        <stp>XOM US Equity</stp>
        <stp>IS_AVG_NUM_SH_FOR_EPS</stp>
        <stp>FQ1 2011</stp>
        <stp>FQ1 2011</stp>
        <stp>[FA1_m42y3cpi.xlsx]Income - Adjusted!R49C13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9" s="2"/>
      </tp>
      <tp>
        <v>4522.7272999999996</v>
        <stp/>
        <stp>##V3_BDHV12</stp>
        <stp>XOM US Equity</stp>
        <stp>IS_AVG_NUM_SH_FOR_EPS</stp>
        <stp>FQ4 2012</stp>
        <stp>FQ4 2012</stp>
        <stp>[FA1_m42y3cpi.xlsx]Income - Adjusted!R49C20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9" s="2"/>
      </tp>
      <tp>
        <v>4973</v>
        <stp/>
        <stp>##V3_BDHV12</stp>
        <stp>XOM US Equity</stp>
        <stp>IS_AVG_NUM_SH_FOR_EPS</stp>
        <stp>FQ4 2010</stp>
        <stp>FQ4 2010</stp>
        <stp>[FA1_m42y3cpi.xlsx]Income - Adjusted!R49C12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9" s="2"/>
      </tp>
      <tp>
        <v>-430</v>
        <stp/>
        <stp>##V3_BDHV12</stp>
        <stp>XOM US Equity</stp>
        <stp>IS_OTHER_NON_OPERATING_INC_LOSS</stp>
        <stp>FQ1 2009</stp>
        <stp>FQ1 2009</stp>
        <stp>[FA1_m42y3cpi.xlsx]Income - Adjusted!R23C5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3" s="2"/>
      </tp>
      <tp>
        <v>-707</v>
        <stp/>
        <stp>##V3_BDHV12</stp>
        <stp>XOM US Equity</stp>
        <stp>IS_OTHER_NON_OPERATING_INC_LOSS</stp>
        <stp>FQ2 2009</stp>
        <stp>FQ2 2009</stp>
        <stp>[FA1_m42y3cpi.xlsx]Income - Adjusted!R23C6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3" s="2"/>
      </tp>
      <tp>
        <v>-495</v>
        <stp/>
        <stp>##V3_BDHV12</stp>
        <stp>XOM US Equity</stp>
        <stp>IS_OTHER_NON_OPERATING_INC_LOSS</stp>
        <stp>FQ3 2009</stp>
        <stp>FQ3 2009</stp>
        <stp>[FA1_m42y3cpi.xlsx]Income - Adjusted!R23C7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3" s="2"/>
      </tp>
      <tp>
        <v>0</v>
        <stp/>
        <stp>##V3_BDHV12</stp>
        <stp>XOM US Equity</stp>
        <stp>CF_ACQUISITION_OF_INTANG_ASSETS</stp>
        <stp>FQ1 2015</stp>
        <stp>FQ1 2015</stp>
        <stp>[FA1_m42y3cpi.xlsx]Cash Flow - Standardized!R26C29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4"/>
      </tp>
      <tp>
        <v>0.77</v>
        <stp/>
        <stp>##V3_BDHV12</stp>
        <stp>XOM US Equity</stp>
        <stp>EQY_DPS</stp>
        <stp>FQ1 2018</stp>
        <stp>FQ1 2018</stp>
        <stp>[FA1_m42y3cpi.xlsx]Per Share!R20C41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0" s="5"/>
      </tp>
      <tp>
        <v>0</v>
        <stp/>
        <stp>##V3_BDHV12</stp>
        <stp>XOM US Equity</stp>
        <stp>CF_ACQUISITION_OF_INTANG_ASSETS</stp>
        <stp>FQ1 2014</stp>
        <stp>FQ1 2014</stp>
        <stp>[FA1_m42y3cpi.xlsx]Cash Flow - Standardized!R26C25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4"/>
      </tp>
      <tp>
        <v>0</v>
        <stp/>
        <stp>##V3_BDHV12</stp>
        <stp>XOM US Equity</stp>
        <stp>CF_ACQUISITION_OF_INTANG_ASSETS</stp>
        <stp>FQ2 2010</stp>
        <stp>FQ2 2010</stp>
        <stp>[FA1_m42y3cpi.xlsx]Cash Flow - Standardized!R26C10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4"/>
      </tp>
      <tp>
        <v>0</v>
        <stp/>
        <stp>##V3_BDHV12</stp>
        <stp>XOM US Equity</stp>
        <stp>CF_ACQUISITION_OF_INTANG_ASSETS</stp>
        <stp>FQ1 2013</stp>
        <stp>FQ1 2013</stp>
        <stp>[FA1_m42y3cpi.xlsx]Cash Flow - Standardized!R26C21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4"/>
      </tp>
      <tp>
        <v>0</v>
        <stp/>
        <stp>##V3_BDHV12</stp>
        <stp>XOM US Equity</stp>
        <stp>CF_ACQUISITION_OF_INTANG_ASSETS</stp>
        <stp>FQ2 2011</stp>
        <stp>FQ2 2011</stp>
        <stp>[FA1_m42y3cpi.xlsx]Cash Flow - Standardized!R26C14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4"/>
      </tp>
      <tp>
        <v>2.0499999999999998</v>
        <stp/>
        <stp>##V3_BDHV12</stp>
        <stp>XOM US Equity</stp>
        <stp>IS_BASIC_EPS_CONT_OPS</stp>
        <stp>FQ2 2014</stp>
        <stp>FQ2 2014</stp>
        <stp>[FA1_m42y3cpi.xlsx]Per Share!R16C26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6" s="5"/>
      </tp>
      <tp>
        <v>0.41</v>
        <stp/>
        <stp>##V3_BDHV12</stp>
        <stp>XOM US Equity</stp>
        <stp>IS_BASIC_EPS_CONT_OPS</stp>
        <stp>FQ2 2016</stp>
        <stp>FQ2 2016</stp>
        <stp>[FA1_m42y3cpi.xlsx]Per Share!R16C34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6" s="5"/>
      </tp>
      <tp>
        <v>2.12</v>
        <stp/>
        <stp>##V3_BDHV12</stp>
        <stp>XOM US Equity</stp>
        <stp>IS_BASIC_EPS_CONT_OPS</stp>
        <stp>FQ1 2013</stp>
        <stp>FQ1 2013</stp>
        <stp>[FA1_m42y3cpi.xlsx]Per Share!R16C21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6" s="5"/>
      </tp>
      <tp>
        <v>2.14</v>
        <stp/>
        <stp>##V3_BDHV12</stp>
        <stp>XOM US Equity</stp>
        <stp>IS_BASIC_EPS_CONT_OPS</stp>
        <stp>FQ1 2011</stp>
        <stp>FQ1 2011</stp>
        <stp>[FA1_m42y3cpi.xlsx]Per Share!R16C13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6" s="5"/>
      </tp>
      <tp>
        <v>2.0672999999999999</v>
        <stp/>
        <stp>##V3_BDHV12</stp>
        <stp>XOM US Equity</stp>
        <stp>IS_BASIC_EPS_CONT_OPS</stp>
        <stp>FQ4 2012</stp>
        <stp>FQ4 2012</stp>
        <stp>[FA1_m42y3cpi.xlsx]Per Share!R16C20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6" s="5"/>
      </tp>
      <tp>
        <v>1.8601999999999999</v>
        <stp/>
        <stp>##V3_BDHV12</stp>
        <stp>XOM US Equity</stp>
        <stp>IS_BASIC_EPS_CONT_OPS</stp>
        <stp>FQ4 2010</stp>
        <stp>FQ4 2010</stp>
        <stp>[FA1_m42y3cpi.xlsx]Per Share!R16C12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6" s="5"/>
      </tp>
      <tp>
        <v>10217</v>
        <stp/>
        <stp>##V3_BDHV12</stp>
        <stp>XOM US Equity</stp>
        <stp>CF_CASH_FROM_OPER</stp>
        <stp>FQ2 2012</stp>
        <stp>FQ2 2012</stp>
        <stp>[FA1_m42y3cpi.xlsx]Cash Flow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4"/>
      </tp>
      <tp>
        <v>7998</v>
        <stp/>
        <stp>##V3_BDHV12</stp>
        <stp>XOM US Equity</stp>
        <stp>CF_CASH_FROM_OPER</stp>
        <stp>FQ1 2015</stp>
        <stp>FQ1 2015</stp>
        <stp>[FA1_m42y3cpi.xlsx]Cash Flow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4"/>
      </tp>
      <tp>
        <v>15103</v>
        <stp/>
        <stp>##V3_BDHV12</stp>
        <stp>XOM US Equity</stp>
        <stp>CF_CASH_FROM_OPER</stp>
        <stp>FQ1 2014</stp>
        <stp>FQ1 2014</stp>
        <stp>[FA1_m42y3cpi.xlsx]Cash Flow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4"/>
      </tp>
      <tp>
        <v>13592</v>
        <stp/>
        <stp>##V3_BDHV12</stp>
        <stp>XOM US Equity</stp>
        <stp>CF_CASH_FROM_OPER</stp>
        <stp>FQ1 2013</stp>
        <stp>FQ1 2013</stp>
        <stp>[FA1_m42y3cpi.xlsx]Cash Flow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4"/>
      </tp>
      <tp>
        <v>1.0348999999999999</v>
        <stp/>
        <stp>##V3_BDHV12</stp>
        <stp>XOM US Equity</stp>
        <stp>FREE_CASH_FLOW_PER_SH</stp>
        <stp>FQ2 2011</stp>
        <stp>FQ2 2011</stp>
        <stp>[FA1_m42y3cpi.xlsx]Per Share!R23C14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3" s="5"/>
      </tp>
      <tp>
        <v>0.4007</v>
        <stp/>
        <stp>##V3_BDHV12</stp>
        <stp>XOM US Equity</stp>
        <stp>FREE_CASH_FLOW_PER_SH</stp>
        <stp>FQ2 2015</stp>
        <stp>FQ2 2015</stp>
        <stp>[FA1_m42y3cpi.xlsx]Per Share!R23C30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3" s="5"/>
      </tp>
      <tp>
        <v>2.4270999999999998</v>
        <stp/>
        <stp>##V3_BDHV12</stp>
        <stp>XOM US Equity</stp>
        <stp>FREE_CASH_FLOW_PER_SH</stp>
        <stp>FQ1 2012</stp>
        <stp>FQ1 2012</stp>
        <stp>[FA1_m42y3cpi.xlsx]Per Share!R23C17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3" s="5"/>
      </tp>
      <tp>
        <v>5.0500000000000003E-2</v>
        <stp/>
        <stp>##V3_BDHV12</stp>
        <stp>XOM US Equity</stp>
        <stp>FREE_CASH_FLOW_PER_SH</stp>
        <stp>FQ1 2016</stp>
        <stp>FQ1 2016</stp>
        <stp>[FA1_m42y3cpi.xlsx]Per Share!R23C33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3" s="5"/>
      </tp>
      <tp>
        <v>9235</v>
        <stp/>
        <stp>##V3_BDHV12</stp>
        <stp>XOM US Equity</stp>
        <stp>CF_CASH_FROM_OPER</stp>
        <stp>FQ2 2010</stp>
        <stp>FQ2 2010</stp>
        <stp>[FA1_m42y3cpi.xlsx]Cash Flow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4"/>
      </tp>
      <tp>
        <v>12889</v>
        <stp/>
        <stp>##V3_BDHV12</stp>
        <stp>XOM US Equity</stp>
        <stp>CF_CASH_FROM_OPER</stp>
        <stp>FQ2 2011</stp>
        <stp>FQ2 2011</stp>
        <stp>[FA1_m42y3cpi.xlsx]Cash Flow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4"/>
      </tp>
      <tp t="s">
        <v>—</v>
        <stp/>
        <stp>##V3_BDHV12</stp>
        <stp>XOM US Equity</stp>
        <stp>IS_NET_ABNORMAL_ITEMS</stp>
        <stp>FQ3 2008</stp>
        <stp>FQ3 2008</stp>
        <stp>[FA1_m42y3cpi.xlsx]Income - Adjusted!R46C3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2"/>
      </tp>
      <tp>
        <v>0</v>
        <stp/>
        <stp>##V3_BDHV12</stp>
        <stp>XOM US Equity</stp>
        <stp>IS_NET_ABNORMAL_ITEMS</stp>
        <stp>FQ3 2009</stp>
        <stp>FQ3 2009</stp>
        <stp>[FA1_m42y3cpi.xlsx]Income - Adjusted!R46C7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2"/>
      </tp>
      <tp>
        <v>0.42</v>
        <stp/>
        <stp>##V3_BDHV12</stp>
        <stp>XOM US Equity</stp>
        <stp>EQY_DPS</stp>
        <stp>FQ1 2010</stp>
        <stp>FQ1 2010</stp>
        <stp>[FA1_m42y3cpi.xlsx]Income - Adjusted!R69C9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9" s="2"/>
      </tp>
      <tp>
        <v>3863</v>
        <stp/>
        <stp>##V3_BDHV12</stp>
        <stp>XOM US Equity</stp>
        <stp>EBITA</stp>
        <stp>FQ1 2015</stp>
        <stp>FQ1 2015</stp>
        <stp>[FA1_m42y3cpi.xlsx]Income - Adjusted!R63C29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3" s="2"/>
      </tp>
      <tp>
        <v>5088.1538</v>
        <stp/>
        <stp>##V3_BDHV12</stp>
        <stp>XOM US Equity</stp>
        <stp>EBITA</stp>
        <stp>FQ4 2014</stp>
        <stp>FQ4 2014</stp>
        <stp>[FA1_m42y3cpi.xlsx]Income - Adjusted!R63C28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3" s="2"/>
      </tp>
      <tp>
        <v>0</v>
        <stp/>
        <stp>##V3_BDHV12</stp>
        <stp>XOM US Equity</stp>
        <stp>OTHER_CURRENT_LIABS_DETAILED</stp>
        <stp>FQ4 2016</stp>
        <stp>FQ4 2016</stp>
        <stp>[FA1_m42y3cpi.xlsx]Bal Sheet - Standardized!R54C36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4" s="3"/>
      </tp>
      <tp>
        <v>8070</v>
        <stp/>
        <stp>##V3_BDHV12</stp>
        <stp>XOM US Equity</stp>
        <stp>EARN_FOR_COMMON</stp>
        <stp>FQ3 2014</stp>
        <stp>FQ3 2014</stp>
        <stp>[FA1_m42y3cpi.xlsx]Income - Adjusted!R45C27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5" s="2"/>
      </tp>
      <tp>
        <v>2650</v>
        <stp/>
        <stp>##V3_BDHV12</stp>
        <stp>XOM US Equity</stp>
        <stp>EARN_FOR_COMMON</stp>
        <stp>FQ3 2016</stp>
        <stp>FQ3 2016</stp>
        <stp>[FA1_m42y3cpi.xlsx]Income - Adjusted!R45C35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5" s="2"/>
      </tp>
      <tp>
        <v>0</v>
        <stp/>
        <stp>##V3_BDHV12</stp>
        <stp>XOM US Equity</stp>
        <stp>OTHER_CURRENT_LIABS_DETAILED</stp>
        <stp>FQ4 2015</stp>
        <stp>FQ4 2015</stp>
        <stp>[FA1_m42y3cpi.xlsx]Bal Sheet - Standardized!R54C32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4" s="3"/>
      </tp>
      <tp>
        <v>3866</v>
        <stp/>
        <stp>##V3_BDHV12</stp>
        <stp>XOM US Equity</stp>
        <stp>IS_DEPR_EXP</stp>
        <stp>FQ3 2011</stp>
        <stp>FQ3 2011</stp>
        <stp>[FA1_m42y3cpi.xlsx]Income - Adjusted!R71C15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1" s="2"/>
      </tp>
      <tp>
        <v>94.05</v>
        <stp/>
        <stp>##V3_BDHV12</stp>
        <stp>XOM US Equity</stp>
        <stp>PX_LAST</stp>
        <stp>FQ3 2014</stp>
        <stp>FQ3 2014</stp>
        <stp>[FA1_m42y3cpi.xlsx]Stock Value!R6C27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6"/>
      </tp>
      <tp>
        <v>82.01</v>
        <stp/>
        <stp>##V3_BDHV12</stp>
        <stp>XOM US Equity</stp>
        <stp>PX_LAST</stp>
        <stp>FQ1 2017</stp>
        <stp>FQ1 2017</stp>
        <stp>[FA1_m42y3cpi.xlsx]Stock Value!R6C37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" s="6"/>
      </tp>
      <tp>
        <v>86.73</v>
        <stp/>
        <stp>##V3_BDHV12</stp>
        <stp>XOM US Equity</stp>
        <stp>PX_LAST</stp>
        <stp>FQ1 2012</stp>
        <stp>FQ1 2012</stp>
        <stp>[FA1_m42y3cpi.xlsx]Stock Value!R6C17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6"/>
      </tp>
      <tp>
        <v>300</v>
        <stp/>
        <stp>##V3_BDHV12</stp>
        <stp>XOM US Equity</stp>
        <stp>IS_DEPR_EXP</stp>
        <stp>FQ2 2013</stp>
        <stp>FQ2 2013</stp>
        <stp>[FA1_m42y3cpi.xlsx]Income - Adjusted!R71C22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1" s="2"/>
      </tp>
      <tp t="s">
        <v>—</v>
        <stp/>
        <stp>##V3_BDHV12</stp>
        <stp>XOM US Equity</stp>
        <stp>IS_NET_INTEREST_EXPENSE</stp>
        <stp>FQ4 2010</stp>
        <stp>FQ4 2010</stp>
        <stp>[FA1_m42y3cpi.xlsx]Income - Adjusted!R18C12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8" s="2"/>
      </tp>
      <tp t="s">
        <v>—</v>
        <stp/>
        <stp>##V3_BDHV12</stp>
        <stp>XOM US Equity</stp>
        <stp>IS_NET_INTEREST_EXPENSE</stp>
        <stp>FQ4 2012</stp>
        <stp>FQ4 2012</stp>
        <stp>[FA1_m42y3cpi.xlsx]Income - Adjusted!R18C20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8" s="2"/>
      </tp>
      <tp t="s">
        <v>—</v>
        <stp/>
        <stp>##V3_BDHV12</stp>
        <stp>XOM US Equity</stp>
        <stp>IS_NET_INTEREST_EXPENSE</stp>
        <stp>FQ2 2016</stp>
        <stp>FQ2 2016</stp>
        <stp>[FA1_m42y3cpi.xlsx]Income - Adjusted!R18C34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8" s="2"/>
      </tp>
      <tp t="s">
        <v>—</v>
        <stp/>
        <stp>##V3_BDHV12</stp>
        <stp>XOM US Equity</stp>
        <stp>IS_NET_INTEREST_EXPENSE</stp>
        <stp>FQ2 2014</stp>
        <stp>FQ2 2014</stp>
        <stp>[FA1_m42y3cpi.xlsx]Income - Adjusted!R18C26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8" s="2"/>
      </tp>
      <tp t="s">
        <v>—</v>
        <stp/>
        <stp>##V3_BDHV12</stp>
        <stp>XOM US Equity</stp>
        <stp>IS_NET_INTEREST_EXPENSE</stp>
        <stp>FQ1 2011</stp>
        <stp>FQ1 2011</stp>
        <stp>[FA1_m42y3cpi.xlsx]Income - Adjusted!R18C13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8" s="2"/>
      </tp>
      <tp t="s">
        <v>—</v>
        <stp/>
        <stp>##V3_BDHV12</stp>
        <stp>XOM US Equity</stp>
        <stp>IS_NET_INTEREST_EXPENSE</stp>
        <stp>FQ1 2013</stp>
        <stp>FQ1 2013</stp>
        <stp>[FA1_m42y3cpi.xlsx]Income - Adjusted!R18C21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8" s="2"/>
      </tp>
      <tp>
        <v>3366</v>
        <stp/>
        <stp>##V3_BDHV12</stp>
        <stp>XOM US Equity</stp>
        <stp>IS_DEPR_EXP</stp>
        <stp>FQ2 2010</stp>
        <stp>FQ2 2010</stp>
        <stp>[FA1_m42y3cpi.xlsx]Income - Adjusted!R71C10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1" s="2"/>
      </tp>
      <tp t="s">
        <v>—</v>
        <stp/>
        <stp>##V3_BDHV12</stp>
        <stp>XOM US Equity</stp>
        <stp>IS_SALE_OF_BUSINESS</stp>
        <stp>FQ1 2013</stp>
        <stp>FQ1 2013</stp>
        <stp>[FA1_m42y3cpi.xlsx]Income - Adjusted!R29C21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2"/>
      </tp>
      <tp t="s">
        <v>—</v>
        <stp/>
        <stp>##V3_BDHV12</stp>
        <stp>XOM US Equity</stp>
        <stp>IS_SALE_OF_BUSINESS</stp>
        <stp>FQ3 2012</stp>
        <stp>FQ3 2012</stp>
        <stp>[FA1_m42y3cpi.xlsx]Income - Adjusted!R29C19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2"/>
      </tp>
      <tp>
        <v>4.7073</v>
        <stp/>
        <stp>##V3_BDHV12</stp>
        <stp>XOM US Equity</stp>
        <stp>NET_DEBT_TO_SHRHLDR_EQTY</stp>
        <stp>FQ4 2010</stp>
        <stp>FQ4 2010</stp>
        <stp>[FA1_m42y3cpi.xlsx]Bal Sheet - Standardized!R87C12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7" s="3"/>
      </tp>
      <tp>
        <v>1.1645000000000001</v>
        <stp/>
        <stp>##V3_BDHV12</stp>
        <stp>XOM US Equity</stp>
        <stp>NET_DEBT_TO_SHRHLDR_EQTY</stp>
        <stp>FQ4 2012</stp>
        <stp>FQ4 2012</stp>
        <stp>[FA1_m42y3cpi.xlsx]Bal Sheet - Standardized!R87C20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7" s="3"/>
      </tp>
      <tp>
        <v>4433</v>
        <stp/>
        <stp>##V3_BDHV12</stp>
        <stp>XOM US Equity</stp>
        <stp>IS_AVG_NUM_SH_FOR_EPS</stp>
        <stp>FQ2 2013</stp>
        <stp>FQ2 2013</stp>
        <stp>[FA1_m42y3cpi.xlsx]Income - Adjusted!R49C22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9" s="2"/>
      </tp>
      <tp>
        <v>5076</v>
        <stp/>
        <stp>##V3_BDHV12</stp>
        <stp>XOM US Equity</stp>
        <stp>IS_AVG_NUM_SH_FOR_EPS</stp>
        <stp>FQ3 2010</stp>
        <stp>FQ3 2010</stp>
        <stp>[FA1_m42y3cpi.xlsx]Income - Adjusted!R49C11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9" s="2"/>
      </tp>
      <tp>
        <v>4328</v>
        <stp/>
        <stp>##V3_BDHV12</stp>
        <stp>XOM US Equity</stp>
        <stp>IS_AVG_NUM_SH_FOR_EPS</stp>
        <stp>FQ1 2014</stp>
        <stp>FQ1 2014</stp>
        <stp>[FA1_m42y3cpi.xlsx]Income - Adjusted!R49C25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9" s="2"/>
      </tp>
      <tp>
        <v>0</v>
        <stp/>
        <stp>##V3_BDHV12</stp>
        <stp>XOM US Equity</stp>
        <stp>CF_ACQUISITION_OF_INTANG_ASSETS</stp>
        <stp>FQ3 2017</stp>
        <stp>FQ3 2017</stp>
        <stp>[FA1_m42y3cpi.xlsx]Cash Flow - Standardized!R26C39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4"/>
      </tp>
      <tp>
        <v>0.82</v>
        <stp/>
        <stp>##V3_BDHV12</stp>
        <stp>XOM US Equity</stp>
        <stp>EQY_DPS</stp>
        <stp>FQ2 2018</stp>
        <stp>FQ2 2018</stp>
        <stp>[FA1_m42y3cpi.xlsx]Per Share!R20C42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0" s="5"/>
      </tp>
      <tp>
        <v>0.56999999999999995</v>
        <stp/>
        <stp>##V3_BDHV12</stp>
        <stp>XOM US Equity</stp>
        <stp>EQY_DPS</stp>
        <stp>FQ2 2012</stp>
        <stp>FQ2 2012</stp>
        <stp>[FA1_m42y3cpi.xlsx]Per Share!R20C18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0" s="5"/>
      </tp>
      <tp>
        <v>3782</v>
        <stp/>
        <stp>##V3_BDHV12</stp>
        <stp>XOM US Equity</stp>
        <stp>BS_NUM_OF_TSY_SH</stp>
        <stp>FQ1 2017</stp>
        <stp>FQ1 2017</stp>
        <stp>[FA1_m42y3cpi.xlsx]Bal Sheet - Standardized!R80C37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0" s="3"/>
      </tp>
      <tp>
        <v>3448</v>
        <stp/>
        <stp>##V3_BDHV12</stp>
        <stp>XOM US Equity</stp>
        <stp>IS_SG&amp;A_EXPENSE</stp>
        <stp>FQ1 2009</stp>
        <stp>FQ1 2009</stp>
        <stp>[FA1_m42y3cpi.xlsx]Income - Adjusted!R14C5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4" s="2"/>
      </tp>
      <tp>
        <v>3887</v>
        <stp/>
        <stp>##V3_BDHV12</stp>
        <stp>XOM US Equity</stp>
        <stp>IS_SG&amp;A_EXPENSE</stp>
        <stp>FQ3 2009</stp>
        <stp>FQ3 2009</stp>
        <stp>[FA1_m42y3cpi.xlsx]Income - Adjusted!R14C7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4" s="2"/>
      </tp>
      <tp>
        <v>3519</v>
        <stp/>
        <stp>##V3_BDHV12</stp>
        <stp>XOM US Equity</stp>
        <stp>IS_SG&amp;A_EXPENSE</stp>
        <stp>FQ2 2009</stp>
        <stp>FQ2 2009</stp>
        <stp>[FA1_m42y3cpi.xlsx]Income - Adjusted!R14C6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4" s="2"/>
      </tp>
      <tp>
        <v>0</v>
        <stp/>
        <stp>##V3_BDHV12</stp>
        <stp>XOM US Equity</stp>
        <stp>CF_ACQUISITION_OF_INTANG_ASSETS</stp>
        <stp>FQ3 2016</stp>
        <stp>FQ3 2016</stp>
        <stp>[FA1_m42y3cpi.xlsx]Cash Flow - Standardized!R26C35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4"/>
      </tp>
      <tp>
        <v>0</v>
        <stp/>
        <stp>##V3_BDHV12</stp>
        <stp>XOM US Equity</stp>
        <stp>CF_ACQUISITION_OF_INTANG_ASSETS</stp>
        <stp>FQ2 2014</stp>
        <stp>FQ2 2014</stp>
        <stp>[FA1_m42y3cpi.xlsx]Cash Flow - Standardized!R26C26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4"/>
      </tp>
      <tp>
        <v>0</v>
        <stp/>
        <stp>##V3_BDHV12</stp>
        <stp>XOM US Equity</stp>
        <stp>CF_ACQUISITION_OF_INTANG_ASSETS</stp>
        <stp>FQ4 2017</stp>
        <stp>FQ4 2017</stp>
        <stp>[FA1_m42y3cpi.xlsx]Cash Flow - Standardized!R26C40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4"/>
      </tp>
      <tp>
        <v>0</v>
        <stp/>
        <stp>##V3_BDHV12</stp>
        <stp>XOM US Equity</stp>
        <stp>CF_ACQUISITION_OF_INTANG_ASSETS</stp>
        <stp>FQ2 2013</stp>
        <stp>FQ2 2013</stp>
        <stp>[FA1_m42y3cpi.xlsx]Cash Flow - Standardized!R26C22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4"/>
      </tp>
      <tp>
        <v>0</v>
        <stp/>
        <stp>##V3_BDHV12</stp>
        <stp>XOM US Equity</stp>
        <stp>CF_ACQUISITION_OF_INTANG_ASSETS</stp>
        <stp>FQ1 2011</stp>
        <stp>FQ1 2011</stp>
        <stp>[FA1_m42y3cpi.xlsx]Cash Flow - Standardized!R26C13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4"/>
      </tp>
      <tp>
        <v>0</v>
        <stp/>
        <stp>##V3_BDHV12</stp>
        <stp>XOM US Equity</stp>
        <stp>CF_ACQUISITION_OF_INTANG_ASSETS</stp>
        <stp>FQ1 2012</stp>
        <stp>FQ1 2012</stp>
        <stp>[FA1_m42y3cpi.xlsx]Cash Flow - Standardized!R26C17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4"/>
      </tp>
      <tp>
        <v>0</v>
        <stp/>
        <stp>##V3_BDHV12</stp>
        <stp>XOM US Equity</stp>
        <stp>CF_ACQUISITION_OF_INTANG_ASSETS</stp>
        <stp>FQ3 2015</stp>
        <stp>FQ3 2015</stp>
        <stp>[FA1_m42y3cpi.xlsx]Cash Flow - Standardized!R26C31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4"/>
      </tp>
      <tp>
        <v>0</v>
        <stp/>
        <stp>##V3_BDHV12</stp>
        <stp>XOM US Equity</stp>
        <stp>CF_TAX_BENEFIT_FRM_STOCK_OPTIONS</stp>
        <stp>FQ1 2009</stp>
        <stp>FQ1 2009</stp>
        <stp>[FA1_m42y3cpi.xlsx]Cash Flow - Standardized!R62C5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2" s="4"/>
      </tp>
      <tp>
        <v>24</v>
        <stp/>
        <stp>##V3_BDHV12</stp>
        <stp>XOM US Equity</stp>
        <stp>CF_TAX_BENEFIT_FRM_STOCK_OPTIONS</stp>
        <stp>FQ3 2009</stp>
        <stp>FQ3 2009</stp>
        <stp>[FA1_m42y3cpi.xlsx]Cash Flow - Standardized!R62C7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2" s="4"/>
      </tp>
      <tp t="s">
        <v>—</v>
        <stp/>
        <stp>##V3_BDHV12</stp>
        <stp>XOM US Equity</stp>
        <stp>CF_TAX_BENEFIT_FRM_STOCK_OPTIONS</stp>
        <stp>FQ2 2009</stp>
        <stp>FQ2 2009</stp>
        <stp>[FA1_m42y3cpi.xlsx]Cash Flow - Standardized!R62C6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2" s="4"/>
      </tp>
      <tp>
        <v>12</v>
        <stp/>
        <stp>##V3_BDHV12</stp>
        <stp>XOM US Equity</stp>
        <stp>CF_TAX_BENEFIT_FRM_STOCK_OPTIONS</stp>
        <stp>FQ3 2008</stp>
        <stp>FQ3 2008</stp>
        <stp>[FA1_m42y3cpi.xlsx]Cash Flow - Standardized!R62C3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2" s="4"/>
      </tp>
      <tp>
        <v>171</v>
        <stp/>
        <stp>##V3_BDHV12</stp>
        <stp>XOM US Equity</stp>
        <stp>CF_TAX_BENEFIT_FRM_STOCK_OPTIONS</stp>
        <stp>FQ4 2008</stp>
        <stp>FQ4 2008</stp>
        <stp>[FA1_m42y3cpi.xlsx]Cash Flow - Standardized!R62C4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2" s="4"/>
      </tp>
      <tp>
        <v>1.55</v>
        <stp/>
        <stp>##V3_BDHV12</stp>
        <stp>XOM US Equity</stp>
        <stp>IS_BASIC_EPS_CONT_OPS</stp>
        <stp>FQ2 2013</stp>
        <stp>FQ2 2013</stp>
        <stp>[FA1_m42y3cpi.xlsx]Per Share!R16C22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6" s="5"/>
      </tp>
      <tp>
        <v>1.4481999999999999</v>
        <stp/>
        <stp>##V3_BDHV12</stp>
        <stp>XOM US Equity</stp>
        <stp>IS_BASIC_EPS_CONT_OPS</stp>
        <stp>FQ3 2010</stp>
        <stp>FQ3 2010</stp>
        <stp>[FA1_m42y3cpi.xlsx]Per Share!R16C11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6" s="5"/>
      </tp>
      <tp>
        <v>2.1</v>
        <stp/>
        <stp>##V3_BDHV12</stp>
        <stp>XOM US Equity</stp>
        <stp>IS_BASIC_EPS_CONT_OPS</stp>
        <stp>FQ1 2014</stp>
        <stp>FQ1 2014</stp>
        <stp>[FA1_m42y3cpi.xlsx]Per Share!R16C25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6" s="5"/>
      </tp>
      <tp>
        <v>158</v>
        <stp/>
        <stp>##V3_BDHV12</stp>
        <stp>XOM US Equity</stp>
        <stp>CF_TAX_BENEFIT_FRM_STOCK_OPTIONS</stp>
        <stp>FQ4 2009</stp>
        <stp>FQ4 2009</stp>
        <stp>[FA1_m42y3cpi.xlsx]Cash Flow - Standardized!R62C8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2" s="4"/>
      </tp>
      <tp>
        <v>0</v>
        <stp/>
        <stp>##V3_BDHV12</stp>
        <stp>XOM US Equity</stp>
        <stp>CF_TAX_BENEFIT_FRM_STOCK_OPTIONS</stp>
        <stp>FQ1 2010</stp>
        <stp>FQ1 2010</stp>
        <stp>[FA1_m42y3cpi.xlsx]Cash Flow - Standardized!R62C9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2" s="4"/>
      </tp>
      <tp>
        <v>71.510000000000005</v>
        <stp/>
        <stp>##V3_BDHV12</stp>
        <stp>XOM US Equity</stp>
        <stp>PX_LOW</stp>
        <stp>FQ3 2008</stp>
        <stp>FQ3 2008</stp>
        <stp>[FA1_m42y3cpi.xlsx]Stock Value!R10C3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0" s="6"/>
      </tp>
      <tp>
        <v>7535</v>
        <stp/>
        <stp>##V3_BDHV12</stp>
        <stp>XOM US Equity</stp>
        <stp>CF_CASH_FROM_OPER</stp>
        <stp>FQ3 2017</stp>
        <stp>FQ3 2017</stp>
        <stp>[FA1_m42y3cpi.xlsx]Cash Flow - Standardized!R17C39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7" s="4"/>
      </tp>
      <tp>
        <v>10202</v>
        <stp/>
        <stp>##V3_BDHV12</stp>
        <stp>XOM US Equity</stp>
        <stp>CF_CASH_FROM_OPER</stp>
        <stp>FQ2 2014</stp>
        <stp>FQ2 2014</stp>
        <stp>[FA1_m42y3cpi.xlsx]Cash Flow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4"/>
      </tp>
      <tp>
        <v>5355</v>
        <stp/>
        <stp>##V3_BDHV12</stp>
        <stp>XOM US Equity</stp>
        <stp>CF_CASH_FROM_OPER</stp>
        <stp>FQ3 2016</stp>
        <stp>FQ3 2016</stp>
        <stp>[FA1_m42y3cpi.xlsx]Cash Flow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4"/>
      </tp>
      <tp>
        <v>7411</v>
        <stp/>
        <stp>##V3_BDHV12</stp>
        <stp>XOM US Equity</stp>
        <stp>CF_CASH_FROM_OPER</stp>
        <stp>FQ4 2017</stp>
        <stp>FQ4 2017</stp>
        <stp>[FA1_m42y3cpi.xlsx]Cash Flow - Standardized!R17C40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7" s="4"/>
      </tp>
      <tp>
        <v>16856</v>
        <stp/>
        <stp>##V3_BDHV12</stp>
        <stp>XOM US Equity</stp>
        <stp>CF_CASH_FROM_OPER</stp>
        <stp>FQ1 2011</stp>
        <stp>FQ1 2011</stp>
        <stp>[FA1_m42y3cpi.xlsx]Cash Flow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4"/>
      </tp>
      <tp>
        <v>7683</v>
        <stp/>
        <stp>##V3_BDHV12</stp>
        <stp>XOM US Equity</stp>
        <stp>CF_CASH_FROM_OPER</stp>
        <stp>FQ2 2013</stp>
        <stp>FQ2 2013</stp>
        <stp>[FA1_m42y3cpi.xlsx]Cash Flow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4"/>
      </tp>
      <tp>
        <v>19287</v>
        <stp/>
        <stp>##V3_BDHV12</stp>
        <stp>XOM US Equity</stp>
        <stp>CF_CASH_FROM_OPER</stp>
        <stp>FQ1 2012</stp>
        <stp>FQ1 2012</stp>
        <stp>[FA1_m42y3cpi.xlsx]Cash Flow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4"/>
      </tp>
      <tp>
        <v>9174</v>
        <stp/>
        <stp>##V3_BDHV12</stp>
        <stp>XOM US Equity</stp>
        <stp>CF_CASH_FROM_OPER</stp>
        <stp>FQ3 2015</stp>
        <stp>FQ3 2015</stp>
        <stp>[FA1_m42y3cpi.xlsx]Cash Flow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4"/>
      </tp>
      <tp t="s">
        <v>—</v>
        <stp/>
        <stp>##V3_BDHV12</stp>
        <stp>XOM US Equity</stp>
        <stp>IS_MERGER_ACQUISITION_EXPENSE</stp>
        <stp>FQ4 2009</stp>
        <stp>FQ4 2009</stp>
        <stp>[FA1_m42y3cpi.xlsx]Income - Adjusted!R26C8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2"/>
      </tp>
      <tp t="s">
        <v>—</v>
        <stp/>
        <stp>##V3_BDHV12</stp>
        <stp>XOM US Equity</stp>
        <stp>IS_MERGER_ACQUISITION_EXPENSE</stp>
        <stp>FQ4 2008</stp>
        <stp>FQ4 2008</stp>
        <stp>[FA1_m42y3cpi.xlsx]Income - Adjusted!R26C4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2"/>
      </tp>
      <tp>
        <v>200</v>
        <stp/>
        <stp>##V3_BDHV12</stp>
        <stp>XOM US Equity</stp>
        <stp>IS_NET_ABNORMAL_ITEMS</stp>
        <stp>FQ1 2010</stp>
        <stp>FQ1 2010</stp>
        <stp>[FA1_m42y3cpi.xlsx]Income - Adjusted!R46C9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2"/>
      </tp>
      <tp>
        <v>3468</v>
        <stp/>
        <stp>##V3_BDHV12</stp>
        <stp>XOM US Equity</stp>
        <stp>IS_SG&amp;A_EXPENSE</stp>
        <stp>FQ3 2012</stp>
        <stp>FQ3 2012</stp>
        <stp>[FA1_m42y3cpi.xlsx]Income - Adjusted!R14C19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4" s="2"/>
      </tp>
      <tp>
        <v>0.8508</v>
        <stp/>
        <stp>##V3_BDHV12</stp>
        <stp>XOM US Equity</stp>
        <stp>CUR_RATIO</stp>
        <stp>FQ3 2017</stp>
        <stp>FQ3 2017</stp>
        <stp>[FA1_m42y3cpi.xlsx]Bal Sheet - Standardized!R89C39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9" s="3"/>
      </tp>
      <tp>
        <v>0.82789999999999997</v>
        <stp/>
        <stp>##V3_BDHV12</stp>
        <stp>XOM US Equity</stp>
        <stp>CUR_RATIO</stp>
        <stp>FQ2 2017</stp>
        <stp>FQ2 2017</stp>
        <stp>[FA1_m42y3cpi.xlsx]Bal Sheet - Standardized!R89C38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9" s="3"/>
      </tp>
      <tp>
        <v>0.90569999999999995</v>
        <stp/>
        <stp>##V3_BDHV12</stp>
        <stp>XOM US Equity</stp>
        <stp>CUR_RATIO</stp>
        <stp>FQ1 2015</stp>
        <stp>FQ1 2015</stp>
        <stp>[FA1_m42y3cpi.xlsx]Bal Sheet - Standardized!R89C29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9" s="3"/>
      </tp>
      <tp>
        <v>2263</v>
        <stp/>
        <stp>##V3_BDHV12</stp>
        <stp>XOM US Equity</stp>
        <stp>EBITA</stp>
        <stp>FQ2 2017</stp>
        <stp>FQ2 2017</stp>
        <stp>[FA1_m42y3cpi.xlsx]Income - Adjusted!R63C38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63" s="2"/>
      </tp>
      <tp>
        <v>0</v>
        <stp/>
        <stp>##V3_BDHV12</stp>
        <stp>XOM US Equity</stp>
        <stp>OTHER_CURRENT_LIABS_DETAILED</stp>
        <stp>FQ4 2012</stp>
        <stp>FQ4 2012</stp>
        <stp>[FA1_m42y3cpi.xlsx]Bal Sheet - Standardized!R54C20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4" s="3"/>
      </tp>
      <tp>
        <v>9250.65</v>
        <stp/>
        <stp>##V3_BDHV12</stp>
        <stp>XOM US Equity</stp>
        <stp>EARN_FOR_COMMON</stp>
        <stp>FQ4 2010</stp>
        <stp>FQ4 2010</stp>
        <stp>[FA1_m42y3cpi.xlsx]Income - Adjusted!R45C12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5" s="2"/>
      </tp>
      <tp>
        <v>9350</v>
        <stp/>
        <stp>##V3_BDHV12</stp>
        <stp>XOM US Equity</stp>
        <stp>EARN_FOR_COMMON</stp>
        <stp>FQ4 2012</stp>
        <stp>FQ4 2012</stp>
        <stp>[FA1_m42y3cpi.xlsx]Income - Adjusted!R45C20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5" s="2"/>
      </tp>
      <tp>
        <v>8780</v>
        <stp/>
        <stp>##V3_BDHV12</stp>
        <stp>XOM US Equity</stp>
        <stp>EARN_FOR_COMMON</stp>
        <stp>FQ2 2014</stp>
        <stp>FQ2 2014</stp>
        <stp>[FA1_m42y3cpi.xlsx]Income - Adjusted!R45C26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5" s="2"/>
      </tp>
      <tp>
        <v>1700</v>
        <stp/>
        <stp>##V3_BDHV12</stp>
        <stp>XOM US Equity</stp>
        <stp>EARN_FOR_COMMON</stp>
        <stp>FQ2 2016</stp>
        <stp>FQ2 2016</stp>
        <stp>[FA1_m42y3cpi.xlsx]Income - Adjusted!R45C34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5" s="2"/>
      </tp>
      <tp>
        <v>10650</v>
        <stp/>
        <stp>##V3_BDHV12</stp>
        <stp>XOM US Equity</stp>
        <stp>EARN_FOR_COMMON</stp>
        <stp>FQ1 2011</stp>
        <stp>FQ1 2011</stp>
        <stp>[FA1_m42y3cpi.xlsx]Income - Adjusted!R45C13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5" s="2"/>
      </tp>
      <tp>
        <v>9500</v>
        <stp/>
        <stp>##V3_BDHV12</stp>
        <stp>XOM US Equity</stp>
        <stp>EARN_FOR_COMMON</stp>
        <stp>FQ1 2013</stp>
        <stp>FQ1 2013</stp>
        <stp>[FA1_m42y3cpi.xlsx]Income - Adjusted!R45C21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5" s="2"/>
      </tp>
      <tp>
        <v>-599</v>
        <stp/>
        <stp>##V3_BDHV12</stp>
        <stp>XOM US Equity</stp>
        <stp>IS_OTHER_NON_OPERATING_INC_LOSS</stp>
        <stp>FQ1 2015</stp>
        <stp>FQ1 2015</stp>
        <stp>[FA1_m42y3cpi.xlsx]Income - Adjusted!R23C29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3" s="2"/>
      </tp>
      <tp>
        <v>-716</v>
        <stp/>
        <stp>##V3_BDHV12</stp>
        <stp>XOM US Equity</stp>
        <stp>IS_OTHER_NON_OPERATING_INC_LOSS</stp>
        <stp>FQ4 2014</stp>
        <stp>FQ4 2014</stp>
        <stp>[FA1_m42y3cpi.xlsx]Income - Adjusted!R23C28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3" s="2"/>
      </tp>
      <tp>
        <v>4458</v>
        <stp/>
        <stp>##V3_BDHV12</stp>
        <stp>XOM US Equity</stp>
        <stp>IS_DEPR_EXP</stp>
        <stp>FQ4 2014</stp>
        <stp>FQ4 2014</stp>
        <stp>[FA1_m42y3cpi.xlsx]Income - Adjusted!R71C28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1" s="2"/>
      </tp>
      <tp>
        <v>0</v>
        <stp/>
        <stp>##V3_BDHV12</stp>
        <stp>XOM US Equity</stp>
        <stp>OTHER_CURRENT_LIABS_DETAILED</stp>
        <stp>FQ4 2013</stp>
        <stp>FQ4 2013</stp>
        <stp>[FA1_m42y3cpi.xlsx]Bal Sheet - Standardized!R54C24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4" s="3"/>
      </tp>
      <tp>
        <v>4755</v>
        <stp/>
        <stp>##V3_BDHV12</stp>
        <stp>XOM US Equity</stp>
        <stp>IS_DEPR_EXP</stp>
        <stp>FQ4 2015</stp>
        <stp>FQ4 2015</stp>
        <stp>[FA1_m42y3cpi.xlsx]Income - Adjusted!R71C32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1" s="2"/>
      </tp>
      <tp>
        <v>3881</v>
        <stp/>
        <stp>##V3_BDHV12</stp>
        <stp>XOM US Equity</stp>
        <stp>IS_DEPR_EXP</stp>
        <stp>FQ2 2011</stp>
        <stp>FQ2 2011</stp>
        <stp>[FA1_m42y3cpi.xlsx]Income - Adjusted!R71C14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1" s="2"/>
      </tp>
      <tp>
        <v>3842</v>
        <stp/>
        <stp>##V3_BDHV12</stp>
        <stp>XOM US Equity</stp>
        <stp>IS_DEPR_EXP</stp>
        <stp>FQ1 2012</stp>
        <stp>FQ1 2012</stp>
        <stp>[FA1_m42y3cpi.xlsx]Income - Adjusted!R71C17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1" s="2"/>
      </tp>
      <tp>
        <v>84.76</v>
        <stp/>
        <stp>##V3_BDHV12</stp>
        <stp>XOM US Equity</stp>
        <stp>PX_LAST</stp>
        <stp>FQ4 2011</stp>
        <stp>FQ4 2011</stp>
        <stp>[FA1_m42y3cpi.xlsx]Stock Value!R6C16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6"/>
      </tp>
      <tp>
        <v>90.26</v>
        <stp/>
        <stp>##V3_BDHV12</stp>
        <stp>XOM US Equity</stp>
        <stp>PX_LAST</stp>
        <stp>FQ4 2016</stp>
        <stp>FQ4 2016</stp>
        <stp>[FA1_m42y3cpi.xlsx]Stock Value!R6C36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6"/>
      </tp>
      <tp>
        <v>0</v>
        <stp/>
        <stp>##V3_BDHV12</stp>
        <stp>XOM US Equity</stp>
        <stp>OTHER_CURRENT_LIABS_DETAILED</stp>
        <stp>FQ2 2018</stp>
        <stp>FQ2 2018</stp>
        <stp>[FA1_m42y3cpi.xlsx]Bal Sheet - Standardized!R54C42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4" s="3"/>
      </tp>
      <tp>
        <v>0</v>
        <stp/>
        <stp>##V3_BDHV12</stp>
        <stp>XOM US Equity</stp>
        <stp>OTHER_CURRENT_LIABS_DETAILED</stp>
        <stp>FQ4 2014</stp>
        <stp>FQ4 2014</stp>
        <stp>[FA1_m42y3cpi.xlsx]Bal Sheet - Standardized!R54C28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4" s="3"/>
      </tp>
      <tp>
        <v>100.68</v>
        <stp/>
        <stp>##V3_BDHV12</stp>
        <stp>XOM US Equity</stp>
        <stp>PX_LAST</stp>
        <stp>FQ2 2014</stp>
        <stp>FQ2 2014</stp>
        <stp>[FA1_m42y3cpi.xlsx]Stock Value!R6C26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6"/>
      </tp>
      <tp>
        <v>3844</v>
        <stp/>
        <stp>##V3_BDHV12</stp>
        <stp>XOM US Equity</stp>
        <stp>IS_DEPR_EXP</stp>
        <stp>FQ3 2010</stp>
        <stp>FQ3 2010</stp>
        <stp>[FA1_m42y3cpi.xlsx]Income - Adjusted!R71C11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1" s="2"/>
      </tp>
      <tp t="s">
        <v>—</v>
        <stp/>
        <stp>##V3_BDHV12</stp>
        <stp>XOM US Equity</stp>
        <stp>IS_NET_INTEREST_EXPENSE</stp>
        <stp>FQ3 2016</stp>
        <stp>FQ3 2016</stp>
        <stp>[FA1_m42y3cpi.xlsx]Income - Adjusted!R18C35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8" s="2"/>
      </tp>
      <tp t="s">
        <v>—</v>
        <stp/>
        <stp>##V3_BDHV12</stp>
        <stp>XOM US Equity</stp>
        <stp>IS_NET_INTEREST_EXPENSE</stp>
        <stp>FQ3 2014</stp>
        <stp>FQ3 2014</stp>
        <stp>[FA1_m42y3cpi.xlsx]Income - Adjusted!R18C27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8" s="2"/>
      </tp>
      <tp>
        <v>4287</v>
        <stp/>
        <stp>##V3_BDHV12</stp>
        <stp>XOM US Equity</stp>
        <stp>IS_DEPR_EXP</stp>
        <stp>FQ3 2013</stp>
        <stp>FQ3 2013</stp>
        <stp>[FA1_m42y3cpi.xlsx]Income - Adjusted!R71C23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1" s="2"/>
      </tp>
      <tp t="s">
        <v>—</v>
        <stp/>
        <stp>##V3_BDHV12</stp>
        <stp>XOM US Equity</stp>
        <stp>IS_SALE_OF_BUSINESS</stp>
        <stp>FQ4 2016</stp>
        <stp>FQ4 2016</stp>
        <stp>[FA1_m42y3cpi.xlsx]Income - Adjusted!R29C36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2"/>
      </tp>
      <tp t="s">
        <v>—</v>
        <stp/>
        <stp>##V3_BDHV12</stp>
        <stp>XOM US Equity</stp>
        <stp>IS_SALE_OF_BUSINESS</stp>
        <stp>FQ1 2011</stp>
        <stp>FQ1 2011</stp>
        <stp>[FA1_m42y3cpi.xlsx]Income - Adjusted!R29C13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2"/>
      </tp>
      <tp>
        <v>-10000</v>
        <stp/>
        <stp>##V3_BDHV12</stp>
        <stp>XOM US Equity</stp>
        <stp>IS_SALE_OF_BUSINESS</stp>
        <stp>FQ2 2012</stp>
        <stp>FQ2 2012</stp>
        <stp>[FA1_m42y3cpi.xlsx]Income - Adjusted!R29C18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2"/>
      </tp>
      <tp>
        <v>3.9836999999999998</v>
        <stp/>
        <stp>##V3_BDHV12</stp>
        <stp>XOM US Equity</stp>
        <stp>NET_DEBT_TO_SHRHLDR_EQTY</stp>
        <stp>FQ2 2011</stp>
        <stp>FQ2 2011</stp>
        <stp>[FA1_m42y3cpi.xlsx]Bal Sheet - Standardized!R87C14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7" s="3"/>
      </tp>
      <tp>
        <v>3.5385999999999997</v>
        <stp/>
        <stp>##V3_BDHV12</stp>
        <stp>XOM US Equity</stp>
        <stp>NET_DEBT_TO_SHRHLDR_EQTY</stp>
        <stp>FQ3 2011</stp>
        <stp>FQ3 2011</stp>
        <stp>[FA1_m42y3cpi.xlsx]Bal Sheet - Standardized!R87C15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7" s="3"/>
      </tp>
      <tp>
        <v>16.478999999999999</v>
        <stp/>
        <stp>##V3_BDHV12</stp>
        <stp>XOM US Equity</stp>
        <stp>NET_DEBT_TO_SHRHLDR_EQTY</stp>
        <stp>FQ2 2015</stp>
        <stp>FQ2 2015</stp>
        <stp>[FA1_m42y3cpi.xlsx]Bal Sheet - Standardized!R87C30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7" s="3"/>
      </tp>
      <tp>
        <v>16.973600000000001</v>
        <stp/>
        <stp>##V3_BDHV12</stp>
        <stp>XOM US Equity</stp>
        <stp>NET_DEBT_TO_SHRHLDR_EQTY</stp>
        <stp>FQ3 2015</stp>
        <stp>FQ3 2015</stp>
        <stp>[FA1_m42y3cpi.xlsx]Bal Sheet - Standardized!R87C31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7" s="3"/>
      </tp>
      <tp>
        <v>1.27</v>
        <stp/>
        <stp>##V3_BDHV12</stp>
        <stp>XOM US Equity</stp>
        <stp>IS_EARN_BEF_XO_ITEMS_PER_SH</stp>
        <stp>FQ4 2009</stp>
        <stp>FQ4 2009</stp>
        <stp>[FA1_m42y3cpi.xlsx]Per Share!R15C8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5" s="5"/>
      </tp>
      <tp>
        <v>4716</v>
        <stp/>
        <stp>##V3_BDHV12</stp>
        <stp>XOM US Equity</stp>
        <stp>IS_AVG_NUM_SH_FOR_EPS</stp>
        <stp>FQ2 2010</stp>
        <stp>FQ2 2010</stp>
        <stp>[FA1_m42y3cpi.xlsx]Income - Adjusted!R49C10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9" s="2"/>
      </tp>
      <tp>
        <v>4395</v>
        <stp/>
        <stp>##V3_BDHV12</stp>
        <stp>XOM US Equity</stp>
        <stp>IS_AVG_NUM_SH_FOR_EPS</stp>
        <stp>FQ3 2013</stp>
        <stp>FQ3 2013</stp>
        <stp>[FA1_m42y3cpi.xlsx]Income - Adjusted!R49C23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9" s="2"/>
      </tp>
      <tp>
        <v>4223</v>
        <stp/>
        <stp>##V3_BDHV12</stp>
        <stp>XOM US Equity</stp>
        <stp>IS_AVG_NUM_SH_FOR_EPS</stp>
        <stp>FQ1 2017</stp>
        <stp>FQ1 2017</stp>
        <stp>[FA1_m42y3cpi.xlsx]Income - Adjusted!R49C37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9" s="2"/>
      </tp>
      <tp>
        <v>4176</v>
        <stp/>
        <stp>##V3_BDHV12</stp>
        <stp>XOM US Equity</stp>
        <stp>IS_AVG_NUM_SH_FOR_EPS</stp>
        <stp>FQ4 2016</stp>
        <stp>FQ4 2016</stp>
        <stp>[FA1_m42y3cpi.xlsx]Income - Adjusted!R49C36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9" s="2"/>
      </tp>
      <tp>
        <v>0</v>
        <stp/>
        <stp>##V3_BDHV12</stp>
        <stp>XOM US Equity</stp>
        <stp>CF_ACQUISITION_OF_INTANG_ASSETS</stp>
        <stp>FQ2 2017</stp>
        <stp>FQ2 2017</stp>
        <stp>[FA1_m42y3cpi.xlsx]Cash Flow - Standardized!R26C38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4"/>
      </tp>
      <tp>
        <v>0.56999999999999995</v>
        <stp/>
        <stp>##V3_BDHV12</stp>
        <stp>XOM US Equity</stp>
        <stp>EQY_DPS</stp>
        <stp>FQ3 2012</stp>
        <stp>FQ3 2012</stp>
        <stp>[FA1_m42y3cpi.xlsx]Per Share!R20C19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0" s="5"/>
      </tp>
      <tp>
        <v>3725</v>
        <stp/>
        <stp>##V3_BDHV12</stp>
        <stp>XOM US Equity</stp>
        <stp>BS_NUM_OF_TSY_SH</stp>
        <stp>FQ1 2014</stp>
        <stp>FQ1 2014</stp>
        <stp>[FA1_m42y3cpi.xlsx]Bal Sheet - Standardized!R80C25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0" s="3"/>
      </tp>
      <tp>
        <v>3784</v>
        <stp/>
        <stp>##V3_BDHV12</stp>
        <stp>XOM US Equity</stp>
        <stp>BS_NUM_OF_TSY_SH</stp>
        <stp>FQ3 2014</stp>
        <stp>FQ3 2014</stp>
        <stp>[FA1_m42y3cpi.xlsx]Bal Sheet - Standardized!R80C27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0" s="3"/>
      </tp>
      <tp>
        <v>3754</v>
        <stp/>
        <stp>##V3_BDHV12</stp>
        <stp>XOM US Equity</stp>
        <stp>BS_NUM_OF_TSY_SH</stp>
        <stp>FQ2 2014</stp>
        <stp>FQ2 2014</stp>
        <stp>[FA1_m42y3cpi.xlsx]Bal Sheet - Standardized!R80C26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0" s="3"/>
      </tp>
      <tp>
        <v>3872</v>
        <stp/>
        <stp>##V3_BDHV12</stp>
        <stp>XOM US Equity</stp>
        <stp>BS_NUM_OF_TSY_SH</stp>
        <stp>FQ2 2016</stp>
        <stp>FQ2 2016</stp>
        <stp>[FA1_m42y3cpi.xlsx]Bal Sheet - Standardized!R80C34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0" s="3"/>
      </tp>
      <tp>
        <v>3872</v>
        <stp/>
        <stp>##V3_BDHV12</stp>
        <stp>XOM US Equity</stp>
        <stp>BS_NUM_OF_TSY_SH</stp>
        <stp>FQ3 2016</stp>
        <stp>FQ3 2016</stp>
        <stp>[FA1_m42y3cpi.xlsx]Bal Sheet - Standardized!R80C35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0" s="3"/>
      </tp>
      <tp>
        <v>0</v>
        <stp/>
        <stp>##V3_BDHV12</stp>
        <stp>XOM US Equity</stp>
        <stp>CF_ACQUISITION_OF_INTANG_ASSETS</stp>
        <stp>FQ2 2016</stp>
        <stp>FQ2 2016</stp>
        <stp>[FA1_m42y3cpi.xlsx]Cash Flow - Standardized!R26C34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4"/>
      </tp>
      <tp>
        <v>0</v>
        <stp/>
        <stp>##V3_BDHV12</stp>
        <stp>XOM US Equity</stp>
        <stp>CF_ACQUISITION_OF_INTANG_ASSETS</stp>
        <stp>FQ3 2014</stp>
        <stp>FQ3 2014</stp>
        <stp>[FA1_m42y3cpi.xlsx]Cash Flow - Standardized!R26C27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4"/>
      </tp>
      <tp>
        <v>0</v>
        <stp/>
        <stp>##V3_BDHV12</stp>
        <stp>XOM US Equity</stp>
        <stp>CF_ACQUISITION_OF_INTANG_ASSETS</stp>
        <stp>FQ3 2013</stp>
        <stp>FQ3 2013</stp>
        <stp>[FA1_m42y3cpi.xlsx]Cash Flow - Standardized!R26C23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4"/>
      </tp>
      <tp>
        <v>0</v>
        <stp/>
        <stp>##V3_BDHV12</stp>
        <stp>XOM US Equity</stp>
        <stp>CF_ACQUISITION_OF_INTANG_ASSETS</stp>
        <stp>FQ2 2015</stp>
        <stp>FQ2 2015</stp>
        <stp>[FA1_m42y3cpi.xlsx]Cash Flow - Standardized!R26C30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4"/>
      </tp>
      <tp>
        <v>1.6899</v>
        <stp/>
        <stp>##V3_BDHV12</stp>
        <stp>XOM US Equity</stp>
        <stp>IS_BASIC_EPS_CONT_OPS</stp>
        <stp>FQ2 2010</stp>
        <stp>FQ2 2010</stp>
        <stp>[FA1_m42y3cpi.xlsx]Per Share!R16C10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6" s="5"/>
      </tp>
      <tp>
        <v>1.79</v>
        <stp/>
        <stp>##V3_BDHV12</stp>
        <stp>XOM US Equity</stp>
        <stp>IS_BASIC_EPS_CONT_OPS</stp>
        <stp>FQ3 2013</stp>
        <stp>FQ3 2013</stp>
        <stp>[FA1_m42y3cpi.xlsx]Per Share!R16C23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6" s="5"/>
      </tp>
      <tp>
        <v>0.95</v>
        <stp/>
        <stp>##V3_BDHV12</stp>
        <stp>XOM US Equity</stp>
        <stp>IS_BASIC_EPS_CONT_OPS</stp>
        <stp>FQ1 2017</stp>
        <stp>FQ1 2017</stp>
        <stp>[FA1_m42y3cpi.xlsx]Per Share!R16C37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6" s="5"/>
      </tp>
      <tp>
        <v>0.88770000000000004</v>
        <stp/>
        <stp>##V3_BDHV12</stp>
        <stp>XOM US Equity</stp>
        <stp>IS_BASIC_EPS_CONT_OPS</stp>
        <stp>FQ4 2016</stp>
        <stp>FQ4 2016</stp>
        <stp>[FA1_m42y3cpi.xlsx]Per Share!R16C36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6" s="5"/>
      </tp>
      <tp>
        <v>6947</v>
        <stp/>
        <stp>##V3_BDHV12</stp>
        <stp>XOM US Equity</stp>
        <stp>CF_CASH_FROM_OPER</stp>
        <stp>FQ2 2017</stp>
        <stp>FQ2 2017</stp>
        <stp>[FA1_m42y3cpi.xlsx]Cash Flow - Standardized!R17C38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7" s="4"/>
      </tp>
      <tp>
        <v>12396</v>
        <stp/>
        <stp>##V3_BDHV12</stp>
        <stp>XOM US Equity</stp>
        <stp>CF_CASH_FROM_OPER</stp>
        <stp>FQ3 2014</stp>
        <stp>FQ3 2014</stp>
        <stp>[FA1_m42y3cpi.xlsx]Cash Flow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4"/>
      </tp>
      <tp>
        <v>4519</v>
        <stp/>
        <stp>##V3_BDHV12</stp>
        <stp>XOM US Equity</stp>
        <stp>CF_CASH_FROM_OPER</stp>
        <stp>FQ2 2016</stp>
        <stp>FQ2 2016</stp>
        <stp>[FA1_m42y3cpi.xlsx]Cash Flow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4"/>
      </tp>
      <tp>
        <v>13431</v>
        <stp/>
        <stp>##V3_BDHV12</stp>
        <stp>XOM US Equity</stp>
        <stp>CF_CASH_FROM_OPER</stp>
        <stp>FQ3 2013</stp>
        <stp>FQ3 2013</stp>
        <stp>[FA1_m42y3cpi.xlsx]Cash Flow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4"/>
      </tp>
      <tp>
        <v>-0.41980000000000001</v>
        <stp/>
        <stp>##V3_BDHV12</stp>
        <stp>XOM US Equity</stp>
        <stp>FREE_CASH_FLOW_PER_SH</stp>
        <stp>FQ4 2015</stp>
        <stp>FQ4 2015</stp>
        <stp>[FA1_m42y3cpi.xlsx]Per Share!R23C32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3" s="5"/>
      </tp>
      <tp>
        <v>0.68149999999999999</v>
        <stp/>
        <stp>##V3_BDHV12</stp>
        <stp>XOM US Equity</stp>
        <stp>FREE_CASH_FLOW_PER_SH</stp>
        <stp>FQ4 2017</stp>
        <stp>FQ4 2017</stp>
        <stp>[FA1_m42y3cpi.xlsx]Per Share!R23C40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3" s="5"/>
      </tp>
      <tp>
        <v>0.44369999999999998</v>
        <stp/>
        <stp>##V3_BDHV12</stp>
        <stp>XOM US Equity</stp>
        <stp>FREE_CASH_FLOW_PER_SH</stp>
        <stp>FQ4 2011</stp>
        <stp>FQ4 2011</stp>
        <stp>[FA1_m42y3cpi.xlsx]Per Share!R23C16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3" s="5"/>
      </tp>
      <tp>
        <v>0.40860000000000002</v>
        <stp/>
        <stp>##V3_BDHV12</stp>
        <stp>XOM US Equity</stp>
        <stp>FREE_CASH_FLOW_PER_SH</stp>
        <stp>FQ4 2013</stp>
        <stp>FQ4 2013</stp>
        <stp>[FA1_m42y3cpi.xlsx]Per Share!R23C24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3" s="5"/>
      </tp>
      <tp>
        <v>8792</v>
        <stp/>
        <stp>##V3_BDHV12</stp>
        <stp>XOM US Equity</stp>
        <stp>CF_CASH_FROM_OPER</stp>
        <stp>FQ2 2015</stp>
        <stp>FQ2 2015</stp>
        <stp>[FA1_m42y3cpi.xlsx]Cash Flow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4"/>
      </tp>
      <tp t="s">
        <v>—</v>
        <stp/>
        <stp>##V3_BDHV12</stp>
        <stp>XOM US Equity</stp>
        <stp>BS_DERIVATIVE_&amp;_HEDGING_LIABS_ST</stp>
        <stp>FQ3 2009</stp>
        <stp>FQ3 2009</stp>
        <stp>[FA1_m42y3cpi.xlsx]Bal Sheet - Standardized!R52C7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2" s="3"/>
      </tp>
      <tp t="s">
        <v>—</v>
        <stp/>
        <stp>##V3_BDHV12</stp>
        <stp>XOM US Equity</stp>
        <stp>BS_DERIVATIVE_&amp;_HEDGING_LIABS_ST</stp>
        <stp>FQ2 2009</stp>
        <stp>FQ2 2009</stp>
        <stp>[FA1_m42y3cpi.xlsx]Bal Sheet - Standardized!R52C6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2" s="3"/>
      </tp>
      <tp t="s">
        <v>—</v>
        <stp/>
        <stp>##V3_BDHV12</stp>
        <stp>XOM US Equity</stp>
        <stp>BS_DERIVATIVE_&amp;_HEDGING_LIABS_ST</stp>
        <stp>FQ1 2009</stp>
        <stp>FQ1 2009</stp>
        <stp>[FA1_m42y3cpi.xlsx]Bal Sheet - Standardized!R52C5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2" s="3"/>
      </tp>
      <tp t="s">
        <v>—</v>
        <stp/>
        <stp>##V3_BDHV12</stp>
        <stp>XOM US Equity</stp>
        <stp>BS_DERIVATIVE_&amp;_HEDGING_LIABS_ST</stp>
        <stp>FQ4 2008</stp>
        <stp>FQ4 2008</stp>
        <stp>[FA1_m42y3cpi.xlsx]Bal Sheet - Standardized!R52C4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2" s="3"/>
      </tp>
      <tp>
        <v>0</v>
        <stp/>
        <stp>##V3_BDHV12</stp>
        <stp>XOM US Equity</stp>
        <stp>IS_NET_ABNORMAL_ITEMS</stp>
        <stp>FQ1 2009</stp>
        <stp>FQ1 2009</stp>
        <stp>[FA1_m42y3cpi.xlsx]Income - Adjusted!R46C5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2"/>
      </tp>
      <tp t="s">
        <v>—</v>
        <stp/>
        <stp>##V3_BDHV12</stp>
        <stp>XOM US Equity</stp>
        <stp>BS_DERIVATIVE_&amp;_HEDGING_LIABS_ST</stp>
        <stp>FQ3 2008</stp>
        <stp>FQ3 2008</stp>
        <stp>[FA1_m42y3cpi.xlsx]Bal Sheet - Standardized!R52C3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2" s="3"/>
      </tp>
      <tp>
        <v>2993</v>
        <stp/>
        <stp>##V3_BDHV12</stp>
        <stp>XOM US Equity</stp>
        <stp>IS_SG&amp;A_EXPENSE</stp>
        <stp>FQ2 2018</stp>
        <stp>FQ2 2018</stp>
        <stp>[FA1_m42y3cpi.xlsx]Income - Adjusted!R14C42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4" s="2"/>
      </tp>
      <tp>
        <v>3486</v>
        <stp/>
        <stp>##V3_BDHV12</stp>
        <stp>XOM US Equity</stp>
        <stp>IS_SG&amp;A_EXPENSE</stp>
        <stp>FQ2 2012</stp>
        <stp>FQ2 2012</stp>
        <stp>[FA1_m42y3cpi.xlsx]Income - Adjusted!R14C18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4" s="2"/>
      </tp>
      <tp t="s">
        <v>—</v>
        <stp/>
        <stp>##V3_BDHV12</stp>
        <stp>XOM US Equity</stp>
        <stp>NUM_OF_EMPLOYEES</stp>
        <stp>FQ3 2008</stp>
        <stp>FQ3 2008</stp>
        <stp>[FA1_m42y3cpi.xlsx]Bal Sheet - Standardized!R91C3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91" s="3"/>
      </tp>
      <tp t="s">
        <v>—</v>
        <stp/>
        <stp>##V3_BDHV12</stp>
        <stp>XOM US Equity</stp>
        <stp>BS_DERIVATIVE_&amp;_HEDGING_LIABS_ST</stp>
        <stp>FQ4 2009</stp>
        <stp>FQ4 2009</stp>
        <stp>[FA1_m42y3cpi.xlsx]Bal Sheet - Standardized!R52C8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2" s="3"/>
      </tp>
      <tp t="s">
        <v>—</v>
        <stp/>
        <stp>##V3_BDHV12</stp>
        <stp>XOM US Equity</stp>
        <stp>BS_DERIVATIVE_&amp;_HEDGING_LIABS_ST</stp>
        <stp>FQ1 2010</stp>
        <stp>FQ1 2010</stp>
        <stp>[FA1_m42y3cpi.xlsx]Bal Sheet - Standardized!R52C9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2" s="3"/>
      </tp>
      <tp>
        <v>3944</v>
        <stp/>
        <stp>##V3_BDHV12</stp>
        <stp>XOM US Equity</stp>
        <stp>EBITA</stp>
        <stp>FQ3 2017</stp>
        <stp>FQ3 2017</stp>
        <stp>[FA1_m42y3cpi.xlsx]Income - Adjusted!R63C39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63" s="2"/>
      </tp>
      <tp>
        <v>79900</v>
        <stp/>
        <stp>##V3_BDHV12</stp>
        <stp>XOM US Equity</stp>
        <stp>NUM_OF_EMPLOYEES</stp>
        <stp>FQ4 2008</stp>
        <stp>FQ4 2008</stp>
        <stp>[FA1_m42y3cpi.xlsx]Bal Sheet - Standardized!R91C4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91" s="3"/>
      </tp>
      <tp>
        <v>10680</v>
        <stp/>
        <stp>##V3_BDHV12</stp>
        <stp>XOM US Equity</stp>
        <stp>EARN_FOR_COMMON</stp>
        <stp>FQ2 2011</stp>
        <stp>FQ2 2011</stp>
        <stp>[FA1_m42y3cpi.xlsx]Income - Adjusted!R45C14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5" s="2"/>
      </tp>
      <tp>
        <v>4190</v>
        <stp/>
        <stp>##V3_BDHV12</stp>
        <stp>XOM US Equity</stp>
        <stp>EARN_FOR_COMMON</stp>
        <stp>FQ2 2015</stp>
        <stp>FQ2 2015</stp>
        <stp>[FA1_m42y3cpi.xlsx]Income - Adjusted!R45C30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5" s="2"/>
      </tp>
      <tp>
        <v>9450</v>
        <stp/>
        <stp>##V3_BDHV12</stp>
        <stp>XOM US Equity</stp>
        <stp>EARN_FOR_COMMON</stp>
        <stp>FQ1 2012</stp>
        <stp>FQ1 2012</stp>
        <stp>[FA1_m42y3cpi.xlsx]Income - Adjusted!R45C17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5" s="2"/>
      </tp>
      <tp>
        <v>1810</v>
        <stp/>
        <stp>##V3_BDHV12</stp>
        <stp>XOM US Equity</stp>
        <stp>EARN_FOR_COMMON</stp>
        <stp>FQ1 2016</stp>
        <stp>FQ1 2016</stp>
        <stp>[FA1_m42y3cpi.xlsx]Income - Adjusted!R45C33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5" s="2"/>
      </tp>
      <tp>
        <v>0</v>
        <stp/>
        <stp>##V3_BDHV12</stp>
        <stp>XOM US Equity</stp>
        <stp>OTHER_CURRENT_LIABS_DETAILED</stp>
        <stp>FQ2 2015</stp>
        <stp>FQ2 2015</stp>
        <stp>[FA1_m42y3cpi.xlsx]Bal Sheet - Standardized!R54C30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4" s="3"/>
      </tp>
      <tp>
        <v>-766</v>
        <stp/>
        <stp>##V3_BDHV12</stp>
        <stp>XOM US Equity</stp>
        <stp>IS_OTHER_NON_OPERATING_INC_LOSS</stp>
        <stp>FQ3 2012</stp>
        <stp>FQ3 2012</stp>
        <stp>[FA1_m42y3cpi.xlsx]Income - Adjusted!R23C19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3" s="2"/>
      </tp>
      <tp>
        <v>0</v>
        <stp/>
        <stp>##V3_BDHV12</stp>
        <stp>XOM US Equity</stp>
        <stp>OTHER_CURRENT_LIABS_DETAILED</stp>
        <stp>FQ2 2016</stp>
        <stp>FQ2 2016</stp>
        <stp>[FA1_m42y3cpi.xlsx]Bal Sheet - Standardized!R54C34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4" s="3"/>
      </tp>
      <tp>
        <v>0</v>
        <stp/>
        <stp>##V3_BDHV12</stp>
        <stp>XOM US Equity</stp>
        <stp>OTHER_CURRENT_LIABS_DETAILED</stp>
        <stp>FQ3 2014</stp>
        <stp>FQ3 2014</stp>
        <stp>[FA1_m42y3cpi.xlsx]Bal Sheet - Standardized!R54C27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4" s="3"/>
      </tp>
      <tp>
        <v>0</v>
        <stp/>
        <stp>##V3_BDHV12</stp>
        <stp>XOM US Equity</stp>
        <stp>OTHER_CURRENT_LIABS_DETAILED</stp>
        <stp>FQ3 2013</stp>
        <stp>FQ3 2013</stp>
        <stp>[FA1_m42y3cpi.xlsx]Bal Sheet - Standardized!R54C23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4" s="3"/>
      </tp>
      <tp>
        <v>4380</v>
        <stp/>
        <stp>##V3_BDHV12</stp>
        <stp>XOM US Equity</stp>
        <stp>IS_DEPR_EXP</stp>
        <stp>FQ4 2013</stp>
        <stp>FQ4 2013</stp>
        <stp>[FA1_m42y3cpi.xlsx]Income - Adjusted!R71C24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1" s="2"/>
      </tp>
      <tp>
        <v>0</v>
        <stp/>
        <stp>##V3_BDHV12</stp>
        <stp>XOM US Equity</stp>
        <stp>OTHER_CURRENT_LIABS_DETAILED</stp>
        <stp>FQ2 2017</stp>
        <stp>FQ2 2017</stp>
        <stp>[FA1_m42y3cpi.xlsx]Bal Sheet - Standardized!R54C38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4" s="3"/>
      </tp>
      <tp>
        <v>4542</v>
        <stp/>
        <stp>##V3_BDHV12</stp>
        <stp>XOM US Equity</stp>
        <stp>IS_DEPR_EXP</stp>
        <stp>FQ3 2015</stp>
        <stp>FQ3 2015</stp>
        <stp>[FA1_m42y3cpi.xlsx]Income - Adjusted!R71C31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1" s="2"/>
      </tp>
      <tp>
        <v>74.349999999999994</v>
        <stp/>
        <stp>##V3_BDHV12</stp>
        <stp>XOM US Equity</stp>
        <stp>PX_LAST</stp>
        <stp>FQ3 2015</stp>
        <stp>FQ3 2015</stp>
        <stp>[FA1_m42y3cpi.xlsx]Stock Value!R6C31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6"/>
      </tp>
      <tp>
        <v>61.79</v>
        <stp/>
        <stp>##V3_BDHV12</stp>
        <stp>XOM US Equity</stp>
        <stp>PX_LAST</stp>
        <stp>FQ3 2010</stp>
        <stp>FQ3 2010</stp>
        <stp>[FA1_m42y3cpi.xlsx]Stock Value!R6C11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6"/>
      </tp>
      <tp>
        <v>4300</v>
        <stp/>
        <stp>##V3_BDHV12</stp>
        <stp>XOM US Equity</stp>
        <stp>IS_DEPR_EXP</stp>
        <stp>FQ3 2014</stp>
        <stp>FQ3 2014</stp>
        <stp>[FA1_m42y3cpi.xlsx]Income - Adjusted!R71C27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1" s="2"/>
      </tp>
      <tp>
        <v>4270</v>
        <stp/>
        <stp>##V3_BDHV12</stp>
        <stp>XOM US Equity</stp>
        <stp>IS_DEPR_EXP</stp>
        <stp>FQ4 2010</stp>
        <stp>FQ4 2010</stp>
        <stp>[FA1_m42y3cpi.xlsx]Income - Adjusted!R71C12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1" s="2"/>
      </tp>
      <tp>
        <v>90.11</v>
        <stp/>
        <stp>##V3_BDHV12</stp>
        <stp>XOM US Equity</stp>
        <stp>PX_LAST</stp>
        <stp>FQ1 2013</stp>
        <stp>FQ1 2013</stp>
        <stp>[FA1_m42y3cpi.xlsx]Stock Value!R6C21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6"/>
      </tp>
      <tp>
        <v>74.61</v>
        <stp/>
        <stp>##V3_BDHV12</stp>
        <stp>XOM US Equity</stp>
        <stp>PX_LAST</stp>
        <stp>FQ1 2018</stp>
        <stp>FQ1 2018</stp>
        <stp>[FA1_m42y3cpi.xlsx]Stock Value!R6C41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" s="6"/>
      </tp>
      <tp t="s">
        <v>—</v>
        <stp/>
        <stp>##V3_BDHV12</stp>
        <stp>XOM US Equity</stp>
        <stp>IS_NET_INTEREST_EXPENSE</stp>
        <stp>FQ3 2015</stp>
        <stp>FQ3 2015</stp>
        <stp>[FA1_m42y3cpi.xlsx]Income - Adjusted!R18C31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8" s="2"/>
      </tp>
      <tp t="s">
        <v>—</v>
        <stp/>
        <stp>##V3_BDHV12</stp>
        <stp>XOM US Equity</stp>
        <stp>IS_NET_INTEREST_EXPENSE</stp>
        <stp>FQ3 2011</stp>
        <stp>FQ3 2011</stp>
        <stp>[FA1_m42y3cpi.xlsx]Income - Adjusted!R18C15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8" s="2"/>
      </tp>
      <tp>
        <v>4519</v>
        <stp/>
        <stp>##V3_BDHV12</stp>
        <stp>XOM US Equity</stp>
        <stp>IS_DEPR_EXP</stp>
        <stp>FQ1 2017</stp>
        <stp>FQ1 2017</stp>
        <stp>[FA1_m42y3cpi.xlsx]Income - Adjusted!R71C37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1" s="2"/>
      </tp>
      <tp t="s">
        <v>—</v>
        <stp/>
        <stp>##V3_BDHV12</stp>
        <stp>XOM US Equity</stp>
        <stp>IS_SALE_OF_BUSINESS</stp>
        <stp>FQ3 2016</stp>
        <stp>FQ3 2016</stp>
        <stp>[FA1_m42y3cpi.xlsx]Income - Adjusted!R29C35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2"/>
      </tp>
      <tp t="s">
        <v>—</v>
        <stp/>
        <stp>##V3_BDHV12</stp>
        <stp>XOM US Equity</stp>
        <stp>IS_SALE_OF_BUSINESS</stp>
        <stp>FQ1 2015</stp>
        <stp>FQ1 2015</stp>
        <stp>[FA1_m42y3cpi.xlsx]Income - Adjusted!R29C29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2"/>
      </tp>
      <tp t="s">
        <v>—</v>
        <stp/>
        <stp>##V3_BDHV12</stp>
        <stp>XOM US Equity</stp>
        <stp>IS_SALE_OF_BUSINESS</stp>
        <stp>FQ2 2017</stp>
        <stp>FQ2 2017</stp>
        <stp>[FA1_m42y3cpi.xlsx]Income - Adjusted!R29C38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9" s="2"/>
      </tp>
      <tp>
        <v>8.6204000000000001</v>
        <stp/>
        <stp>##V3_BDHV12</stp>
        <stp>XOM US Equity</stp>
        <stp>NET_DEBT_TO_SHRHLDR_EQTY</stp>
        <stp>FQ1 2014</stp>
        <stp>FQ1 2014</stp>
        <stp>[FA1_m42y3cpi.xlsx]Bal Sheet - Standardized!R87C25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7" s="3"/>
      </tp>
      <tp>
        <v>8.9985999999999997</v>
        <stp/>
        <stp>##V3_BDHV12</stp>
        <stp>XOM US Equity</stp>
        <stp>NET_DEBT_TO_SHRHLDR_EQTY</stp>
        <stp>FQ3 2014</stp>
        <stp>FQ3 2014</stp>
        <stp>[FA1_m42y3cpi.xlsx]Bal Sheet - Standardized!R87C27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7" s="3"/>
      </tp>
      <tp>
        <v>8.3356999999999992</v>
        <stp/>
        <stp>##V3_BDHV12</stp>
        <stp>XOM US Equity</stp>
        <stp>NET_DEBT_TO_SHRHLDR_EQTY</stp>
        <stp>FQ2 2014</stp>
        <stp>FQ2 2014</stp>
        <stp>[FA1_m42y3cpi.xlsx]Bal Sheet - Standardized!R87C26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7" s="3"/>
      </tp>
      <tp>
        <v>22.678699999999999</v>
        <stp/>
        <stp>##V3_BDHV12</stp>
        <stp>XOM US Equity</stp>
        <stp>NET_DEBT_TO_SHRHLDR_EQTY</stp>
        <stp>FQ2 2016</stp>
        <stp>FQ2 2016</stp>
        <stp>[FA1_m42y3cpi.xlsx]Bal Sheet - Standardized!R87C34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7" s="3"/>
      </tp>
      <tp>
        <v>23.197600000000001</v>
        <stp/>
        <stp>##V3_BDHV12</stp>
        <stp>XOM US Equity</stp>
        <stp>NET_DEBT_TO_SHRHLDR_EQTY</stp>
        <stp>FQ3 2016</stp>
        <stp>FQ3 2016</stp>
        <stp>[FA1_m42y3cpi.xlsx]Bal Sheet - Standardized!R87C35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7" s="3"/>
      </tp>
      <tp>
        <v>0</v>
        <stp/>
        <stp>##V3_BDHV12</stp>
        <stp>XOM US Equity</stp>
        <stp>CF_ACQUISITION_OF_INTANG_ASSETS</stp>
        <stp>FQ4 2014</stp>
        <stp>FQ4 2014</stp>
        <stp>[FA1_m42y3cpi.xlsx]Cash Flow - Standardized!R26C28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4"/>
      </tp>
      <tp>
        <v>0</v>
        <stp/>
        <stp>##V3_BDHV12</stp>
        <stp>XOM US Equity</stp>
        <stp>CF_ACQUISITION_OF_INTANG_ASSETS</stp>
        <stp>FQ2 2018</stp>
        <stp>FQ2 2018</stp>
        <stp>[FA1_m42y3cpi.xlsx]Cash Flow - Standardized!R26C42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4"/>
      </tp>
      <tp>
        <v>3157</v>
        <stp/>
        <stp>##V3_BDHV12</stp>
        <stp>XOM US Equity</stp>
        <stp>BS_NUM_OF_TSY_SH</stp>
        <stp>FQ2 2011</stp>
        <stp>FQ2 2011</stp>
        <stp>[FA1_m42y3cpi.xlsx]Bal Sheet - Standardized!R80C14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0" s="3"/>
      </tp>
      <tp>
        <v>3226</v>
        <stp/>
        <stp>##V3_BDHV12</stp>
        <stp>XOM US Equity</stp>
        <stp>BS_NUM_OF_TSY_SH</stp>
        <stp>FQ3 2011</stp>
        <stp>FQ3 2011</stp>
        <stp>[FA1_m42y3cpi.xlsx]Bal Sheet - Standardized!R80C15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0" s="3"/>
      </tp>
      <tp t="s">
        <v>—</v>
        <stp/>
        <stp>##V3_BDHV12</stp>
        <stp>XOM US Equity</stp>
        <stp>IS_OTHER_NON_OPERATING_INC_LOSS</stp>
        <stp>FQ3 2008</stp>
        <stp>FQ3 2008</stp>
        <stp>[FA1_m42y3cpi.xlsx]Income - Adjusted!R23C3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3" s="2"/>
      </tp>
      <tp t="s">
        <v>—</v>
        <stp/>
        <stp>##V3_BDHV12</stp>
        <stp>XOM US Equity</stp>
        <stp>IS_OTHER_NON_OPERATING_INC_LOSS</stp>
        <stp>FQ4 2008</stp>
        <stp>FQ4 2008</stp>
        <stp>[FA1_m42y3cpi.xlsx]Income - Adjusted!R23C4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3" s="2"/>
      </tp>
      <tp>
        <v>4183</v>
        <stp/>
        <stp>##V3_BDHV12</stp>
        <stp>XOM US Equity</stp>
        <stp>IS_AVG_NUM_SH_FOR_EPS</stp>
        <stp>FQ4 2015</stp>
        <stp>FQ4 2015</stp>
        <stp>[FA1_m42y3cpi.xlsx]Income - Adjusted!R49C32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9" s="2"/>
      </tp>
      <tp>
        <v>4771.5735999999997</v>
        <stp/>
        <stp>##V3_BDHV12</stp>
        <stp>XOM US Equity</stp>
        <stp>IS_AVG_NUM_SH_FOR_EPS</stp>
        <stp>FQ4 2011</stp>
        <stp>FQ4 2011</stp>
        <stp>[FA1_m42y3cpi.xlsx]Income - Adjusted!R49C16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9" s="2"/>
      </tp>
      <tp>
        <v>4361</v>
        <stp/>
        <stp>##V3_BDHV12</stp>
        <stp>XOM US Equity</stp>
        <stp>IS_AVG_NUM_SH_FOR_EPS</stp>
        <stp>FQ4 2013</stp>
        <stp>FQ4 2013</stp>
        <stp>[FA1_m42y3cpi.xlsx]Income - Adjusted!R49C24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9" s="2"/>
      </tp>
      <tp>
        <v>4270</v>
        <stp/>
        <stp>##V3_BDHV12</stp>
        <stp>XOM US Equity</stp>
        <stp>IS_AVG_NUM_SH_FOR_EPS</stp>
        <stp>FQ4 2017</stp>
        <stp>FQ4 2017</stp>
        <stp>[FA1_m42y3cpi.xlsx]Income - Adjusted!R49C40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9" s="2"/>
      </tp>
      <tp>
        <v>3850</v>
        <stp/>
        <stp>##V3_BDHV12</stp>
        <stp>XOM US Equity</stp>
        <stp>BS_NUM_OF_TSY_SH</stp>
        <stp>FQ2 2015</stp>
        <stp>FQ2 2015</stp>
        <stp>[FA1_m42y3cpi.xlsx]Bal Sheet - Standardized!R80C30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0" s="3"/>
      </tp>
      <tp>
        <v>3856</v>
        <stp/>
        <stp>##V3_BDHV12</stp>
        <stp>XOM US Equity</stp>
        <stp>BS_NUM_OF_TSY_SH</stp>
        <stp>FQ3 2015</stp>
        <stp>FQ3 2015</stp>
        <stp>[FA1_m42y3cpi.xlsx]Bal Sheet - Standardized!R80C31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0" s="3"/>
      </tp>
      <tp>
        <v>0.69</v>
        <stp/>
        <stp>##V3_BDHV12</stp>
        <stp>XOM US Equity</stp>
        <stp>EQY_DPS</stp>
        <stp>FQ1 2015</stp>
        <stp>FQ1 2015</stp>
        <stp>[FA1_m42y3cpi.xlsx]Per Share!R20C29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0" s="5"/>
      </tp>
      <tp>
        <v>0.69</v>
        <stp/>
        <stp>##V3_BDHV12</stp>
        <stp>XOM US Equity</stp>
        <stp>EQY_DPS</stp>
        <stp>FQ4 2014</stp>
        <stp>FQ4 2014</stp>
        <stp>[FA1_m42y3cpi.xlsx]Per Share!R20C28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0" s="5"/>
      </tp>
      <tp>
        <v>0</v>
        <stp/>
        <stp>##V3_BDHV12</stp>
        <stp>XOM US Equity</stp>
        <stp>CF_ACQUISITION_OF_INTANG_ASSETS</stp>
        <stp>FQ4 2013</stp>
        <stp>FQ4 2013</stp>
        <stp>[FA1_m42y3cpi.xlsx]Cash Flow - Standardized!R26C24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4"/>
      </tp>
      <tp>
        <v>0</v>
        <stp/>
        <stp>##V3_BDHV12</stp>
        <stp>XOM US Equity</stp>
        <stp>CF_ACQUISITION_OF_INTANG_ASSETS</stp>
        <stp>FQ4 2012</stp>
        <stp>FQ4 2012</stp>
        <stp>[FA1_m42y3cpi.xlsx]Cash Flow - Standardized!R26C20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4"/>
      </tp>
      <tp>
        <v>0.67</v>
        <stp/>
        <stp>##V3_BDHV12</stp>
        <stp>XOM US Equity</stp>
        <stp>IS_BASIC_EPS_CONT_OPS</stp>
        <stp>FQ4 2015</stp>
        <stp>FQ4 2015</stp>
        <stp>[FA1_m42y3cpi.xlsx]Per Share!R16C32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6" s="5"/>
      </tp>
      <tp>
        <v>1.97</v>
        <stp/>
        <stp>##V3_BDHV12</stp>
        <stp>XOM US Equity</stp>
        <stp>IS_BASIC_EPS_CONT_OPS</stp>
        <stp>FQ4 2011</stp>
        <stp>FQ4 2011</stp>
        <stp>[FA1_m42y3cpi.xlsx]Per Share!R16C16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6" s="5"/>
      </tp>
      <tp>
        <v>1.9100000000000001</v>
        <stp/>
        <stp>##V3_BDHV12</stp>
        <stp>XOM US Equity</stp>
        <stp>IS_BASIC_EPS_CONT_OPS</stp>
        <stp>FQ4 2013</stp>
        <stp>FQ4 2013</stp>
        <stp>[FA1_m42y3cpi.xlsx]Per Share!R16C24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6" s="5"/>
      </tp>
      <tp>
        <v>0.874</v>
        <stp/>
        <stp>##V3_BDHV12</stp>
        <stp>XOM US Equity</stp>
        <stp>IS_BASIC_EPS_CONT_OPS</stp>
        <stp>FQ4 2017</stp>
        <stp>FQ4 2017</stp>
        <stp>[FA1_m42y3cpi.xlsx]Per Share!R16C40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6" s="5"/>
      </tp>
      <tp>
        <v>7415</v>
        <stp/>
        <stp>##V3_BDHV12</stp>
        <stp>XOM US Equity</stp>
        <stp>CF_CASH_FROM_OPER</stp>
        <stp>FQ4 2014</stp>
        <stp>FQ4 2014</stp>
        <stp>[FA1_m42y3cpi.xlsx]Cash Flow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4"/>
      </tp>
      <tp>
        <v>7780</v>
        <stp/>
        <stp>##V3_BDHV12</stp>
        <stp>XOM US Equity</stp>
        <stp>CF_CASH_FROM_OPER</stp>
        <stp>FQ2 2018</stp>
        <stp>FQ2 2018</stp>
        <stp>[FA1_m42y3cpi.xlsx]Cash Flow - Standardized!R17C42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7" s="4"/>
      </tp>
      <tp>
        <v>141</v>
        <stp/>
        <stp>##V3_BDHV12</stp>
        <stp>XOM US Equity</stp>
        <stp>CF_DISPOSAL_OF_FIXED_PROD_ASSETS</stp>
        <stp>FQ1 2009</stp>
        <stp>FQ1 2009</stp>
        <stp>[FA1_m42y3cpi.xlsx]Cash Flow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4"/>
      </tp>
      <tp>
        <v>770</v>
        <stp/>
        <stp>##V3_BDHV12</stp>
        <stp>XOM US Equity</stp>
        <stp>CF_DISPOSAL_OF_FIXED_PROD_ASSETS</stp>
        <stp>FQ2 2009</stp>
        <stp>FQ2 2009</stp>
        <stp>[FA1_m42y3cpi.xlsx]Cash Flow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4"/>
      </tp>
      <tp>
        <v>172</v>
        <stp/>
        <stp>##V3_BDHV12</stp>
        <stp>XOM US Equity</stp>
        <stp>CF_DISPOSAL_OF_FIXED_PROD_ASSETS</stp>
        <stp>FQ3 2009</stp>
        <stp>FQ3 2009</stp>
        <stp>[FA1_m42y3cpi.xlsx]Cash Flow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4"/>
      </tp>
      <tp>
        <v>61.86</v>
        <stp/>
        <stp>##V3_BDHV12</stp>
        <stp>XOM US Equity</stp>
        <stp>PX_LOW</stp>
        <stp>FQ1 2009</stp>
        <stp>FQ1 2009</stp>
        <stp>[FA1_m42y3cpi.xlsx]Stock Value!R10C5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0" s="6"/>
      </tp>
      <tp t="s">
        <v>—</v>
        <stp/>
        <stp>##V3_BDHV12</stp>
        <stp>XOM US Equity</stp>
        <stp>CF_DISPOSAL_OF_FIXED_PROD_ASSETS</stp>
        <stp>FQ4 2008</stp>
        <stp>FQ4 2008</stp>
        <stp>[FA1_m42y3cpi.xlsx]Cash Flow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4"/>
      </tp>
      <tp t="s">
        <v>—</v>
        <stp/>
        <stp>##V3_BDHV12</stp>
        <stp>XOM US Equity</stp>
        <stp>CF_DISPOSAL_OF_FIXED_PROD_ASSETS</stp>
        <stp>FQ3 2008</stp>
        <stp>FQ3 2008</stp>
        <stp>[FA1_m42y3cpi.xlsx]Cash Flow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4"/>
      </tp>
      <tp>
        <v>10208</v>
        <stp/>
        <stp>##V3_BDHV12</stp>
        <stp>XOM US Equity</stp>
        <stp>CF_CASH_FROM_OPER</stp>
        <stp>FQ4 2013</stp>
        <stp>FQ4 2013</stp>
        <stp>[FA1_m42y3cpi.xlsx]Cash Flow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4"/>
      </tp>
      <tp>
        <v>0.84030000000000005</v>
        <stp/>
        <stp>##V3_BDHV12</stp>
        <stp>XOM US Equity</stp>
        <stp>FREE_CASH_FLOW_PER_SH</stp>
        <stp>FQ4 2016</stp>
        <stp>FQ4 2016</stp>
        <stp>[FA1_m42y3cpi.xlsx]Per Share!R23C36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3" s="5"/>
      </tp>
      <tp>
        <v>0.76149999999999995</v>
        <stp/>
        <stp>##V3_BDHV12</stp>
        <stp>XOM US Equity</stp>
        <stp>FREE_CASH_FLOW_PER_SH</stp>
        <stp>FQ2 2010</stp>
        <stp>FQ2 2010</stp>
        <stp>[FA1_m42y3cpi.xlsx]Per Share!R23C10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3" s="5"/>
      </tp>
      <tp>
        <v>0.9859</v>
        <stp/>
        <stp>##V3_BDHV12</stp>
        <stp>XOM US Equity</stp>
        <stp>FREE_CASH_FLOW_PER_SH</stp>
        <stp>FQ3 2013</stp>
        <stp>FQ3 2013</stp>
        <stp>[FA1_m42y3cpi.xlsx]Per Share!R23C23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3" s="5"/>
      </tp>
      <tp>
        <v>1.2509999999999999</v>
        <stp/>
        <stp>##V3_BDHV12</stp>
        <stp>XOM US Equity</stp>
        <stp>FREE_CASH_FLOW_PER_SH</stp>
        <stp>FQ1 2017</stp>
        <stp>FQ1 2017</stp>
        <stp>[FA1_m42y3cpi.xlsx]Per Share!R23C37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3" s="5"/>
      </tp>
      <tp>
        <v>462</v>
        <stp/>
        <stp>##V3_BDHV12</stp>
        <stp>XOM US Equity</stp>
        <stp>CF_DISPOSAL_OF_FIXED_PROD_ASSETS</stp>
        <stp>FQ4 2009</stp>
        <stp>FQ4 2009</stp>
        <stp>[FA1_m42y3cpi.xlsx]Cash Flow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4"/>
      </tp>
      <tp>
        <v>424</v>
        <stp/>
        <stp>##V3_BDHV12</stp>
        <stp>XOM US Equity</stp>
        <stp>CF_DISPOSAL_OF_FIXED_PROD_ASSETS</stp>
        <stp>FQ1 2010</stp>
        <stp>FQ1 2010</stp>
        <stp>[FA1_m42y3cpi.xlsx]Cash Flow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4"/>
      </tp>
      <tp>
        <v>13224</v>
        <stp/>
        <stp>##V3_BDHV12</stp>
        <stp>XOM US Equity</stp>
        <stp>CF_CASH_FROM_OPER</stp>
        <stp>FQ4 2012</stp>
        <stp>FQ4 2012</stp>
        <stp>[FA1_m42y3cpi.xlsx]Cash Flow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4"/>
      </tp>
      <tp t="s">
        <v>—</v>
        <stp/>
        <stp>##V3_BDHV12</stp>
        <stp>XOM US Equity</stp>
        <stp>IS_MERGER_ACQUISITION_EXPENSE</stp>
        <stp>FQ2 2009</stp>
        <stp>FQ2 2009</stp>
        <stp>[FA1_m42y3cpi.xlsx]Income - Adjusted!R26C6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2"/>
      </tp>
      <tp>
        <v>1.5699999999999998</v>
        <stp/>
        <stp>##V3_BDHV12</stp>
        <stp>XOM US Equity</stp>
        <stp>IS_EPS</stp>
        <stp>FQ4 2008</stp>
        <stp>FQ4 2008</stp>
        <stp>[FA1_m42y3cpi.xlsx]Income - Adjusted!R50C4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50" s="2"/>
      </tp>
      <tp>
        <v>2.89</v>
        <stp/>
        <stp>##V3_BDHV12</stp>
        <stp>XOM US Equity</stp>
        <stp>IS_EPS</stp>
        <stp>FQ3 2008</stp>
        <stp>FQ3 2008</stp>
        <stp>[FA1_m42y3cpi.xlsx]Income - Adjusted!R50C3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50" s="2"/>
      </tp>
      <tp>
        <v>5006</v>
        <stp/>
        <stp>##V3_BDHV12</stp>
        <stp>XOM US Equity</stp>
        <stp>EBITA</stp>
        <stp>FQ1 2018</stp>
        <stp>FQ1 2018</stp>
        <stp>[FA1_m42y3cpi.xlsx]Income - Adjusted!R63C41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63" s="2"/>
      </tp>
      <tp>
        <v>0</v>
        <stp/>
        <stp>##V3_BDHV12</stp>
        <stp>XOM US Equity</stp>
        <stp>OTHER_CURRENT_LIABS_DETAILED</stp>
        <stp>FQ1 2012</stp>
        <stp>FQ1 2012</stp>
        <stp>[FA1_m42y3cpi.xlsx]Bal Sheet - Standardized!R54C17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4" s="3"/>
      </tp>
      <tp>
        <v>10330</v>
        <stp/>
        <stp>##V3_BDHV12</stp>
        <stp>XOM US Equity</stp>
        <stp>EARN_FOR_COMMON</stp>
        <stp>FQ3 2011</stp>
        <stp>FQ3 2011</stp>
        <stp>[FA1_m42y3cpi.xlsx]Income - Adjusted!R45C15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5" s="2"/>
      </tp>
      <tp>
        <v>4240</v>
        <stp/>
        <stp>##V3_BDHV12</stp>
        <stp>XOM US Equity</stp>
        <stp>EARN_FOR_COMMON</stp>
        <stp>FQ3 2015</stp>
        <stp>FQ3 2015</stp>
        <stp>[FA1_m42y3cpi.xlsx]Income - Adjusted!R45C31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5" s="2"/>
      </tp>
      <tp>
        <v>0</v>
        <stp/>
        <stp>##V3_BDHV12</stp>
        <stp>XOM US Equity</stp>
        <stp>OTHER_CURRENT_LIABS_DETAILED</stp>
        <stp>FQ3 2015</stp>
        <stp>FQ3 2015</stp>
        <stp>[FA1_m42y3cpi.xlsx]Bal Sheet - Standardized!R54C31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4" s="3"/>
      </tp>
      <tp>
        <v>-316</v>
        <stp/>
        <stp>##V3_BDHV12</stp>
        <stp>XOM US Equity</stp>
        <stp>IS_OTHER_NON_OPERATING_INC_LOSS</stp>
        <stp>FQ2 2018</stp>
        <stp>FQ2 2018</stp>
        <stp>[FA1_m42y3cpi.xlsx]Income - Adjusted!R23C42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23" s="2"/>
      </tp>
      <tp>
        <v>-10967</v>
        <stp/>
        <stp>##V3_BDHV12</stp>
        <stp>XOM US Equity</stp>
        <stp>IS_OTHER_NON_OPERATING_INC_LOSS</stp>
        <stp>FQ2 2012</stp>
        <stp>FQ2 2012</stp>
        <stp>[FA1_m42y3cpi.xlsx]Income - Adjusted!R23C18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3" s="2"/>
      </tp>
      <tp>
        <v>0</v>
        <stp/>
        <stp>##V3_BDHV12</stp>
        <stp>XOM US Equity</stp>
        <stp>OTHER_CURRENT_LIABS_DETAILED</stp>
        <stp>FQ3 2016</stp>
        <stp>FQ3 2016</stp>
        <stp>[FA1_m42y3cpi.xlsx]Bal Sheet - Standardized!R54C35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4" s="3"/>
      </tp>
      <tp>
        <v>0</v>
        <stp/>
        <stp>##V3_BDHV12</stp>
        <stp>XOM US Equity</stp>
        <stp>OTHER_CURRENT_LIABS_DETAILED</stp>
        <stp>FQ2 2014</stp>
        <stp>FQ2 2014</stp>
        <stp>[FA1_m42y3cpi.xlsx]Bal Sheet - Standardized!R54C26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4" s="3"/>
      </tp>
      <tp>
        <v>0</v>
        <stp/>
        <stp>##V3_BDHV12</stp>
        <stp>XOM US Equity</stp>
        <stp>OTHER_CURRENT_LIABS_DETAILED</stp>
        <stp>FQ4 2017</stp>
        <stp>FQ4 2017</stp>
        <stp>[FA1_m42y3cpi.xlsx]Bal Sheet - Standardized!R54C40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4" s="3"/>
      </tp>
      <tp>
        <v>0</v>
        <stp/>
        <stp>##V3_BDHV12</stp>
        <stp>XOM US Equity</stp>
        <stp>OTHER_CURRENT_LIABS_DETAILED</stp>
        <stp>FQ2 2013</stp>
        <stp>FQ2 2013</stp>
        <stp>[FA1_m42y3cpi.xlsx]Bal Sheet - Standardized!R54C22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4" s="3"/>
      </tp>
      <tp>
        <v>0</v>
        <stp/>
        <stp>##V3_BDHV12</stp>
        <stp>XOM US Equity</stp>
        <stp>OTHER_CURRENT_LIABS_DETAILED</stp>
        <stp>FQ1 2011</stp>
        <stp>FQ1 2011</stp>
        <stp>[FA1_m42y3cpi.xlsx]Bal Sheet - Standardized!R54C13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4" s="3"/>
      </tp>
      <tp>
        <v>4075</v>
        <stp/>
        <stp>##V3_BDHV12</stp>
        <stp>XOM US Equity</stp>
        <stp>IS_DEPR_EXP</stp>
        <stp>FQ4 2011</stp>
        <stp>FQ4 2011</stp>
        <stp>[FA1_m42y3cpi.xlsx]Income - Adjusted!R71C16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1" s="2"/>
      </tp>
      <tp>
        <v>0</v>
        <stp/>
        <stp>##V3_BDHV12</stp>
        <stp>XOM US Equity</stp>
        <stp>OTHER_CURRENT_LIABS_DETAILED</stp>
        <stp>FQ3 2017</stp>
        <stp>FQ3 2017</stp>
        <stp>[FA1_m42y3cpi.xlsx]Bal Sheet - Standardized!R54C39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4" s="3"/>
      </tp>
      <tp>
        <v>4451</v>
        <stp/>
        <stp>##V3_BDHV12</stp>
        <stp>XOM US Equity</stp>
        <stp>IS_DEPR_EXP</stp>
        <stp>FQ2 2015</stp>
        <stp>FQ2 2015</stp>
        <stp>[FA1_m42y3cpi.xlsx]Income - Adjusted!R71C30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1" s="2"/>
      </tp>
      <tp>
        <v>4765</v>
        <stp/>
        <stp>##V3_BDHV12</stp>
        <stp>XOM US Equity</stp>
        <stp>IS_DEPR_EXP</stp>
        <stp>FQ1 2016</stp>
        <stp>FQ1 2016</stp>
        <stp>[FA1_m42y3cpi.xlsx]Income - Adjusted!R71C33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1" s="2"/>
      </tp>
      <tp>
        <v>86.55</v>
        <stp/>
        <stp>##V3_BDHV12</stp>
        <stp>XOM US Equity</stp>
        <stp>PX_LAST</stp>
        <stp>FQ4 2012</stp>
        <stp>FQ4 2012</stp>
        <stp>[FA1_m42y3cpi.xlsx]Stock Value!R6C20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6"/>
      </tp>
      <tp>
        <v>83.64</v>
        <stp/>
        <stp>##V3_BDHV12</stp>
        <stp>XOM US Equity</stp>
        <stp>PX_LAST</stp>
        <stp>FQ4 2017</stp>
        <stp>FQ4 2017</stp>
        <stp>[FA1_m42y3cpi.xlsx]Stock Value!R6C40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" s="6"/>
      </tp>
      <tp>
        <v>83.2</v>
        <stp/>
        <stp>##V3_BDHV12</stp>
        <stp>XOM US Equity</stp>
        <stp>PX_LAST</stp>
        <stp>FQ2 2015</stp>
        <stp>FQ2 2015</stp>
        <stp>[FA1_m42y3cpi.xlsx]Stock Value!R6C30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6"/>
      </tp>
      <tp>
        <v>57.07</v>
        <stp/>
        <stp>##V3_BDHV12</stp>
        <stp>XOM US Equity</stp>
        <stp>PX_LAST</stp>
        <stp>FQ2 2010</stp>
        <stp>FQ2 2010</stp>
        <stp>[FA1_m42y3cpi.xlsx]Stock Value!R6C10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6"/>
      </tp>
      <tp>
        <v>4110</v>
        <stp/>
        <stp>##V3_BDHV12</stp>
        <stp>XOM US Equity</stp>
        <stp>IS_DEPR_EXP</stp>
        <stp>FQ4 2012</stp>
        <stp>FQ4 2012</stp>
        <stp>[FA1_m42y3cpi.xlsx]Income - Adjusted!R71C20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1" s="2"/>
      </tp>
      <tp>
        <v>4285</v>
        <stp/>
        <stp>##V3_BDHV12</stp>
        <stp>XOM US Equity</stp>
        <stp>IS_DEPR_EXP</stp>
        <stp>FQ2 2014</stp>
        <stp>FQ2 2014</stp>
        <stp>[FA1_m42y3cpi.xlsx]Income - Adjusted!R71C26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1" s="2"/>
      </tp>
      <tp t="s">
        <v>—</v>
        <stp/>
        <stp>##V3_BDHV12</stp>
        <stp>XOM US Equity</stp>
        <stp>IS_NET_INTEREST_EXPENSE</stp>
        <stp>FQ2 2015</stp>
        <stp>FQ2 2015</stp>
        <stp>[FA1_m42y3cpi.xlsx]Income - Adjusted!R18C30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8" s="2"/>
      </tp>
      <tp t="s">
        <v>—</v>
        <stp/>
        <stp>##V3_BDHV12</stp>
        <stp>XOM US Equity</stp>
        <stp>IS_NET_INTEREST_EXPENSE</stp>
        <stp>FQ2 2011</stp>
        <stp>FQ2 2011</stp>
        <stp>[FA1_m42y3cpi.xlsx]Income - Adjusted!R18C14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8" s="2"/>
      </tp>
      <tp t="s">
        <v>—</v>
        <stp/>
        <stp>##V3_BDHV12</stp>
        <stp>XOM US Equity</stp>
        <stp>IS_NET_INTEREST_EXPENSE</stp>
        <stp>FQ1 2016</stp>
        <stp>FQ1 2016</stp>
        <stp>[FA1_m42y3cpi.xlsx]Income - Adjusted!R18C33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8" s="2"/>
      </tp>
      <tp t="s">
        <v>—</v>
        <stp/>
        <stp>##V3_BDHV12</stp>
        <stp>XOM US Equity</stp>
        <stp>IS_NET_INTEREST_EXPENSE</stp>
        <stp>FQ1 2012</stp>
        <stp>FQ1 2012</stp>
        <stp>[FA1_m42y3cpi.xlsx]Income - Adjusted!R18C17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8" s="2"/>
      </tp>
      <tp t="s">
        <v>—</v>
        <stp/>
        <stp>##V3_BDHV12</stp>
        <stp>XOM US Equity</stp>
        <stp>IS_SALE_OF_BUSINESS</stp>
        <stp>FQ4 2017</stp>
        <stp>FQ4 2017</stp>
        <stp>[FA1_m42y3cpi.xlsx]Income - Adjusted!R29C40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9" s="2"/>
      </tp>
      <tp t="s">
        <v>—</v>
        <stp/>
        <stp>##V3_BDHV12</stp>
        <stp>XOM US Equity</stp>
        <stp>IS_SALE_OF_BUSINESS</stp>
        <stp>FQ1 2014</stp>
        <stp>FQ1 2014</stp>
        <stp>[FA1_m42y3cpi.xlsx]Income - Adjusted!R29C25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2"/>
      </tp>
      <tp t="s">
        <v>—</v>
        <stp/>
        <stp>##V3_BDHV12</stp>
        <stp>XOM US Equity</stp>
        <stp>IS_SALE_OF_BUSINESS</stp>
        <stp>FQ2 2016</stp>
        <stp>FQ2 2016</stp>
        <stp>[FA1_m42y3cpi.xlsx]Income - Adjusted!R29C34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2"/>
      </tp>
      <tp t="s">
        <v>—</v>
        <stp/>
        <stp>##V3_BDHV12</stp>
        <stp>XOM US Equity</stp>
        <stp>IS_SALE_OF_BUSINESS</stp>
        <stp>FQ3 2017</stp>
        <stp>FQ3 2017</stp>
        <stp>[FA1_m42y3cpi.xlsx]Income - Adjusted!R29C39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9" s="2"/>
      </tp>
      <tp>
        <v>21.064299999999999</v>
        <stp/>
        <stp>##V3_BDHV12</stp>
        <stp>XOM US Equity</stp>
        <stp>NET_DEBT_TO_SHRHLDR_EQTY</stp>
        <stp>FQ1 2017</stp>
        <stp>FQ1 2017</stp>
        <stp>[FA1_m42y3cpi.xlsx]Bal Sheet - Standardized!R87C37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7" s="3"/>
      </tp>
      <tp>
        <v>265</v>
        <stp/>
        <stp>##V3_BDHV12</stp>
        <stp>XOM US Equity</stp>
        <stp>NON_CASH_ITEMS_DETAILED</stp>
        <stp>FQ1 2010</stp>
        <stp>FQ1 2010</stp>
        <stp>[FA1_m42y3cpi.xlsx]Cash Flow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4"/>
      </tp>
      <tp>
        <v>3040</v>
        <stp/>
        <stp>##V3_BDHV12</stp>
        <stp>XOM US Equity</stp>
        <stp>BS_NUM_OF_TSY_SH</stp>
        <stp>FQ4 2010</stp>
        <stp>FQ4 2010</stp>
        <stp>[FA1_m42y3cpi.xlsx]Bal Sheet - Standardized!R80C12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0" s="3"/>
      </tp>
      <tp>
        <v>3517</v>
        <stp/>
        <stp>##V3_BDHV12</stp>
        <stp>XOM US Equity</stp>
        <stp>BS_NUM_OF_TSY_SH</stp>
        <stp>FQ4 2012</stp>
        <stp>FQ4 2012</stp>
        <stp>[FA1_m42y3cpi.xlsx]Bal Sheet - Standardized!R80C20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0" s="3"/>
      </tp>
      <tp>
        <v>-677</v>
        <stp/>
        <stp>##V3_BDHV12</stp>
        <stp>XOM US Equity</stp>
        <stp>IS_OTHER_NON_OPERATING_INC_LOSS</stp>
        <stp>FQ1 2010</stp>
        <stp>FQ1 2010</stp>
        <stp>[FA1_m42y3cpi.xlsx]Income - Adjusted!R23C9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3" s="2"/>
      </tp>
      <tp>
        <v>0</v>
        <stp/>
        <stp>##V3_BDHV12</stp>
        <stp>XOM US Equity</stp>
        <stp>CF_ACQUISITION_OF_INTANG_ASSETS</stp>
        <stp>FQ4 2015</stp>
        <stp>FQ4 2015</stp>
        <stp>[FA1_m42y3cpi.xlsx]Cash Flow - Standardized!R26C32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4"/>
      </tp>
      <tp>
        <v>0</v>
        <stp/>
        <stp>##V3_BDHV12</stp>
        <stp>XOM US Equity</stp>
        <stp>CF_ACQUISITION_OF_INTANG_ASSETS</stp>
        <stp>FQ4 2016</stp>
        <stp>FQ4 2016</stp>
        <stp>[FA1_m42y3cpi.xlsx]Cash Flow - Standardized!R26C36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4"/>
      </tp>
      <tp>
        <v>0</v>
        <stp/>
        <stp>##V3_BDHV12</stp>
        <stp>XOM US Equity</stp>
        <stp>CF_CASH_FOR_JOINT_VENTURES_ASSOC</stp>
        <stp>FQ1 2009</stp>
        <stp>FQ1 2009</stp>
        <stp>[FA1_m42y3cpi.xlsx]Cash Flow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4"/>
      </tp>
      <tp>
        <v>0</v>
        <stp/>
        <stp>##V3_BDHV12</stp>
        <stp>XOM US Equity</stp>
        <stp>CF_CASH_FOR_JOINT_VENTURES_ASSOC</stp>
        <stp>FQ2 2009</stp>
        <stp>FQ2 2009</stp>
        <stp>[FA1_m42y3cpi.xlsx]Cash Flow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4"/>
      </tp>
      <tp>
        <v>0</v>
        <stp/>
        <stp>##V3_BDHV12</stp>
        <stp>XOM US Equity</stp>
        <stp>CF_CASH_FOR_JOINT_VENTURES_ASSOC</stp>
        <stp>FQ3 2009</stp>
        <stp>FQ3 2009</stp>
        <stp>[FA1_m42y3cpi.xlsx]Cash Flow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4"/>
      </tp>
      <tp t="s">
        <v>—</v>
        <stp/>
        <stp>##V3_BDHV12</stp>
        <stp>XOM US Equity</stp>
        <stp>CF_CASH_FOR_JOINT_VENTURES_ASSOC</stp>
        <stp>FQ3 2008</stp>
        <stp>FQ3 2008</stp>
        <stp>[FA1_m42y3cpi.xlsx]Cash Flow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4"/>
      </tp>
      <tp t="s">
        <v>—</v>
        <stp/>
        <stp>##V3_BDHV12</stp>
        <stp>XOM US Equity</stp>
        <stp>CF_CASH_FOR_JOINT_VENTURES_ASSOC</stp>
        <stp>FQ4 2008</stp>
        <stp>FQ4 2008</stp>
        <stp>[FA1_m42y3cpi.xlsx]Cash Flow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4"/>
      </tp>
      <tp>
        <v>56.51</v>
        <stp/>
        <stp>##V3_BDHV12</stp>
        <stp>XOM US Equity</stp>
        <stp>PX_LOW</stp>
        <stp>FQ4 2008</stp>
        <stp>FQ4 2008</stp>
        <stp>[FA1_m42y3cpi.xlsx]Stock Value!R10C4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0" s="6"/>
      </tp>
      <tp>
        <v>0</v>
        <stp/>
        <stp>##V3_BDHV12</stp>
        <stp>XOM US Equity</stp>
        <stp>CF_CASH_FOR_JOINT_VENTURES_ASSOC</stp>
        <stp>FQ4 2009</stp>
        <stp>FQ4 2009</stp>
        <stp>[FA1_m42y3cpi.xlsx]Cash Flow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4"/>
      </tp>
      <tp>
        <v>4380</v>
        <stp/>
        <stp>##V3_BDHV12</stp>
        <stp>XOM US Equity</stp>
        <stp>CF_CASH_FROM_OPER</stp>
        <stp>FQ4 2015</stp>
        <stp>FQ4 2015</stp>
        <stp>[FA1_m42y3cpi.xlsx]Cash Flow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4"/>
      </tp>
      <tp>
        <v>-0.21840000000000001</v>
        <stp/>
        <stp>##V3_BDHV12</stp>
        <stp>XOM US Equity</stp>
        <stp>FREE_CASH_FLOW_PER_SH</stp>
        <stp>FQ2 2013</stp>
        <stp>FQ2 2013</stp>
        <stp>[FA1_m42y3cpi.xlsx]Per Share!R23C22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3" s="5"/>
      </tp>
      <tp>
        <v>1.0394000000000001</v>
        <stp/>
        <stp>##V3_BDHV12</stp>
        <stp>XOM US Equity</stp>
        <stp>FREE_CASH_FLOW_PER_SH</stp>
        <stp>FQ3 2010</stp>
        <stp>FQ3 2010</stp>
        <stp>[FA1_m42y3cpi.xlsx]Per Share!R23C11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3" s="5"/>
      </tp>
      <tp>
        <v>1.7964</v>
        <stp/>
        <stp>##V3_BDHV12</stp>
        <stp>XOM US Equity</stp>
        <stp>FREE_CASH_FLOW_PER_SH</stp>
        <stp>FQ1 2014</stp>
        <stp>FQ1 2014</stp>
        <stp>[FA1_m42y3cpi.xlsx]Per Share!R23C25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3" s="5"/>
      </tp>
      <tp>
        <v>7396</v>
        <stp/>
        <stp>##V3_BDHV12</stp>
        <stp>XOM US Equity</stp>
        <stp>CF_CASH_FROM_OPER</stp>
        <stp>FQ4 2016</stp>
        <stp>FQ4 2016</stp>
        <stp>[FA1_m42y3cpi.xlsx]Cash Flow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4"/>
      </tp>
      <tp>
        <v>0</v>
        <stp/>
        <stp>##V3_BDHV12</stp>
        <stp>XOM US Equity</stp>
        <stp>CF_CASH_FOR_JOINT_VENTURES_ASSOC</stp>
        <stp>FQ1 2010</stp>
        <stp>FQ1 2010</stp>
        <stp>[FA1_m42y3cpi.xlsx]Cash Flow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4"/>
      </tp>
      <tp t="s">
        <v>—</v>
        <stp/>
        <stp>##V3_BDHV12</stp>
        <stp>XOM US Equity</stp>
        <stp>IS_MERGER_ACQUISITION_EXPENSE</stp>
        <stp>FQ3 2008</stp>
        <stp>FQ3 2008</stp>
        <stp>[FA1_m42y3cpi.xlsx]Income - Adjusted!R26C3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2"/>
      </tp>
      <tp t="s">
        <v>—</v>
        <stp/>
        <stp>##V3_BDHV12</stp>
        <stp>XOM US Equity</stp>
        <stp>IS_MERGER_ACQUISITION_EXPENSE</stp>
        <stp>FQ3 2009</stp>
        <stp>FQ3 2009</stp>
        <stp>[FA1_m42y3cpi.xlsx]Income - Adjusted!R26C7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2"/>
      </tp>
      <tp>
        <v>0</v>
        <stp/>
        <stp>##V3_BDHV12</stp>
        <stp>XOM US Equity</stp>
        <stp>CF_CASH_FOR_DIVESTITURES</stp>
        <stp>FQ1 2009</stp>
        <stp>FQ1 2009</stp>
        <stp>[FA1_m42y3cpi.xlsx]Cash Flow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4"/>
      </tp>
      <tp>
        <v>0</v>
        <stp/>
        <stp>##V3_BDHV12</stp>
        <stp>XOM US Equity</stp>
        <stp>CF_CASH_FOR_DIVESTITURES</stp>
        <stp>FQ2 2009</stp>
        <stp>FQ2 2009</stp>
        <stp>[FA1_m42y3cpi.xlsx]Cash Flow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4"/>
      </tp>
      <tp>
        <v>0</v>
        <stp/>
        <stp>##V3_BDHV12</stp>
        <stp>XOM US Equity</stp>
        <stp>CF_CASH_FOR_DIVESTITURES</stp>
        <stp>FQ3 2009</stp>
        <stp>FQ3 2009</stp>
        <stp>[FA1_m42y3cpi.xlsx]Cash Flow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4"/>
      </tp>
      <tp>
        <v>1.27</v>
        <stp/>
        <stp>##V3_BDHV12</stp>
        <stp>XOM US Equity</stp>
        <stp>IS_EPS</stp>
        <stp>FQ4 2009</stp>
        <stp>FQ4 2009</stp>
        <stp>[FA1_m42y3cpi.xlsx]Income - Adjusted!R50C8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50" s="2"/>
      </tp>
      <tp>
        <v>0.82</v>
        <stp/>
        <stp>##V3_BDHV12</stp>
        <stp>XOM US Equity</stp>
        <stp>IS_EPS</stp>
        <stp>FQ2 2009</stp>
        <stp>FQ2 2009</stp>
        <stp>[FA1_m42y3cpi.xlsx]Income - Adjusted!R50C6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50" s="2"/>
      </tp>
      <tp>
        <v>0.98</v>
        <stp/>
        <stp>##V3_BDHV12</stp>
        <stp>XOM US Equity</stp>
        <stp>IS_EPS</stp>
        <stp>FQ3 2009</stp>
        <stp>FQ3 2009</stp>
        <stp>[FA1_m42y3cpi.xlsx]Income - Adjusted!R50C7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50" s="2"/>
      </tp>
      <tp>
        <v>0.92</v>
        <stp/>
        <stp>##V3_BDHV12</stp>
        <stp>XOM US Equity</stp>
        <stp>IS_EPS</stp>
        <stp>FQ1 2009</stp>
        <stp>FQ1 2009</stp>
        <stp>[FA1_m42y3cpi.xlsx]Income - Adjusted!R50C5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50" s="2"/>
      </tp>
      <tp>
        <v>2713</v>
        <stp/>
        <stp>##V3_BDHV12</stp>
        <stp>XOM US Equity</stp>
        <stp>IS_SG&amp;A_EXPENSE</stp>
        <stp>FQ1 2015</stp>
        <stp>FQ1 2015</stp>
        <stp>[FA1_m42y3cpi.xlsx]Income - Adjusted!R14C29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4" s="2"/>
      </tp>
      <tp>
        <v>3128</v>
        <stp/>
        <stp>##V3_BDHV12</stp>
        <stp>XOM US Equity</stp>
        <stp>IS_SG&amp;A_EXPENSE</stp>
        <stp>FQ4 2014</stp>
        <stp>FQ4 2014</stp>
        <stp>[FA1_m42y3cpi.xlsx]Income - Adjusted!R14C28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4" s="2"/>
      </tp>
      <tp>
        <v>0.42</v>
        <stp/>
        <stp>##V3_BDHV12</stp>
        <stp>XOM US Equity</stp>
        <stp>EQY_DPS</stp>
        <stp>FQ3 2009</stp>
        <stp>FQ3 2009</stp>
        <stp>[FA1_m42y3cpi.xlsx]Income - Adjusted!R69C7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9" s="2"/>
      </tp>
      <tp>
        <v>0.42</v>
        <stp/>
        <stp>##V3_BDHV12</stp>
        <stp>XOM US Equity</stp>
        <stp>EQY_DPS</stp>
        <stp>FQ2 2009</stp>
        <stp>FQ2 2009</stp>
        <stp>[FA1_m42y3cpi.xlsx]Income - Adjusted!R69C6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9" s="2"/>
      </tp>
      <tp>
        <v>0.4</v>
        <stp/>
        <stp>##V3_BDHV12</stp>
        <stp>XOM US Equity</stp>
        <stp>EQY_DPS</stp>
        <stp>FQ1 2009</stp>
        <stp>FQ1 2009</stp>
        <stp>[FA1_m42y3cpi.xlsx]Income - Adjusted!R69C5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9" s="2"/>
      </tp>
      <tp t="s">
        <v>—</v>
        <stp/>
        <stp>##V3_BDHV12</stp>
        <stp>XOM US Equity</stp>
        <stp>CF_CASH_FOR_DIVESTITURES</stp>
        <stp>FQ4 2008</stp>
        <stp>FQ4 2008</stp>
        <stp>[FA1_m42y3cpi.xlsx]Cash Flow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4"/>
      </tp>
      <tp t="s">
        <v>—</v>
        <stp/>
        <stp>##V3_BDHV12</stp>
        <stp>XOM US Equity</stp>
        <stp>CF_CASH_FOR_DIVESTITURES</stp>
        <stp>FQ3 2008</stp>
        <stp>FQ3 2008</stp>
        <stp>[FA1_m42y3cpi.xlsx]Cash Flow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4"/>
      </tp>
      <tp>
        <v>0</v>
        <stp/>
        <stp>##V3_BDHV12</stp>
        <stp>XOM US Equity</stp>
        <stp>CF_CASH_FOR_DIVESTITURES</stp>
        <stp>FQ4 2009</stp>
        <stp>FQ4 2009</stp>
        <stp>[FA1_m42y3cpi.xlsx]Cash Flow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4"/>
      </tp>
      <tp>
        <v>0</v>
        <stp/>
        <stp>##V3_BDHV12</stp>
        <stp>XOM US Equity</stp>
        <stp>CF_CASH_FOR_DIVESTITURES</stp>
        <stp>FQ1 2010</stp>
        <stp>FQ1 2010</stp>
        <stp>[FA1_m42y3cpi.xlsx]Cash Flow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4"/>
      </tp>
      <tp>
        <v>4880</v>
        <stp/>
        <stp>##V3_BDHV12</stp>
        <stp>XOM US Equity</stp>
        <stp>IS_DEPR_EXP</stp>
        <stp>FQ3 2017</stp>
        <stp>FQ3 2017</stp>
        <stp>[FA1_m42y3cpi.xlsx]Income - Adjusted!R71C39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1" s="2"/>
      </tp>
      <tp>
        <v>2780</v>
        <stp/>
        <stp>##V3_BDHV12</stp>
        <stp>XOM US Equity</stp>
        <stp>EARN_FOR_COMMON</stp>
        <stp>FQ4 2015</stp>
        <stp>FQ4 2015</stp>
        <stp>[FA1_m42y3cpi.xlsx]Income - Adjusted!R45C32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5" s="2"/>
      </tp>
      <tp>
        <v>8350</v>
        <stp/>
        <stp>##V3_BDHV12</stp>
        <stp>XOM US Equity</stp>
        <stp>EARN_FOR_COMMON</stp>
        <stp>FQ4 2013</stp>
        <stp>FQ4 2013</stp>
        <stp>[FA1_m42y3cpi.xlsx]Income - Adjusted!R45C24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5" s="2"/>
      </tp>
      <tp>
        <v>9400</v>
        <stp/>
        <stp>##V3_BDHV12</stp>
        <stp>XOM US Equity</stp>
        <stp>EARN_FOR_COMMON</stp>
        <stp>FQ4 2011</stp>
        <stp>FQ4 2011</stp>
        <stp>[FA1_m42y3cpi.xlsx]Income - Adjusted!R45C16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5" s="2"/>
      </tp>
      <tp>
        <v>3732</v>
        <stp/>
        <stp>##V3_BDHV12</stp>
        <stp>XOM US Equity</stp>
        <stp>EARN_FOR_COMMON</stp>
        <stp>FQ4 2017</stp>
        <stp>FQ4 2017</stp>
        <stp>[FA1_m42y3cpi.xlsx]Income - Adjusted!R45C40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5" s="2"/>
      </tp>
      <tp>
        <v>0</v>
        <stp/>
        <stp>##V3_BDHV12</stp>
        <stp>XOM US Equity</stp>
        <stp>OTHER_CURRENT_LIABS_DETAILED</stp>
        <stp>FQ2 2011</stp>
        <stp>FQ2 2011</stp>
        <stp>[FA1_m42y3cpi.xlsx]Bal Sheet - Standardized!R54C14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4" s="3"/>
      </tp>
      <tp>
        <v>-528</v>
        <stp/>
        <stp>##V3_BDHV12</stp>
        <stp>XOM US Equity</stp>
        <stp>IS_OTHER_NON_OPERATING_INC_LOSS</stp>
        <stp>FQ1 2018</stp>
        <stp>FQ1 2018</stp>
        <stp>[FA1_m42y3cpi.xlsx]Income - Adjusted!R23C41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23" s="2"/>
      </tp>
      <tp>
        <v>0</v>
        <stp/>
        <stp>##V3_BDHV12</stp>
        <stp>XOM US Equity</stp>
        <stp>OTHER_CURRENT_LIABS_DETAILED</stp>
        <stp>FQ1 2014</stp>
        <stp>FQ1 2014</stp>
        <stp>[FA1_m42y3cpi.xlsx]Bal Sheet - Standardized!R54C25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4" s="3"/>
      </tp>
      <tp>
        <v>0</v>
        <stp/>
        <stp>##V3_BDHV12</stp>
        <stp>XOM US Equity</stp>
        <stp>OTHER_CURRENT_LIABS_DETAILED</stp>
        <stp>FQ2 2010</stp>
        <stp>FQ2 2010</stp>
        <stp>[FA1_m42y3cpi.xlsx]Bal Sheet - Standardized!R54C10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4" s="3"/>
      </tp>
      <tp>
        <v>0.81</v>
        <stp/>
        <stp>##V3_BDHV12</stp>
        <stp>XOM US Equity</stp>
        <stp>IS_DILUTED_EPS</stp>
        <stp>FQ2 2009</stp>
        <stp>FQ2 2009</stp>
        <stp>[FA1_m42y3cpi.xlsx]Per Share!R17C6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7" s="5"/>
      </tp>
      <tp>
        <v>0.98</v>
        <stp/>
        <stp>##V3_BDHV12</stp>
        <stp>XOM US Equity</stp>
        <stp>IS_DILUTED_EPS</stp>
        <stp>FQ3 2009</stp>
        <stp>FQ3 2009</stp>
        <stp>[FA1_m42y3cpi.xlsx]Per Share!R17C7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7" s="5"/>
      </tp>
      <tp>
        <v>0.92</v>
        <stp/>
        <stp>##V3_BDHV12</stp>
        <stp>XOM US Equity</stp>
        <stp>IS_DILUTED_EPS</stp>
        <stp>FQ1 2009</stp>
        <stp>FQ1 2009</stp>
        <stp>[FA1_m42y3cpi.xlsx]Per Share!R17C5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7" s="5"/>
      </tp>
      <tp>
        <v>1.27</v>
        <stp/>
        <stp>##V3_BDHV12</stp>
        <stp>XOM US Equity</stp>
        <stp>IS_DILUTED_EPS</stp>
        <stp>FQ4 2009</stp>
        <stp>FQ4 2009</stp>
        <stp>[FA1_m42y3cpi.xlsx]Per Share!R17C8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7" s="5"/>
      </tp>
      <tp>
        <v>0</v>
        <stp/>
        <stp>##V3_BDHV12</stp>
        <stp>XOM US Equity</stp>
        <stp>OTHER_CURRENT_LIABS_DETAILED</stp>
        <stp>FQ1 2013</stp>
        <stp>FQ1 2013</stp>
        <stp>[FA1_m42y3cpi.xlsx]Bal Sheet - Standardized!R54C21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4" s="3"/>
      </tp>
      <tp>
        <v>5842</v>
        <stp/>
        <stp>##V3_BDHV12</stp>
        <stp>XOM US Equity</stp>
        <stp>IS_DEPR_EXP</stp>
        <stp>FQ4 2017</stp>
        <stp>FQ4 2017</stp>
        <stp>[FA1_m42y3cpi.xlsx]Income - Adjusted!R71C40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1" s="2"/>
      </tp>
      <tp>
        <v>0</v>
        <stp/>
        <stp>##V3_BDHV12</stp>
        <stp>XOM US Equity</stp>
        <stp>OTHER_CURRENT_LIABS_DETAILED</stp>
        <stp>FQ1 2015</stp>
        <stp>FQ1 2015</stp>
        <stp>[FA1_m42y3cpi.xlsx]Bal Sheet - Standardized!R54C29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4" s="3"/>
      </tp>
      <tp>
        <v>0</v>
        <stp/>
        <stp>##V3_BDHV12</stp>
        <stp>XOM US Equity</stp>
        <stp>OTHER_CURRENT_LIABS_DETAILED</stp>
        <stp>FQ2 2012</stp>
        <stp>FQ2 2012</stp>
        <stp>[FA1_m42y3cpi.xlsx]Bal Sheet - Standardized!R54C18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4" s="3"/>
      </tp>
      <tp>
        <v>86.04</v>
        <stp/>
        <stp>##V3_BDHV12</stp>
        <stp>XOM US Equity</stp>
        <stp>PX_LAST</stp>
        <stp>FQ3 2013</stp>
        <stp>FQ3 2013</stp>
        <stp>[FA1_m42y3cpi.xlsx]Stock Value!R6C23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6"/>
      </tp>
      <tp>
        <v>4821</v>
        <stp/>
        <stp>##V3_BDHV12</stp>
        <stp>XOM US Equity</stp>
        <stp>IS_DEPR_EXP</stp>
        <stp>FQ2 2016</stp>
        <stp>FQ2 2016</stp>
        <stp>[FA1_m42y3cpi.xlsx]Income - Adjusted!R71C34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1" s="2"/>
      </tp>
      <tp>
        <v>83.59</v>
        <stp/>
        <stp>##V3_BDHV12</stp>
        <stp>XOM US Equity</stp>
        <stp>PX_LAST</stp>
        <stp>FQ1 2016</stp>
        <stp>FQ1 2016</stp>
        <stp>[FA1_m42y3cpi.xlsx]Stock Value!R6C33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6"/>
      </tp>
      <tp>
        <v>84.13</v>
        <stp/>
        <stp>##V3_BDHV12</stp>
        <stp>XOM US Equity</stp>
        <stp>PX_LAST</stp>
        <stp>FQ1 2011</stp>
        <stp>FQ1 2011</stp>
        <stp>[FA1_m42y3cpi.xlsx]Stock Value!R6C13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6"/>
      </tp>
      <tp>
        <v>4192</v>
        <stp/>
        <stp>##V3_BDHV12</stp>
        <stp>XOM US Equity</stp>
        <stp>IS_DEPR_EXP</stp>
        <stp>FQ1 2014</stp>
        <stp>FQ1 2014</stp>
        <stp>[FA1_m42y3cpi.xlsx]Income - Adjusted!R71C25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1" s="2"/>
      </tp>
      <tp t="s">
        <v>—</v>
        <stp/>
        <stp>##V3_BDHV12</stp>
        <stp>XOM US Equity</stp>
        <stp>IS_SALE_OF_BUSINESS</stp>
        <stp>FQ1 2016</stp>
        <stp>FQ1 2016</stp>
        <stp>[FA1_m42y3cpi.xlsx]Income - Adjusted!R29C33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2"/>
      </tp>
      <tp t="s">
        <v>—</v>
        <stp/>
        <stp>##V3_BDHV12</stp>
        <stp>XOM US Equity</stp>
        <stp>IS_SALE_OF_BUSINESS</stp>
        <stp>FQ2 2015</stp>
        <stp>FQ2 2015</stp>
        <stp>[FA1_m42y3cpi.xlsx]Income - Adjusted!R29C30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2"/>
      </tp>
      <tp t="s">
        <v>—</v>
        <stp/>
        <stp>##V3_BDHV12</stp>
        <stp>XOM US Equity</stp>
        <stp>IS_SALE_OF_BUSINESS</stp>
        <stp>FQ4 2011</stp>
        <stp>FQ4 2011</stp>
        <stp>[FA1_m42y3cpi.xlsx]Income - Adjusted!R29C16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2"/>
      </tp>
      <tp t="s">
        <v>—</v>
        <stp/>
        <stp>##V3_BDHV12</stp>
        <stp>XOM US Equity</stp>
        <stp>IS_SALE_OF_BUSINESS</stp>
        <stp>FQ4 2012</stp>
        <stp>FQ4 2012</stp>
        <stp>[FA1_m42y3cpi.xlsx]Income - Adjusted!R29C20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2"/>
      </tp>
      <tp t="s">
        <v>—</v>
        <stp/>
        <stp>##V3_BDHV12</stp>
        <stp>XOM US Equity</stp>
        <stp>IS_SALE_OF_BUSINESS</stp>
        <stp>FQ2 2014</stp>
        <stp>FQ2 2014</stp>
        <stp>[FA1_m42y3cpi.xlsx]Income - Adjusted!R29C26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2"/>
      </tp>
      <tp>
        <v>4.9288999999999996</v>
        <stp/>
        <stp>##V3_BDHV12</stp>
        <stp>XOM US Equity</stp>
        <stp>NET_DEBT_TO_SHRHLDR_EQTY</stp>
        <stp>FQ2 2010</stp>
        <stp>FQ2 2010</stp>
        <stp>[FA1_m42y3cpi.xlsx]Bal Sheet - Standardized!R87C10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7" s="3"/>
      </tp>
      <tp>
        <v>4.0072999999999999</v>
        <stp/>
        <stp>##V3_BDHV12</stp>
        <stp>XOM US Equity</stp>
        <stp>NET_DEBT_TO_SHRHLDR_EQTY</stp>
        <stp>FQ3 2010</stp>
        <stp>FQ3 2010</stp>
        <stp>[FA1_m42y3cpi.xlsx]Bal Sheet - Standardized!R87C11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7" s="3"/>
      </tp>
      <tp>
        <v>4906</v>
        <stp/>
        <stp>##V3_BDHV12</stp>
        <stp>XOM US Equity</stp>
        <stp>IS_AVG_NUM_SH_FOR_EPS</stp>
        <stp>FQ2 2011</stp>
        <stp>FQ2 2011</stp>
        <stp>[FA1_m42y3cpi.xlsx]Income - Adjusted!R49C14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9" s="2"/>
      </tp>
      <tp>
        <v>4200</v>
        <stp/>
        <stp>##V3_BDHV12</stp>
        <stp>XOM US Equity</stp>
        <stp>IS_AVG_NUM_SH_FOR_EPS</stp>
        <stp>FQ2 2015</stp>
        <stp>FQ2 2015</stp>
        <stp>[FA1_m42y3cpi.xlsx]Income - Adjusted!R49C30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9" s="2"/>
      </tp>
      <tp>
        <v>4715</v>
        <stp/>
        <stp>##V3_BDHV12</stp>
        <stp>XOM US Equity</stp>
        <stp>IS_AVG_NUM_SH_FOR_EPS</stp>
        <stp>FQ1 2012</stp>
        <stp>FQ1 2012</stp>
        <stp>[FA1_m42y3cpi.xlsx]Income - Adjusted!R49C17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9" s="2"/>
      </tp>
      <tp>
        <v>4178</v>
        <stp/>
        <stp>##V3_BDHV12</stp>
        <stp>XOM US Equity</stp>
        <stp>IS_AVG_NUM_SH_FOR_EPS</stp>
        <stp>FQ1 2016</stp>
        <stp>FQ1 2016</stp>
        <stp>[FA1_m42y3cpi.xlsx]Income - Adjusted!R49C33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9" s="2"/>
      </tp>
      <tp>
        <v>0.77</v>
        <stp/>
        <stp>##V3_BDHV12</stp>
        <stp>XOM US Equity</stp>
        <stp>EQY_DPS</stp>
        <stp>FQ3 2017</stp>
        <stp>FQ3 2017</stp>
        <stp>[FA1_m42y3cpi.xlsx]Per Share!R20C39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0" s="5"/>
      </tp>
      <tp>
        <v>3514</v>
        <stp/>
        <stp>##V3_BDHV12</stp>
        <stp>XOM US Equity</stp>
        <stp>IS_SG&amp;A_EXPENSE</stp>
        <stp>FQ1 2010</stp>
        <stp>FQ1 2010</stp>
        <stp>[FA1_m42y3cpi.xlsx]Income - Adjusted!R14C9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4" s="2"/>
      </tp>
      <tp>
        <v>-203</v>
        <stp/>
        <stp>##V3_BDHV12</stp>
        <stp>XOM US Equity</stp>
        <stp>CF_NET_CHG_IN_ST_DBT_&amp;_CPTL_LEAS</stp>
        <stp>FQ1 2009</stp>
        <stp>FQ1 2009</stp>
        <stp>[FA1_m42y3cpi.xlsx]Cash Flow - Standardized!R41C5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4"/>
      </tp>
      <tp>
        <v>148</v>
        <stp/>
        <stp>##V3_BDHV12</stp>
        <stp>XOM US Equity</stp>
        <stp>CF_NET_CHG_IN_ST_DBT_&amp;_CPTL_LEAS</stp>
        <stp>FQ3 2009</stp>
        <stp>FQ3 2009</stp>
        <stp>[FA1_m42y3cpi.xlsx]Cash Flow - Standardized!R41C7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4"/>
      </tp>
      <tp>
        <v>-147</v>
        <stp/>
        <stp>##V3_BDHV12</stp>
        <stp>XOM US Equity</stp>
        <stp>CF_NET_CHG_IN_ST_DBT_&amp;_CPTL_LEAS</stp>
        <stp>FQ2 2009</stp>
        <stp>FQ2 2009</stp>
        <stp>[FA1_m42y3cpi.xlsx]Cash Flow - Standardized!R41C6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4"/>
      </tp>
      <tp t="s">
        <v>—</v>
        <stp/>
        <stp>##V3_BDHV12</stp>
        <stp>XOM US Equity</stp>
        <stp>CF_NET_CHG_IN_ST_DBT_&amp;_CPTL_LEAS</stp>
        <stp>FQ3 2008</stp>
        <stp>FQ3 2008</stp>
        <stp>[FA1_m42y3cpi.xlsx]Cash Flow - Standardized!R41C3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4"/>
      </tp>
      <tp t="s">
        <v>—</v>
        <stp/>
        <stp>##V3_BDHV12</stp>
        <stp>XOM US Equity</stp>
        <stp>CF_NET_CHG_IN_ST_DBT_&amp;_CPTL_LEAS</stp>
        <stp>FQ4 2008</stp>
        <stp>FQ4 2008</stp>
        <stp>[FA1_m42y3cpi.xlsx]Cash Flow - Standardized!R41C4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4"/>
      </tp>
      <tp>
        <v>-108</v>
        <stp/>
        <stp>##V3_BDHV12</stp>
        <stp>XOM US Equity</stp>
        <stp>CF_NET_CHG_IN_ST_DBT_&amp;_CPTL_LEAS</stp>
        <stp>FQ4 2009</stp>
        <stp>FQ4 2009</stp>
        <stp>[FA1_m42y3cpi.xlsx]Cash Flow - Standardized!R41C8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4"/>
      </tp>
      <tp>
        <v>2.19</v>
        <stp/>
        <stp>##V3_BDHV12</stp>
        <stp>XOM US Equity</stp>
        <stp>IS_BASIC_EPS_CONT_OPS</stp>
        <stp>FQ2 2011</stp>
        <stp>FQ2 2011</stp>
        <stp>[FA1_m42y3cpi.xlsx]Per Share!R16C14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6" s="5"/>
      </tp>
      <tp>
        <v>1</v>
        <stp/>
        <stp>##V3_BDHV12</stp>
        <stp>XOM US Equity</stp>
        <stp>IS_BASIC_EPS_CONT_OPS</stp>
        <stp>FQ2 2015</stp>
        <stp>FQ2 2015</stp>
        <stp>[FA1_m42y3cpi.xlsx]Per Share!R16C30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6" s="5"/>
      </tp>
      <tp>
        <v>2</v>
        <stp/>
        <stp>##V3_BDHV12</stp>
        <stp>XOM US Equity</stp>
        <stp>IS_BASIC_EPS_CONT_OPS</stp>
        <stp>FQ1 2012</stp>
        <stp>FQ1 2012</stp>
        <stp>[FA1_m42y3cpi.xlsx]Per Share!R16C17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6" s="5"/>
      </tp>
      <tp>
        <v>0.43</v>
        <stp/>
        <stp>##V3_BDHV12</stp>
        <stp>XOM US Equity</stp>
        <stp>IS_BASIC_EPS_CONT_OPS</stp>
        <stp>FQ1 2016</stp>
        <stp>FQ1 2016</stp>
        <stp>[FA1_m42y3cpi.xlsx]Per Share!R16C33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6" s="5"/>
      </tp>
      <tp>
        <v>-121</v>
        <stp/>
        <stp>##V3_BDHV12</stp>
        <stp>XOM US Equity</stp>
        <stp>CF_NET_CHG_IN_ST_DBT_&amp;_CPTL_LEAS</stp>
        <stp>FQ1 2010</stp>
        <stp>FQ1 2010</stp>
        <stp>[FA1_m42y3cpi.xlsx]Cash Flow - Standardized!R41C9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4"/>
      </tp>
      <tp>
        <v>64.459999999999994</v>
        <stp/>
        <stp>##V3_BDHV12</stp>
        <stp>XOM US Equity</stp>
        <stp>PX_LOW</stp>
        <stp>FQ3 2009</stp>
        <stp>FQ3 2009</stp>
        <stp>[FA1_m42y3cpi.xlsx]Stock Value!R10C7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0" s="6"/>
      </tp>
      <tp>
        <v>0.70020000000000004</v>
        <stp/>
        <stp>##V3_BDHV12</stp>
        <stp>XOM US Equity</stp>
        <stp>FREE_CASH_FLOW_PER_SH</stp>
        <stp>FQ4 2012</stp>
        <stp>FQ4 2012</stp>
        <stp>[FA1_m42y3cpi.xlsx]Per Share!R23C20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3" s="5"/>
      </tp>
      <tp>
        <v>1.0828</v>
        <stp/>
        <stp>##V3_BDHV12</stp>
        <stp>XOM US Equity</stp>
        <stp>FREE_CASH_FLOW_PER_SH</stp>
        <stp>FQ4 2010</stp>
        <stp>FQ4 2010</stp>
        <stp>[FA1_m42y3cpi.xlsx]Per Share!R23C12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3" s="5"/>
      </tp>
      <tp>
        <v>5.9799999999999999E-2</v>
        <stp/>
        <stp>##V3_BDHV12</stp>
        <stp>XOM US Equity</stp>
        <stp>FREE_CASH_FLOW_PER_SH</stp>
        <stp>FQ2 2016</stp>
        <stp>FQ2 2016</stp>
        <stp>[FA1_m42y3cpi.xlsx]Per Share!R23C34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3" s="5"/>
      </tp>
      <tp>
        <v>0.38629999999999998</v>
        <stp/>
        <stp>##V3_BDHV12</stp>
        <stp>XOM US Equity</stp>
        <stp>FREE_CASH_FLOW_PER_SH</stp>
        <stp>FQ2 2014</stp>
        <stp>FQ2 2014</stp>
        <stp>[FA1_m42y3cpi.xlsx]Per Share!R23C26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3" s="5"/>
      </tp>
      <tp>
        <v>1.3595999999999999</v>
        <stp/>
        <stp>##V3_BDHV12</stp>
        <stp>XOM US Equity</stp>
        <stp>FREE_CASH_FLOW_PER_SH</stp>
        <stp>FQ1 2013</stp>
        <stp>FQ1 2013</stp>
        <stp>[FA1_m42y3cpi.xlsx]Per Share!R23C21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3" s="5"/>
      </tp>
      <tp>
        <v>1.9756</v>
        <stp/>
        <stp>##V3_BDHV12</stp>
        <stp>XOM US Equity</stp>
        <stp>FREE_CASH_FLOW_PER_SH</stp>
        <stp>FQ1 2011</stp>
        <stp>FQ1 2011</stp>
        <stp>[FA1_m42y3cpi.xlsx]Per Share!R23C13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3" s="5"/>
      </tp>
      <tp t="s">
        <v>—</v>
        <stp/>
        <stp>##V3_BDHV12</stp>
        <stp>XOM US Equity</stp>
        <stp>IS_MERGER_ACQUISITION_EXPENSE</stp>
        <stp>FQ1 2010</stp>
        <stp>FQ1 2010</stp>
        <stp>[FA1_m42y3cpi.xlsx]Income - Adjusted!R26C9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2"/>
      </tp>
      <tp t="s">
        <v>—</v>
        <stp/>
        <stp>##V3_BDHV12</stp>
        <stp>XOM US Equity</stp>
        <stp>IS_NET_ABNORMAL_ITEMS</stp>
        <stp>FQ4 2008</stp>
        <stp>FQ4 2008</stp>
        <stp>[FA1_m42y3cpi.xlsx]Income - Adjusted!R46C4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2"/>
      </tp>
      <tp>
        <v>2628</v>
        <stp/>
        <stp>##V3_BDHV12</stp>
        <stp>XOM US Equity</stp>
        <stp>IS_SG&amp;A_EXPENSE</stp>
        <stp>FQ2 2017</stp>
        <stp>FQ2 2017</stp>
        <stp>[FA1_m42y3cpi.xlsx]Income - Adjusted!R14C38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4" s="2"/>
      </tp>
      <tp>
        <v>0</v>
        <stp/>
        <stp>##V3_BDHV12</stp>
        <stp>XOM US Equity</stp>
        <stp>IS_NET_ABNORMAL_ITEMS</stp>
        <stp>FQ4 2009</stp>
        <stp>FQ4 2009</stp>
        <stp>[FA1_m42y3cpi.xlsx]Income - Adjusted!R46C8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2"/>
      </tp>
      <tp>
        <v>13227</v>
        <stp/>
        <stp>##V3_BDHV12</stp>
        <stp>XOM US Equity</stp>
        <stp>EBITA</stp>
        <stp>FQ3 2012</stp>
        <stp>FQ3 2012</stp>
        <stp>[FA1_m42y3cpi.xlsx]Income - Adjusted!R63C19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3" s="2"/>
      </tp>
      <tp>
        <v>0</v>
        <stp/>
        <stp>##V3_BDHV12</stp>
        <stp>XOM US Equity</stp>
        <stp>OTHER_CURRENT_LIABS_DETAILED</stp>
        <stp>FQ1 2016</stp>
        <stp>FQ1 2016</stp>
        <stp>[FA1_m42y3cpi.xlsx]Bal Sheet - Standardized!R54C33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4" s="3"/>
      </tp>
      <tp>
        <v>4652</v>
        <stp/>
        <stp>##V3_BDHV12</stp>
        <stp>XOM US Equity</stp>
        <stp>IS_DEPR_EXP</stp>
        <stp>FQ2 2017</stp>
        <stp>FQ2 2017</stp>
        <stp>[FA1_m42y3cpi.xlsx]Income - Adjusted!R71C38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1" s="2"/>
      </tp>
      <tp>
        <v>0</v>
        <stp/>
        <stp>##V3_BDHV12</stp>
        <stp>XOM US Equity</stp>
        <stp>OTHER_CURRENT_LIABS_DETAILED</stp>
        <stp>FQ3 2011</stp>
        <stp>FQ3 2011</stp>
        <stp>[FA1_m42y3cpi.xlsx]Bal Sheet - Standardized!R54C15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4" s="3"/>
      </tp>
      <tp>
        <v>4300</v>
        <stp/>
        <stp>##V3_BDHV12</stp>
        <stp>XOM US Equity</stp>
        <stp>IS_DEPR_EXP</stp>
        <stp>FQ1 2015</stp>
        <stp>FQ1 2015</stp>
        <stp>[FA1_m42y3cpi.xlsx]Income - Adjusted!R71C29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1" s="2"/>
      </tp>
      <tp>
        <v>0</v>
        <stp/>
        <stp>##V3_BDHV12</stp>
        <stp>XOM US Equity</stp>
        <stp>OTHER_CURRENT_LIABS_DETAILED</stp>
        <stp>FQ1 2017</stp>
        <stp>FQ1 2017</stp>
        <stp>[FA1_m42y3cpi.xlsx]Bal Sheet - Standardized!R54C37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4" s="3"/>
      </tp>
      <tp>
        <v>0</v>
        <stp/>
        <stp>##V3_BDHV12</stp>
        <stp>XOM US Equity</stp>
        <stp>OTHER_CURRENT_LIABS_DETAILED</stp>
        <stp>FQ3 2010</stp>
        <stp>FQ3 2010</stp>
        <stp>[FA1_m42y3cpi.xlsx]Bal Sheet - Standardized!R54C11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4" s="3"/>
      </tp>
      <tp>
        <v>2.86</v>
        <stp/>
        <stp>##V3_BDHV12</stp>
        <stp>XOM US Equity</stp>
        <stp>IS_DILUTED_EPS</stp>
        <stp>FQ3 2008</stp>
        <stp>FQ3 2008</stp>
        <stp>[FA1_m42y3cpi.xlsx]Per Share!R17C3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7" s="5"/>
      </tp>
      <tp>
        <v>1.55</v>
        <stp/>
        <stp>##V3_BDHV12</stp>
        <stp>XOM US Equity</stp>
        <stp>IS_DILUTED_EPS</stp>
        <stp>FQ4 2008</stp>
        <stp>FQ4 2008</stp>
        <stp>[FA1_m42y3cpi.xlsx]Per Share!R17C4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7" s="5"/>
      </tp>
      <tp>
        <v>73.12</v>
        <stp/>
        <stp>##V3_BDHV12</stp>
        <stp>XOM US Equity</stp>
        <stp>PX_LAST</stp>
        <stp>FQ4 2010</stp>
        <stp>FQ4 2010</stp>
        <stp>[FA1_m42y3cpi.xlsx]Stock Value!R6C12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6"/>
      </tp>
      <tp>
        <v>77.95</v>
        <stp/>
        <stp>##V3_BDHV12</stp>
        <stp>XOM US Equity</stp>
        <stp>PX_LAST</stp>
        <stp>FQ4 2015</stp>
        <stp>FQ4 2015</stp>
        <stp>[FA1_m42y3cpi.xlsx]Stock Value!R6C32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6"/>
      </tp>
      <tp>
        <v>0</v>
        <stp/>
        <stp>##V3_BDHV12</stp>
        <stp>XOM US Equity</stp>
        <stp>OTHER_CURRENT_LIABS_DETAILED</stp>
        <stp>FQ3 2012</stp>
        <stp>FQ3 2012</stp>
        <stp>[FA1_m42y3cpi.xlsx]Bal Sheet - Standardized!R54C19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4" s="3"/>
      </tp>
      <tp>
        <v>4605</v>
        <stp/>
        <stp>##V3_BDHV12</stp>
        <stp>XOM US Equity</stp>
        <stp>IS_DEPR_EXP</stp>
        <stp>FQ3 2016</stp>
        <stp>FQ3 2016</stp>
        <stp>[FA1_m42y3cpi.xlsx]Income - Adjusted!R71C35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1" s="2"/>
      </tp>
      <tp>
        <v>90.35</v>
        <stp/>
        <stp>##V3_BDHV12</stp>
        <stp>XOM US Equity</stp>
        <stp>PX_LAST</stp>
        <stp>FQ2 2013</stp>
        <stp>FQ2 2013</stp>
        <stp>[FA1_m42y3cpi.xlsx]Stock Value!R6C22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6"/>
      </tp>
      <tp>
        <v>82.73</v>
        <stp/>
        <stp>##V3_BDHV12</stp>
        <stp>XOM US Equity</stp>
        <stp>PX_LAST</stp>
        <stp>FQ2 2018</stp>
        <stp>FQ2 2018</stp>
        <stp>[FA1_m42y3cpi.xlsx]Stock Value!R6C42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" s="6"/>
      </tp>
      <tp t="s">
        <v>—</v>
        <stp/>
        <stp>##V3_BDHV12</stp>
        <stp>XOM US Equity</stp>
        <stp>IS_NET_INTEREST_EXPENSE</stp>
        <stp>FQ4 2017</stp>
        <stp>FQ4 2017</stp>
        <stp>[FA1_m42y3cpi.xlsx]Income - Adjusted!R18C40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8" s="2"/>
      </tp>
      <tp t="s">
        <v>—</v>
        <stp/>
        <stp>##V3_BDHV12</stp>
        <stp>XOM US Equity</stp>
        <stp>IS_NET_INTEREST_EXPENSE</stp>
        <stp>FQ4 2013</stp>
        <stp>FQ4 2013</stp>
        <stp>[FA1_m42y3cpi.xlsx]Income - Adjusted!R18C24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8" s="2"/>
      </tp>
      <tp t="s">
        <v>—</v>
        <stp/>
        <stp>##V3_BDHV12</stp>
        <stp>XOM US Equity</stp>
        <stp>IS_NET_INTEREST_EXPENSE</stp>
        <stp>FQ4 2011</stp>
        <stp>FQ4 2011</stp>
        <stp>[FA1_m42y3cpi.xlsx]Income - Adjusted!R18C16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8" s="2"/>
      </tp>
      <tp t="s">
        <v>—</v>
        <stp/>
        <stp>##V3_BDHV12</stp>
        <stp>XOM US Equity</stp>
        <stp>IS_NET_INTEREST_EXPENSE</stp>
        <stp>FQ4 2015</stp>
        <stp>FQ4 2015</stp>
        <stp>[FA1_m42y3cpi.xlsx]Income - Adjusted!R18C32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8" s="2"/>
      </tp>
      <tp t="s">
        <v>—</v>
        <stp/>
        <stp>##V3_BDHV12</stp>
        <stp>XOM US Equity</stp>
        <stp>IS_SALE_OF_BUSINESS</stp>
        <stp>FQ3 2015</stp>
        <stp>FQ3 2015</stp>
        <stp>[FA1_m42y3cpi.xlsx]Income - Adjusted!R29C31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2"/>
      </tp>
      <tp t="s">
        <v>—</v>
        <stp/>
        <stp>##V3_BDHV12</stp>
        <stp>XOM US Equity</stp>
        <stp>IS_SALE_OF_BUSINESS</stp>
        <stp>FQ4 2013</stp>
        <stp>FQ4 2013</stp>
        <stp>[FA1_m42y3cpi.xlsx]Income - Adjusted!R29C24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2"/>
      </tp>
      <tp t="s">
        <v>—</v>
        <stp/>
        <stp>##V3_BDHV12</stp>
        <stp>XOM US Equity</stp>
        <stp>IS_SALE_OF_BUSINESS</stp>
        <stp>FQ1 2017</stp>
        <stp>FQ1 2017</stp>
        <stp>[FA1_m42y3cpi.xlsx]Income - Adjusted!R29C37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9" s="2"/>
      </tp>
      <tp t="s">
        <v>—</v>
        <stp/>
        <stp>##V3_BDHV12</stp>
        <stp>XOM US Equity</stp>
        <stp>IS_SALE_OF_BUSINESS</stp>
        <stp>FQ4 2010</stp>
        <stp>FQ4 2010</stp>
        <stp>[FA1_m42y3cpi.xlsx]Income - Adjusted!R29C12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2"/>
      </tp>
      <tp t="s">
        <v>—</v>
        <stp/>
        <stp>##V3_BDHV12</stp>
        <stp>XOM US Equity</stp>
        <stp>IS_SALE_OF_BUSINESS</stp>
        <stp>FQ3 2014</stp>
        <stp>FQ3 2014</stp>
        <stp>[FA1_m42y3cpi.xlsx]Income - Adjusted!R29C27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2"/>
      </tp>
      <tp>
        <v>2.718</v>
        <stp/>
        <stp>##V3_BDHV12</stp>
        <stp>XOM US Equity</stp>
        <stp>NET_DEBT_TO_SHRHLDR_EQTY</stp>
        <stp>FQ4 2011</stp>
        <stp>FQ4 2011</stp>
        <stp>[FA1_m42y3cpi.xlsx]Bal Sheet - Standardized!R87C16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7" s="3"/>
      </tp>
      <tp>
        <v>1.9317</v>
        <stp/>
        <stp>##V3_BDHV12</stp>
        <stp>XOM US Equity</stp>
        <stp>NET_DEBT_TO_SHRHLDR_EQTY</stp>
        <stp>FQ1 2011</stp>
        <stp>FQ1 2011</stp>
        <stp>[FA1_m42y3cpi.xlsx]Bal Sheet - Standardized!R87C13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7" s="3"/>
      </tp>
      <tp>
        <v>10.003</v>
        <stp/>
        <stp>##V3_BDHV12</stp>
        <stp>XOM US Equity</stp>
        <stp>NET_DEBT_TO_SHRHLDR_EQTY</stp>
        <stp>FQ4 2013</stp>
        <stp>FQ4 2013</stp>
        <stp>[FA1_m42y3cpi.xlsx]Bal Sheet - Standardized!R87C24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7" s="3"/>
      </tp>
      <tp>
        <v>4.1588000000000003</v>
        <stp/>
        <stp>##V3_BDHV12</stp>
        <stp>XOM US Equity</stp>
        <stp>NET_DEBT_TO_SHRHLDR_EQTY</stp>
        <stp>FQ1 2013</stp>
        <stp>FQ1 2013</stp>
        <stp>[FA1_m42y3cpi.xlsx]Bal Sheet - Standardized!R87C21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7" s="3"/>
      </tp>
      <tp>
        <v>9.1082999999999998</v>
        <stp/>
        <stp>##V3_BDHV12</stp>
        <stp>XOM US Equity</stp>
        <stp>NET_DEBT_TO_SHRHLDR_EQTY</stp>
        <stp>FQ3 2013</stp>
        <stp>FQ3 2013</stp>
        <stp>[FA1_m42y3cpi.xlsx]Bal Sheet - Standardized!R87C23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7" s="3"/>
      </tp>
      <tp>
        <v>8.5950000000000006</v>
        <stp/>
        <stp>##V3_BDHV12</stp>
        <stp>XOM US Equity</stp>
        <stp>NET_DEBT_TO_SHRHLDR_EQTY</stp>
        <stp>FQ2 2013</stp>
        <stp>FQ2 2013</stp>
        <stp>[FA1_m42y3cpi.xlsx]Bal Sheet - Standardized!R87C22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7" s="3"/>
      </tp>
      <tp>
        <v>19.7851</v>
        <stp/>
        <stp>##V3_BDHV12</stp>
        <stp>XOM US Equity</stp>
        <stp>NET_DEBT_TO_SHRHLDR_EQTY</stp>
        <stp>FQ4 2015</stp>
        <stp>FQ4 2015</stp>
        <stp>[FA1_m42y3cpi.xlsx]Bal Sheet - Standardized!R87C32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7" s="3"/>
      </tp>
      <tp>
        <v>20.133199999999999</v>
        <stp/>
        <stp>##V3_BDHV12</stp>
        <stp>XOM US Equity</stp>
        <stp>NET_DEBT_TO_SHRHLDR_EQTY</stp>
        <stp>FQ4 2017</stp>
        <stp>FQ4 2017</stp>
        <stp>[FA1_m42y3cpi.xlsx]Bal Sheet - Standardized!R87C40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7" s="3"/>
      </tp>
      <tp>
        <v>0</v>
        <stp/>
        <stp>##V3_BDHV12</stp>
        <stp>XOM US Equity</stp>
        <stp>CF_ACQUISITION_OF_INTANG_ASSETS</stp>
        <stp>FQ1 2018</stp>
        <stp>FQ1 2018</stp>
        <stp>[FA1_m42y3cpi.xlsx]Cash Flow - Standardized!R26C41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4"/>
      </tp>
      <tp>
        <v>4839</v>
        <stp/>
        <stp>##V3_BDHV12</stp>
        <stp>XOM US Equity</stp>
        <stp>IS_AVG_NUM_SH_FOR_EPS</stp>
        <stp>FQ3 2011</stp>
        <stp>FQ3 2011</stp>
        <stp>[FA1_m42y3cpi.xlsx]Income - Adjusted!R49C15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9" s="2"/>
      </tp>
      <tp>
        <v>4190</v>
        <stp/>
        <stp>##V3_BDHV12</stp>
        <stp>XOM US Equity</stp>
        <stp>IS_AVG_NUM_SH_FOR_EPS</stp>
        <stp>FQ3 2015</stp>
        <stp>FQ3 2015</stp>
        <stp>[FA1_m42y3cpi.xlsx]Income - Adjusted!R49C31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9" s="2"/>
      </tp>
      <tp>
        <v>3343</v>
        <stp/>
        <stp>##V3_BDHV12</stp>
        <stp>XOM US Equity</stp>
        <stp>BS_NUM_OF_TSY_SH</stp>
        <stp>FQ1 2012</stp>
        <stp>FQ1 2012</stp>
        <stp>[FA1_m42y3cpi.xlsx]Bal Sheet - Standardized!R80C17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0" s="3"/>
      </tp>
      <tp>
        <v>0.77</v>
        <stp/>
        <stp>##V3_BDHV12</stp>
        <stp>XOM US Equity</stp>
        <stp>EQY_DPS</stp>
        <stp>FQ2 2017</stp>
        <stp>FQ2 2017</stp>
        <stp>[FA1_m42y3cpi.xlsx]Per Share!R20C38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0" s="5"/>
      </tp>
      <tp>
        <v>3823</v>
        <stp/>
        <stp>##V3_BDHV12</stp>
        <stp>XOM US Equity</stp>
        <stp>IS_SG&amp;A_EXPENSE</stp>
        <stp>FQ3 2008</stp>
        <stp>FQ3 2008</stp>
        <stp>[FA1_m42y3cpi.xlsx]Income - Adjusted!R14C3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4" s="2"/>
      </tp>
      <tp>
        <v>15873</v>
        <stp/>
        <stp>##V3_BDHV12</stp>
        <stp>XOM US Equity</stp>
        <stp>IS_SG&amp;A_EXPENSE</stp>
        <stp>FQ4 2008</stp>
        <stp>FQ4 2008</stp>
        <stp>[FA1_m42y3cpi.xlsx]Income - Adjusted!R14C4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4" s="2"/>
      </tp>
      <tp>
        <v>3871</v>
        <stp/>
        <stp>##V3_BDHV12</stp>
        <stp>XOM US Equity</stp>
        <stp>BS_NUM_OF_TSY_SH</stp>
        <stp>FQ4 2016</stp>
        <stp>FQ4 2016</stp>
        <stp>[FA1_m42y3cpi.xlsx]Bal Sheet - Standardized!R80C36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0" s="3"/>
      </tp>
      <tp>
        <v>3872</v>
        <stp/>
        <stp>##V3_BDHV12</stp>
        <stp>XOM US Equity</stp>
        <stp>BS_NUM_OF_TSY_SH</stp>
        <stp>FQ1 2016</stp>
        <stp>FQ1 2016</stp>
        <stp>[FA1_m42y3cpi.xlsx]Bal Sheet - Standardized!R80C33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0" s="3"/>
      </tp>
      <tp>
        <v>0</v>
        <stp/>
        <stp>##V3_BDHV12</stp>
        <stp>XOM US Equity</stp>
        <stp>CF_ACQUISITION_OF_INTANG_ASSETS</stp>
        <stp>FQ4 2011</stp>
        <stp>FQ4 2011</stp>
        <stp>[FA1_m42y3cpi.xlsx]Cash Flow - Standardized!R26C16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4"/>
      </tp>
      <tp>
        <v>0</v>
        <stp/>
        <stp>##V3_BDHV12</stp>
        <stp>XOM US Equity</stp>
        <stp>CF_ACQUISITION_OF_INTANG_ASSETS</stp>
        <stp>FQ4 2010</stp>
        <stp>FQ4 2010</stp>
        <stp>[FA1_m42y3cpi.xlsx]Cash Flow - Standardized!R26C12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4"/>
      </tp>
      <tp>
        <v>2.13</v>
        <stp/>
        <stp>##V3_BDHV12</stp>
        <stp>XOM US Equity</stp>
        <stp>IS_BASIC_EPS_CONT_OPS</stp>
        <stp>FQ3 2011</stp>
        <stp>FQ3 2011</stp>
        <stp>[FA1_m42y3cpi.xlsx]Per Share!R16C15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6" s="5"/>
      </tp>
      <tp>
        <v>1.01</v>
        <stp/>
        <stp>##V3_BDHV12</stp>
        <stp>XOM US Equity</stp>
        <stp>IS_BASIC_EPS_CONT_OPS</stp>
        <stp>FQ3 2015</stp>
        <stp>FQ3 2015</stp>
        <stp>[FA1_m42y3cpi.xlsx]Per Share!R16C31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6" s="5"/>
      </tp>
      <tp>
        <v>64.5</v>
        <stp/>
        <stp>##V3_BDHV12</stp>
        <stp>XOM US Equity</stp>
        <stp>PX_LOW</stp>
        <stp>FQ2 2009</stp>
        <stp>FQ2 2009</stp>
        <stp>[FA1_m42y3cpi.xlsx]Stock Value!R10C6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0" s="6"/>
      </tp>
      <tp>
        <v>8519</v>
        <stp/>
        <stp>##V3_BDHV12</stp>
        <stp>XOM US Equity</stp>
        <stp>CF_CASH_FROM_OPER</stp>
        <stp>FQ1 2018</stp>
        <stp>FQ1 2018</stp>
        <stp>[FA1_m42y3cpi.xlsx]Cash Flow - Standardized!R17C41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7" s="4"/>
      </tp>
      <tp>
        <v>10751</v>
        <stp/>
        <stp>##V3_BDHV12</stp>
        <stp>XOM US Equity</stp>
        <stp>CF_CASH_FROM_OPER</stp>
        <stp>FQ4 2011</stp>
        <stp>FQ4 2011</stp>
        <stp>[FA1_m42y3cpi.xlsx]Cash Flow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4"/>
      </tp>
      <tp>
        <v>0.46700000000000003</v>
        <stp/>
        <stp>##V3_BDHV12</stp>
        <stp>XOM US Equity</stp>
        <stp>FREE_CASH_FLOW_PER_SH</stp>
        <stp>FQ3 2016</stp>
        <stp>FQ3 2016</stp>
        <stp>[FA1_m42y3cpi.xlsx]Per Share!R23C35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3" s="5"/>
      </tp>
      <tp>
        <v>0.98380000000000001</v>
        <stp/>
        <stp>##V3_BDHV12</stp>
        <stp>XOM US Equity</stp>
        <stp>FREE_CASH_FLOW_PER_SH</stp>
        <stp>FQ3 2014</stp>
        <stp>FQ3 2014</stp>
        <stp>[FA1_m42y3cpi.xlsx]Per Share!R23C27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3" s="5"/>
      </tp>
      <tp>
        <v>13055</v>
        <stp/>
        <stp>##V3_BDHV12</stp>
        <stp>XOM US Equity</stp>
        <stp>CF_CASH_FROM_OPER</stp>
        <stp>FQ4 2010</stp>
        <stp>FQ4 2010</stp>
        <stp>[FA1_m42y3cpi.xlsx]Cash Flow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4"/>
      </tp>
      <tp t="s">
        <v>—</v>
        <stp/>
        <stp>##V3_BDHV12</stp>
        <stp>XOM US Equity</stp>
        <stp>IS_MERGER_ACQUISITION_EXPENSE</stp>
        <stp>FQ1 2009</stp>
        <stp>FQ1 2009</stp>
        <stp>[FA1_m42y3cpi.xlsx]Income - Adjusted!R26C5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2"/>
      </tp>
      <tp>
        <v>2725</v>
        <stp/>
        <stp>##V3_BDHV12</stp>
        <stp>XOM US Equity</stp>
        <stp>IS_SG&amp;A_EXPENSE</stp>
        <stp>FQ3 2017</stp>
        <stp>FQ3 2017</stp>
        <stp>[FA1_m42y3cpi.xlsx]Income - Adjusted!R14C39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4" s="2"/>
      </tp>
      <tp>
        <v>0.80959999999999999</v>
        <stp/>
        <stp>##V3_BDHV12</stp>
        <stp>XOM US Equity</stp>
        <stp>CUR_RATIO</stp>
        <stp>FQ2 2018</stp>
        <stp>FQ2 2018</stp>
        <stp>[FA1_m42y3cpi.xlsx]Bal Sheet - Standardized!R89C42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9" s="3"/>
      </tp>
      <tp>
        <v>0.80120000000000002</v>
        <stp/>
        <stp>##V3_BDHV12</stp>
        <stp>XOM US Equity</stp>
        <stp>CUR_RATIO</stp>
        <stp>FQ1 2018</stp>
        <stp>FQ1 2018</stp>
        <stp>[FA1_m42y3cpi.xlsx]Bal Sheet - Standardized!R89C41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9" s="3"/>
      </tp>
      <tp t="s">
        <v>—</v>
        <stp/>
        <stp>##V3_BDHV12</stp>
        <stp>XOM US Equity</stp>
        <stp>NUM_OF_EMPLOYEES</stp>
        <stp>FQ2 2009</stp>
        <stp>FQ2 2009</stp>
        <stp>[FA1_m42y3cpi.xlsx]Bal Sheet - Standardized!R91C6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91" s="3"/>
      </tp>
      <tp t="s">
        <v>—</v>
        <stp/>
        <stp>##V3_BDHV12</stp>
        <stp>XOM US Equity</stp>
        <stp>NUM_OF_EMPLOYEES</stp>
        <stp>FQ3 2009</stp>
        <stp>FQ3 2009</stp>
        <stp>[FA1_m42y3cpi.xlsx]Bal Sheet - Standardized!R91C7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91" s="3"/>
      </tp>
      <tp>
        <v>0.81859999999999999</v>
        <stp/>
        <stp>##V3_BDHV12</stp>
        <stp>XOM US Equity</stp>
        <stp>CUR_RATIO</stp>
        <stp>FQ4 2014</stp>
        <stp>FQ4 2014</stp>
        <stp>[FA1_m42y3cpi.xlsx]Bal Sheet - Standardized!R89C28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9" s="3"/>
      </tp>
      <tp t="s">
        <v>—</v>
        <stp/>
        <stp>##V3_BDHV12</stp>
        <stp>XOM US Equity</stp>
        <stp>NUM_OF_EMPLOYEES</stp>
        <stp>FQ1 2009</stp>
        <stp>FQ1 2009</stp>
        <stp>[FA1_m42y3cpi.xlsx]Bal Sheet - Standardized!R91C5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91" s="3"/>
      </tp>
      <tp>
        <v>1.0296000000000001</v>
        <stp/>
        <stp>##V3_BDHV12</stp>
        <stp>XOM US Equity</stp>
        <stp>CUR_RATIO</stp>
        <stp>FQ3 2012</stp>
        <stp>FQ3 2012</stp>
        <stp>[FA1_m42y3cpi.xlsx]Bal Sheet - Standardized!R89C19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9" s="3"/>
      </tp>
      <tp>
        <v>1.0379</v>
        <stp/>
        <stp>##V3_BDHV12</stp>
        <stp>XOM US Equity</stp>
        <stp>CUR_RATIO</stp>
        <stp>FQ2 2012</stp>
        <stp>FQ2 2012</stp>
        <stp>[FA1_m42y3cpi.xlsx]Bal Sheet - Standardized!R89C18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9" s="3"/>
      </tp>
      <tp>
        <v>4614</v>
        <stp/>
        <stp>##V3_BDHV12</stp>
        <stp>XOM US Equity</stp>
        <stp>EBITA</stp>
        <stp>FQ2 2018</stp>
        <stp>FQ2 2018</stp>
        <stp>[FA1_m42y3cpi.xlsx]Income - Adjusted!R63C42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63" s="2"/>
      </tp>
      <tp>
        <v>1623</v>
        <stp/>
        <stp>##V3_BDHV12</stp>
        <stp>XOM US Equity</stp>
        <stp>EBITA</stp>
        <stp>FQ2 2012</stp>
        <stp>FQ2 2012</stp>
        <stp>[FA1_m42y3cpi.xlsx]Income - Adjusted!R63C18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3" s="2"/>
      </tp>
      <tp>
        <v>0</v>
        <stp/>
        <stp>##V3_BDHV12</stp>
        <stp>XOM US Equity</stp>
        <stp>INVTRY_RAW_MATERIALS</stp>
        <stp>FQ1 2016</stp>
        <stp>FQ1 2016</stp>
        <stp>[FA1_m42y3cpi.xlsx]Bal Sheet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3"/>
      </tp>
      <tp>
        <v>0</v>
        <stp/>
        <stp>##V3_BDHV12</stp>
        <stp>XOM US Equity</stp>
        <stp>INVTRY_RAW_MATERIALS</stp>
        <stp>FQ3 2011</stp>
        <stp>FQ3 2011</stp>
        <stp>[FA1_m42y3cpi.xlsx]Bal Sheet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3"/>
      </tp>
      <tp>
        <v>4650</v>
        <stp/>
        <stp>##V3_BDHV12</stp>
        <stp>XOM US Equity</stp>
        <stp>EARN_FOR_COMMON</stp>
        <stp>FQ1 2018</stp>
        <stp>FQ1 2018</stp>
        <stp>[FA1_m42y3cpi.xlsx]Income - Adjusted!R45C41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5" s="2"/>
      </tp>
      <tp>
        <v>-597</v>
        <stp/>
        <stp>##V3_BDHV12</stp>
        <stp>XOM US Equity</stp>
        <stp>IS_OTHER_NON_OPERATING_INC_LOSS</stp>
        <stp>FQ4 2015</stp>
        <stp>FQ4 2015</stp>
        <stp>[FA1_m42y3cpi.xlsx]Income - Adjusted!R23C32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3" s="2"/>
      </tp>
      <tp>
        <v>-530</v>
        <stp/>
        <stp>##V3_BDHV12</stp>
        <stp>XOM US Equity</stp>
        <stp>IS_OTHER_NON_OPERATING_INC_LOSS</stp>
        <stp>FQ4 2017</stp>
        <stp>FQ4 2017</stp>
        <stp>[FA1_m42y3cpi.xlsx]Income - Adjusted!R23C40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23" s="2"/>
      </tp>
      <tp>
        <v>-1873</v>
        <stp/>
        <stp>##V3_BDHV12</stp>
        <stp>XOM US Equity</stp>
        <stp>IS_OTHER_NON_OPERATING_INC_LOSS</stp>
        <stp>FQ4 2011</stp>
        <stp>FQ4 2011</stp>
        <stp>[FA1_m42y3cpi.xlsx]Income - Adjusted!R23C16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3" s="2"/>
      </tp>
      <tp>
        <v>-1875</v>
        <stp/>
        <stp>##V3_BDHV12</stp>
        <stp>XOM US Equity</stp>
        <stp>IS_OTHER_NON_OPERATING_INC_LOSS</stp>
        <stp>FQ4 2013</stp>
        <stp>FQ4 2013</stp>
        <stp>[FA1_m42y3cpi.xlsx]Income - Adjusted!R23C24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3" s="2"/>
      </tp>
      <tp>
        <v>0</v>
        <stp/>
        <stp>##V3_BDHV12</stp>
        <stp>XOM US Equity</stp>
        <stp>INVTRY_RAW_MATERIALS</stp>
        <stp>FQ1 2017</stp>
        <stp>FQ1 2017</stp>
        <stp>[FA1_m42y3cpi.xlsx]Bal Sheet - Standardized!R14C37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4" s="3"/>
      </tp>
      <tp>
        <v>0</v>
        <stp/>
        <stp>##V3_BDHV12</stp>
        <stp>XOM US Equity</stp>
        <stp>INVTRY_RAW_MATERIALS</stp>
        <stp>FQ3 2010</stp>
        <stp>FQ3 2010</stp>
        <stp>[FA1_m42y3cpi.xlsx]Bal Sheet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3"/>
      </tp>
      <tp>
        <v>0</v>
        <stp/>
        <stp>##V3_BDHV12</stp>
        <stp>XOM US Equity</stp>
        <stp>INVTRY_RAW_MATERIALS</stp>
        <stp>FQ3 2012</stp>
        <stp>FQ3 2012</stp>
        <stp>[FA1_m42y3cpi.xlsx]Bal Sheet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3"/>
      </tp>
      <tp>
        <v>6229</v>
        <stp/>
        <stp>##V3_BDHV12</stp>
        <stp>XOM US Equity</stp>
        <stp>BS_LT_INVEST</stp>
        <stp>FQ4 2012</stp>
        <stp>FQ4 2012</stp>
        <stp>[FA1_m42y3cpi.xlsx]Bal Sheet - Standardized!R26C20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3"/>
      </tp>
      <tp>
        <v>0</v>
        <stp/>
        <stp>##V3_BDHV12</stp>
        <stp>XOM US Equity</stp>
        <stp>CF_NET_CASH_PAID_FOR_AQUIS</stp>
        <stp>FQ4 2016</stp>
        <stp>FQ4 2016</stp>
        <stp>[FA1_m42y3cpi.xlsx]Cash Flow - Standardized!R61C36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1" s="4"/>
      </tp>
      <tp>
        <v>0</v>
        <stp/>
        <stp>##V3_BDHV12</stp>
        <stp>XOM US Equity</stp>
        <stp>CF_NET_CASH_PAID_FOR_AQUIS</stp>
        <stp>FQ4 2015</stp>
        <stp>FQ4 2015</stp>
        <stp>[FA1_m42y3cpi.xlsx]Cash Flow - Standardized!R61C32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1" s="4"/>
      </tp>
      <tp>
        <v>6233</v>
        <stp/>
        <stp>##V3_BDHV12</stp>
        <stp>XOM US Equity</stp>
        <stp>BS_LT_INVEST</stp>
        <stp>FQ4 2013</stp>
        <stp>FQ4 2013</stp>
        <stp>[FA1_m42y3cpi.xlsx]Bal Sheet - Standardized!R26C24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3"/>
      </tp>
      <tp>
        <v>2793</v>
        <stp/>
        <stp>##V3_BDHV12</stp>
        <stp>XOM US Equity</stp>
        <stp>IS_DEPR_EXP</stp>
        <stp>FQ1 2009</stp>
        <stp>FQ1 2009</stp>
        <stp>[FA1_m42y3cpi.xlsx]Income - Adjusted!R71C5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1" s="2"/>
      </tp>
      <tp t="s">
        <v>—</v>
        <stp/>
        <stp>##V3_BDHV12</stp>
        <stp>XOM US Equity</stp>
        <stp>IS_SALE_OF_BUSINESS</stp>
        <stp>FQ3 2009</stp>
        <stp>FQ3 2009</stp>
        <stp>[FA1_m42y3cpi.xlsx]Income - Adjusted!R29C7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2"/>
      </tp>
      <tp t="s">
        <v>—</v>
        <stp/>
        <stp>##V3_BDHV12</stp>
        <stp>XOM US Equity</stp>
        <stp>BS_LT_INVEST</stp>
        <stp>FQ2 2018</stp>
        <stp>FQ2 2018</stp>
        <stp>[FA1_m42y3cpi.xlsx]Bal Sheet - Standardized!R26C42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3"/>
      </tp>
      <tp>
        <v>5404</v>
        <stp/>
        <stp>##V3_BDHV12</stp>
        <stp>XOM US Equity</stp>
        <stp>BS_LT_INVEST</stp>
        <stp>FQ4 2014</stp>
        <stp>FQ4 2014</stp>
        <stp>[FA1_m42y3cpi.xlsx]Bal Sheet - Standardized!R26C28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3"/>
      </tp>
      <tp t="s">
        <v>—</v>
        <stp/>
        <stp>##V3_BDHV12</stp>
        <stp>XOM US Equity</stp>
        <stp>IS_SALE_OF_BUSINESS</stp>
        <stp>FQ3 2008</stp>
        <stp>FQ3 2008</stp>
        <stp>[FA1_m42y3cpi.xlsx]Income - Adjusted!R29C3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2"/>
      </tp>
      <tp>
        <v>0</v>
        <stp/>
        <stp>##V3_BDHV12</stp>
        <stp>XOM US Equity</stp>
        <stp>BS_MKT_SEC_OTHER_ST_INVEST</stp>
        <stp>FQ1 2014</stp>
        <stp>FQ1 2014</stp>
        <stp>[FA1_m42y3cpi.xlsx]Bal Sheet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3"/>
      </tp>
      <tp>
        <v>0</v>
        <stp/>
        <stp>##V3_BDHV12</stp>
        <stp>XOM US Equity</stp>
        <stp>BS_MKT_SEC_OTHER_ST_INVEST</stp>
        <stp>FQ3 2014</stp>
        <stp>FQ3 2014</stp>
        <stp>[FA1_m42y3cpi.xlsx]Bal Sheet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3"/>
      </tp>
      <tp>
        <v>0</v>
        <stp/>
        <stp>##V3_BDHV12</stp>
        <stp>XOM US Equity</stp>
        <stp>BS_MKT_SEC_OTHER_ST_INVEST</stp>
        <stp>FQ2 2014</stp>
        <stp>FQ2 2014</stp>
        <stp>[FA1_m42y3cpi.xlsx]Bal Sheet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3"/>
      </tp>
      <tp>
        <v>0</v>
        <stp/>
        <stp>##V3_BDHV12</stp>
        <stp>XOM US Equity</stp>
        <stp>BS_MKT_SEC_OTHER_ST_INVEST</stp>
        <stp>FQ4 2012</stp>
        <stp>FQ4 2012</stp>
        <stp>[FA1_m42y3cpi.xlsx]Bal Sheet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3"/>
      </tp>
      <tp>
        <v>0</v>
        <stp/>
        <stp>##V3_BDHV12</stp>
        <stp>XOM US Equity</stp>
        <stp>BS_MKT_SEC_OTHER_ST_INVEST</stp>
        <stp>FQ2 2013</stp>
        <stp>FQ2 2013</stp>
        <stp>[FA1_m42y3cpi.xlsx]Bal Sheet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3"/>
      </tp>
      <tp>
        <v>0</v>
        <stp/>
        <stp>##V3_BDHV12</stp>
        <stp>XOM US Equity</stp>
        <stp>BS_MKT_SEC_OTHER_ST_INVEST</stp>
        <stp>FQ3 2013</stp>
        <stp>FQ3 2013</stp>
        <stp>[FA1_m42y3cpi.xlsx]Bal Sheet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3"/>
      </tp>
      <tp>
        <v>0</v>
        <stp/>
        <stp>##V3_BDHV12</stp>
        <stp>XOM US Equity</stp>
        <stp>BS_MKT_SEC_OTHER_ST_INVEST</stp>
        <stp>FQ1 2013</stp>
        <stp>FQ1 2013</stp>
        <stp>[FA1_m42y3cpi.xlsx]Bal Sheet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3"/>
      </tp>
      <tp>
        <v>0</v>
        <stp/>
        <stp>##V3_BDHV12</stp>
        <stp>XOM US Equity</stp>
        <stp>BS_MKT_SEC_OTHER_ST_INVEST</stp>
        <stp>FQ4 2013</stp>
        <stp>FQ4 2013</stp>
        <stp>[FA1_m42y3cpi.xlsx]Bal Sheet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3"/>
      </tp>
      <tp>
        <v>0</v>
        <stp/>
        <stp>##V3_BDHV12</stp>
        <stp>XOM US Equity</stp>
        <stp>BS_MKT_SEC_OTHER_ST_INVEST</stp>
        <stp>FQ4 2014</stp>
        <stp>FQ4 2014</stp>
        <stp>[FA1_m42y3cpi.xlsx]Bal Sheet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3"/>
      </tp>
      <tp>
        <v>0</v>
        <stp/>
        <stp>##V3_BDHV12</stp>
        <stp>XOM US Equity</stp>
        <stp>BS_MKT_SEC_OTHER_ST_INVEST</stp>
        <stp>FQ1 2015</stp>
        <stp>FQ1 2015</stp>
        <stp>[FA1_m42y3cpi.xlsx]Bal Sheet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3"/>
      </tp>
      <tp>
        <v>0</v>
        <stp/>
        <stp>##V3_BDHV12</stp>
        <stp>XOM US Equity</stp>
        <stp>CF_CASH_FOR_ACQUIS_SUBSIDIARIES</stp>
        <stp>FQ4 2013</stp>
        <stp>FQ4 2013</stp>
        <stp>[FA1_m42y3cpi.xlsx]Cash Flow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4"/>
      </tp>
      <tp>
        <v>4597</v>
        <stp/>
        <stp>##V3_BDHV12</stp>
        <stp>XOM US Equity</stp>
        <stp>IS_AVG_NUM_SH_FOR_EPS</stp>
        <stp>FQ3 2012</stp>
        <stp>FQ3 2012</stp>
        <stp>[FA1_m42y3cpi.xlsx]Income - Adjusted!R49C19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9" s="2"/>
      </tp>
      <tp>
        <v>154</v>
        <stp/>
        <stp>##V3_BDHV12</stp>
        <stp>XOM US Equity</stp>
        <stp>DISP_FXD_&amp;_INTANGIBLES_DETAILED</stp>
        <stp>FQ2 2017</stp>
        <stp>FQ2 2017</stp>
        <stp>[FA1_m42y3cpi.xlsx]Cash Flow - Standardized!R21C38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4"/>
      </tp>
      <tp>
        <v>0</v>
        <stp/>
        <stp>##V3_BDHV12</stp>
        <stp>XOM US Equity</stp>
        <stp>CF_PROC_LT_DEBT_&amp;_CAPITAL_LEASE</stp>
        <stp>FQ1 2018</stp>
        <stp>FQ1 2018</stp>
        <stp>[FA1_m42y3cpi.xlsx]Cash Flow - Standardized!R42C41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2" s="4"/>
      </tp>
      <tp>
        <v>0</v>
        <stp/>
        <stp>##V3_BDHV12</stp>
        <stp>XOM US Equity</stp>
        <stp>CF_CASH_FOR_ACQUIS_SUBSIDIARIES</stp>
        <stp>FQ4 2012</stp>
        <stp>FQ4 2012</stp>
        <stp>[FA1_m42y3cpi.xlsx]Cash Flow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4"/>
      </tp>
      <tp>
        <v>0.75</v>
        <stp/>
        <stp>##V3_BDHV12</stp>
        <stp>XOM US Equity</stp>
        <stp>EQY_DPS</stp>
        <stp>FQ1 2017</stp>
        <stp>FQ1 2017</stp>
        <stp>[FA1_m42y3cpi.xlsx]Per Share!R20C37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0" s="5"/>
      </tp>
      <tp>
        <v>0.44</v>
        <stp/>
        <stp>##V3_BDHV12</stp>
        <stp>XOM US Equity</stp>
        <stp>EQY_DPS</stp>
        <stp>FQ2 2010</stp>
        <stp>FQ2 2010</stp>
        <stp>[FA1_m42y3cpi.xlsx]Per Share!R20C10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0" s="5"/>
      </tp>
      <tp>
        <v>0.63</v>
        <stp/>
        <stp>##V3_BDHV12</stp>
        <stp>XOM US Equity</stp>
        <stp>EQY_DPS</stp>
        <stp>FQ3 2013</stp>
        <stp>FQ3 2013</stp>
        <stp>[FA1_m42y3cpi.xlsx]Per Share!R20C23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0" s="5"/>
      </tp>
      <tp>
        <v>0.75</v>
        <stp/>
        <stp>##V3_BDHV12</stp>
        <stp>XOM US Equity</stp>
        <stp>EQY_DPS</stp>
        <stp>FQ4 2016</stp>
        <stp>FQ4 2016</stp>
        <stp>[FA1_m42y3cpi.xlsx]Per Share!R20C36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0" s="5"/>
      </tp>
      <tp>
        <v>245</v>
        <stp/>
        <stp>##V3_BDHV12</stp>
        <stp>XOM US Equity</stp>
        <stp>CF_PROC_LT_DEBT_&amp;_CAPITAL_LEASE</stp>
        <stp>FQ4 2011</stp>
        <stp>FQ4 2011</stp>
        <stp>[FA1_m42y3cpi.xlsx]Cash Flow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4"/>
      </tp>
      <tp>
        <v>629</v>
        <stp/>
        <stp>##V3_BDHV12</stp>
        <stp>XOM US Equity</stp>
        <stp>DISP_FXD_&amp;_INTANGIBLES_DETAILED</stp>
        <stp>FQ2 2015</stp>
        <stp>FQ2 2015</stp>
        <stp>[FA1_m42y3cpi.xlsx]Cash Flow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4"/>
      </tp>
      <tp>
        <v>0</v>
        <stp/>
        <stp>##V3_BDHV12</stp>
        <stp>XOM US Equity</stp>
        <stp>CF_CASH_FOR_ACQUIS_SUBSIDIARIES</stp>
        <stp>FQ4 2014</stp>
        <stp>FQ4 2014</stp>
        <stp>[FA1_m42y3cpi.xlsx]Cash Flow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4"/>
      </tp>
      <tp>
        <v>0</v>
        <stp/>
        <stp>##V3_BDHV12</stp>
        <stp>XOM US Equity</stp>
        <stp>CF_CASH_FOR_ACQUIS_SUBSIDIARIES</stp>
        <stp>FQ2 2018</stp>
        <stp>FQ2 2018</stp>
        <stp>[FA1_m42y3cpi.xlsx]Cash Flow - Standardized!R32C42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4"/>
      </tp>
      <tp>
        <v>206</v>
        <stp/>
        <stp>##V3_BDHV12</stp>
        <stp>XOM US Equity</stp>
        <stp>DISP_FXD_&amp;_INTANGIBLES_DETAILED</stp>
        <stp>FQ3 2013</stp>
        <stp>FQ3 2013</stp>
        <stp>[FA1_m42y3cpi.xlsx]Cash Flow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4"/>
      </tp>
      <tp>
        <v>769</v>
        <stp/>
        <stp>##V3_BDHV12</stp>
        <stp>XOM US Equity</stp>
        <stp>CF_PROC_LT_DEBT_&amp;_CAPITAL_LEASE</stp>
        <stp>FQ4 2010</stp>
        <stp>FQ4 2010</stp>
        <stp>[FA1_m42y3cpi.xlsx]Cash Flow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4"/>
      </tp>
      <tp>
        <v>127</v>
        <stp/>
        <stp>##V3_BDHV12</stp>
        <stp>XOM US Equity</stp>
        <stp>DISP_FXD_&amp;_INTANGIBLES_DETAILED</stp>
        <stp>FQ3 2014</stp>
        <stp>FQ3 2014</stp>
        <stp>[FA1_m42y3cpi.xlsx]Cash Flow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4"/>
      </tp>
      <tp>
        <v>1029</v>
        <stp/>
        <stp>##V3_BDHV12</stp>
        <stp>XOM US Equity</stp>
        <stp>DISP_FXD_&amp;_INTANGIBLES_DETAILED</stp>
        <stp>FQ2 2016</stp>
        <stp>FQ2 2016</stp>
        <stp>[FA1_m42y3cpi.xlsx]Cash Flow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4"/>
      </tp>
      <tp>
        <v>2.09</v>
        <stp/>
        <stp>##V3_BDHV12</stp>
        <stp>XOM US Equity</stp>
        <stp>IS_BASIC_EPS_CONT_OPS</stp>
        <stp>FQ3 2012</stp>
        <stp>FQ3 2012</stp>
        <stp>[FA1_m42y3cpi.xlsx]Per Share!R16C19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6" s="5"/>
      </tp>
      <tp>
        <v>63.56</v>
        <stp/>
        <stp>##V3_BDHV12</stp>
        <stp>XOM US Equity</stp>
        <stp>PX_LOW</stp>
        <stp>FQ1 2010</stp>
        <stp>FQ1 2010</stp>
        <stp>[FA1_m42y3cpi.xlsx]Stock Value!R10C9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0" s="6"/>
      </tp>
      <tp>
        <v>-1021</v>
        <stp/>
        <stp>##V3_BDHV12</stp>
        <stp>XOM US Equity</stp>
        <stp>CF_CHNG_NON_CASH_WORK_CAP</stp>
        <stp>FQ2 2017</stp>
        <stp>FQ2 2017</stp>
        <stp>[FA1_m42y3cpi.xlsx]Cash Flow - Standardized!R13C38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3" s="4"/>
      </tp>
      <tp>
        <v>-1024</v>
        <stp/>
        <stp>##V3_BDHV12</stp>
        <stp>XOM US Equity</stp>
        <stp>CF_CHNG_NON_CASH_WORK_CAP</stp>
        <stp>FQ2 2015</stp>
        <stp>FQ2 2015</stp>
        <stp>[FA1_m42y3cpi.xlsx]Cash Flow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4"/>
      </tp>
      <tp>
        <v>-0.34689999999999999</v>
        <stp/>
        <stp>##V3_BDHV12</stp>
        <stp>XOM US Equity</stp>
        <stp>FREE_CASH_FLOW_PER_SH</stp>
        <stp>FQ4 2014</stp>
        <stp>FQ4 2014</stp>
        <stp>[FA1_m42y3cpi.xlsx]Per Share!R23C28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3" s="5"/>
      </tp>
      <tp>
        <v>0.27400000000000002</v>
        <stp/>
        <stp>##V3_BDHV12</stp>
        <stp>XOM US Equity</stp>
        <stp>FREE_CASH_FLOW_PER_SH</stp>
        <stp>FQ1 2015</stp>
        <stp>FQ1 2015</stp>
        <stp>[FA1_m42y3cpi.xlsx]Per Share!R23C29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3" s="5"/>
      </tp>
      <tp>
        <v>286</v>
        <stp/>
        <stp>##V3_BDHV12</stp>
        <stp>XOM US Equity</stp>
        <stp>CF_CHNG_NON_CASH_WORK_CAP</stp>
        <stp>FQ3 2013</stp>
        <stp>FQ3 2013</stp>
        <stp>[FA1_m42y3cpi.xlsx]Cash Flow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4"/>
      </tp>
      <tp>
        <v>-463</v>
        <stp/>
        <stp>##V3_BDHV12</stp>
        <stp>XOM US Equity</stp>
        <stp>CF_CHNG_NON_CASH_WORK_CAP</stp>
        <stp>FQ3 2014</stp>
        <stp>FQ3 2014</stp>
        <stp>[FA1_m42y3cpi.xlsx]Cash Flow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4"/>
      </tp>
      <tp>
        <v>-1326</v>
        <stp/>
        <stp>##V3_BDHV12</stp>
        <stp>XOM US Equity</stp>
        <stp>CF_CHNG_NON_CASH_WORK_CAP</stp>
        <stp>FQ2 2016</stp>
        <stp>FQ2 2016</stp>
        <stp>[FA1_m42y3cpi.xlsx]Cash Flow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4"/>
      </tp>
      <tp>
        <v>3132</v>
        <stp/>
        <stp>##V3_BDHV12</stp>
        <stp>XOM US Equity</stp>
        <stp>IS_SG&amp;A_EXPENSE</stp>
        <stp>FQ1 2014</stp>
        <stp>FQ1 2014</stp>
        <stp>[FA1_m42y3cpi.xlsx]Income - Adjusted!R14C25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4" s="2"/>
      </tp>
      <tp>
        <v>3268</v>
        <stp/>
        <stp>##V3_BDHV12</stp>
        <stp>XOM US Equity</stp>
        <stp>IS_SG&amp;A_EXPENSE</stp>
        <stp>FQ2 2013</stp>
        <stp>FQ2 2013</stp>
        <stp>[FA1_m42y3cpi.xlsx]Income - Adjusted!R14C22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4" s="2"/>
      </tp>
      <tp>
        <v>3707</v>
        <stp/>
        <stp>##V3_BDHV12</stp>
        <stp>XOM US Equity</stp>
        <stp>IS_SG&amp;A_EXPENSE</stp>
        <stp>FQ3 2010</stp>
        <stp>FQ3 2010</stp>
        <stp>[FA1_m42y3cpi.xlsx]Income - Adjusted!R14C11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4" s="2"/>
      </tp>
      <tp>
        <v>0.86150000000000004</v>
        <stp/>
        <stp>##V3_BDHV12</stp>
        <stp>XOM US Equity</stp>
        <stp>CUR_RATIO</stp>
        <stp>FQ3 2015</stp>
        <stp>FQ3 2015</stp>
        <stp>[FA1_m42y3cpi.xlsx]Bal Sheet - Standardized!R89C31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9" s="3"/>
      </tp>
      <tp>
        <v>0.88480000000000003</v>
        <stp/>
        <stp>##V3_BDHV12</stp>
        <stp>XOM US Equity</stp>
        <stp>CUR_RATIO</stp>
        <stp>FQ2 2015</stp>
        <stp>FQ2 2015</stp>
        <stp>[FA1_m42y3cpi.xlsx]Bal Sheet - Standardized!R89C30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9" s="3"/>
      </tp>
      <tp>
        <v>0.9254</v>
        <stp/>
        <stp>##V3_BDHV12</stp>
        <stp>XOM US Equity</stp>
        <stp>CUR_RATIO</stp>
        <stp>FQ3 2011</stp>
        <stp>FQ3 2011</stp>
        <stp>[FA1_m42y3cpi.xlsx]Bal Sheet - Standardized!R89C15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9" s="3"/>
      </tp>
      <tp>
        <v>0.97009999999999996</v>
        <stp/>
        <stp>##V3_BDHV12</stp>
        <stp>XOM US Equity</stp>
        <stp>CUR_RATIO</stp>
        <stp>FQ2 2011</stp>
        <stp>FQ2 2011</stp>
        <stp>[FA1_m42y3cpi.xlsx]Bal Sheet - Standardized!R89C14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9" s="3"/>
      </tp>
      <tp>
        <v>205</v>
        <stp/>
        <stp>##V3_BDHV12</stp>
        <stp>XOM US Equity</stp>
        <stp>EBITA</stp>
        <stp>FQ1 2016</stp>
        <stp>FQ1 2016</stp>
        <stp>[FA1_m42y3cpi.xlsx]Income - Adjusted!R63C33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3" s="2"/>
      </tp>
      <tp>
        <v>12758</v>
        <stp/>
        <stp>##V3_BDHV12</stp>
        <stp>XOM US Equity</stp>
        <stp>EBITA</stp>
        <stp>FQ1 2012</stp>
        <stp>FQ1 2012</stp>
        <stp>[FA1_m42y3cpi.xlsx]Income - Adjusted!R63C17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3" s="2"/>
      </tp>
      <tp>
        <v>4286</v>
        <stp/>
        <stp>##V3_BDHV12</stp>
        <stp>XOM US Equity</stp>
        <stp>EBITA</stp>
        <stp>FQ2 2015</stp>
        <stp>FQ2 2015</stp>
        <stp>[FA1_m42y3cpi.xlsx]Income - Adjusted!R63C30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3" s="2"/>
      </tp>
      <tp>
        <v>14572</v>
        <stp/>
        <stp>##V3_BDHV12</stp>
        <stp>XOM US Equity</stp>
        <stp>EBITA</stp>
        <stp>FQ2 2011</stp>
        <stp>FQ2 2011</stp>
        <stp>[FA1_m42y3cpi.xlsx]Income - Adjusted!R63C14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3" s="2"/>
      </tp>
      <tp>
        <v>0</v>
        <stp/>
        <stp>##V3_BDHV12</stp>
        <stp>XOM US Equity</stp>
        <stp>INVTRY_RAW_MATERIALS</stp>
        <stp>FQ2 2011</stp>
        <stp>FQ2 2011</stp>
        <stp>[FA1_m42y3cpi.xlsx]Bal Sheet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3"/>
      </tp>
      <tp>
        <v>0</v>
        <stp/>
        <stp>##V3_BDHV12</stp>
        <stp>XOM US Equity</stp>
        <stp>INVTRY_RAW_MATERIALS</stp>
        <stp>FQ1 2014</stp>
        <stp>FQ1 2014</stp>
        <stp>[FA1_m42y3cpi.xlsx]Bal Sheet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3"/>
      </tp>
      <tp>
        <v>0</v>
        <stp/>
        <stp>##V3_BDHV12</stp>
        <stp>XOM US Equity</stp>
        <stp>INVTRY_RAW_MATERIALS</stp>
        <stp>FQ1 2013</stp>
        <stp>FQ1 2013</stp>
        <stp>[FA1_m42y3cpi.xlsx]Bal Sheet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3"/>
      </tp>
      <tp>
        <v>0</v>
        <stp/>
        <stp>##V3_BDHV12</stp>
        <stp>XOM US Equity</stp>
        <stp>INVTRY_RAW_MATERIALS</stp>
        <stp>FQ2 2010</stp>
        <stp>FQ2 2010</stp>
        <stp>[FA1_m42y3cpi.xlsx]Bal Sheet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3"/>
      </tp>
      <tp>
        <v>0</v>
        <stp/>
        <stp>##V3_BDHV12</stp>
        <stp>XOM US Equity</stp>
        <stp>INVTRY_RAW_MATERIALS</stp>
        <stp>FQ1 2015</stp>
        <stp>FQ1 2015</stp>
        <stp>[FA1_m42y3cpi.xlsx]Bal Sheet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3"/>
      </tp>
      <tp>
        <v>0</v>
        <stp/>
        <stp>##V3_BDHV12</stp>
        <stp>XOM US Equity</stp>
        <stp>INVTRY_RAW_MATERIALS</stp>
        <stp>FQ2 2012</stp>
        <stp>FQ2 2012</stp>
        <stp>[FA1_m42y3cpi.xlsx]Bal Sheet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3"/>
      </tp>
      <tp t="s">
        <v>—</v>
        <stp/>
        <stp>##V3_BDHV12</stp>
        <stp>XOM US Equity</stp>
        <stp>IS_NET_INTEREST_EXPENSE</stp>
        <stp>FQ1 2018</stp>
        <stp>FQ1 2018</stp>
        <stp>[FA1_m42y3cpi.xlsx]Income - Adjusted!R18C41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8" s="2"/>
      </tp>
      <tp>
        <v>4849</v>
        <stp/>
        <stp>##V3_BDHV12</stp>
        <stp>XOM US Equity</stp>
        <stp>BS_LT_INVEST</stp>
        <stp>FQ4 2016</stp>
        <stp>FQ4 2016</stp>
        <stp>[FA1_m42y3cpi.xlsx]Bal Sheet - Standardized!R26C36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3"/>
      </tp>
      <tp t="s">
        <v>—</v>
        <stp/>
        <stp>##V3_BDHV12</stp>
        <stp>XOM US Equity</stp>
        <stp>CF_NET_CASH_PAID_FOR_AQUIS</stp>
        <stp>FQ4 2012</stp>
        <stp>FQ4 2012</stp>
        <stp>[FA1_m42y3cpi.xlsx]Cash Flow - Standardized!R61C20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1" s="4"/>
      </tp>
      <tp>
        <v>12227</v>
        <stp/>
        <stp>##V3_BDHV12</stp>
        <stp>XOM US Equity</stp>
        <stp>BS_LT_BORROW</stp>
        <stp>FQ4 2010</stp>
        <stp>FQ4 2010</stp>
        <stp>[FA1_m42y3cpi.xlsx]Bal Sheet - Standardized!R56C12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6" s="3"/>
      </tp>
      <tp>
        <v>258089</v>
        <stp/>
        <stp>##V3_BDHV12</stp>
        <stp>XOM US Equity</stp>
        <stp>BS_TOT_NON_CUR_ASSET</stp>
        <stp>FQ4 2011</stp>
        <stp>FQ4 2011</stp>
        <stp>[FA1_m42y3cpi.xlsx]Bal Sheet - Standardized!R38C16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8" s="3"/>
      </tp>
      <tp>
        <v>9322</v>
        <stp/>
        <stp>##V3_BDHV12</stp>
        <stp>XOM US Equity</stp>
        <stp>BS_LT_BORROW</stp>
        <stp>FQ4 2011</stp>
        <stp>FQ4 2011</stp>
        <stp>[FA1_m42y3cpi.xlsx]Bal Sheet - Standardized!R56C16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6" s="3"/>
      </tp>
      <tp t="s">
        <v>—</v>
        <stp/>
        <stp>##V3_BDHV12</stp>
        <stp>XOM US Equity</stp>
        <stp>CF_NET_CASH_PAID_FOR_AQUIS</stp>
        <stp>FQ4 2013</stp>
        <stp>FQ4 2013</stp>
        <stp>[FA1_m42y3cpi.xlsx]Cash Flow - Standardized!R61C24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1" s="4"/>
      </tp>
      <tp>
        <v>243526</v>
        <stp/>
        <stp>##V3_BDHV12</stp>
        <stp>XOM US Equity</stp>
        <stp>BS_TOT_NON_CUR_ASSET</stp>
        <stp>FQ4 2010</stp>
        <stp>FQ4 2010</stp>
        <stp>[FA1_m42y3cpi.xlsx]Bal Sheet - Standardized!R38C12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8" s="3"/>
      </tp>
      <tp>
        <v>4798</v>
        <stp/>
        <stp>##V3_BDHV12</stp>
        <stp>XOM US Equity</stp>
        <stp>BS_LT_INVEST</stp>
        <stp>FQ4 2015</stp>
        <stp>FQ4 2015</stp>
        <stp>[FA1_m42y3cpi.xlsx]Bal Sheet - Standardized!R26C32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3"/>
      </tp>
      <tp>
        <v>300511</v>
        <stp/>
        <stp>##V3_BDHV12</stp>
        <stp>XOM US Equity</stp>
        <stp>BS_TOT_NON_CUR_ASSET</stp>
        <stp>FQ1 2018</stp>
        <stp>FQ1 2018</stp>
        <stp>[FA1_m42y3cpi.xlsx]Bal Sheet - Standardized!R38C41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8" s="3"/>
      </tp>
      <tp t="s">
        <v>—</v>
        <stp/>
        <stp>##V3_BDHV12</stp>
        <stp>XOM US Equity</stp>
        <stp>IS_SALE_OF_BUSINESS</stp>
        <stp>FQ2 2009</stp>
        <stp>FQ2 2009</stp>
        <stp>[FA1_m42y3cpi.xlsx]Income - Adjusted!R29C6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2"/>
      </tp>
      <tp>
        <v>3280</v>
        <stp/>
        <stp>##V3_BDHV12</stp>
        <stp>XOM US Equity</stp>
        <stp>IS_DEPR_EXP</stp>
        <stp>FQ1 2010</stp>
        <stp>FQ1 2010</stp>
        <stp>[FA1_m42y3cpi.xlsx]Income - Adjusted!R71C9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1" s="2"/>
      </tp>
      <tp t="s">
        <v>—</v>
        <stp/>
        <stp>##V3_BDHV12</stp>
        <stp>XOM US Equity</stp>
        <stp>CF_NET_CASH_PAID_FOR_AQUIS</stp>
        <stp>FQ2 2018</stp>
        <stp>FQ2 2018</stp>
        <stp>[FA1_m42y3cpi.xlsx]Cash Flow - Standardized!R61C42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1" s="4"/>
      </tp>
      <tp>
        <v>0</v>
        <stp/>
        <stp>##V3_BDHV12</stp>
        <stp>XOM US Equity</stp>
        <stp>CF_NET_CASH_PAID_FOR_AQUIS</stp>
        <stp>FQ4 2014</stp>
        <stp>FQ4 2014</stp>
        <stp>[FA1_m42y3cpi.xlsx]Cash Flow - Standardized!R61C28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1" s="4"/>
      </tp>
      <tp>
        <v>20781</v>
        <stp/>
        <stp>##V3_BDHV12</stp>
        <stp>XOM US Equity</stp>
        <stp>BS_LT_BORROW</stp>
        <stp>FQ1 2018</stp>
        <stp>FQ1 2018</stp>
        <stp>[FA1_m42y3cpi.xlsx]Bal Sheet - Standardized!R56C41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6" s="3"/>
      </tp>
      <tp>
        <v>0</v>
        <stp/>
        <stp>##V3_BDHV12</stp>
        <stp>XOM US Equity</stp>
        <stp>BS_MKT_SEC_OTHER_ST_INVEST</stp>
        <stp>FQ4 2015</stp>
        <stp>FQ4 2015</stp>
        <stp>[FA1_m42y3cpi.xlsx]Bal Sheet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3"/>
      </tp>
      <tp>
        <v>0</v>
        <stp/>
        <stp>##V3_BDHV12</stp>
        <stp>XOM US Equity</stp>
        <stp>BS_MKT_SEC_OTHER_ST_INVEST</stp>
        <stp>FQ3 2016</stp>
        <stp>FQ3 2016</stp>
        <stp>[FA1_m42y3cpi.xlsx]Bal Sheet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3"/>
      </tp>
      <tp>
        <v>0</v>
        <stp/>
        <stp>##V3_BDHV12</stp>
        <stp>XOM US Equity</stp>
        <stp>BS_MKT_SEC_OTHER_ST_INVEST</stp>
        <stp>FQ2 2016</stp>
        <stp>FQ2 2016</stp>
        <stp>[FA1_m42y3cpi.xlsx]Bal Sheet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3"/>
      </tp>
      <tp>
        <v>0</v>
        <stp/>
        <stp>##V3_BDHV12</stp>
        <stp>XOM US Equity</stp>
        <stp>BS_MKT_SEC_OTHER_ST_INVEST</stp>
        <stp>FQ1 2017</stp>
        <stp>FQ1 2017</stp>
        <stp>[FA1_m42y3cpi.xlsx]Bal Sheet - Standardized!R9C37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9" s="3"/>
      </tp>
      <tp>
        <v>15.5467</v>
        <stp/>
        <stp>##V3_BDHV12</stp>
        <stp>XOM US Equity</stp>
        <stp>NET_DEBT_TO_SHRHLDR_EQTY</stp>
        <stp>FQ1 2015</stp>
        <stp>FQ1 2015</stp>
        <stp>[FA1_m42y3cpi.xlsx]Bal Sheet - Standardized!R87C29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7" s="3"/>
      </tp>
      <tp>
        <v>20.3903</v>
        <stp/>
        <stp>##V3_BDHV12</stp>
        <stp>XOM US Equity</stp>
        <stp>NET_DEBT_TO_SHRHLDR_EQTY</stp>
        <stp>FQ2 2017</stp>
        <stp>FQ2 2017</stp>
        <stp>[FA1_m42y3cpi.xlsx]Bal Sheet - Standardized!R87C38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7" s="3"/>
      </tp>
      <tp>
        <v>19.209499999999998</v>
        <stp/>
        <stp>##V3_BDHV12</stp>
        <stp>XOM US Equity</stp>
        <stp>NET_DEBT_TO_SHRHLDR_EQTY</stp>
        <stp>FQ3 2017</stp>
        <stp>FQ3 2017</stp>
        <stp>[FA1_m42y3cpi.xlsx]Bal Sheet - Standardized!R87C39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7" s="3"/>
      </tp>
      <tp>
        <v>0</v>
        <stp/>
        <stp>##V3_BDHV12</stp>
        <stp>XOM US Equity</stp>
        <stp>BS_MKT_SEC_OTHER_ST_INVEST</stp>
        <stp>FQ4 2016</stp>
        <stp>FQ4 2016</stp>
        <stp>[FA1_m42y3cpi.xlsx]Bal Sheet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3"/>
      </tp>
      <tp>
        <v>0</v>
        <stp/>
        <stp>##V3_BDHV12</stp>
        <stp>XOM US Equity</stp>
        <stp>BS_MKT_SEC_OTHER_ST_INVEST</stp>
        <stp>FQ2 2015</stp>
        <stp>FQ2 2015</stp>
        <stp>[FA1_m42y3cpi.xlsx]Bal Sheet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3"/>
      </tp>
      <tp>
        <v>0</v>
        <stp/>
        <stp>##V3_BDHV12</stp>
        <stp>XOM US Equity</stp>
        <stp>BS_MKT_SEC_OTHER_ST_INVEST</stp>
        <stp>FQ1 2016</stp>
        <stp>FQ1 2016</stp>
        <stp>[FA1_m42y3cpi.xlsx]Bal Sheet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3"/>
      </tp>
      <tp>
        <v>0</v>
        <stp/>
        <stp>##V3_BDHV12</stp>
        <stp>XOM US Equity</stp>
        <stp>BS_MKT_SEC_OTHER_ST_INVEST</stp>
        <stp>FQ3 2015</stp>
        <stp>FQ3 2015</stp>
        <stp>[FA1_m42y3cpi.xlsx]Bal Sheet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3"/>
      </tp>
      <tp>
        <v>0</v>
        <stp/>
        <stp>##V3_BDHV12</stp>
        <stp>XOM US Equity</stp>
        <stp>BS_MKT_SEC_OTHER_ST_INVEST</stp>
        <stp>FQ2 2017</stp>
        <stp>FQ2 2017</stp>
        <stp>[FA1_m42y3cpi.xlsx]Bal Sheet - Standardized!R9C38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9" s="3"/>
      </tp>
      <tp>
        <v>0</v>
        <stp/>
        <stp>##V3_BDHV12</stp>
        <stp>XOM US Equity</stp>
        <stp>BS_MKT_SEC_OTHER_ST_INVEST</stp>
        <stp>FQ3 2017</stp>
        <stp>FQ3 2017</stp>
        <stp>[FA1_m42y3cpi.xlsx]Bal Sheet - Standardized!R9C39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9" s="3"/>
      </tp>
      <tp>
        <v>0</v>
        <stp/>
        <stp>##V3_BDHV12</stp>
        <stp>XOM US Equity</stp>
        <stp>CF_CASH_FOR_ACQUIS_SUBSIDIARIES</stp>
        <stp>FQ4 2015</stp>
        <stp>FQ4 2015</stp>
        <stp>[FA1_m42y3cpi.xlsx]Cash Flow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4"/>
      </tp>
      <tp>
        <v>4271</v>
        <stp/>
        <stp>##V3_BDHV12</stp>
        <stp>XOM US Equity</stp>
        <stp>IS_AVG_NUM_SH_FOR_EPS</stp>
        <stp>FQ2 2018</stp>
        <stp>FQ2 2018</stp>
        <stp>[FA1_m42y3cpi.xlsx]Income - Adjusted!R49C42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9" s="2"/>
      </tp>
      <tp>
        <v>4656</v>
        <stp/>
        <stp>##V3_BDHV12</stp>
        <stp>XOM US Equity</stp>
        <stp>IS_AVG_NUM_SH_FOR_EPS</stp>
        <stp>FQ2 2012</stp>
        <stp>FQ2 2012</stp>
        <stp>[FA1_m42y3cpi.xlsx]Income - Adjusted!R49C18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9" s="2"/>
      </tp>
      <tp>
        <v>-311</v>
        <stp/>
        <stp>##V3_BDHV12</stp>
        <stp>XOM US Equity</stp>
        <stp>IS_OTHER_NON_OPERATING_INC_LOSS</stp>
        <stp>FQ4 2009</stp>
        <stp>FQ4 2009</stp>
        <stp>[FA1_m42y3cpi.xlsx]Income - Adjusted!R23C8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3" s="2"/>
      </tp>
      <tp>
        <v>854</v>
        <stp/>
        <stp>##V3_BDHV12</stp>
        <stp>XOM US Equity</stp>
        <stp>DISP_FXD_&amp;_INTANGIBLES_DETAILED</stp>
        <stp>FQ3 2017</stp>
        <stp>FQ3 2017</stp>
        <stp>[FA1_m42y3cpi.xlsx]Cash Flow - Standardized!R21C39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4"/>
      </tp>
      <tp>
        <v>0.63</v>
        <stp/>
        <stp>##V3_BDHV12</stp>
        <stp>XOM US Equity</stp>
        <stp>EQY_DPS</stp>
        <stp>FQ1 2014</stp>
        <stp>FQ1 2014</stp>
        <stp>[FA1_m42y3cpi.xlsx]Per Share!R20C25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0" s="5"/>
      </tp>
      <tp>
        <v>0.63</v>
        <stp/>
        <stp>##V3_BDHV12</stp>
        <stp>XOM US Equity</stp>
        <stp>EQY_DPS</stp>
        <stp>FQ2 2013</stp>
        <stp>FQ2 2013</stp>
        <stp>[FA1_m42y3cpi.xlsx]Per Share!R20C22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0" s="5"/>
      </tp>
      <tp>
        <v>0.44</v>
        <stp/>
        <stp>##V3_BDHV12</stp>
        <stp>XOM US Equity</stp>
        <stp>EQY_DPS</stp>
        <stp>FQ3 2010</stp>
        <stp>FQ3 2010</stp>
        <stp>[FA1_m42y3cpi.xlsx]Per Share!R20C11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0" s="5"/>
      </tp>
      <tp>
        <v>0</v>
        <stp/>
        <stp>##V3_BDHV12</stp>
        <stp>XOM US Equity</stp>
        <stp>CF_CASH_FOR_ACQUIS_SUBSIDIARIES</stp>
        <stp>FQ4 2016</stp>
        <stp>FQ4 2016</stp>
        <stp>[FA1_m42y3cpi.xlsx]Cash Flow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4"/>
      </tp>
      <tp>
        <v>491</v>
        <stp/>
        <stp>##V3_BDHV12</stp>
        <stp>XOM US Equity</stp>
        <stp>DISP_FXD_&amp;_INTANGIBLES_DETAILED</stp>
        <stp>FQ3 2015</stp>
        <stp>FQ3 2015</stp>
        <stp>[FA1_m42y3cpi.xlsx]Cash Flow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4"/>
      </tp>
      <tp>
        <v>2513</v>
        <stp/>
        <stp>##V3_BDHV12</stp>
        <stp>XOM US Equity</stp>
        <stp>DISP_FXD_&amp;_INTANGIBLES_DETAILED</stp>
        <stp>FQ1 2012</stp>
        <stp>FQ1 2012</stp>
        <stp>[FA1_m42y3cpi.xlsx]Cash Flow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4"/>
      </tp>
      <tp>
        <v>1408</v>
        <stp/>
        <stp>##V3_BDHV12</stp>
        <stp>XOM US Equity</stp>
        <stp>DISP_FXD_&amp;_INTANGIBLES_DETAILED</stp>
        <stp>FQ4 2017</stp>
        <stp>FQ4 2017</stp>
        <stp>[FA1_m42y3cpi.xlsx]Cash Flow - Standardized!R21C40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4"/>
      </tp>
      <tp>
        <v>1341</v>
        <stp/>
        <stp>##V3_BDHV12</stp>
        <stp>XOM US Equity</stp>
        <stp>DISP_FXD_&amp;_INTANGIBLES_DETAILED</stp>
        <stp>FQ1 2011</stp>
        <stp>FQ1 2011</stp>
        <stp>[FA1_m42y3cpi.xlsx]Cash Flow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4"/>
      </tp>
      <tp>
        <v>305</v>
        <stp/>
        <stp>##V3_BDHV12</stp>
        <stp>XOM US Equity</stp>
        <stp>DISP_FXD_&amp;_INTANGIBLES_DETAILED</stp>
        <stp>FQ2 2013</stp>
        <stp>FQ2 2013</stp>
        <stp>[FA1_m42y3cpi.xlsx]Cash Flow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4"/>
      </tp>
      <tp>
        <v>2556</v>
        <stp/>
        <stp>##V3_BDHV12</stp>
        <stp>XOM US Equity</stp>
        <stp>DISP_FXD_&amp;_INTANGIBLES_DETAILED</stp>
        <stp>FQ2 2014</stp>
        <stp>FQ2 2014</stp>
        <stp>[FA1_m42y3cpi.xlsx]Cash Flow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4"/>
      </tp>
      <tp>
        <v>976</v>
        <stp/>
        <stp>##V3_BDHV12</stp>
        <stp>XOM US Equity</stp>
        <stp>DISP_FXD_&amp;_INTANGIBLES_DETAILED</stp>
        <stp>FQ3 2016</stp>
        <stp>FQ3 2016</stp>
        <stp>[FA1_m42y3cpi.xlsx]Cash Flow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4"/>
      </tp>
      <tp>
        <v>0</v>
        <stp/>
        <stp>##V3_BDHV12</stp>
        <stp>XOM US Equity</stp>
        <stp>CF_NET_CASH_DISCONTINUED_OPS_FIN</stp>
        <stp>FQ4 2009</stp>
        <stp>FQ4 2009</stp>
        <stp>[FA1_m42y3cpi.xlsx]Cash Flow - Standardized!R48C8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4"/>
      </tp>
      <tp>
        <v>0</v>
        <stp/>
        <stp>##V3_BDHV12</stp>
        <stp>XOM US Equity</stp>
        <stp>CF_NET_CASH_DISCONTINUED_OPS_FIN</stp>
        <stp>FQ1 2010</stp>
        <stp>FQ1 2010</stp>
        <stp>[FA1_m42y3cpi.xlsx]Cash Flow - Standardized!R48C9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4"/>
      </tp>
      <tp>
        <v>0.92</v>
        <stp/>
        <stp>##V3_BDHV12</stp>
        <stp>XOM US Equity</stp>
        <stp>IS_BASIC_EPS_CONT_OPS</stp>
        <stp>FQ2 2018</stp>
        <stp>FQ2 2018</stp>
        <stp>[FA1_m42y3cpi.xlsx]Per Share!R16C42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6" s="5"/>
      </tp>
      <tp>
        <v>1.8063</v>
        <stp/>
        <stp>##V3_BDHV12</stp>
        <stp>XOM US Equity</stp>
        <stp>IS_BASIC_EPS_CONT_OPS</stp>
        <stp>FQ2 2012</stp>
        <stp>FQ2 2012</stp>
        <stp>[FA1_m42y3cpi.xlsx]Per Share!R16C18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6" s="5"/>
      </tp>
      <tp>
        <v>0</v>
        <stp/>
        <stp>##V3_BDHV12</stp>
        <stp>XOM US Equity</stp>
        <stp>CF_NET_CASH_DISCONTINUED_OPS_FIN</stp>
        <stp>FQ3 2009</stp>
        <stp>FQ3 2009</stp>
        <stp>[FA1_m42y3cpi.xlsx]Cash Flow - Standardized!R48C7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4"/>
      </tp>
      <tp>
        <v>0</v>
        <stp/>
        <stp>##V3_BDHV12</stp>
        <stp>XOM US Equity</stp>
        <stp>CF_NET_CASH_DISCONTINUED_OPS_FIN</stp>
        <stp>FQ2 2009</stp>
        <stp>FQ2 2009</stp>
        <stp>[FA1_m42y3cpi.xlsx]Cash Flow - Standardized!R48C6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4"/>
      </tp>
      <tp>
        <v>0</v>
        <stp/>
        <stp>##V3_BDHV12</stp>
        <stp>XOM US Equity</stp>
        <stp>CF_NET_CASH_DISCONTINUED_OPS_FIN</stp>
        <stp>FQ1 2009</stp>
        <stp>FQ1 2009</stp>
        <stp>[FA1_m42y3cpi.xlsx]Cash Flow - Standardized!R48C5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4"/>
      </tp>
      <tp t="s">
        <v>—</v>
        <stp/>
        <stp>##V3_BDHV12</stp>
        <stp>XOM US Equity</stp>
        <stp>CF_NET_CASH_DISCONTINUED_OPS_FIN</stp>
        <stp>FQ4 2008</stp>
        <stp>FQ4 2008</stp>
        <stp>[FA1_m42y3cpi.xlsx]Cash Flow - Standardized!R48C4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4"/>
      </tp>
      <tp t="s">
        <v>—</v>
        <stp/>
        <stp>##V3_BDHV12</stp>
        <stp>XOM US Equity</stp>
        <stp>CF_NET_CASH_DISCONTINUED_OPS_FIN</stp>
        <stp>FQ3 2008</stp>
        <stp>FQ3 2008</stp>
        <stp>[FA1_m42y3cpi.xlsx]Cash Flow - Standardized!R48C3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4"/>
      </tp>
      <tp>
        <v>-319</v>
        <stp/>
        <stp>##V3_BDHV12</stp>
        <stp>XOM US Equity</stp>
        <stp>CF_CHNG_NON_CASH_WORK_CAP</stp>
        <stp>FQ3 2017</stp>
        <stp>FQ3 2017</stp>
        <stp>[FA1_m42y3cpi.xlsx]Cash Flow - Standardized!R13C39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3" s="4"/>
      </tp>
      <tp>
        <v>66.11</v>
        <stp/>
        <stp>##V3_BDHV12</stp>
        <stp>XOM US Equity</stp>
        <stp>PX_LOW</stp>
        <stp>FQ4 2009</stp>
        <stp>FQ4 2009</stp>
        <stp>[FA1_m42y3cpi.xlsx]Stock Value!R10C8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0" s="6"/>
      </tp>
      <tp>
        <v>496</v>
        <stp/>
        <stp>##V3_BDHV12</stp>
        <stp>XOM US Equity</stp>
        <stp>CF_CHNG_NON_CASH_WORK_CAP</stp>
        <stp>FQ3 2015</stp>
        <stp>FQ3 2015</stp>
        <stp>[FA1_m42y3cpi.xlsx]Cash Flow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4"/>
      </tp>
      <tp>
        <v>5792</v>
        <stp/>
        <stp>##V3_BDHV12</stp>
        <stp>XOM US Equity</stp>
        <stp>CF_CHNG_NON_CASH_WORK_CAP</stp>
        <stp>FQ1 2012</stp>
        <stp>FQ1 2012</stp>
        <stp>[FA1_m42y3cpi.xlsx]Cash Flow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4"/>
      </tp>
      <tp>
        <v>2887</v>
        <stp/>
        <stp>##V3_BDHV12</stp>
        <stp>XOM US Equity</stp>
        <stp>CF_CHNG_NON_CASH_WORK_CAP</stp>
        <stp>FQ1 2011</stp>
        <stp>FQ1 2011</stp>
        <stp>[FA1_m42y3cpi.xlsx]Cash Flow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4"/>
      </tp>
      <tp>
        <v>-5283</v>
        <stp/>
        <stp>##V3_BDHV12</stp>
        <stp>XOM US Equity</stp>
        <stp>CF_CHNG_NON_CASH_WORK_CAP</stp>
        <stp>FQ2 2013</stp>
        <stp>FQ2 2013</stp>
        <stp>[FA1_m42y3cpi.xlsx]Cash Flow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4"/>
      </tp>
      <tp>
        <v>-102</v>
        <stp/>
        <stp>##V3_BDHV12</stp>
        <stp>XOM US Equity</stp>
        <stp>CF_CHNG_NON_CASH_WORK_CAP</stp>
        <stp>FQ4 2017</stp>
        <stp>FQ4 2017</stp>
        <stp>[FA1_m42y3cpi.xlsx]Cash Flow - Standardized!R13C40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3" s="4"/>
      </tp>
      <tp>
        <v>-2449</v>
        <stp/>
        <stp>##V3_BDHV12</stp>
        <stp>XOM US Equity</stp>
        <stp>CF_CHNG_NON_CASH_WORK_CAP</stp>
        <stp>FQ2 2014</stp>
        <stp>FQ2 2014</stp>
        <stp>[FA1_m42y3cpi.xlsx]Cash Flow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4"/>
      </tp>
      <tp>
        <v>-661</v>
        <stp/>
        <stp>##V3_BDHV12</stp>
        <stp>XOM US Equity</stp>
        <stp>CF_CHNG_NON_CASH_WORK_CAP</stp>
        <stp>FQ3 2016</stp>
        <stp>FQ3 2016</stp>
        <stp>[FA1_m42y3cpi.xlsx]Cash Flow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4"/>
      </tp>
      <tp>
        <v>2599</v>
        <stp/>
        <stp>##V3_BDHV12</stp>
        <stp>XOM US Equity</stp>
        <stp>IS_SG&amp;A_EXPENSE</stp>
        <stp>FQ1 2017</stp>
        <stp>FQ1 2017</stp>
        <stp>[FA1_m42y3cpi.xlsx]Income - Adjusted!R14C37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4" s="2"/>
      </tp>
      <tp>
        <v>3607</v>
        <stp/>
        <stp>##V3_BDHV12</stp>
        <stp>XOM US Equity</stp>
        <stp>IS_SG&amp;A_EXPENSE</stp>
        <stp>FQ2 2010</stp>
        <stp>FQ2 2010</stp>
        <stp>[FA1_m42y3cpi.xlsx]Income - Adjusted!R14C10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4" s="2"/>
      </tp>
      <tp>
        <v>3150</v>
        <stp/>
        <stp>##V3_BDHV12</stp>
        <stp>XOM US Equity</stp>
        <stp>IS_SG&amp;A_EXPENSE</stp>
        <stp>FQ3 2013</stp>
        <stp>FQ3 2013</stp>
        <stp>[FA1_m42y3cpi.xlsx]Income - Adjusted!R14C23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4" s="2"/>
      </tp>
      <tp>
        <v>2824</v>
        <stp/>
        <stp>##V3_BDHV12</stp>
        <stp>XOM US Equity</stp>
        <stp>IS_SG&amp;A_EXPENSE</stp>
        <stp>FQ4 2016</stp>
        <stp>FQ4 2016</stp>
        <stp>[FA1_m42y3cpi.xlsx]Income - Adjusted!R14C36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4" s="2"/>
      </tp>
      <tp>
        <v>1.0049999999999999</v>
        <stp/>
        <stp>##V3_BDHV12</stp>
        <stp>XOM US Equity</stp>
        <stp>CUR_RATIO</stp>
        <stp>FQ4 2012</stp>
        <stp>FQ4 2012</stp>
        <stp>[FA1_m42y3cpi.xlsx]Bal Sheet - Standardized!R89C20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9" s="3"/>
      </tp>
      <tp>
        <v>4162</v>
        <stp/>
        <stp>##V3_BDHV12</stp>
        <stp>XOM US Equity</stp>
        <stp>EBITA</stp>
        <stp>FQ3 2015</stp>
        <stp>FQ3 2015</stp>
        <stp>[FA1_m42y3cpi.xlsx]Income - Adjusted!R63C31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3" s="2"/>
      </tp>
      <tp>
        <v>13923</v>
        <stp/>
        <stp>##V3_BDHV12</stp>
        <stp>XOM US Equity</stp>
        <stp>EBITA</stp>
        <stp>FQ3 2011</stp>
        <stp>FQ3 2011</stp>
        <stp>[FA1_m42y3cpi.xlsx]Income - Adjusted!R63C15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3" s="2"/>
      </tp>
      <tp>
        <v>0.94169999999999998</v>
        <stp/>
        <stp>##V3_BDHV12</stp>
        <stp>XOM US Equity</stp>
        <stp>CUR_RATIO</stp>
        <stp>FQ4 2010</stp>
        <stp>FQ4 2010</stp>
        <stp>[FA1_m42y3cpi.xlsx]Bal Sheet - Standardized!R89C12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9" s="3"/>
      </tp>
      <tp>
        <v>0</v>
        <stp/>
        <stp>##V3_BDHV12</stp>
        <stp>XOM US Equity</stp>
        <stp>INVTRY_RAW_MATERIALS</stp>
        <stp>FQ1 2012</stp>
        <stp>FQ1 2012</stp>
        <stp>[FA1_m42y3cpi.xlsx]Bal Sheet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3"/>
      </tp>
      <tp>
        <v>0</v>
        <stp/>
        <stp>##V3_BDHV12</stp>
        <stp>XOM US Equity</stp>
        <stp>INVTRY_RAW_MATERIALS</stp>
        <stp>FQ3 2015</stp>
        <stp>FQ3 2015</stp>
        <stp>[FA1_m42y3cpi.xlsx]Bal Sheet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3"/>
      </tp>
      <tp>
        <v>9570</v>
        <stp/>
        <stp>##V3_BDHV12</stp>
        <stp>XOM US Equity</stp>
        <stp>EARN_FOR_COMMON</stp>
        <stp>FQ3 2012</stp>
        <stp>FQ3 2012</stp>
        <stp>[FA1_m42y3cpi.xlsx]Income - Adjusted!R45C19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5" s="2"/>
      </tp>
      <tp>
        <v>-654</v>
        <stp/>
        <stp>##V3_BDHV12</stp>
        <stp>XOM US Equity</stp>
        <stp>IS_OTHER_NON_OPERATING_INC_LOSS</stp>
        <stp>FQ1 2012</stp>
        <stp>FQ1 2012</stp>
        <stp>[FA1_m42y3cpi.xlsx]Income - Adjusted!R23C17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3" s="2"/>
      </tp>
      <tp>
        <v>-351</v>
        <stp/>
        <stp>##V3_BDHV12</stp>
        <stp>XOM US Equity</stp>
        <stp>IS_OTHER_NON_OPERATING_INC_LOSS</stp>
        <stp>FQ1 2016</stp>
        <stp>FQ1 2016</stp>
        <stp>[FA1_m42y3cpi.xlsx]Income - Adjusted!R23C33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3" s="2"/>
      </tp>
      <tp>
        <v>-372</v>
        <stp/>
        <stp>##V3_BDHV12</stp>
        <stp>XOM US Equity</stp>
        <stp>IS_OTHER_NON_OPERATING_INC_LOSS</stp>
        <stp>FQ2 2011</stp>
        <stp>FQ2 2011</stp>
        <stp>[FA1_m42y3cpi.xlsx]Income - Adjusted!R23C14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3" s="2"/>
      </tp>
      <tp>
        <v>-672</v>
        <stp/>
        <stp>##V3_BDHV12</stp>
        <stp>XOM US Equity</stp>
        <stp>IS_OTHER_NON_OPERATING_INC_LOSS</stp>
        <stp>FQ2 2015</stp>
        <stp>FQ2 2015</stp>
        <stp>[FA1_m42y3cpi.xlsx]Income - Adjusted!R23C30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3" s="2"/>
      </tp>
      <tp>
        <v>0</v>
        <stp/>
        <stp>##V3_BDHV12</stp>
        <stp>XOM US Equity</stp>
        <stp>INVTRY_RAW_MATERIALS</stp>
        <stp>FQ3 2016</stp>
        <stp>FQ3 2016</stp>
        <stp>[FA1_m42y3cpi.xlsx]Bal Sheet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3"/>
      </tp>
      <tp>
        <v>0</v>
        <stp/>
        <stp>##V3_BDHV12</stp>
        <stp>XOM US Equity</stp>
        <stp>INVTRY_RAW_MATERIALS</stp>
        <stp>FQ2 2014</stp>
        <stp>FQ2 2014</stp>
        <stp>[FA1_m42y3cpi.xlsx]Bal Sheet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3"/>
      </tp>
      <tp>
        <v>0</v>
        <stp/>
        <stp>##V3_BDHV12</stp>
        <stp>XOM US Equity</stp>
        <stp>INVTRY_RAW_MATERIALS</stp>
        <stp>FQ4 2017</stp>
        <stp>FQ4 2017</stp>
        <stp>[FA1_m42y3cpi.xlsx]Bal Sheet - Standardized!R14C40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4" s="3"/>
      </tp>
      <tp>
        <v>0</v>
        <stp/>
        <stp>##V3_BDHV12</stp>
        <stp>XOM US Equity</stp>
        <stp>INVTRY_RAW_MATERIALS</stp>
        <stp>FQ2 2013</stp>
        <stp>FQ2 2013</stp>
        <stp>[FA1_m42y3cpi.xlsx]Bal Sheet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3"/>
      </tp>
      <tp>
        <v>0</v>
        <stp/>
        <stp>##V3_BDHV12</stp>
        <stp>XOM US Equity</stp>
        <stp>INVTRY_RAW_MATERIALS</stp>
        <stp>FQ1 2011</stp>
        <stp>FQ1 2011</stp>
        <stp>[FA1_m42y3cpi.xlsx]Bal Sheet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3"/>
      </tp>
      <tp>
        <v>0</v>
        <stp/>
        <stp>##V3_BDHV12</stp>
        <stp>XOM US Equity</stp>
        <stp>INVTRY_RAW_MATERIALS</stp>
        <stp>FQ3 2017</stp>
        <stp>FQ3 2017</stp>
        <stp>[FA1_m42y3cpi.xlsx]Bal Sheet - Standardized!R14C39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4" s="3"/>
      </tp>
      <tp t="s">
        <v>—</v>
        <stp/>
        <stp>##V3_BDHV12</stp>
        <stp>XOM US Equity</stp>
        <stp>IS_NET_INTEREST_EXPENSE</stp>
        <stp>FQ2 2012</stp>
        <stp>FQ2 2012</stp>
        <stp>[FA1_m42y3cpi.xlsx]Income - Adjusted!R18C18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8" s="2"/>
      </tp>
      <tp t="s">
        <v>—</v>
        <stp/>
        <stp>##V3_BDHV12</stp>
        <stp>XOM US Equity</stp>
        <stp>IS_NET_INTEREST_EXPENSE</stp>
        <stp>FQ2 2018</stp>
        <stp>FQ2 2018</stp>
        <stp>[FA1_m42y3cpi.xlsx]Income - Adjusted!R18C42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8" s="2"/>
      </tp>
      <tp t="s">
        <v>—</v>
        <stp/>
        <stp>##V3_BDHV12</stp>
        <stp>XOM US Equity</stp>
        <stp>CF_NET_CASH_PAID_FOR_AQUIS</stp>
        <stp>FQ4 2010</stp>
        <stp>FQ4 2010</stp>
        <stp>[FA1_m42y3cpi.xlsx]Cash Flow - Standardized!R61C12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1" s="4"/>
      </tp>
      <tp>
        <v>7928</v>
        <stp/>
        <stp>##V3_BDHV12</stp>
        <stp>XOM US Equity</stp>
        <stp>BS_LT_BORROW</stp>
        <stp>FQ4 2012</stp>
        <stp>FQ4 2012</stp>
        <stp>[FA1_m42y3cpi.xlsx]Bal Sheet - Standardized!R56C20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6" s="3"/>
      </tp>
      <tp>
        <v>287500</v>
        <stp/>
        <stp>##V3_BDHV12</stp>
        <stp>XOM US Equity</stp>
        <stp>BS_TOT_NON_CUR_ASSET</stp>
        <stp>FQ4 2013</stp>
        <stp>FQ4 2013</stp>
        <stp>[FA1_m42y3cpi.xlsx]Bal Sheet - Standardized!R38C24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8" s="3"/>
      </tp>
      <tp>
        <v>6891</v>
        <stp/>
        <stp>##V3_BDHV12</stp>
        <stp>XOM US Equity</stp>
        <stp>BS_LT_BORROW</stp>
        <stp>FQ4 2013</stp>
        <stp>FQ4 2013</stp>
        <stp>[FA1_m42y3cpi.xlsx]Bal Sheet - Standardized!R56C24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6" s="3"/>
      </tp>
      <tp t="s">
        <v>—</v>
        <stp/>
        <stp>##V3_BDHV12</stp>
        <stp>XOM US Equity</stp>
        <stp>CF_NET_CASH_PAID_FOR_AQUIS</stp>
        <stp>FQ4 2011</stp>
        <stp>FQ4 2011</stp>
        <stp>[FA1_m42y3cpi.xlsx]Cash Flow - Standardized!R61C16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1" s="4"/>
      </tp>
      <tp>
        <v>269335</v>
        <stp/>
        <stp>##V3_BDHV12</stp>
        <stp>XOM US Equity</stp>
        <stp>BS_TOT_NON_CUR_ASSET</stp>
        <stp>FQ4 2012</stp>
        <stp>FQ4 2012</stp>
        <stp>[FA1_m42y3cpi.xlsx]Bal Sheet - Standardized!R38C20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8" s="3"/>
      </tp>
      <tp>
        <v>2927</v>
        <stp/>
        <stp>##V3_BDHV12</stp>
        <stp>XOM US Equity</stp>
        <stp>IS_DEPR_EXP</stp>
        <stp>FQ3 2009</stp>
        <stp>FQ3 2009</stp>
        <stp>[FA1_m42y3cpi.xlsx]Income - Adjusted!R71C7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1" s="2"/>
      </tp>
      <tp>
        <v>296583</v>
        <stp/>
        <stp>##V3_BDHV12</stp>
        <stp>XOM US Equity</stp>
        <stp>BS_TOT_NON_CUR_ASSET</stp>
        <stp>FQ4 2014</stp>
        <stp>FQ4 2014</stp>
        <stp>[FA1_m42y3cpi.xlsx]Bal Sheet - Standardized!R38C28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8" s="3"/>
      </tp>
      <tp>
        <v>298235</v>
        <stp/>
        <stp>##V3_BDHV12</stp>
        <stp>XOM US Equity</stp>
        <stp>BS_TOT_NON_CUR_ASSET</stp>
        <stp>FQ2 2018</stp>
        <stp>FQ2 2018</stp>
        <stp>[FA1_m42y3cpi.xlsx]Bal Sheet - Standardized!R38C42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8" s="3"/>
      </tp>
      <tp t="s">
        <v>—</v>
        <stp/>
        <stp>##V3_BDHV12</stp>
        <stp>XOM US Equity</stp>
        <stp>IS_SALE_OF_BUSINESS</stp>
        <stp>FQ1 2009</stp>
        <stp>FQ1 2009</stp>
        <stp>[FA1_m42y3cpi.xlsx]Income - Adjusted!R29C5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2"/>
      </tp>
      <tp>
        <v>3008</v>
        <stp/>
        <stp>##V3_BDHV12</stp>
        <stp>XOM US Equity</stp>
        <stp>IS_DEPR_EXP</stp>
        <stp>FQ3 2008</stp>
        <stp>FQ3 2008</stp>
        <stp>[FA1_m42y3cpi.xlsx]Income - Adjusted!R71C3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1" s="2"/>
      </tp>
      <tp t="s">
        <v>—</v>
        <stp/>
        <stp>##V3_BDHV12</stp>
        <stp>XOM US Equity</stp>
        <stp>CF_NET_CASH_PAID_FOR_AQUIS</stp>
        <stp>FQ1 2018</stp>
        <stp>FQ1 2018</stp>
        <stp>[FA1_m42y3cpi.xlsx]Cash Flow - Standardized!R61C41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1" s="4"/>
      </tp>
      <tp>
        <v>20720</v>
        <stp/>
        <stp>##V3_BDHV12</stp>
        <stp>XOM US Equity</stp>
        <stp>BS_LT_BORROW</stp>
        <stp>FQ2 2018</stp>
        <stp>FQ2 2018</stp>
        <stp>[FA1_m42y3cpi.xlsx]Bal Sheet - Standardized!R56C42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6" s="3"/>
      </tp>
      <tp>
        <v>11653</v>
        <stp/>
        <stp>##V3_BDHV12</stp>
        <stp>XOM US Equity</stp>
        <stp>BS_LT_BORROW</stp>
        <stp>FQ4 2014</stp>
        <stp>FQ4 2014</stp>
        <stp>[FA1_m42y3cpi.xlsx]Bal Sheet - Standardized!R56C28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6" s="3"/>
      </tp>
      <tp>
        <v>4270</v>
        <stp/>
        <stp>##V3_BDHV12</stp>
        <stp>XOM US Equity</stp>
        <stp>IS_AVG_NUM_SH_FOR_EPS</stp>
        <stp>FQ1 2018</stp>
        <stp>FQ1 2018</stp>
        <stp>[FA1_m42y3cpi.xlsx]Income - Adjusted!R49C41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9" s="2"/>
      </tp>
      <tp>
        <v>484</v>
        <stp/>
        <stp>##V3_BDHV12</stp>
        <stp>XOM US Equity</stp>
        <stp>DISP_FXD_&amp;_INTANGIBLES_DETAILED</stp>
        <stp>FQ1 2015</stp>
        <stp>FQ1 2015</stp>
        <stp>[FA1_m42y3cpi.xlsx]Cash Flow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4"/>
      </tp>
      <tp>
        <v>0.56999999999999995</v>
        <stp/>
        <stp>##V3_BDHV12</stp>
        <stp>XOM US Equity</stp>
        <stp>EQY_DPS</stp>
        <stp>FQ1 2013</stp>
        <stp>FQ1 2013</stp>
        <stp>[FA1_m42y3cpi.xlsx]Per Share!R20C21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0" s="5"/>
      </tp>
      <tp>
        <v>0.44</v>
        <stp/>
        <stp>##V3_BDHV12</stp>
        <stp>XOM US Equity</stp>
        <stp>EQY_DPS</stp>
        <stp>FQ1 2011</stp>
        <stp>FQ1 2011</stp>
        <stp>[FA1_m42y3cpi.xlsx]Per Share!R20C13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0" s="5"/>
      </tp>
      <tp>
        <v>0.69</v>
        <stp/>
        <stp>##V3_BDHV12</stp>
        <stp>XOM US Equity</stp>
        <stp>EQY_DPS</stp>
        <stp>FQ2 2014</stp>
        <stp>FQ2 2014</stp>
        <stp>[FA1_m42y3cpi.xlsx]Per Share!R20C26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0" s="5"/>
      </tp>
      <tp>
        <v>0.75</v>
        <stp/>
        <stp>##V3_BDHV12</stp>
        <stp>XOM US Equity</stp>
        <stp>EQY_DPS</stp>
        <stp>FQ2 2016</stp>
        <stp>FQ2 2016</stp>
        <stp>[FA1_m42y3cpi.xlsx]Per Share!R20C34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0" s="5"/>
      </tp>
      <tp>
        <v>0.56999999999999995</v>
        <stp/>
        <stp>##V3_BDHV12</stp>
        <stp>XOM US Equity</stp>
        <stp>EQY_DPS</stp>
        <stp>FQ4 2012</stp>
        <stp>FQ4 2012</stp>
        <stp>[FA1_m42y3cpi.xlsx]Per Share!R20C20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0" s="5"/>
      </tp>
      <tp>
        <v>0.44</v>
        <stp/>
        <stp>##V3_BDHV12</stp>
        <stp>XOM US Equity</stp>
        <stp>EQY_DPS</stp>
        <stp>FQ4 2010</stp>
        <stp>FQ4 2010</stp>
        <stp>[FA1_m42y3cpi.xlsx]Per Share!R20C12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0" s="5"/>
      </tp>
      <tp>
        <v>3730</v>
        <stp/>
        <stp>##V3_BDHV12</stp>
        <stp>XOM US Equity</stp>
        <stp>DISP_FXD_&amp;_INTANGIBLES_DETAILED</stp>
        <stp>FQ2 2012</stp>
        <stp>FQ2 2012</stp>
        <stp>[FA1_m42y3cpi.xlsx]Cash Flow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4"/>
      </tp>
      <tp>
        <v>3881</v>
        <stp/>
        <stp>##V3_BDHV12</stp>
        <stp>XOM US Equity</stp>
        <stp>IS_SG&amp;A_EXPENSE</stp>
        <stp>FQ4 2009</stp>
        <stp>FQ4 2009</stp>
        <stp>[FA1_m42y3cpi.xlsx]Income - Adjusted!R14C8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4" s="2"/>
      </tp>
      <tp>
        <v>0</v>
        <stp/>
        <stp>##V3_BDHV12</stp>
        <stp>XOM US Equity</stp>
        <stp>CF_PROC_LT_DEBT_&amp;_CAPITAL_LEASE</stp>
        <stp>FQ4 2015</stp>
        <stp>FQ4 2015</stp>
        <stp>[FA1_m42y3cpi.xlsx]Cash Flow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4"/>
      </tp>
      <tp>
        <v>1497</v>
        <stp/>
        <stp>##V3_BDHV12</stp>
        <stp>XOM US Equity</stp>
        <stp>DISP_FXD_&amp;_INTANGIBLES_DETAILED</stp>
        <stp>FQ2 2011</stp>
        <stp>FQ2 2011</stp>
        <stp>[FA1_m42y3cpi.xlsx]Cash Flow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4"/>
      </tp>
      <tp>
        <v>428</v>
        <stp/>
        <stp>##V3_BDHV12</stp>
        <stp>XOM US Equity</stp>
        <stp>DISP_FXD_&amp;_INTANGIBLES_DETAILED</stp>
        <stp>FQ2 2010</stp>
        <stp>FQ2 2010</stp>
        <stp>[FA1_m42y3cpi.xlsx]Cash Flow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4"/>
      </tp>
      <tp>
        <v>360</v>
        <stp/>
        <stp>##V3_BDHV12</stp>
        <stp>XOM US Equity</stp>
        <stp>DISP_FXD_&amp;_INTANGIBLES_DETAILED</stp>
        <stp>FQ1 2013</stp>
        <stp>FQ1 2013</stp>
        <stp>[FA1_m42y3cpi.xlsx]Cash Flow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4"/>
      </tp>
      <tp>
        <v>1111</v>
        <stp/>
        <stp>##V3_BDHV12</stp>
        <stp>XOM US Equity</stp>
        <stp>DISP_FXD_&amp;_INTANGIBLES_DETAILED</stp>
        <stp>FQ1 2014</stp>
        <stp>FQ1 2014</stp>
        <stp>[FA1_m42y3cpi.xlsx]Cash Flow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4"/>
      </tp>
      <tp>
        <v>102</v>
        <stp/>
        <stp>##V3_BDHV12</stp>
        <stp>XOM US Equity</stp>
        <stp>CF_PROC_LT_DEBT_&amp;_CAPITAL_LEASE</stp>
        <stp>FQ4 2016</stp>
        <stp>FQ4 2016</stp>
        <stp>[FA1_m42y3cpi.xlsx]Cash Flow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4"/>
      </tp>
      <tp>
        <v>1.0900000000000001</v>
        <stp/>
        <stp>##V3_BDHV12</stp>
        <stp>XOM US Equity</stp>
        <stp>IS_BASIC_EPS_CONT_OPS</stp>
        <stp>FQ1 2018</stp>
        <stp>FQ1 2018</stp>
        <stp>[FA1_m42y3cpi.xlsx]Per Share!R16C41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6" s="5"/>
      </tp>
      <tp>
        <v>-509</v>
        <stp/>
        <stp>##V3_BDHV12</stp>
        <stp>XOM US Equity</stp>
        <stp>CF_CHNG_NON_CASH_WORK_CAP</stp>
        <stp>FQ1 2015</stp>
        <stp>FQ1 2015</stp>
        <stp>[FA1_m42y3cpi.xlsx]Cash Flow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4"/>
      </tp>
      <tp>
        <v>0</v>
        <stp/>
        <stp>##V3_BDHV12</stp>
        <stp>XOM US Equity</stp>
        <stp>IS_EXTRAORD_ITEMS_&amp;_ACCTG_CHNG</stp>
        <stp>FQ4 2009</stp>
        <stp>FQ4 2009</stp>
        <stp>[FA1_m42y3cpi.xlsx]Income - Adjusted!R37C8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7" s="2"/>
      </tp>
      <tp>
        <v>-2384</v>
        <stp/>
        <stp>##V3_BDHV12</stp>
        <stp>XOM US Equity</stp>
        <stp>CF_CHNG_NON_CASH_WORK_CAP</stp>
        <stp>FQ2 2012</stp>
        <stp>FQ2 2012</stp>
        <stp>[FA1_m42y3cpi.xlsx]Cash Flow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4"/>
      </tp>
      <tp>
        <v>-1809</v>
        <stp/>
        <stp>##V3_BDHV12</stp>
        <stp>XOM US Equity</stp>
        <stp>CF_CHNG_NON_CASH_WORK_CAP</stp>
        <stp>FQ2 2011</stp>
        <stp>FQ2 2011</stp>
        <stp>[FA1_m42y3cpi.xlsx]Cash Flow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4"/>
      </tp>
      <tp t="s">
        <v>—</v>
        <stp/>
        <stp>##V3_BDHV12</stp>
        <stp>XOM US Equity</stp>
        <stp>IS_EXTRAORD_ITEMS_&amp;_ACCTG_CHNG</stp>
        <stp>FQ4 2008</stp>
        <stp>FQ4 2008</stp>
        <stp>[FA1_m42y3cpi.xlsx]Income - Adjusted!R37C4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7" s="2"/>
      </tp>
      <tp>
        <v>0.6139</v>
        <stp/>
        <stp>##V3_BDHV12</stp>
        <stp>XOM US Equity</stp>
        <stp>FREE_CASH_FLOW_PER_SH</stp>
        <stp>FQ3 2017</stp>
        <stp>FQ3 2017</stp>
        <stp>[FA1_m42y3cpi.xlsx]Per Share!R23C39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3" s="5"/>
      </tp>
      <tp>
        <v>2321</v>
        <stp/>
        <stp>##V3_BDHV12</stp>
        <stp>XOM US Equity</stp>
        <stp>CF_CHNG_NON_CASH_WORK_CAP</stp>
        <stp>FQ1 2013</stp>
        <stp>FQ1 2013</stp>
        <stp>[FA1_m42y3cpi.xlsx]Cash Flow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4"/>
      </tp>
      <tp>
        <v>-1133</v>
        <stp/>
        <stp>##V3_BDHV12</stp>
        <stp>XOM US Equity</stp>
        <stp>CF_CHNG_NON_CASH_WORK_CAP</stp>
        <stp>FQ2 2010</stp>
        <stp>FQ2 2010</stp>
        <stp>[FA1_m42y3cpi.xlsx]Cash Flow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4"/>
      </tp>
      <tp>
        <v>2452</v>
        <stp/>
        <stp>##V3_BDHV12</stp>
        <stp>XOM US Equity</stp>
        <stp>CF_CHNG_NON_CASH_WORK_CAP</stp>
        <stp>FQ1 2014</stp>
        <stp>FQ1 2014</stp>
        <stp>[FA1_m42y3cpi.xlsx]Cash Flow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4"/>
      </tp>
      <tp t="s">
        <v>—</v>
        <stp/>
        <stp>##V3_BDHV12</stp>
        <stp>XOM US Equity</stp>
        <stp>NUM_OF_EMPLOYEES</stp>
        <stp>FQ1 2010</stp>
        <stp>FQ1 2010</stp>
        <stp>[FA1_m42y3cpi.xlsx]Bal Sheet - Standardized!R91C9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91" s="3"/>
      </tp>
      <tp>
        <v>3169</v>
        <stp/>
        <stp>##V3_BDHV12</stp>
        <stp>XOM US Equity</stp>
        <stp>IS_SG&amp;A_EXPENSE</stp>
        <stp>FQ3 2014</stp>
        <stp>FQ3 2014</stp>
        <stp>[FA1_m42y3cpi.xlsx]Income - Adjusted!R14C27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4" s="2"/>
      </tp>
      <tp>
        <v>2736</v>
        <stp/>
        <stp>##V3_BDHV12</stp>
        <stp>XOM US Equity</stp>
        <stp>IS_SG&amp;A_EXPENSE</stp>
        <stp>FQ3 2016</stp>
        <stp>FQ3 2016</stp>
        <stp>[FA1_m42y3cpi.xlsx]Income - Adjusted!R14C35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4" s="2"/>
      </tp>
      <tp>
        <v>11416</v>
        <stp/>
        <stp>##V3_BDHV12</stp>
        <stp>XOM US Equity</stp>
        <stp>EBITA</stp>
        <stp>FQ4 2011</stp>
        <stp>FQ4 2011</stp>
        <stp>[FA1_m42y3cpi.xlsx]Income - Adjusted!R63C16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3" s="2"/>
      </tp>
      <tp>
        <v>9722</v>
        <stp/>
        <stp>##V3_BDHV12</stp>
        <stp>XOM US Equity</stp>
        <stp>EBITA</stp>
        <stp>FQ4 2013</stp>
        <stp>FQ4 2013</stp>
        <stp>[FA1_m42y3cpi.xlsx]Income - Adjusted!R63C24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3" s="2"/>
      </tp>
      <tp>
        <v>3990.7692000000002</v>
        <stp/>
        <stp>##V3_BDHV12</stp>
        <stp>XOM US Equity</stp>
        <stp>EBITA</stp>
        <stp>FQ4 2017</stp>
        <stp>FQ4 2017</stp>
        <stp>[FA1_m42y3cpi.xlsx]Income - Adjusted!R63C40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63" s="2"/>
      </tp>
      <tp>
        <v>572</v>
        <stp/>
        <stp>##V3_BDHV12</stp>
        <stp>XOM US Equity</stp>
        <stp>EBITA</stp>
        <stp>FQ4 2015</stp>
        <stp>FQ4 2015</stp>
        <stp>[FA1_m42y3cpi.xlsx]Income - Adjusted!R63C32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3" s="2"/>
      </tp>
      <tp>
        <v>0</v>
        <stp/>
        <stp>##V3_BDHV12</stp>
        <stp>XOM US Equity</stp>
        <stp>INVTRY_RAW_MATERIALS</stp>
        <stp>FQ2 2015</stp>
        <stp>FQ2 2015</stp>
        <stp>[FA1_m42y3cpi.xlsx]Bal Sheet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3"/>
      </tp>
      <tp>
        <v>8410</v>
        <stp/>
        <stp>##V3_BDHV12</stp>
        <stp>XOM US Equity</stp>
        <stp>EARN_FOR_COMMON</stp>
        <stp>FQ2 2012</stp>
        <stp>FQ2 2012</stp>
        <stp>[FA1_m42y3cpi.xlsx]Income - Adjusted!R45C18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5" s="2"/>
      </tp>
      <tp>
        <v>3950</v>
        <stp/>
        <stp>##V3_BDHV12</stp>
        <stp>XOM US Equity</stp>
        <stp>EARN_FOR_COMMON</stp>
        <stp>FQ2 2018</stp>
        <stp>FQ2 2018</stp>
        <stp>[FA1_m42y3cpi.xlsx]Income - Adjusted!R45C42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5" s="2"/>
      </tp>
      <tp>
        <v>-940</v>
        <stp/>
        <stp>##V3_BDHV12</stp>
        <stp>XOM US Equity</stp>
        <stp>IS_OTHER_NON_OPERATING_INC_LOSS</stp>
        <stp>FQ3 2011</stp>
        <stp>FQ3 2011</stp>
        <stp>[FA1_m42y3cpi.xlsx]Income - Adjusted!R23C15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3" s="2"/>
      </tp>
      <tp>
        <v>118</v>
        <stp/>
        <stp>##V3_BDHV12</stp>
        <stp>XOM US Equity</stp>
        <stp>IS_OTHER_NON_OPERATING_INC_LOSS</stp>
        <stp>FQ3 2015</stp>
        <stp>FQ3 2015</stp>
        <stp>[FA1_m42y3cpi.xlsx]Income - Adjusted!R23C31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3" s="2"/>
      </tp>
      <tp>
        <v>0</v>
        <stp/>
        <stp>##V3_BDHV12</stp>
        <stp>XOM US Equity</stp>
        <stp>INVTRY_RAW_MATERIALS</stp>
        <stp>FQ2 2016</stp>
        <stp>FQ2 2016</stp>
        <stp>[FA1_m42y3cpi.xlsx]Bal Sheet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3"/>
      </tp>
      <tp>
        <v>0</v>
        <stp/>
        <stp>##V3_BDHV12</stp>
        <stp>XOM US Equity</stp>
        <stp>INVTRY_RAW_MATERIALS</stp>
        <stp>FQ3 2014</stp>
        <stp>FQ3 2014</stp>
        <stp>[FA1_m42y3cpi.xlsx]Bal Sheet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3"/>
      </tp>
      <tp>
        <v>0</v>
        <stp/>
        <stp>##V3_BDHV12</stp>
        <stp>XOM US Equity</stp>
        <stp>INVTRY_RAW_MATERIALS</stp>
        <stp>FQ3 2013</stp>
        <stp>FQ3 2013</stp>
        <stp>[FA1_m42y3cpi.xlsx]Bal Sheet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3"/>
      </tp>
      <tp>
        <v>0</v>
        <stp/>
        <stp>##V3_BDHV12</stp>
        <stp>XOM US Equity</stp>
        <stp>INVTRY_RAW_MATERIALS</stp>
        <stp>FQ2 2017</stp>
        <stp>FQ2 2017</stp>
        <stp>[FA1_m42y3cpi.xlsx]Bal Sheet - Standardized!R14C38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4" s="3"/>
      </tp>
      <tp t="s">
        <v>—</v>
        <stp/>
        <stp>##V3_BDHV12</stp>
        <stp>XOM US Equity</stp>
        <stp>IS_NET_INTEREST_EXPENSE</stp>
        <stp>FQ3 2012</stp>
        <stp>FQ3 2012</stp>
        <stp>[FA1_m42y3cpi.xlsx]Income - Adjusted!R18C19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8" s="2"/>
      </tp>
      <tp>
        <v>294135</v>
        <stp/>
        <stp>##V3_BDHV12</stp>
        <stp>XOM US Equity</stp>
        <stp>BS_TOT_NON_CUR_ASSET</stp>
        <stp>FQ4 2015</stp>
        <stp>FQ4 2015</stp>
        <stp>[FA1_m42y3cpi.xlsx]Bal Sheet - Standardized!R38C32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8" s="3"/>
      </tp>
      <tp>
        <v>8623</v>
        <stp/>
        <stp>##V3_BDHV12</stp>
        <stp>XOM US Equity</stp>
        <stp>BS_LT_INVEST</stp>
        <stp>FQ4 2010</stp>
        <stp>FQ4 2010</stp>
        <stp>[FA1_m42y3cpi.xlsx]Bal Sheet - Standardized!R26C12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3"/>
      </tp>
      <tp t="s">
        <v>—</v>
        <stp/>
        <stp>##V3_BDHV12</stp>
        <stp>XOM US Equity</stp>
        <stp>CF_NET_CASH_PAID_FOR_AQUIS</stp>
        <stp>FQ1 2010</stp>
        <stp>FQ1 2010</stp>
        <stp>[FA1_m42y3cpi.xlsx]Cash Flow - Standardized!R61C9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1" s="4"/>
      </tp>
      <tp>
        <v>28932</v>
        <stp/>
        <stp>##V3_BDHV12</stp>
        <stp>XOM US Equity</stp>
        <stp>BS_LT_BORROW</stp>
        <stp>FQ4 2016</stp>
        <stp>FQ4 2016</stp>
        <stp>[FA1_m42y3cpi.xlsx]Bal Sheet - Standardized!R56C36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6" s="3"/>
      </tp>
      <tp>
        <v>19925</v>
        <stp/>
        <stp>##V3_BDHV12</stp>
        <stp>XOM US Equity</stp>
        <stp>BS_LT_BORROW</stp>
        <stp>FQ4 2015</stp>
        <stp>FQ4 2015</stp>
        <stp>[FA1_m42y3cpi.xlsx]Bal Sheet - Standardized!R56C32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6" s="3"/>
      </tp>
      <tp>
        <v>288898</v>
        <stp/>
        <stp>##V3_BDHV12</stp>
        <stp>XOM US Equity</stp>
        <stp>BS_TOT_NON_CUR_ASSET</stp>
        <stp>FQ4 2016</stp>
        <stp>FQ4 2016</stp>
        <stp>[FA1_m42y3cpi.xlsx]Bal Sheet - Standardized!R38C36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8" s="3"/>
      </tp>
      <tp>
        <v>7625</v>
        <stp/>
        <stp>##V3_BDHV12</stp>
        <stp>XOM US Equity</stp>
        <stp>BS_LT_INVEST</stp>
        <stp>FQ4 2011</stp>
        <stp>FQ4 2011</stp>
        <stp>[FA1_m42y3cpi.xlsx]Bal Sheet - Standardized!R26C16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3"/>
      </tp>
      <tp t="s">
        <v>—</v>
        <stp/>
        <stp>##V3_BDHV12</stp>
        <stp>XOM US Equity</stp>
        <stp>CF_NET_CASH_PAID_FOR_AQUIS</stp>
        <stp>FQ4 2009</stp>
        <stp>FQ4 2009</stp>
        <stp>[FA1_m42y3cpi.xlsx]Cash Flow - Standardized!R61C8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1" s="4"/>
      </tp>
      <tp>
        <v>3004</v>
        <stp/>
        <stp>##V3_BDHV12</stp>
        <stp>XOM US Equity</stp>
        <stp>IS_DEPR_EXP</stp>
        <stp>FQ2 2009</stp>
        <stp>FQ2 2009</stp>
        <stp>[FA1_m42y3cpi.xlsx]Income - Adjusted!R71C6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1" s="2"/>
      </tp>
      <tp t="s">
        <v>—</v>
        <stp/>
        <stp>##V3_BDHV12</stp>
        <stp>XOM US Equity</stp>
        <stp>CF_NET_CASH_PAID_FOR_AQUIS</stp>
        <stp>FQ4 2008</stp>
        <stp>FQ4 2008</stp>
        <stp>[FA1_m42y3cpi.xlsx]Cash Flow - Standardized!R61C4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1" s="4"/>
      </tp>
      <tp t="s">
        <v>—</v>
        <stp/>
        <stp>##V3_BDHV12</stp>
        <stp>XOM US Equity</stp>
        <stp>CF_NET_CASH_PAID_FOR_AQUIS</stp>
        <stp>FQ3 2008</stp>
        <stp>FQ3 2008</stp>
        <stp>[FA1_m42y3cpi.xlsx]Cash Flow - Standardized!R61C3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1" s="4"/>
      </tp>
      <tp t="s">
        <v>—</v>
        <stp/>
        <stp>##V3_BDHV12</stp>
        <stp>XOM US Equity</stp>
        <stp>BS_LT_INVEST</stp>
        <stp>FQ1 2018</stp>
        <stp>FQ1 2018</stp>
        <stp>[FA1_m42y3cpi.xlsx]Bal Sheet - Standardized!R26C41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3"/>
      </tp>
      <tp t="s">
        <v>—</v>
        <stp/>
        <stp>##V3_BDHV12</stp>
        <stp>XOM US Equity</stp>
        <stp>IS_SALE_OF_BUSINESS</stp>
        <stp>FQ1 2010</stp>
        <stp>FQ1 2010</stp>
        <stp>[FA1_m42y3cpi.xlsx]Income - Adjusted!R29C9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2"/>
      </tp>
      <tp t="s">
        <v>—</v>
        <stp/>
        <stp>##V3_BDHV12</stp>
        <stp>XOM US Equity</stp>
        <stp>CF_NET_CASH_PAID_FOR_AQUIS</stp>
        <stp>FQ3 2009</stp>
        <stp>FQ3 2009</stp>
        <stp>[FA1_m42y3cpi.xlsx]Cash Flow - Standardized!R61C7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1" s="4"/>
      </tp>
      <tp t="s">
        <v>—</v>
        <stp/>
        <stp>##V3_BDHV12</stp>
        <stp>XOM US Equity</stp>
        <stp>CF_NET_CASH_PAID_FOR_AQUIS</stp>
        <stp>FQ2 2009</stp>
        <stp>FQ2 2009</stp>
        <stp>[FA1_m42y3cpi.xlsx]Cash Flow - Standardized!R61C6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1" s="4"/>
      </tp>
      <tp t="s">
        <v>—</v>
        <stp/>
        <stp>##V3_BDHV12</stp>
        <stp>XOM US Equity</stp>
        <stp>CF_NET_CASH_PAID_FOR_AQUIS</stp>
        <stp>FQ1 2009</stp>
        <stp>FQ1 2009</stp>
        <stp>[FA1_m42y3cpi.xlsx]Cash Flow - Standardized!R61C5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1" s="4"/>
      </tp>
      <tp>
        <v>1754</v>
        <stp/>
        <stp>##V3_BDHV12</stp>
        <stp>XOM US Equity</stp>
        <stp>BS_MKT_SEC_OTHER_ST_INVEST</stp>
        <stp>FQ2 2011</stp>
        <stp>FQ2 2011</stp>
        <stp>[FA1_m42y3cpi.xlsx]Bal Sheet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3"/>
      </tp>
      <tp>
        <v>0</v>
        <stp/>
        <stp>##V3_BDHV12</stp>
        <stp>XOM US Equity</stp>
        <stp>BS_MKT_SEC_OTHER_ST_INVEST</stp>
        <stp>FQ1 2012</stp>
        <stp>FQ1 2012</stp>
        <stp>[FA1_m42y3cpi.xlsx]Bal Sheet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3"/>
      </tp>
      <tp>
        <v>0</v>
        <stp/>
        <stp>##V3_BDHV12</stp>
        <stp>XOM US Equity</stp>
        <stp>BS_MKT_SEC_OTHER_ST_INVEST</stp>
        <stp>FQ3 2011</stp>
        <stp>FQ3 2011</stp>
        <stp>[FA1_m42y3cpi.xlsx]Bal Sheet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3"/>
      </tp>
      <tp>
        <v>2</v>
        <stp/>
        <stp>##V3_BDHV12</stp>
        <stp>XOM US Equity</stp>
        <stp>BS_MKT_SEC_OTHER_ST_INVEST</stp>
        <stp>FQ4 2010</stp>
        <stp>FQ4 2010</stp>
        <stp>[FA1_m42y3cpi.xlsx]Bal Sheet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3"/>
      </tp>
      <tp>
        <v>0</v>
        <stp/>
        <stp>##V3_BDHV12</stp>
        <stp>XOM US Equity</stp>
        <stp>BS_MKT_SEC_OTHER_ST_INVEST</stp>
        <stp>FQ1 2011</stp>
        <stp>FQ1 2011</stp>
        <stp>[FA1_m42y3cpi.xlsx]Bal Sheet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3"/>
      </tp>
      <tp>
        <v>15</v>
        <stp/>
        <stp>##V3_BDHV12</stp>
        <stp>XOM US Equity</stp>
        <stp>BS_MKT_SEC_OTHER_ST_INVEST</stp>
        <stp>FQ3 2010</stp>
        <stp>FQ3 2010</stp>
        <stp>[FA1_m42y3cpi.xlsx]Bal Sheet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3"/>
      </tp>
      <tp>
        <v>15</v>
        <stp/>
        <stp>##V3_BDHV12</stp>
        <stp>XOM US Equity</stp>
        <stp>BS_MKT_SEC_OTHER_ST_INVEST</stp>
        <stp>FQ2 2010</stp>
        <stp>FQ2 2010</stp>
        <stp>[FA1_m42y3cpi.xlsx]Bal Sheet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3"/>
      </tp>
      <tp>
        <v>0</v>
        <stp/>
        <stp>##V3_BDHV12</stp>
        <stp>XOM US Equity</stp>
        <stp>BS_MKT_SEC_OTHER_ST_INVEST</stp>
        <stp>FQ4 2011</stp>
        <stp>FQ4 2011</stp>
        <stp>[FA1_m42y3cpi.xlsx]Bal Sheet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3"/>
      </tp>
      <tp>
        <v>0.92</v>
        <stp/>
        <stp>##V3_BDHV12</stp>
        <stp>XOM US Equity</stp>
        <stp>IS_EARN_BEF_XO_ITEMS_PER_SH</stp>
        <stp>FQ1 2009</stp>
        <stp>FQ1 2009</stp>
        <stp>[FA1_m42y3cpi.xlsx]Per Share!R15C5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5" s="5"/>
      </tp>
      <tp>
        <v>0.98</v>
        <stp/>
        <stp>##V3_BDHV12</stp>
        <stp>XOM US Equity</stp>
        <stp>IS_EARN_BEF_XO_ITEMS_PER_SH</stp>
        <stp>FQ3 2009</stp>
        <stp>FQ3 2009</stp>
        <stp>[FA1_m42y3cpi.xlsx]Per Share!R15C7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5" s="5"/>
      </tp>
      <tp>
        <v>0.82</v>
        <stp/>
        <stp>##V3_BDHV12</stp>
        <stp>XOM US Equity</stp>
        <stp>IS_EARN_BEF_XO_ITEMS_PER_SH</stp>
        <stp>FQ2 2009</stp>
        <stp>FQ2 2009</stp>
        <stp>[FA1_m42y3cpi.xlsx]Per Share!R15C6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5" s="5"/>
      </tp>
      <tp>
        <v>0</v>
        <stp/>
        <stp>##V3_BDHV12</stp>
        <stp>XOM US Equity</stp>
        <stp>BS_MKT_SEC_OTHER_ST_INVEST</stp>
        <stp>FQ3 2012</stp>
        <stp>FQ3 2012</stp>
        <stp>[FA1_m42y3cpi.xlsx]Bal Sheet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3"/>
      </tp>
      <tp>
        <v>0</v>
        <stp/>
        <stp>##V3_BDHV12</stp>
        <stp>XOM US Equity</stp>
        <stp>BS_MKT_SEC_OTHER_ST_INVEST</stp>
        <stp>FQ2 2012</stp>
        <stp>FQ2 2012</stp>
        <stp>[FA1_m42y3cpi.xlsx]Bal Sheet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3"/>
      </tp>
      <tp>
        <v>0</v>
        <stp/>
        <stp>##V3_BDHV12</stp>
        <stp>XOM US Equity</stp>
        <stp>CF_CASH_FOR_ACQUIS_SUBSIDIARIES</stp>
        <stp>FQ4 2011</stp>
        <stp>FQ4 2011</stp>
        <stp>[FA1_m42y3cpi.xlsx]Cash Flow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4"/>
      </tp>
      <tp t="s">
        <v>—</v>
        <stp/>
        <stp>##V3_BDHV12</stp>
        <stp>XOM US Equity</stp>
        <stp>IS_LEGAL_LITIGATION_SETTLEMENT</stp>
        <stp>FQ4 2008</stp>
        <stp>FQ4 2008</stp>
        <stp>[FA1_m42y3cpi.xlsx]Income - Adjusted!R30C4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2"/>
      </tp>
      <tp>
        <v>3403</v>
        <stp/>
        <stp>##V3_BDHV12</stp>
        <stp>XOM US Equity</stp>
        <stp>BS_NUM_OF_TSY_SH</stp>
        <stp>FQ2 2012</stp>
        <stp>FQ2 2012</stp>
        <stp>[FA1_m42y3cpi.xlsx]Bal Sheet - Standardized!R80C18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0" s="3"/>
      </tp>
      <tp>
        <v>3460</v>
        <stp/>
        <stp>##V3_BDHV12</stp>
        <stp>XOM US Equity</stp>
        <stp>BS_NUM_OF_TSY_SH</stp>
        <stp>FQ3 2012</stp>
        <stp>FQ3 2012</stp>
        <stp>[FA1_m42y3cpi.xlsx]Bal Sheet - Standardized!R80C19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0" s="3"/>
      </tp>
      <tp>
        <v>228</v>
        <stp/>
        <stp>##V3_BDHV12</stp>
        <stp>XOM US Equity</stp>
        <stp>CF_PROC_LT_DEBT_&amp;_CAPITAL_LEASE</stp>
        <stp>FQ4 2014</stp>
        <stp>FQ4 2014</stp>
        <stp>[FA1_m42y3cpi.xlsx]Cash Flow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4"/>
      </tp>
      <tp>
        <v>0</v>
        <stp/>
        <stp>##V3_BDHV12</stp>
        <stp>XOM US Equity</stp>
        <stp>CF_PROC_LT_DEBT_&amp;_CAPITAL_LEASE</stp>
        <stp>FQ2 2018</stp>
        <stp>FQ2 2018</stp>
        <stp>[FA1_m42y3cpi.xlsx]Cash Flow - Standardized!R42C42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2" s="4"/>
      </tp>
      <tp>
        <v>0</v>
        <stp/>
        <stp>##V3_BDHV12</stp>
        <stp>XOM US Equity</stp>
        <stp>CF_CASH_FOR_ACQUIS_SUBSIDIARIES</stp>
        <stp>FQ4 2010</stp>
        <stp>FQ4 2010</stp>
        <stp>[FA1_m42y3cpi.xlsx]Cash Flow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4"/>
      </tp>
      <tp>
        <v>0.69</v>
        <stp/>
        <stp>##V3_BDHV12</stp>
        <stp>XOM US Equity</stp>
        <stp>EQY_DPS</stp>
        <stp>FQ3 2014</stp>
        <stp>FQ3 2014</stp>
        <stp>[FA1_m42y3cpi.xlsx]Per Share!R20C27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0" s="5"/>
      </tp>
      <tp>
        <v>0.75</v>
        <stp/>
        <stp>##V3_BDHV12</stp>
        <stp>XOM US Equity</stp>
        <stp>EQY_DPS</stp>
        <stp>FQ3 2016</stp>
        <stp>FQ3 2016</stp>
        <stp>[FA1_m42y3cpi.xlsx]Per Share!R20C35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0" s="5"/>
      </tp>
      <tp>
        <v>3818</v>
        <stp/>
        <stp>##V3_BDHV12</stp>
        <stp>XOM US Equity</stp>
        <stp>BS_NUM_OF_TSY_SH</stp>
        <stp>FQ4 2014</stp>
        <stp>FQ4 2014</stp>
        <stp>[FA1_m42y3cpi.xlsx]Bal Sheet - Standardized!R80C28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0" s="3"/>
      </tp>
      <tp>
        <v>607</v>
        <stp/>
        <stp>##V3_BDHV12</stp>
        <stp>XOM US Equity</stp>
        <stp>DISP_FXD_&amp;_INTANGIBLES_DETAILED</stp>
        <stp>FQ3 2012</stp>
        <stp>FQ3 2012</stp>
        <stp>[FA1_m42y3cpi.xlsx]Cash Flow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4"/>
      </tp>
      <tp>
        <v>139</v>
        <stp/>
        <stp>##V3_BDHV12</stp>
        <stp>XOM US Equity</stp>
        <stp>CF_PROC_LT_DEBT_&amp;_CAPITAL_LEASE</stp>
        <stp>FQ4 2013</stp>
        <stp>FQ4 2013</stp>
        <stp>[FA1_m42y3cpi.xlsx]Cash Flow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4"/>
      </tp>
      <tp>
        <v>1408</v>
        <stp/>
        <stp>##V3_BDHV12</stp>
        <stp>XOM US Equity</stp>
        <stp>DISP_FXD_&amp;_INTANGIBLES_DETAILED</stp>
        <stp>FQ3 2011</stp>
        <stp>FQ3 2011</stp>
        <stp>[FA1_m42y3cpi.xlsx]Cash Flow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4"/>
      </tp>
      <tp>
        <v>3785</v>
        <stp/>
        <stp>##V3_BDHV12</stp>
        <stp>XOM US Equity</stp>
        <stp>BS_NUM_OF_TSY_SH</stp>
        <stp>FQ2 2018</stp>
        <stp>FQ2 2018</stp>
        <stp>[FA1_m42y3cpi.xlsx]Bal Sheet - Standardized!R80C42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0" s="3"/>
      </tp>
      <tp>
        <v>3785</v>
        <stp/>
        <stp>##V3_BDHV12</stp>
        <stp>XOM US Equity</stp>
        <stp>BS_NUM_OF_TSY_SH</stp>
        <stp>FQ1 2018</stp>
        <stp>FQ1 2018</stp>
        <stp>[FA1_m42y3cpi.xlsx]Bal Sheet - Standardized!R80C41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0" s="3"/>
      </tp>
      <tp>
        <v>177</v>
        <stp/>
        <stp>##V3_BDHV12</stp>
        <stp>XOM US Equity</stp>
        <stp>DISP_FXD_&amp;_INTANGIBLES_DETAILED</stp>
        <stp>FQ1 2016</stp>
        <stp>FQ1 2016</stp>
        <stp>[FA1_m42y3cpi.xlsx]Cash Flow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4"/>
      </tp>
      <tp>
        <v>0</v>
        <stp/>
        <stp>##V3_BDHV12</stp>
        <stp>XOM US Equity</stp>
        <stp>CF_CASH_FOR_ACQUIS_SUBSIDIARIES</stp>
        <stp>FQ1 2018</stp>
        <stp>FQ1 2018</stp>
        <stp>[FA1_m42y3cpi.xlsx]Cash Flow - Standardized!R32C41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4"/>
      </tp>
      <tp>
        <v>755</v>
        <stp/>
        <stp>##V3_BDHV12</stp>
        <stp>XOM US Equity</stp>
        <stp>DISP_FXD_&amp;_INTANGIBLES_DETAILED</stp>
        <stp>FQ3 2010</stp>
        <stp>FQ3 2010</stp>
        <stp>[FA1_m42y3cpi.xlsx]Cash Flow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4"/>
      </tp>
      <tp>
        <v>398</v>
        <stp/>
        <stp>##V3_BDHV12</stp>
        <stp>XOM US Equity</stp>
        <stp>CF_PROC_LT_DEBT_&amp;_CAPITAL_LEASE</stp>
        <stp>FQ4 2012</stp>
        <stp>FQ4 2012</stp>
        <stp>[FA1_m42y3cpi.xlsx]Cash Flow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4"/>
      </tp>
      <tp>
        <v>687</v>
        <stp/>
        <stp>##V3_BDHV12</stp>
        <stp>XOM US Equity</stp>
        <stp>DISP_FXD_&amp;_INTANGIBLES_DETAILED</stp>
        <stp>FQ1 2017</stp>
        <stp>FQ1 2017</stp>
        <stp>[FA1_m42y3cpi.xlsx]Cash Flow - Standardized!R21C37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4"/>
      </tp>
      <tp t="s">
        <v>—</v>
        <stp/>
        <stp>##V3_BDHV12</stp>
        <stp>XOM US Equity</stp>
        <stp>IS_LEGAL_LITIGATION_SETTLEMENT</stp>
        <stp>FQ4 2009</stp>
        <stp>FQ4 2009</stp>
        <stp>[FA1_m42y3cpi.xlsx]Income - Adjusted!R30C8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2"/>
      </tp>
      <tp>
        <v>-289</v>
        <stp/>
        <stp>##V3_BDHV12</stp>
        <stp>XOM US Equity</stp>
        <stp>CF_CHNG_NON_CASH_WORK_CAP</stp>
        <stp>FQ3 2012</stp>
        <stp>FQ3 2012</stp>
        <stp>[FA1_m42y3cpi.xlsx]Cash Flow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4"/>
      </tp>
      <tp>
        <v>1076</v>
        <stp/>
        <stp>##V3_BDHV12</stp>
        <stp>XOM US Equity</stp>
        <stp>CF_CHNG_NON_CASH_WORK_CAP</stp>
        <stp>FQ3 2011</stp>
        <stp>FQ3 2011</stp>
        <stp>[FA1_m42y3cpi.xlsx]Cash Flow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4"/>
      </tp>
      <tp>
        <v>0.9012</v>
        <stp/>
        <stp>##V3_BDHV12</stp>
        <stp>XOM US Equity</stp>
        <stp>FREE_CASH_FLOW_PER_SH</stp>
        <stp>FQ2 2017</stp>
        <stp>FQ2 2017</stp>
        <stp>[FA1_m42y3cpi.xlsx]Per Share!R23C38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3" s="5"/>
      </tp>
      <tp>
        <v>-399</v>
        <stp/>
        <stp>##V3_BDHV12</stp>
        <stp>XOM US Equity</stp>
        <stp>CF_CHNG_NON_CASH_WORK_CAP</stp>
        <stp>FQ1 2016</stp>
        <stp>FQ1 2016</stp>
        <stp>[FA1_m42y3cpi.xlsx]Cash Flow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4"/>
      </tp>
      <tp>
        <v>1654</v>
        <stp/>
        <stp>##V3_BDHV12</stp>
        <stp>XOM US Equity</stp>
        <stp>CF_CHNG_NON_CASH_WORK_CAP</stp>
        <stp>FQ3 2010</stp>
        <stp>FQ3 2010</stp>
        <stp>[FA1_m42y3cpi.xlsx]Cash Flow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4"/>
      </tp>
      <tp>
        <v>793</v>
        <stp/>
        <stp>##V3_BDHV12</stp>
        <stp>XOM US Equity</stp>
        <stp>CF_CHNG_NON_CASH_WORK_CAP</stp>
        <stp>FQ1 2017</stp>
        <stp>FQ1 2017</stp>
        <stp>[FA1_m42y3cpi.xlsx]Cash Flow - Standardized!R13C37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3" s="4"/>
      </tp>
      <tp>
        <v>3627</v>
        <stp/>
        <stp>##V3_BDHV12</stp>
        <stp>XOM US Equity</stp>
        <stp>IS_SG&amp;A_EXPENSE</stp>
        <stp>FQ1 2011</stp>
        <stp>FQ1 2011</stp>
        <stp>[FA1_m42y3cpi.xlsx]Income - Adjusted!R14C13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4" s="2"/>
      </tp>
      <tp>
        <v>3118</v>
        <stp/>
        <stp>##V3_BDHV12</stp>
        <stp>XOM US Equity</stp>
        <stp>IS_SG&amp;A_EXPENSE</stp>
        <stp>FQ1 2013</stp>
        <stp>FQ1 2013</stp>
        <stp>[FA1_m42y3cpi.xlsx]Income - Adjusted!R14C21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4" s="2"/>
      </tp>
      <tp>
        <v>3169</v>
        <stp/>
        <stp>##V3_BDHV12</stp>
        <stp>XOM US Equity</stp>
        <stp>IS_SG&amp;A_EXPENSE</stp>
        <stp>FQ2 2014</stp>
        <stp>FQ2 2014</stp>
        <stp>[FA1_m42y3cpi.xlsx]Income - Adjusted!R14C26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4" s="2"/>
      </tp>
      <tp>
        <v>2646</v>
        <stp/>
        <stp>##V3_BDHV12</stp>
        <stp>XOM US Equity</stp>
        <stp>IS_SG&amp;A_EXPENSE</stp>
        <stp>FQ2 2016</stp>
        <stp>FQ2 2016</stp>
        <stp>[FA1_m42y3cpi.xlsx]Income - Adjusted!R14C34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4" s="2"/>
      </tp>
      <tp>
        <v>3855</v>
        <stp/>
        <stp>##V3_BDHV12</stp>
        <stp>XOM US Equity</stp>
        <stp>IS_SG&amp;A_EXPENSE</stp>
        <stp>FQ4 2010</stp>
        <stp>FQ4 2010</stp>
        <stp>[FA1_m42y3cpi.xlsx]Income - Adjusted!R14C12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4" s="2"/>
      </tp>
      <tp>
        <v>3322</v>
        <stp/>
        <stp>##V3_BDHV12</stp>
        <stp>XOM US Equity</stp>
        <stp>IS_SG&amp;A_EXPENSE</stp>
        <stp>FQ4 2012</stp>
        <stp>FQ4 2012</stp>
        <stp>[FA1_m42y3cpi.xlsx]Income - Adjusted!R14C20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4" s="2"/>
      </tp>
      <tp>
        <v>0.90820000000000001</v>
        <stp/>
        <stp>##V3_BDHV12</stp>
        <stp>XOM US Equity</stp>
        <stp>CUR_RATIO</stp>
        <stp>FQ1 2016</stp>
        <stp>FQ1 2016</stp>
        <stp>[FA1_m42y3cpi.xlsx]Bal Sheet - Standardized!R89C33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9" s="3"/>
      </tp>
      <tp>
        <v>0.86939999999999995</v>
        <stp/>
        <stp>##V3_BDHV12</stp>
        <stp>XOM US Equity</stp>
        <stp>CUR_RATIO</stp>
        <stp>FQ4 2016</stp>
        <stp>FQ4 2016</stp>
        <stp>[FA1_m42y3cpi.xlsx]Bal Sheet - Standardized!R89C36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9" s="3"/>
      </tp>
      <tp>
        <v>0.95209999999999995</v>
        <stp/>
        <stp>##V3_BDHV12</stp>
        <stp>XOM US Equity</stp>
        <stp>CUR_RATIO</stp>
        <stp>FQ1 2012</stp>
        <stp>FQ1 2012</stp>
        <stp>[FA1_m42y3cpi.xlsx]Bal Sheet - Standardized!R89C17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9" s="3"/>
      </tp>
      <tp>
        <v>0</v>
        <stp/>
        <stp>##V3_BDHV12</stp>
        <stp>XOM US Equity</stp>
        <stp>INVTRY_RAW_MATERIALS</stp>
        <stp>FQ4 2012</stp>
        <stp>FQ4 2012</stp>
        <stp>[FA1_m42y3cpi.xlsx]Bal Sheet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3"/>
      </tp>
      <tp>
        <v>-807</v>
        <stp/>
        <stp>##V3_BDHV12</stp>
        <stp>XOM US Equity</stp>
        <stp>IS_OTHER_NON_OPERATING_INC_LOSS</stp>
        <stp>FQ3 2016</stp>
        <stp>FQ3 2016</stp>
        <stp>[FA1_m42y3cpi.xlsx]Income - Adjusted!R23C35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3" s="2"/>
      </tp>
      <tp>
        <v>-713</v>
        <stp/>
        <stp>##V3_BDHV12</stp>
        <stp>XOM US Equity</stp>
        <stp>IS_OTHER_NON_OPERATING_INC_LOSS</stp>
        <stp>FQ3 2014</stp>
        <stp>FQ3 2014</stp>
        <stp>[FA1_m42y3cpi.xlsx]Income - Adjusted!R23C27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3" s="2"/>
      </tp>
      <tp>
        <v>0</v>
        <stp/>
        <stp>##V3_BDHV12</stp>
        <stp>XOM US Equity</stp>
        <stp>INVTRY_RAW_MATERIALS</stp>
        <stp>FQ4 2013</stp>
        <stp>FQ4 2013</stp>
        <stp>[FA1_m42y3cpi.xlsx]Bal Sheet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3"/>
      </tp>
      <tp>
        <v>4470</v>
        <stp/>
        <stp>##V3_BDHV12</stp>
        <stp>XOM US Equity</stp>
        <stp>IS_DEPR_EXP</stp>
        <stp>FQ1 2018</stp>
        <stp>FQ1 2018</stp>
        <stp>[FA1_m42y3cpi.xlsx]Income - Adjusted!R71C41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1" s="2"/>
      </tp>
      <tp>
        <v>81.98</v>
        <stp/>
        <stp>##V3_BDHV12</stp>
        <stp>XOM US Equity</stp>
        <stp>PX_LAST</stp>
        <stp>FQ3 2017</stp>
        <stp>FQ3 2017</stp>
        <stp>[FA1_m42y3cpi.xlsx]Stock Value!R6C39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" s="6"/>
      </tp>
      <tp>
        <v>91.45</v>
        <stp/>
        <stp>##V3_BDHV12</stp>
        <stp>XOM US Equity</stp>
        <stp>PX_LAST</stp>
        <stp>FQ3 2012</stp>
        <stp>FQ3 2012</stp>
        <stp>[FA1_m42y3cpi.xlsx]Stock Value!R6C19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6"/>
      </tp>
      <tp>
        <v>0</v>
        <stp/>
        <stp>##V3_BDHV12</stp>
        <stp>XOM US Equity</stp>
        <stp>INVTRY_RAW_MATERIALS</stp>
        <stp>FQ4 2014</stp>
        <stp>FQ4 2014</stp>
        <stp>[FA1_m42y3cpi.xlsx]Bal Sheet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3"/>
      </tp>
      <tp>
        <v>0</v>
        <stp/>
        <stp>##V3_BDHV12</stp>
        <stp>XOM US Equity</stp>
        <stp>INVTRY_RAW_MATERIALS</stp>
        <stp>FQ2 2018</stp>
        <stp>FQ2 2018</stp>
        <stp>[FA1_m42y3cpi.xlsx]Bal Sheet - Standardized!R14C42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4" s="3"/>
      </tp>
      <tp>
        <v>85</v>
        <stp/>
        <stp>##V3_BDHV12</stp>
        <stp>XOM US Equity</stp>
        <stp>PX_LAST</stp>
        <stp>FQ1 2015</stp>
        <stp>FQ1 2015</stp>
        <stp>[FA1_m42y3cpi.xlsx]Stock Value!R6C29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6"/>
      </tp>
      <tp t="s">
        <v>—</v>
        <stp/>
        <stp>##V3_BDHV12</stp>
        <stp>XOM US Equity</stp>
        <stp>IS_NET_INTEREST_EXPENSE</stp>
        <stp>FQ4 2014</stp>
        <stp>FQ4 2014</stp>
        <stp>[FA1_m42y3cpi.xlsx]Income - Adjusted!R18C28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8" s="2"/>
      </tp>
      <tp t="s">
        <v>—</v>
        <stp/>
        <stp>##V3_BDHV12</stp>
        <stp>XOM US Equity</stp>
        <stp>IS_NET_INTEREST_EXPENSE</stp>
        <stp>FQ1 2015</stp>
        <stp>FQ1 2015</stp>
        <stp>[FA1_m42y3cpi.xlsx]Income - Adjusted!R18C29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8" s="2"/>
      </tp>
      <tp t="s">
        <v>—</v>
        <stp/>
        <stp>##V3_BDHV12</stp>
        <stp>XOM US Equity</stp>
        <stp>BS_LT_INVEST</stp>
        <stp>FQ1 2016</stp>
        <stp>FQ1 2016</stp>
        <stp>[FA1_m42y3cpi.xlsx]Bal Sheet - Standardized!R26C33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3"/>
      </tp>
      <tp>
        <v>19839</v>
        <stp/>
        <stp>##V3_BDHV12</stp>
        <stp>XOM US Equity</stp>
        <stp>BS_LT_BORROW</stp>
        <stp>FQ3 2015</stp>
        <stp>FQ3 2015</stp>
        <stp>[FA1_m42y3cpi.xlsx]Bal Sheet - Standardized!R56C31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6" s="3"/>
      </tp>
      <tp>
        <v>296441</v>
        <stp/>
        <stp>##V3_BDHV12</stp>
        <stp>XOM US Equity</stp>
        <stp>BS_TOT_NON_CUR_ASSET</stp>
        <stp>FQ3 2016</stp>
        <stp>FQ3 2016</stp>
        <stp>[FA1_m42y3cpi.xlsx]Bal Sheet - Standardized!R38C35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8" s="3"/>
      </tp>
      <tp>
        <v>294573</v>
        <stp/>
        <stp>##V3_BDHV12</stp>
        <stp>XOM US Equity</stp>
        <stp>BS_TOT_NON_CUR_ASSET</stp>
        <stp>FQ2 2014</stp>
        <stp>FQ2 2014</stp>
        <stp>[FA1_m42y3cpi.xlsx]Bal Sheet - Standardized!R38C26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8" s="3"/>
      </tp>
      <tp t="s">
        <v>—</v>
        <stp/>
        <stp>##V3_BDHV12</stp>
        <stp>XOM US Equity</stp>
        <stp>CF_NET_CASH_PAID_FOR_AQUIS</stp>
        <stp>FQ2 2011</stp>
        <stp>FQ2 2011</stp>
        <stp>[FA1_m42y3cpi.xlsx]Cash Flow - Standardized!R61C14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1" s="4"/>
      </tp>
      <tp>
        <v>301557</v>
        <stp/>
        <stp>##V3_BDHV12</stp>
        <stp>XOM US Equity</stp>
        <stp>BS_TOT_NON_CUR_ASSET</stp>
        <stp>FQ4 2017</stp>
        <stp>FQ4 2017</stp>
        <stp>[FA1_m42y3cpi.xlsx]Bal Sheet - Standardized!R38C40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8" s="3"/>
      </tp>
      <tp>
        <v>278771</v>
        <stp/>
        <stp>##V3_BDHV12</stp>
        <stp>XOM US Equity</stp>
        <stp>BS_TOT_NON_CUR_ASSET</stp>
        <stp>FQ2 2013</stp>
        <stp>FQ2 2013</stp>
        <stp>[FA1_m42y3cpi.xlsx]Bal Sheet - Standardized!R38C22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8" s="3"/>
      </tp>
      <tp>
        <v>247511</v>
        <stp/>
        <stp>##V3_BDHV12</stp>
        <stp>XOM US Equity</stp>
        <stp>BS_TOT_NON_CUR_ASSET</stp>
        <stp>FQ1 2011</stp>
        <stp>FQ1 2011</stp>
        <stp>[FA1_m42y3cpi.xlsx]Bal Sheet - Standardized!R38C13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8" s="3"/>
      </tp>
      <tp t="s">
        <v>—</v>
        <stp/>
        <stp>##V3_BDHV12</stp>
        <stp>XOM US Equity</stp>
        <stp>BS_LT_INVEST</stp>
        <stp>FQ3 2011</stp>
        <stp>FQ3 2011</stp>
        <stp>[FA1_m42y3cpi.xlsx]Bal Sheet - Standardized!R26C15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3"/>
      </tp>
      <tp>
        <v>9231</v>
        <stp/>
        <stp>##V3_BDHV12</stp>
        <stp>XOM US Equity</stp>
        <stp>BS_LT_BORROW</stp>
        <stp>FQ1 2012</stp>
        <stp>FQ1 2012</stp>
        <stp>[FA1_m42y3cpi.xlsx]Bal Sheet - Standardized!R56C17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6" s="3"/>
      </tp>
      <tp>
        <v>24406</v>
        <stp/>
        <stp>##V3_BDHV12</stp>
        <stp>XOM US Equity</stp>
        <stp>BS_LT_BORROW</stp>
        <stp>FQ4 2017</stp>
        <stp>FQ4 2017</stp>
        <stp>[FA1_m42y3cpi.xlsx]Bal Sheet - Standardized!R56C40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6" s="3"/>
      </tp>
      <tp>
        <v>7496</v>
        <stp/>
        <stp>##V3_BDHV12</stp>
        <stp>XOM US Equity</stp>
        <stp>BS_LT_BORROW</stp>
        <stp>FQ2 2013</stp>
        <stp>FQ2 2013</stp>
        <stp>[FA1_m42y3cpi.xlsx]Bal Sheet - Standardized!R56C22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6" s="3"/>
      </tp>
      <tp>
        <v>12316</v>
        <stp/>
        <stp>##V3_BDHV12</stp>
        <stp>XOM US Equity</stp>
        <stp>BS_LT_BORROW</stp>
        <stp>FQ1 2011</stp>
        <stp>FQ1 2011</stp>
        <stp>[FA1_m42y3cpi.xlsx]Bal Sheet - Standardized!R56C13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6" s="3"/>
      </tp>
      <tp t="s">
        <v>—</v>
        <stp/>
        <stp>##V3_BDHV12</stp>
        <stp>XOM US Equity</stp>
        <stp>CF_NET_CASH_PAID_FOR_AQUIS</stp>
        <stp>FQ2 2010</stp>
        <stp>FQ2 2010</stp>
        <stp>[FA1_m42y3cpi.xlsx]Cash Flow - Standardized!R61C10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1" s="4"/>
      </tp>
      <tp>
        <v>268992</v>
        <stp/>
        <stp>##V3_BDHV12</stp>
        <stp>XOM US Equity</stp>
        <stp>BS_TOT_NON_CUR_ASSET</stp>
        <stp>FQ1 2012</stp>
        <stp>FQ1 2012</stp>
        <stp>[FA1_m42y3cpi.xlsx]Bal Sheet - Standardized!R38C17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8" s="3"/>
      </tp>
      <tp t="s">
        <v>—</v>
        <stp/>
        <stp>##V3_BDHV12</stp>
        <stp>XOM US Equity</stp>
        <stp>BS_LT_INVEST</stp>
        <stp>FQ1 2017</stp>
        <stp>FQ1 2017</stp>
        <stp>[FA1_m42y3cpi.xlsx]Bal Sheet - Standardized!R26C37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3"/>
      </tp>
      <tp>
        <v>0</v>
        <stp/>
        <stp>##V3_BDHV12</stp>
        <stp>XOM US Equity</stp>
        <stp>CF_NET_CASH_PAID_FOR_AQUIS</stp>
        <stp>FQ1 2013</stp>
        <stp>FQ1 2013</stp>
        <stp>[FA1_m42y3cpi.xlsx]Cash Flow - Standardized!R61C21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1" s="4"/>
      </tp>
      <tp>
        <v>293428</v>
        <stp/>
        <stp>##V3_BDHV12</stp>
        <stp>XOM US Equity</stp>
        <stp>BS_TOT_NON_CUR_ASSET</stp>
        <stp>FQ3 2015</stp>
        <stp>FQ3 2015</stp>
        <stp>[FA1_m42y3cpi.xlsx]Bal Sheet - Standardized!R38C31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8" s="3"/>
      </tp>
      <tp t="s">
        <v>—</v>
        <stp/>
        <stp>##V3_BDHV12</stp>
        <stp>XOM US Equity</stp>
        <stp>BS_LT_INVEST</stp>
        <stp>FQ3 2010</stp>
        <stp>FQ3 2010</stp>
        <stp>[FA1_m42y3cpi.xlsx]Bal Sheet - Standardized!R26C11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3"/>
      </tp>
      <tp>
        <v>0</v>
        <stp/>
        <stp>##V3_BDHV12</stp>
        <stp>XOM US Equity</stp>
        <stp>CF_NET_CASH_PAID_FOR_AQUIS</stp>
        <stp>FQ1 2014</stp>
        <stp>FQ1 2014</stp>
        <stp>[FA1_m42y3cpi.xlsx]Cash Flow - Standardized!R61C25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1" s="4"/>
      </tp>
      <tp>
        <v>28916</v>
        <stp/>
        <stp>##V3_BDHV12</stp>
        <stp>XOM US Equity</stp>
        <stp>BS_LT_BORROW</stp>
        <stp>FQ3 2016</stp>
        <stp>FQ3 2016</stp>
        <stp>[FA1_m42y3cpi.xlsx]Bal Sheet - Standardized!R56C35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6" s="3"/>
      </tp>
      <tp>
        <v>11817</v>
        <stp/>
        <stp>##V3_BDHV12</stp>
        <stp>XOM US Equity</stp>
        <stp>BS_LT_BORROW</stp>
        <stp>FQ2 2014</stp>
        <stp>FQ2 2014</stp>
        <stp>[FA1_m42y3cpi.xlsx]Bal Sheet - Standardized!R56C26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6" s="3"/>
      </tp>
      <tp>
        <v>24869</v>
        <stp/>
        <stp>##V3_BDHV12</stp>
        <stp>XOM US Equity</stp>
        <stp>BS_LT_BORROW</stp>
        <stp>FQ3 2017</stp>
        <stp>FQ3 2017</stp>
        <stp>[FA1_m42y3cpi.xlsx]Bal Sheet - Standardized!R56C39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6" s="3"/>
      </tp>
      <tp t="s">
        <v>—</v>
        <stp/>
        <stp>##V3_BDHV12</stp>
        <stp>XOM US Equity</stp>
        <stp>CF_NET_CASH_PAID_FOR_AQUIS</stp>
        <stp>FQ1 2015</stp>
        <stp>FQ1 2015</stp>
        <stp>[FA1_m42y3cpi.xlsx]Cash Flow - Standardized!R61C29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1" s="4"/>
      </tp>
      <tp>
        <v>303675</v>
        <stp/>
        <stp>##V3_BDHV12</stp>
        <stp>XOM US Equity</stp>
        <stp>BS_TOT_NON_CUR_ASSET</stp>
        <stp>FQ3 2017</stp>
        <stp>FQ3 2017</stp>
        <stp>[FA1_m42y3cpi.xlsx]Bal Sheet - Standardized!R38C39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8" s="3"/>
      </tp>
      <tp t="s">
        <v>—</v>
        <stp/>
        <stp>##V3_BDHV12</stp>
        <stp>XOM US Equity</stp>
        <stp>BS_LT_INVEST</stp>
        <stp>FQ3 2012</stp>
        <stp>FQ3 2012</stp>
        <stp>[FA1_m42y3cpi.xlsx]Bal Sheet - Standardized!R26C19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3"/>
      </tp>
      <tp t="s">
        <v>—</v>
        <stp/>
        <stp>##V3_BDHV12</stp>
        <stp>XOM US Equity</stp>
        <stp>CF_NET_CASH_PAID_FOR_AQUIS</stp>
        <stp>FQ2 2012</stp>
        <stp>FQ2 2012</stp>
        <stp>[FA1_m42y3cpi.xlsx]Cash Flow - Standardized!R61C18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1" s="4"/>
      </tp>
      <tp t="s">
        <v>—</v>
        <stp/>
        <stp>##V3_BDHV12</stp>
        <stp>XOM US Equity</stp>
        <stp>IS_SALE_OF_BUSINESS</stp>
        <stp>FQ2 2018</stp>
        <stp>FQ2 2018</stp>
        <stp>[FA1_m42y3cpi.xlsx]Income - Adjusted!R29C42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9" s="2"/>
      </tp>
      <tp>
        <v>1030</v>
        <stp/>
        <stp>##V3_BDHV12</stp>
        <stp>XOM US Equity</stp>
        <stp>NON_CASH_ITEMS_DETAILED</stp>
        <stp>FQ3 2009</stp>
        <stp>FQ3 2009</stp>
        <stp>[FA1_m42y3cpi.xlsx]Cash Flow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4"/>
      </tp>
      <tp>
        <v>-2633</v>
        <stp/>
        <stp>##V3_BDHV12</stp>
        <stp>XOM US Equity</stp>
        <stp>NON_CASH_ITEMS_DETAILED</stp>
        <stp>FQ2 2009</stp>
        <stp>FQ2 2009</stp>
        <stp>[FA1_m42y3cpi.xlsx]Cash Flow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4"/>
      </tp>
      <tp>
        <v>435</v>
        <stp/>
        <stp>##V3_BDHV12</stp>
        <stp>XOM US Equity</stp>
        <stp>NON_CASH_ITEMS_DETAILED</stp>
        <stp>FQ1 2009</stp>
        <stp>FQ1 2009</stp>
        <stp>[FA1_m42y3cpi.xlsx]Cash Flow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4"/>
      </tp>
      <tp>
        <v>-1.3221000000000001</v>
        <stp/>
        <stp>##V3_BDHV12</stp>
        <stp>XOM US Equity</stp>
        <stp>NET_DEBT_TO_SHRHLDR_EQTY</stp>
        <stp>FQ2 2012</stp>
        <stp>FQ2 2012</stp>
        <stp>[FA1_m42y3cpi.xlsx]Bal Sheet - Standardized!R87C18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7" s="3"/>
      </tp>
      <tp>
        <v>-0.36609999999999998</v>
        <stp/>
        <stp>##V3_BDHV12</stp>
        <stp>XOM US Equity</stp>
        <stp>NET_DEBT_TO_SHRHLDR_EQTY</stp>
        <stp>FQ3 2012</stp>
        <stp>FQ3 2012</stp>
        <stp>[FA1_m42y3cpi.xlsx]Bal Sheet - Standardized!R87C19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7" s="3"/>
      </tp>
      <tp>
        <v>13.533899999999999</v>
        <stp/>
        <stp>##V3_BDHV12</stp>
        <stp>XOM US Equity</stp>
        <stp>NET_DEBT_TO_SHRHLDR_EQTY</stp>
        <stp>FQ4 2014</stp>
        <stp>FQ4 2014</stp>
        <stp>[FA1_m42y3cpi.xlsx]Bal Sheet - Standardized!R87C28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7" s="3"/>
      </tp>
      <tp>
        <v>19.526399999999999</v>
        <stp/>
        <stp>##V3_BDHV12</stp>
        <stp>XOM US Equity</stp>
        <stp>NET_DEBT_TO_SHRHLDR_EQTY</stp>
        <stp>FQ2 2018</stp>
        <stp>FQ2 2018</stp>
        <stp>[FA1_m42y3cpi.xlsx]Bal Sheet - Standardized!R87C42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7" s="3"/>
      </tp>
      <tp>
        <v>18.7224</v>
        <stp/>
        <stp>##V3_BDHV12</stp>
        <stp>XOM US Equity</stp>
        <stp>NET_DEBT_TO_SHRHLDR_EQTY</stp>
        <stp>FQ1 2018</stp>
        <stp>FQ1 2018</stp>
        <stp>[FA1_m42y3cpi.xlsx]Bal Sheet - Standardized!R87C41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7" s="3"/>
      </tp>
      <tp>
        <v>-432</v>
        <stp/>
        <stp>##V3_BDHV12</stp>
        <stp>XOM US Equity</stp>
        <stp>NON_CASH_ITEMS_DETAILED</stp>
        <stp>FQ4 2009</stp>
        <stp>FQ4 2009</stp>
        <stp>[FA1_m42y3cpi.xlsx]Cash Flow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4"/>
      </tp>
      <tp>
        <v>0</v>
        <stp/>
        <stp>##V3_BDHV12</stp>
        <stp>XOM US Equity</stp>
        <stp>CF_CASH_FOR_ACQUIS_SUBSIDIARIES</stp>
        <stp>FQ3 2010</stp>
        <stp>FQ3 2010</stp>
        <stp>[FA1_m42y3cpi.xlsx]Cash Flow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4"/>
      </tp>
      <tp t="s">
        <v>—</v>
        <stp/>
        <stp>##V3_BDHV12</stp>
        <stp>XOM US Equity</stp>
        <stp>BS_DEFERRED_TAX_ASSETS_ST</stp>
        <stp>FQ4 2008</stp>
        <stp>FQ4 2008</stp>
        <stp>[FA1_m42y3cpi.xlsx]Bal Sheet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3"/>
      </tp>
      <tp t="s">
        <v>—</v>
        <stp/>
        <stp>##V3_BDHV12</stp>
        <stp>XOM US Equity</stp>
        <stp>BS_DEFERRED_TAX_ASSETS_ST</stp>
        <stp>FQ3 2008</stp>
        <stp>FQ3 2008</stp>
        <stp>[FA1_m42y3cpi.xlsx]Bal Sheet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3"/>
      </tp>
      <tp>
        <v>4271</v>
        <stp/>
        <stp>##V3_BDHV12</stp>
        <stp>XOM US Equity</stp>
        <stp>IS_AVG_NUM_SH_FOR_EPS</stp>
        <stp>FQ2 2017</stp>
        <stp>FQ2 2017</stp>
        <stp>[FA1_m42y3cpi.xlsx]Income - Adjusted!R49C38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9" s="2"/>
      </tp>
      <tp>
        <v>0</v>
        <stp/>
        <stp>##V3_BDHV12</stp>
        <stp>XOM US Equity</stp>
        <stp>CF_CASH_FOR_ACQUIS_SUBSIDIARIES</stp>
        <stp>FQ1 2017</stp>
        <stp>FQ1 2017</stp>
        <stp>[FA1_m42y3cpi.xlsx]Cash Flow - Standardized!R32C37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4"/>
      </tp>
      <tp t="s">
        <v>—</v>
        <stp/>
        <stp>##V3_BDHV12</stp>
        <stp>XOM US Equity</stp>
        <stp>IS_LEGAL_LITIGATION_SETTLEMENT</stp>
        <stp>FQ3 2008</stp>
        <stp>FQ3 2008</stp>
        <stp>[FA1_m42y3cpi.xlsx]Income - Adjusted!R30C3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2"/>
      </tp>
      <tp>
        <v>0</v>
        <stp/>
        <stp>##V3_BDHV12</stp>
        <stp>XOM US Equity</stp>
        <stp>CF_CASH_FOR_ACQUIS_SUBSIDIARIES</stp>
        <stp>FQ3 2011</stp>
        <stp>FQ3 2011</stp>
        <stp>[FA1_m42y3cpi.xlsx]Cash Flow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4"/>
      </tp>
      <tp t="s">
        <v>—</v>
        <stp/>
        <stp>##V3_BDHV12</stp>
        <stp>XOM US Equity</stp>
        <stp>BS_DEFERRED_TAX_ASSETS_ST</stp>
        <stp>FQ1 2009</stp>
        <stp>FQ1 2009</stp>
        <stp>[FA1_m42y3cpi.xlsx]Bal Sheet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3"/>
      </tp>
      <tp t="s">
        <v>—</v>
        <stp/>
        <stp>##V3_BDHV12</stp>
        <stp>XOM US Equity</stp>
        <stp>BS_DEFERRED_TAX_ASSETS_ST</stp>
        <stp>FQ2 2009</stp>
        <stp>FQ2 2009</stp>
        <stp>[FA1_m42y3cpi.xlsx]Bal Sheet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3"/>
      </tp>
      <tp t="s">
        <v>—</v>
        <stp/>
        <stp>##V3_BDHV12</stp>
        <stp>XOM US Equity</stp>
        <stp>BS_DEFERRED_TAX_ASSETS_ST</stp>
        <stp>FQ3 2009</stp>
        <stp>FQ3 2009</stp>
        <stp>[FA1_m42y3cpi.xlsx]Bal Sheet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3"/>
      </tp>
      <tp>
        <v>0.47</v>
        <stp/>
        <stp>##V3_BDHV12</stp>
        <stp>XOM US Equity</stp>
        <stp>EQY_DPS</stp>
        <stp>FQ3 2011</stp>
        <stp>FQ3 2011</stp>
        <stp>[FA1_m42y3cpi.xlsx]Per Share!R20C15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0" s="5"/>
      </tp>
      <tp>
        <v>0.73</v>
        <stp/>
        <stp>##V3_BDHV12</stp>
        <stp>XOM US Equity</stp>
        <stp>EQY_DPS</stp>
        <stp>FQ3 2015</stp>
        <stp>FQ3 2015</stp>
        <stp>[FA1_m42y3cpi.xlsx]Per Share!R20C31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0" s="5"/>
      </tp>
      <tp>
        <v>1441</v>
        <stp/>
        <stp>##V3_BDHV12</stp>
        <stp>XOM US Equity</stp>
        <stp>DISP_FXD_&amp;_INTANGIBLES_DETAILED</stp>
        <stp>FQ1 2018</stp>
        <stp>FQ1 2018</stp>
        <stp>[FA1_m42y3cpi.xlsx]Cash Flow - Standardized!R21C41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4"/>
      </tp>
      <tp>
        <v>0</v>
        <stp/>
        <stp>##V3_BDHV12</stp>
        <stp>XOM US Equity</stp>
        <stp>CF_PROC_LT_DEBT_&amp;_CAPITAL_LEASE</stp>
        <stp>FQ2 2017</stp>
        <stp>FQ2 2017</stp>
        <stp>[FA1_m42y3cpi.xlsx]Cash Flow - Standardized!R42C38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2" s="4"/>
      </tp>
      <tp>
        <v>0</v>
        <stp/>
        <stp>##V3_BDHV12</stp>
        <stp>XOM US Equity</stp>
        <stp>CF_CASH_FOR_ACQUIS_SUBSIDIARIES</stp>
        <stp>FQ1 2016</stp>
        <stp>FQ1 2016</stp>
        <stp>[FA1_m42y3cpi.xlsx]Cash Flow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4"/>
      </tp>
      <tp t="s">
        <v>—</v>
        <stp/>
        <stp>##V3_BDHV12</stp>
        <stp>XOM US Equity</stp>
        <stp>IS_LEGAL_LITIGATION_SETTLEMENT</stp>
        <stp>FQ3 2009</stp>
        <stp>FQ3 2009</stp>
        <stp>[FA1_m42y3cpi.xlsx]Income - Adjusted!R30C7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2"/>
      </tp>
      <tp t="s">
        <v>—</v>
        <stp/>
        <stp>##V3_BDHV12</stp>
        <stp>XOM US Equity</stp>
        <stp>BS_DEFERRED_TAX_ASSETS_ST</stp>
        <stp>FQ1 2010</stp>
        <stp>FQ1 2010</stp>
        <stp>[FA1_m42y3cpi.xlsx]Bal Sheet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3"/>
      </tp>
      <tp>
        <v>1654</v>
        <stp/>
        <stp>##V3_BDHV12</stp>
        <stp>XOM US Equity</stp>
        <stp>DISP_FXD_&amp;_INTANGIBLES_DETAILED</stp>
        <stp>FQ4 2010</stp>
        <stp>FQ4 2010</stp>
        <stp>[FA1_m42y3cpi.xlsx]Cash Flow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4"/>
      </tp>
      <tp>
        <v>4</v>
        <stp/>
        <stp>##V3_BDHV12</stp>
        <stp>XOM US Equity</stp>
        <stp>CF_PROC_LT_DEBT_&amp;_CAPITAL_LEASE</stp>
        <stp>FQ3 2013</stp>
        <stp>FQ3 2013</stp>
        <stp>[FA1_m42y3cpi.xlsx]Cash Flow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4"/>
      </tp>
      <tp>
        <v>0</v>
        <stp/>
        <stp>##V3_BDHV12</stp>
        <stp>XOM US Equity</stp>
        <stp>CF_CASH_FOR_ACQUIS_SUBSIDIARIES</stp>
        <stp>FQ3 2012</stp>
        <stp>FQ3 2012</stp>
        <stp>[FA1_m42y3cpi.xlsx]Cash Flow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4"/>
      </tp>
      <tp>
        <v>3</v>
        <stp/>
        <stp>##V3_BDHV12</stp>
        <stp>XOM US Equity</stp>
        <stp>CF_PROC_LT_DEBT_&amp;_CAPITAL_LEASE</stp>
        <stp>FQ3 2014</stp>
        <stp>FQ3 2014</stp>
        <stp>[FA1_m42y3cpi.xlsx]Cash Flow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4"/>
      </tp>
      <tp>
        <v>1</v>
        <stp/>
        <stp>##V3_BDHV12</stp>
        <stp>XOM US Equity</stp>
        <stp>CF_PROC_LT_DEBT_&amp;_CAPITAL_LEASE</stp>
        <stp>FQ2 2016</stp>
        <stp>FQ2 2016</stp>
        <stp>[FA1_m42y3cpi.xlsx]Cash Flow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4"/>
      </tp>
      <tp>
        <v>0</v>
        <stp/>
        <stp>##V3_BDHV12</stp>
        <stp>XOM US Equity</stp>
        <stp>CF_PROC_LT_DEBT_&amp;_CAPITAL_LEASE</stp>
        <stp>FQ2 2015</stp>
        <stp>FQ2 2015</stp>
        <stp>[FA1_m42y3cpi.xlsx]Cash Flow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4"/>
      </tp>
      <tp t="s">
        <v>—</v>
        <stp/>
        <stp>##V3_BDHV12</stp>
        <stp>XOM US Equity</stp>
        <stp>BS_DEFERRED_TAX_ASSETS_ST</stp>
        <stp>FQ4 2009</stp>
        <stp>FQ4 2009</stp>
        <stp>[FA1_m42y3cpi.xlsx]Bal Sheet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3"/>
      </tp>
      <tp>
        <v>6887</v>
        <stp/>
        <stp>##V3_BDHV12</stp>
        <stp>XOM US Equity</stp>
        <stp>DISP_FXD_&amp;_INTANGIBLES_DETAILED</stp>
        <stp>FQ4 2011</stp>
        <stp>FQ4 2011</stp>
        <stp>[FA1_m42y3cpi.xlsx]Cash Flow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4"/>
      </tp>
      <tp>
        <v>0</v>
        <stp/>
        <stp>##V3_BDHV12</stp>
        <stp>XOM US Equity</stp>
        <stp>CF_NT_CSH_RCVD_PD_FOR_ACQUIS_DIV</stp>
        <stp>FQ1 2010</stp>
        <stp>FQ1 2010</stp>
        <stp>[FA1_m42y3cpi.xlsx]Cash Flow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4"/>
      </tp>
      <tp>
        <v>0</v>
        <stp/>
        <stp>##V3_BDHV12</stp>
        <stp>XOM US Equity</stp>
        <stp>CF_NT_CSH_RCVD_PD_FOR_ACQUIS_DIV</stp>
        <stp>FQ4 2009</stp>
        <stp>FQ4 2009</stp>
        <stp>[FA1_m42y3cpi.xlsx]Cash Flow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4"/>
      </tp>
      <tp t="s">
        <v>—</v>
        <stp/>
        <stp>##V3_BDHV12</stp>
        <stp>XOM US Equity</stp>
        <stp>CF_NT_CSH_RCVD_PD_FOR_ACQUIS_DIV</stp>
        <stp>FQ3 2008</stp>
        <stp>FQ3 2008</stp>
        <stp>[FA1_m42y3cpi.xlsx]Cash Flow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4"/>
      </tp>
      <tp t="s">
        <v>—</v>
        <stp/>
        <stp>##V3_BDHV12</stp>
        <stp>XOM US Equity</stp>
        <stp>CF_NT_CSH_RCVD_PD_FOR_ACQUIS_DIV</stp>
        <stp>FQ4 2008</stp>
        <stp>FQ4 2008</stp>
        <stp>[FA1_m42y3cpi.xlsx]Cash Flow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4"/>
      </tp>
      <tp>
        <v>0.78</v>
        <stp/>
        <stp>##V3_BDHV12</stp>
        <stp>XOM US Equity</stp>
        <stp>IS_BASIC_EPS_CONT_OPS</stp>
        <stp>FQ2 2017</stp>
        <stp>FQ2 2017</stp>
        <stp>[FA1_m42y3cpi.xlsx]Per Share!R16C38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6" s="5"/>
      </tp>
      <tp>
        <v>0</v>
        <stp/>
        <stp>##V3_BDHV12</stp>
        <stp>XOM US Equity</stp>
        <stp>CF_NT_CSH_RCVD_PD_FOR_ACQUIS_DIV</stp>
        <stp>FQ3 2009</stp>
        <stp>FQ3 2009</stp>
        <stp>[FA1_m42y3cpi.xlsx]Cash Flow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4"/>
      </tp>
      <tp>
        <v>0</v>
        <stp/>
        <stp>##V3_BDHV12</stp>
        <stp>XOM US Equity</stp>
        <stp>CF_NT_CSH_RCVD_PD_FOR_ACQUIS_DIV</stp>
        <stp>FQ2 2009</stp>
        <stp>FQ2 2009</stp>
        <stp>[FA1_m42y3cpi.xlsx]Cash Flow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4"/>
      </tp>
      <tp>
        <v>0</v>
        <stp/>
        <stp>##V3_BDHV12</stp>
        <stp>XOM US Equity</stp>
        <stp>CF_NT_CSH_RCVD_PD_FOR_ACQUIS_DIV</stp>
        <stp>FQ1 2009</stp>
        <stp>FQ1 2009</stp>
        <stp>[FA1_m42y3cpi.xlsx]Cash Flow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4"/>
      </tp>
      <tp>
        <v>351</v>
        <stp/>
        <stp>##V3_BDHV12</stp>
        <stp>XOM US Equity</stp>
        <stp>CF_CHNG_NON_CASH_WORK_CAP</stp>
        <stp>FQ1 2018</stp>
        <stp>FQ1 2018</stp>
        <stp>[FA1_m42y3cpi.xlsx]Cash Flow - Standardized!R13C41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3" s="4"/>
      </tp>
      <tp>
        <v>123</v>
        <stp/>
        <stp>##V3_BDHV12</stp>
        <stp>XOM US Equity</stp>
        <stp>CF_CHNG_NON_CASH_WORK_CAP</stp>
        <stp>FQ4 2010</stp>
        <stp>FQ4 2010</stp>
        <stp>[FA1_m42y3cpi.xlsx]Cash Flow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4"/>
      </tp>
      <tp>
        <v>-3166</v>
        <stp/>
        <stp>##V3_BDHV12</stp>
        <stp>XOM US Equity</stp>
        <stp>CF_CHNG_NON_CASH_WORK_CAP</stp>
        <stp>FQ4 2011</stp>
        <stp>FQ4 2011</stp>
        <stp>[FA1_m42y3cpi.xlsx]Cash Flow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4"/>
      </tp>
      <tp>
        <v>0</v>
        <stp/>
        <stp>##V3_BDHV12</stp>
        <stp>XOM US Equity</stp>
        <stp>IS_EXTRAORD_ITEMS_&amp;_ACCTG_CHNG</stp>
        <stp>FQ2 2009</stp>
        <stp>FQ2 2009</stp>
        <stp>[FA1_m42y3cpi.xlsx]Income - Adjusted!R37C6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7" s="2"/>
      </tp>
      <tp>
        <v>1.33</v>
        <stp/>
        <stp>##V3_BDHV12</stp>
        <stp>XOM US Equity</stp>
        <stp>IS_EPS</stp>
        <stp>FQ1 2010</stp>
        <stp>FQ1 2010</stp>
        <stp>[FA1_m42y3cpi.xlsx]Income - Adjusted!R50C9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50" s="2"/>
      </tp>
      <tp>
        <v>3601</v>
        <stp/>
        <stp>##V3_BDHV12</stp>
        <stp>XOM US Equity</stp>
        <stp>IS_SG&amp;A_EXPENSE</stp>
        <stp>FQ1 2012</stp>
        <stp>FQ1 2012</stp>
        <stp>[FA1_m42y3cpi.xlsx]Income - Adjusted!R14C17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4" s="2"/>
      </tp>
      <tp>
        <v>2593</v>
        <stp/>
        <stp>##V3_BDHV12</stp>
        <stp>XOM US Equity</stp>
        <stp>IS_SG&amp;A_EXPENSE</stp>
        <stp>FQ1 2016</stp>
        <stp>FQ1 2016</stp>
        <stp>[FA1_m42y3cpi.xlsx]Income - Adjusted!R14C33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4" s="2"/>
      </tp>
      <tp>
        <v>3681</v>
        <stp/>
        <stp>##V3_BDHV12</stp>
        <stp>XOM US Equity</stp>
        <stp>IS_SG&amp;A_EXPENSE</stp>
        <stp>FQ2 2011</stp>
        <stp>FQ2 2011</stp>
        <stp>[FA1_m42y3cpi.xlsx]Income - Adjusted!R14C14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4" s="2"/>
      </tp>
      <tp>
        <v>2831</v>
        <stp/>
        <stp>##V3_BDHV12</stp>
        <stp>XOM US Equity</stp>
        <stp>IS_SG&amp;A_EXPENSE</stp>
        <stp>FQ2 2015</stp>
        <stp>FQ2 2015</stp>
        <stp>[FA1_m42y3cpi.xlsx]Income - Adjusted!R14C30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4" s="2"/>
      </tp>
      <tp>
        <v>0.81589999999999996</v>
        <stp/>
        <stp>##V3_BDHV12</stp>
        <stp>XOM US Equity</stp>
        <stp>CUR_RATIO</stp>
        <stp>FQ4 2017</stp>
        <stp>FQ4 2017</stp>
        <stp>[FA1_m42y3cpi.xlsx]Bal Sheet - Standardized!R89C40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9" s="3"/>
      </tp>
      <tp>
        <v>0.78969999999999996</v>
        <stp/>
        <stp>##V3_BDHV12</stp>
        <stp>XOM US Equity</stp>
        <stp>CUR_RATIO</stp>
        <stp>FQ4 2015</stp>
        <stp>FQ4 2015</stp>
        <stp>[FA1_m42y3cpi.xlsx]Bal Sheet - Standardized!R89C32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9" s="3"/>
      </tp>
      <tp>
        <v>0.8931</v>
        <stp/>
        <stp>##V3_BDHV12</stp>
        <stp>XOM US Equity</stp>
        <stp>CUR_RATIO</stp>
        <stp>FQ1 2013</stp>
        <stp>FQ1 2013</stp>
        <stp>[FA1_m42y3cpi.xlsx]Bal Sheet - Standardized!R89C21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9" s="3"/>
      </tp>
      <tp>
        <v>0.86460000000000004</v>
        <stp/>
        <stp>##V3_BDHV12</stp>
        <stp>XOM US Equity</stp>
        <stp>CUR_RATIO</stp>
        <stp>FQ2 2013</stp>
        <stp>FQ2 2013</stp>
        <stp>[FA1_m42y3cpi.xlsx]Bal Sheet - Standardized!R89C22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9" s="3"/>
      </tp>
      <tp>
        <v>0.8427</v>
        <stp/>
        <stp>##V3_BDHV12</stp>
        <stp>XOM US Equity</stp>
        <stp>CUR_RATIO</stp>
        <stp>FQ3 2013</stp>
        <stp>FQ3 2013</stp>
        <stp>[FA1_m42y3cpi.xlsx]Bal Sheet - Standardized!R89C23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9" s="3"/>
      </tp>
      <tp>
        <v>0.82689999999999997</v>
        <stp/>
        <stp>##V3_BDHV12</stp>
        <stp>XOM US Equity</stp>
        <stp>CUR_RATIO</stp>
        <stp>FQ4 2013</stp>
        <stp>FQ4 2013</stp>
        <stp>[FA1_m42y3cpi.xlsx]Bal Sheet - Standardized!R89C24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9" s="3"/>
      </tp>
      <tp>
        <v>0.97889999999999999</v>
        <stp/>
        <stp>##V3_BDHV12</stp>
        <stp>XOM US Equity</stp>
        <stp>CUR_RATIO</stp>
        <stp>FQ1 2011</stp>
        <stp>FQ1 2011</stp>
        <stp>[FA1_m42y3cpi.xlsx]Bal Sheet - Standardized!R89C13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9" s="3"/>
      </tp>
      <tp>
        <v>0.94140000000000001</v>
        <stp/>
        <stp>##V3_BDHV12</stp>
        <stp>XOM US Equity</stp>
        <stp>CUR_RATIO</stp>
        <stp>FQ4 2011</stp>
        <stp>FQ4 2011</stp>
        <stp>[FA1_m42y3cpi.xlsx]Bal Sheet - Standardized!R89C16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9" s="3"/>
      </tp>
      <tp>
        <v>10280</v>
        <stp/>
        <stp>##V3_BDHV12</stp>
        <stp>XOM US Equity</stp>
        <stp>EBITA</stp>
        <stp>FQ1 2014</stp>
        <stp>FQ1 2014</stp>
        <stp>[FA1_m42y3cpi.xlsx]Income - Adjusted!R63C25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3" s="2"/>
      </tp>
      <tp>
        <v>13342</v>
        <stp/>
        <stp>##V3_BDHV12</stp>
        <stp>XOM US Equity</stp>
        <stp>EBITA</stp>
        <stp>FQ2 2013</stp>
        <stp>FQ2 2013</stp>
        <stp>[FA1_m42y3cpi.xlsx]Income - Adjusted!R63C22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3" s="2"/>
      </tp>
      <tp>
        <v>9969</v>
        <stp/>
        <stp>##V3_BDHV12</stp>
        <stp>XOM US Equity</stp>
        <stp>EBITA</stp>
        <stp>FQ3 2010</stp>
        <stp>FQ3 2010</stp>
        <stp>[FA1_m42y3cpi.xlsx]Income - Adjusted!R63C11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3" s="2"/>
      </tp>
      <tp>
        <v>0</v>
        <stp/>
        <stp>##V3_BDHV12</stp>
        <stp>XOM US Equity</stp>
        <stp>INVTRY_RAW_MATERIALS</stp>
        <stp>FQ4 2016</stp>
        <stp>FQ4 2016</stp>
        <stp>[FA1_m42y3cpi.xlsx]Bal Sheet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3"/>
      </tp>
      <tp>
        <v>6301</v>
        <stp/>
        <stp>##V3_BDHV12</stp>
        <stp>XOM US Equity</stp>
        <stp>EARN_FOR_COMMON</stp>
        <stp>FQ4 2014</stp>
        <stp>FQ4 2014</stp>
        <stp>[FA1_m42y3cpi.xlsx]Income - Adjusted!R45C28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5" s="2"/>
      </tp>
      <tp>
        <v>4940</v>
        <stp/>
        <stp>##V3_BDHV12</stp>
        <stp>XOM US Equity</stp>
        <stp>EARN_FOR_COMMON</stp>
        <stp>FQ1 2015</stp>
        <stp>FQ1 2015</stp>
        <stp>[FA1_m42y3cpi.xlsx]Income - Adjusted!R45C29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5" s="2"/>
      </tp>
      <tp>
        <v>-561</v>
        <stp/>
        <stp>##V3_BDHV12</stp>
        <stp>XOM US Equity</stp>
        <stp>IS_OTHER_NON_OPERATING_INC_LOSS</stp>
        <stp>FQ1 2013</stp>
        <stp>FQ1 2013</stp>
        <stp>[FA1_m42y3cpi.xlsx]Income - Adjusted!R23C21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3" s="2"/>
      </tp>
      <tp>
        <v>-926</v>
        <stp/>
        <stp>##V3_BDHV12</stp>
        <stp>XOM US Equity</stp>
        <stp>IS_OTHER_NON_OPERATING_INC_LOSS</stp>
        <stp>FQ1 2011</stp>
        <stp>FQ1 2011</stp>
        <stp>[FA1_m42y3cpi.xlsx]Income - Adjusted!R23C13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3" s="2"/>
      </tp>
      <tp>
        <v>-210</v>
        <stp/>
        <stp>##V3_BDHV12</stp>
        <stp>XOM US Equity</stp>
        <stp>IS_OTHER_NON_OPERATING_INC_LOSS</stp>
        <stp>FQ2 2016</stp>
        <stp>FQ2 2016</stp>
        <stp>[FA1_m42y3cpi.xlsx]Income - Adjusted!R23C34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3" s="2"/>
      </tp>
      <tp>
        <v>-2177</v>
        <stp/>
        <stp>##V3_BDHV12</stp>
        <stp>XOM US Equity</stp>
        <stp>IS_OTHER_NON_OPERATING_INC_LOSS</stp>
        <stp>FQ2 2014</stp>
        <stp>FQ2 2014</stp>
        <stp>[FA1_m42y3cpi.xlsx]Income - Adjusted!R23C26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3" s="2"/>
      </tp>
      <tp>
        <v>-1775</v>
        <stp/>
        <stp>##V3_BDHV12</stp>
        <stp>XOM US Equity</stp>
        <stp>IS_OTHER_NON_OPERATING_INC_LOSS</stp>
        <stp>FQ4 2012</stp>
        <stp>FQ4 2012</stp>
        <stp>[FA1_m42y3cpi.xlsx]Income - Adjusted!R23C20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3" s="2"/>
      </tp>
      <tp>
        <v>-691</v>
        <stp/>
        <stp>##V3_BDHV12</stp>
        <stp>XOM US Equity</stp>
        <stp>IS_OTHER_NON_OPERATING_INC_LOSS</stp>
        <stp>FQ4 2010</stp>
        <stp>FQ4 2010</stp>
        <stp>[FA1_m42y3cpi.xlsx]Income - Adjusted!R23C12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3" s="2"/>
      </tp>
      <tp>
        <v>0</v>
        <stp/>
        <stp>##V3_BDHV12</stp>
        <stp>XOM US Equity</stp>
        <stp>INVTRY_RAW_MATERIALS</stp>
        <stp>FQ4 2015</stp>
        <stp>FQ4 2015</stp>
        <stp>[FA1_m42y3cpi.xlsx]Bal Sheet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3"/>
      </tp>
      <tp>
        <v>92.45</v>
        <stp/>
        <stp>##V3_BDHV12</stp>
        <stp>XOM US Equity</stp>
        <stp>PX_LAST</stp>
        <stp>FQ4 2014</stp>
        <stp>FQ4 2014</stp>
        <stp>[FA1_m42y3cpi.xlsx]Stock Value!R6C28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6"/>
      </tp>
      <tp>
        <v>80.73</v>
        <stp/>
        <stp>##V3_BDHV12</stp>
        <stp>XOM US Equity</stp>
        <stp>PX_LAST</stp>
        <stp>FQ2 2017</stp>
        <stp>FQ2 2017</stp>
        <stp>[FA1_m42y3cpi.xlsx]Stock Value!R6C38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" s="6"/>
      </tp>
      <tp>
        <v>85.57</v>
        <stp/>
        <stp>##V3_BDHV12</stp>
        <stp>XOM US Equity</stp>
        <stp>PX_LAST</stp>
        <stp>FQ2 2012</stp>
        <stp>FQ2 2012</stp>
        <stp>[FA1_m42y3cpi.xlsx]Stock Value!R6C18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6"/>
      </tp>
      <tp>
        <v>19431</v>
        <stp/>
        <stp>##V3_BDHV12</stp>
        <stp>XOM US Equity</stp>
        <stp>BS_LT_BORROW</stp>
        <stp>FQ2 2015</stp>
        <stp>FQ2 2015</stp>
        <stp>[FA1_m42y3cpi.xlsx]Bal Sheet - Standardized!R56C30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6" s="3"/>
      </tp>
      <tp>
        <v>3193</v>
        <stp/>
        <stp>##V3_BDHV12</stp>
        <stp>XOM US Equity</stp>
        <stp>IS_DEPR_EXP</stp>
        <stp>FQ4 2009</stp>
        <stp>FQ4 2009</stp>
        <stp>[FA1_m42y3cpi.xlsx]Income - Adjusted!R71C8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1" s="2"/>
      </tp>
      <tp>
        <v>296645</v>
        <stp/>
        <stp>##V3_BDHV12</stp>
        <stp>XOM US Equity</stp>
        <stp>BS_TOT_NON_CUR_ASSET</stp>
        <stp>FQ2 2016</stp>
        <stp>FQ2 2016</stp>
        <stp>[FA1_m42y3cpi.xlsx]Bal Sheet - Standardized!R38C34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8" s="3"/>
      </tp>
      <tp>
        <v>294169</v>
        <stp/>
        <stp>##V3_BDHV12</stp>
        <stp>XOM US Equity</stp>
        <stp>BS_TOT_NON_CUR_ASSET</stp>
        <stp>FQ3 2014</stp>
        <stp>FQ3 2014</stp>
        <stp>[FA1_m42y3cpi.xlsx]Bal Sheet - Standardized!R38C27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8" s="3"/>
      </tp>
      <tp t="s">
        <v>—</v>
        <stp/>
        <stp>##V3_BDHV12</stp>
        <stp>XOM US Equity</stp>
        <stp>CF_NET_CASH_PAID_FOR_AQUIS</stp>
        <stp>FQ3 2011</stp>
        <stp>FQ3 2011</stp>
        <stp>[FA1_m42y3cpi.xlsx]Cash Flow - Standardized!R61C15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1" s="4"/>
      </tp>
      <tp>
        <v>286261</v>
        <stp/>
        <stp>##V3_BDHV12</stp>
        <stp>XOM US Equity</stp>
        <stp>BS_TOT_NON_CUR_ASSET</stp>
        <stp>FQ3 2013</stp>
        <stp>FQ3 2013</stp>
        <stp>[FA1_m42y3cpi.xlsx]Bal Sheet - Standardized!R38C23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8" s="3"/>
      </tp>
      <tp t="s">
        <v>—</v>
        <stp/>
        <stp>##V3_BDHV12</stp>
        <stp>XOM US Equity</stp>
        <stp>CF_NET_CASH_PAID_FOR_AQUIS</stp>
        <stp>FQ1 2016</stp>
        <stp>FQ1 2016</stp>
        <stp>[FA1_m42y3cpi.xlsx]Cash Flow - Standardized!R61C33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1" s="4"/>
      </tp>
      <tp t="s">
        <v>—</v>
        <stp/>
        <stp>##V3_BDHV12</stp>
        <stp>XOM US Equity</stp>
        <stp>BS_LT_INVEST</stp>
        <stp>FQ2 2011</stp>
        <stp>FQ2 2011</stp>
        <stp>[FA1_m42y3cpi.xlsx]Bal Sheet - Standardized!R26C14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3"/>
      </tp>
      <tp t="s">
        <v>—</v>
        <stp/>
        <stp>##V3_BDHV12</stp>
        <stp>XOM US Equity</stp>
        <stp>BS_LT_INVEST</stp>
        <stp>FQ1 2014</stp>
        <stp>FQ1 2014</stp>
        <stp>[FA1_m42y3cpi.xlsx]Bal Sheet - Standardized!R26C25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3"/>
      </tp>
      <tp>
        <v>7404</v>
        <stp/>
        <stp>##V3_BDHV12</stp>
        <stp>XOM US Equity</stp>
        <stp>BS_LT_BORROW</stp>
        <stp>FQ3 2013</stp>
        <stp>FQ3 2013</stp>
        <stp>[FA1_m42y3cpi.xlsx]Bal Sheet - Standardized!R56C23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6" s="3"/>
      </tp>
      <tp t="s">
        <v>—</v>
        <stp/>
        <stp>##V3_BDHV12</stp>
        <stp>XOM US Equity</stp>
        <stp>CF_NET_CASH_PAID_FOR_AQUIS</stp>
        <stp>FQ3 2010</stp>
        <stp>FQ3 2010</stp>
        <stp>[FA1_m42y3cpi.xlsx]Cash Flow - Standardized!R61C11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1" s="4"/>
      </tp>
      <tp>
        <v>296613</v>
        <stp/>
        <stp>##V3_BDHV12</stp>
        <stp>XOM US Equity</stp>
        <stp>BS_TOT_NON_CUR_ASSET</stp>
        <stp>FQ2 2015</stp>
        <stp>FQ2 2015</stp>
        <stp>[FA1_m42y3cpi.xlsx]Bal Sheet - Standardized!R38C30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8" s="3"/>
      </tp>
      <tp t="s">
        <v>—</v>
        <stp/>
        <stp>##V3_BDHV12</stp>
        <stp>XOM US Equity</stp>
        <stp>BS_LT_INVEST</stp>
        <stp>FQ2 2010</stp>
        <stp>FQ2 2010</stp>
        <stp>[FA1_m42y3cpi.xlsx]Bal Sheet - Standardized!R26C10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3"/>
      </tp>
      <tp t="s">
        <v>—</v>
        <stp/>
        <stp>##V3_BDHV12</stp>
        <stp>XOM US Equity</stp>
        <stp>BS_LT_INVEST</stp>
        <stp>FQ1 2013</stp>
        <stp>FQ1 2013</stp>
        <stp>[FA1_m42y3cpi.xlsx]Bal Sheet - Standardized!R26C21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3"/>
      </tp>
      <tp>
        <v>29499</v>
        <stp/>
        <stp>##V3_BDHV12</stp>
        <stp>XOM US Equity</stp>
        <stp>BS_LT_BORROW</stp>
        <stp>FQ2 2016</stp>
        <stp>FQ2 2016</stp>
        <stp>[FA1_m42y3cpi.xlsx]Bal Sheet - Standardized!R56C34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6" s="3"/>
      </tp>
      <tp>
        <v>11591</v>
        <stp/>
        <stp>##V3_BDHV12</stp>
        <stp>XOM US Equity</stp>
        <stp>BS_LT_BORROW</stp>
        <stp>FQ3 2014</stp>
        <stp>FQ3 2014</stp>
        <stp>[FA1_m42y3cpi.xlsx]Bal Sheet - Standardized!R56C27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6" s="3"/>
      </tp>
      <tp t="s">
        <v>—</v>
        <stp/>
        <stp>##V3_BDHV12</stp>
        <stp>XOM US Equity</stp>
        <stp>CF_NET_CASH_PAID_FOR_AQUIS</stp>
        <stp>FQ1 2017</stp>
        <stp>FQ1 2017</stp>
        <stp>[FA1_m42y3cpi.xlsx]Cash Flow - Standardized!R61C37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1" s="4"/>
      </tp>
      <tp t="s">
        <v>—</v>
        <stp/>
        <stp>##V3_BDHV12</stp>
        <stp>XOM US Equity</stp>
        <stp>BS_LT_INVEST</stp>
        <stp>FQ1 2015</stp>
        <stp>FQ1 2015</stp>
        <stp>[FA1_m42y3cpi.xlsx]Bal Sheet - Standardized!R26C29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3"/>
      </tp>
      <tp>
        <v>24750</v>
        <stp/>
        <stp>##V3_BDHV12</stp>
        <stp>XOM US Equity</stp>
        <stp>BS_LT_BORROW</stp>
        <stp>FQ2 2017</stp>
        <stp>FQ2 2017</stp>
        <stp>[FA1_m42y3cpi.xlsx]Bal Sheet - Standardized!R56C38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6" s="3"/>
      </tp>
      <tp>
        <v>300832</v>
        <stp/>
        <stp>##V3_BDHV12</stp>
        <stp>XOM US Equity</stp>
        <stp>BS_TOT_NON_CUR_ASSET</stp>
        <stp>FQ2 2017</stp>
        <stp>FQ2 2017</stp>
        <stp>[FA1_m42y3cpi.xlsx]Bal Sheet - Standardized!R38C38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8" s="3"/>
      </tp>
      <tp t="s">
        <v>—</v>
        <stp/>
        <stp>##V3_BDHV12</stp>
        <stp>XOM US Equity</stp>
        <stp>BS_LT_INVEST</stp>
        <stp>FQ2 2012</stp>
        <stp>FQ2 2012</stp>
        <stp>[FA1_m42y3cpi.xlsx]Bal Sheet - Standardized!R26C18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3"/>
      </tp>
      <tp>
        <v>3177</v>
        <stp/>
        <stp>##V3_BDHV12</stp>
        <stp>XOM US Equity</stp>
        <stp>IS_DEPR_EXP</stp>
        <stp>FQ4 2008</stp>
        <stp>FQ4 2008</stp>
        <stp>[FA1_m42y3cpi.xlsx]Income - Adjusted!R71C4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1" s="2"/>
      </tp>
      <tp t="s">
        <v>—</v>
        <stp/>
        <stp>##V3_BDHV12</stp>
        <stp>XOM US Equity</stp>
        <stp>CF_NET_CASH_PAID_FOR_AQUIS</stp>
        <stp>FQ3 2012</stp>
        <stp>FQ3 2012</stp>
        <stp>[FA1_m42y3cpi.xlsx]Cash Flow - Standardized!R61C19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1" s="4"/>
      </tp>
      <tp>
        <v>2485</v>
        <stp/>
        <stp>##V3_BDHV12</stp>
        <stp>XOM US Equity</stp>
        <stp>NON_CASH_ITEMS_DETAILED</stp>
        <stp>FQ4 2008</stp>
        <stp>FQ4 2008</stp>
        <stp>[FA1_m42y3cpi.xlsx]Cash Flow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4"/>
      </tp>
      <tp>
        <v>-579</v>
        <stp/>
        <stp>##V3_BDHV12</stp>
        <stp>XOM US Equity</stp>
        <stp>NON_CASH_ITEMS_DETAILED</stp>
        <stp>FQ3 2008</stp>
        <stp>FQ3 2008</stp>
        <stp>[FA1_m42y3cpi.xlsx]Cash Flow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4"/>
      </tp>
      <tp>
        <v>0</v>
        <stp/>
        <stp>##V3_BDHV12</stp>
        <stp>XOM US Equity</stp>
        <stp>CF_CASH_FOR_ACQUIS_SUBSIDIARIES</stp>
        <stp>FQ1 2013</stp>
        <stp>FQ1 2013</stp>
        <stp>[FA1_m42y3cpi.xlsx]Cash Flow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4"/>
      </tp>
      <tp>
        <v>0</v>
        <stp/>
        <stp>##V3_BDHV12</stp>
        <stp>XOM US Equity</stp>
        <stp>CF_CASH_FOR_ACQUIS_SUBSIDIARIES</stp>
        <stp>FQ2 2010</stp>
        <stp>FQ2 2010</stp>
        <stp>[FA1_m42y3cpi.xlsx]Cash Flow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4"/>
      </tp>
      <tp>
        <v>4271</v>
        <stp/>
        <stp>##V3_BDHV12</stp>
        <stp>XOM US Equity</stp>
        <stp>IS_AVG_NUM_SH_FOR_EPS</stp>
        <stp>FQ3 2017</stp>
        <stp>FQ3 2017</stp>
        <stp>[FA1_m42y3cpi.xlsx]Income - Adjusted!R49C39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9" s="2"/>
      </tp>
      <tp>
        <v>0</v>
        <stp/>
        <stp>##V3_BDHV12</stp>
        <stp>XOM US Equity</stp>
        <stp>CF_CASH_FOR_ACQUIS_SUBSIDIARIES</stp>
        <stp>FQ1 2014</stp>
        <stp>FQ1 2014</stp>
        <stp>[FA1_m42y3cpi.xlsx]Cash Flow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4"/>
      </tp>
      <tp>
        <v>0</v>
        <stp/>
        <stp>##V3_BDHV12</stp>
        <stp>XOM US Equity</stp>
        <stp>CF_CASH_FOR_ACQUIS_SUBSIDIARIES</stp>
        <stp>FQ2 2011</stp>
        <stp>FQ2 2011</stp>
        <stp>[FA1_m42y3cpi.xlsx]Cash Flow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4"/>
      </tp>
      <tp>
        <v>0.47</v>
        <stp/>
        <stp>##V3_BDHV12</stp>
        <stp>XOM US Equity</stp>
        <stp>EQY_DPS</stp>
        <stp>FQ1 2012</stp>
        <stp>FQ1 2012</stp>
        <stp>[FA1_m42y3cpi.xlsx]Per Share!R20C17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0" s="5"/>
      </tp>
      <tp>
        <v>0.73</v>
        <stp/>
        <stp>##V3_BDHV12</stp>
        <stp>XOM US Equity</stp>
        <stp>EQY_DPS</stp>
        <stp>FQ1 2016</stp>
        <stp>FQ1 2016</stp>
        <stp>[FA1_m42y3cpi.xlsx]Per Share!R20C33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0" s="5"/>
      </tp>
      <tp>
        <v>0.47</v>
        <stp/>
        <stp>##V3_BDHV12</stp>
        <stp>XOM US Equity</stp>
        <stp>EQY_DPS</stp>
        <stp>FQ2 2011</stp>
        <stp>FQ2 2011</stp>
        <stp>[FA1_m42y3cpi.xlsx]Per Share!R20C14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0" s="5"/>
      </tp>
      <tp>
        <v>0.73</v>
        <stp/>
        <stp>##V3_BDHV12</stp>
        <stp>XOM US Equity</stp>
        <stp>EQY_DPS</stp>
        <stp>FQ2 2015</stp>
        <stp>FQ2 2015</stp>
        <stp>[FA1_m42y3cpi.xlsx]Per Share!R20C30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0" s="5"/>
      </tp>
      <tp>
        <v>0</v>
        <stp/>
        <stp>##V3_BDHV12</stp>
        <stp>XOM US Equity</stp>
        <stp>CF_PROC_LT_DEBT_&amp;_CAPITAL_LEASE</stp>
        <stp>FQ3 2017</stp>
        <stp>FQ3 2017</stp>
        <stp>[FA1_m42y3cpi.xlsx]Cash Flow - Standardized!R42C39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2" s="4"/>
      </tp>
      <tp t="s">
        <v>—</v>
        <stp/>
        <stp>##V3_BDHV12</stp>
        <stp>XOM US Equity</stp>
        <stp>IS_LEGAL_LITIGATION_SETTLEMENT</stp>
        <stp>FQ2 2009</stp>
        <stp>FQ2 2009</stp>
        <stp>[FA1_m42y3cpi.xlsx]Income - Adjusted!R30C6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2"/>
      </tp>
      <tp>
        <v>0</v>
        <stp/>
        <stp>##V3_BDHV12</stp>
        <stp>XOM US Equity</stp>
        <stp>CF_PROC_LT_DEBT_&amp;_CAPITAL_LEASE</stp>
        <stp>FQ4 2017</stp>
        <stp>FQ4 2017</stp>
        <stp>[FA1_m42y3cpi.xlsx]Cash Flow - Standardized!R42C40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2" s="4"/>
      </tp>
      <tp>
        <v>98</v>
        <stp/>
        <stp>##V3_BDHV12</stp>
        <stp>XOM US Equity</stp>
        <stp>CF_PROC_LT_DEBT_&amp;_CAPITAL_LEASE</stp>
        <stp>FQ1 2011</stp>
        <stp>FQ1 2011</stp>
        <stp>[FA1_m42y3cpi.xlsx]Cash Flow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4"/>
      </tp>
      <tp>
        <v>197</v>
        <stp/>
        <stp>##V3_BDHV12</stp>
        <stp>XOM US Equity</stp>
        <stp>CF_PROC_LT_DEBT_&amp;_CAPITAL_LEASE</stp>
        <stp>FQ2 2013</stp>
        <stp>FQ2 2013</stp>
        <stp>[FA1_m42y3cpi.xlsx]Cash Flow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4"/>
      </tp>
      <tp>
        <v>0</v>
        <stp/>
        <stp>##V3_BDHV12</stp>
        <stp>XOM US Equity</stp>
        <stp>CF_CASH_FOR_ACQUIS_SUBSIDIARIES</stp>
        <stp>FQ2 2012</stp>
        <stp>FQ2 2012</stp>
        <stp>[FA1_m42y3cpi.xlsx]Cash Flow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4"/>
      </tp>
      <tp>
        <v>0</v>
        <stp/>
        <stp>##V3_BDHV12</stp>
        <stp>XOM US Equity</stp>
        <stp>CF_PROC_LT_DEBT_&amp;_CAPITAL_LEASE</stp>
        <stp>FQ2 2014</stp>
        <stp>FQ2 2014</stp>
        <stp>[FA1_m42y3cpi.xlsx]Cash Flow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4"/>
      </tp>
      <tp>
        <v>0</v>
        <stp/>
        <stp>##V3_BDHV12</stp>
        <stp>XOM US Equity</stp>
        <stp>CF_PROC_LT_DEBT_&amp;_CAPITAL_LEASE</stp>
        <stp>FQ3 2016</stp>
        <stp>FQ3 2016</stp>
        <stp>[FA1_m42y3cpi.xlsx]Cash Flow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4"/>
      </tp>
      <tp>
        <v>28</v>
        <stp/>
        <stp>##V3_BDHV12</stp>
        <stp>XOM US Equity</stp>
        <stp>CF_PROC_LT_DEBT_&amp;_CAPITAL_LEASE</stp>
        <stp>FQ3 2015</stp>
        <stp>FQ3 2015</stp>
        <stp>[FA1_m42y3cpi.xlsx]Cash Flow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4"/>
      </tp>
      <tp>
        <v>0</v>
        <stp/>
        <stp>##V3_BDHV12</stp>
        <stp>XOM US Equity</stp>
        <stp>CF_CASH_FOR_ACQUIS_SUBSIDIARIES</stp>
        <stp>FQ1 2015</stp>
        <stp>FQ1 2015</stp>
        <stp>[FA1_m42y3cpi.xlsx]Cash Flow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4"/>
      </tp>
      <tp>
        <v>129</v>
        <stp/>
        <stp>##V3_BDHV12</stp>
        <stp>XOM US Equity</stp>
        <stp>CF_PROC_LT_DEBT_&amp;_CAPITAL_LEASE</stp>
        <stp>FQ1 2012</stp>
        <stp>FQ1 2012</stp>
        <stp>[FA1_m42y3cpi.xlsx]Cash Flow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4"/>
      </tp>
      <tp>
        <v>0.93</v>
        <stp/>
        <stp>##V3_BDHV12</stp>
        <stp>XOM US Equity</stp>
        <stp>IS_BASIC_EPS_CONT_OPS</stp>
        <stp>FQ3 2017</stp>
        <stp>FQ3 2017</stp>
        <stp>[FA1_m42y3cpi.xlsx]Per Share!R16C39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6" s="5"/>
      </tp>
      <tp t="s">
        <v>—</v>
        <stp/>
        <stp>##V3_BDHV12</stp>
        <stp>XOM US Equity</stp>
        <stp>CF_EFFECT_FOREIGN_EXCHANGES</stp>
        <stp>FQ4 2008</stp>
        <stp>FQ4 2008</stp>
        <stp>[FA1_m42y3cpi.xlsx]Cash Flow - Standardized!R51C4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1" s="4"/>
      </tp>
      <tp t="s">
        <v>—</v>
        <stp/>
        <stp>##V3_BDHV12</stp>
        <stp>XOM US Equity</stp>
        <stp>CF_EFFECT_FOREIGN_EXCHANGES</stp>
        <stp>FQ3 2008</stp>
        <stp>FQ3 2008</stp>
        <stp>[FA1_m42y3cpi.xlsx]Cash Flow - Standardized!R51C3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1" s="4"/>
      </tp>
      <tp>
        <v>635</v>
        <stp/>
        <stp>##V3_BDHV12</stp>
        <stp>XOM US Equity</stp>
        <stp>CF_EFFECT_FOREIGN_EXCHANGES</stp>
        <stp>FQ2 2009</stp>
        <stp>FQ2 2009</stp>
        <stp>[FA1_m42y3cpi.xlsx]Cash Flow - Standardized!R51C6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1" s="4"/>
      </tp>
      <tp>
        <v>381</v>
        <stp/>
        <stp>##V3_BDHV12</stp>
        <stp>XOM US Equity</stp>
        <stp>CF_EFFECT_FOREIGN_EXCHANGES</stp>
        <stp>FQ3 2009</stp>
        <stp>FQ3 2009</stp>
        <stp>[FA1_m42y3cpi.xlsx]Cash Flow - Standardized!R51C7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1" s="4"/>
      </tp>
      <tp>
        <v>-530</v>
        <stp/>
        <stp>##V3_BDHV12</stp>
        <stp>XOM US Equity</stp>
        <stp>CF_EFFECT_FOREIGN_EXCHANGES</stp>
        <stp>FQ1 2009</stp>
        <stp>FQ1 2009</stp>
        <stp>[FA1_m42y3cpi.xlsx]Cash Flow - Standardized!R51C5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1" s="4"/>
      </tp>
      <tp t="s">
        <v>—</v>
        <stp/>
        <stp>##V3_BDHV12</stp>
        <stp>XOM US Equity</stp>
        <stp>IS_EXTRAORD_ITEMS_&amp;_ACCTG_CHNG</stp>
        <stp>FQ3 2008</stp>
        <stp>FQ3 2008</stp>
        <stp>[FA1_m42y3cpi.xlsx]Income - Adjusted!R37C3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7" s="2"/>
      </tp>
      <tp>
        <v>1.2107999999999999</v>
        <stp/>
        <stp>##V3_BDHV12</stp>
        <stp>XOM US Equity</stp>
        <stp>FREE_CASH_FLOW_PER_SH</stp>
        <stp>FQ1 2018</stp>
        <stp>FQ1 2018</stp>
        <stp>[FA1_m42y3cpi.xlsx]Per Share!R23C41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3" s="5"/>
      </tp>
      <tp>
        <v>-210</v>
        <stp/>
        <stp>##V3_BDHV12</stp>
        <stp>XOM US Equity</stp>
        <stp>CF_EFFECT_FOREIGN_EXCHANGES</stp>
        <stp>FQ1 2010</stp>
        <stp>FQ1 2010</stp>
        <stp>[FA1_m42y3cpi.xlsx]Cash Flow - Standardized!R51C9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1" s="4"/>
      </tp>
      <tp>
        <v>0</v>
        <stp/>
        <stp>##V3_BDHV12</stp>
        <stp>XOM US Equity</stp>
        <stp>IS_EXTRAORD_ITEMS_&amp;_ACCTG_CHNG</stp>
        <stp>FQ3 2009</stp>
        <stp>FQ3 2009</stp>
        <stp>[FA1_m42y3cpi.xlsx]Income - Adjusted!R37C7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7" s="2"/>
      </tp>
      <tp>
        <v>34</v>
        <stp/>
        <stp>##V3_BDHV12</stp>
        <stp>XOM US Equity</stp>
        <stp>CF_EFFECT_FOREIGN_EXCHANGES</stp>
        <stp>FQ4 2009</stp>
        <stp>FQ4 2009</stp>
        <stp>[FA1_m42y3cpi.xlsx]Cash Flow - Standardized!R51C8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1" s="4"/>
      </tp>
      <tp>
        <v>3764</v>
        <stp/>
        <stp>##V3_BDHV12</stp>
        <stp>XOM US Equity</stp>
        <stp>IS_SG&amp;A_EXPENSE</stp>
        <stp>FQ3 2011</stp>
        <stp>FQ3 2011</stp>
        <stp>[FA1_m42y3cpi.xlsx]Income - Adjusted!R14C15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4" s="2"/>
      </tp>
      <tp>
        <v>2967</v>
        <stp/>
        <stp>##V3_BDHV12</stp>
        <stp>XOM US Equity</stp>
        <stp>IS_SG&amp;A_EXPENSE</stp>
        <stp>FQ3 2015</stp>
        <stp>FQ3 2015</stp>
        <stp>[FA1_m42y3cpi.xlsx]Income - Adjusted!R14C31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4" s="2"/>
      </tp>
      <tp>
        <v>0.42</v>
        <stp/>
        <stp>##V3_BDHV12</stp>
        <stp>XOM US Equity</stp>
        <stp>EQY_DPS</stp>
        <stp>FQ4 2009</stp>
        <stp>FQ4 2009</stp>
        <stp>[FA1_m42y3cpi.xlsx]Income - Adjusted!R69C8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9" s="2"/>
      </tp>
      <tp>
        <v>3867</v>
        <stp/>
        <stp>##V3_BDHV12</stp>
        <stp>XOM US Equity</stp>
        <stp>EBITA</stp>
        <stp>FQ1 2017</stp>
        <stp>FQ1 2017</stp>
        <stp>[FA1_m42y3cpi.xlsx]Income - Adjusted!R63C37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63" s="2"/>
      </tp>
      <tp>
        <v>9968</v>
        <stp/>
        <stp>##V3_BDHV12</stp>
        <stp>XOM US Equity</stp>
        <stp>EBITA</stp>
        <stp>FQ2 2010</stp>
        <stp>FQ2 2010</stp>
        <stp>[FA1_m42y3cpi.xlsx]Income - Adjusted!R63C10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3" s="2"/>
      </tp>
      <tp>
        <v>10259</v>
        <stp/>
        <stp>##V3_BDHV12</stp>
        <stp>XOM US Equity</stp>
        <stp>EBITA</stp>
        <stp>FQ3 2013</stp>
        <stp>FQ3 2013</stp>
        <stp>[FA1_m42y3cpi.xlsx]Income - Adjusted!R63C23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3" s="2"/>
      </tp>
      <tp>
        <v>199</v>
        <stp/>
        <stp>##V3_BDHV12</stp>
        <stp>XOM US Equity</stp>
        <stp>EBITA</stp>
        <stp>FQ4 2016</stp>
        <stp>FQ4 2016</stp>
        <stp>[FA1_m42y3cpi.xlsx]Income - Adjusted!R63C36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3" s="2"/>
      </tp>
      <tp>
        <v>1.0145</v>
        <stp/>
        <stp>##V3_BDHV12</stp>
        <stp>XOM US Equity</stp>
        <stp>CUR_RATIO</stp>
        <stp>FQ3 2010</stp>
        <stp>FQ3 2010</stp>
        <stp>[FA1_m42y3cpi.xlsx]Bal Sheet - Standardized!R89C11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9" s="3"/>
      </tp>
      <tp>
        <v>1.0760000000000001</v>
        <stp/>
        <stp>##V3_BDHV12</stp>
        <stp>XOM US Equity</stp>
        <stp>CUR_RATIO</stp>
        <stp>FQ2 2010</stp>
        <stp>FQ2 2010</stp>
        <stp>[FA1_m42y3cpi.xlsx]Bal Sheet - Standardized!R89C10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9" s="3"/>
      </tp>
      <tp>
        <v>3350</v>
        <stp/>
        <stp>##V3_BDHV12</stp>
        <stp>XOM US Equity</stp>
        <stp>EARN_FOR_COMMON</stp>
        <stp>FQ2 2017</stp>
        <stp>FQ2 2017</stp>
        <stp>[FA1_m42y3cpi.xlsx]Income - Adjusted!R45C38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5" s="2"/>
      </tp>
      <tp>
        <v>-905</v>
        <stp/>
        <stp>##V3_BDHV12</stp>
        <stp>XOM US Equity</stp>
        <stp>IS_OTHER_NON_OPERATING_INC_LOSS</stp>
        <stp>FQ1 2014</stp>
        <stp>FQ1 2014</stp>
        <stp>[FA1_m42y3cpi.xlsx]Income - Adjusted!R23C25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3" s="2"/>
      </tp>
      <tp>
        <v>-502</v>
        <stp/>
        <stp>##V3_BDHV12</stp>
        <stp>XOM US Equity</stp>
        <stp>IS_OTHER_NON_OPERATING_INC_LOSS</stp>
        <stp>FQ3 2010</stp>
        <stp>FQ3 2010</stp>
        <stp>[FA1_m42y3cpi.xlsx]Income - Adjusted!R23C11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3" s="2"/>
      </tp>
      <tp>
        <v>-518</v>
        <stp/>
        <stp>##V3_BDHV12</stp>
        <stp>XOM US Equity</stp>
        <stp>IS_OTHER_NON_OPERATING_INC_LOSS</stp>
        <stp>FQ2 2013</stp>
        <stp>FQ2 2013</stp>
        <stp>[FA1_m42y3cpi.xlsx]Income - Adjusted!R23C22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3" s="2"/>
      </tp>
      <tp t="s">
        <v>—</v>
        <stp/>
        <stp>##V3_BDHV12</stp>
        <stp>XOM US Equity</stp>
        <stp>IS_NET_INTEREST_EXPENSE</stp>
        <stp>FQ3 2017</stp>
        <stp>FQ3 2017</stp>
        <stp>[FA1_m42y3cpi.xlsx]Income - Adjusted!R18C39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8" s="2"/>
      </tp>
      <tp>
        <v>301078</v>
        <stp/>
        <stp>##V3_BDHV12</stp>
        <stp>XOM US Equity</stp>
        <stp>BS_TOT_NON_CUR_ASSET</stp>
        <stp>FQ1 2017</stp>
        <stp>FQ1 2017</stp>
        <stp>[FA1_m42y3cpi.xlsx]Bal Sheet - Standardized!R38C37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8" s="3"/>
      </tp>
      <tp t="s">
        <v>—</v>
        <stp/>
        <stp>##V3_BDHV12</stp>
        <stp>XOM US Equity</stp>
        <stp>BS_LT_INVEST</stp>
        <stp>FQ1 2012</stp>
        <stp>FQ1 2012</stp>
        <stp>[FA1_m42y3cpi.xlsx]Bal Sheet - Standardized!R26C17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3"/>
      </tp>
      <tp>
        <v>9331</v>
        <stp/>
        <stp>##V3_BDHV12</stp>
        <stp>XOM US Equity</stp>
        <stp>BS_LT_BORROW</stp>
        <stp>FQ3 2011</stp>
        <stp>FQ3 2011</stp>
        <stp>[FA1_m42y3cpi.xlsx]Bal Sheet - Standardized!R56C15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6" s="3"/>
      </tp>
      <tp t="s">
        <v>—</v>
        <stp/>
        <stp>##V3_BDHV12</stp>
        <stp>XOM US Equity</stp>
        <stp>CF_NET_CASH_PAID_FOR_AQUIS</stp>
        <stp>FQ2 2015</stp>
        <stp>FQ2 2015</stp>
        <stp>[FA1_m42y3cpi.xlsx]Cash Flow - Standardized!R61C30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1" s="4"/>
      </tp>
      <tp>
        <v>237361</v>
        <stp/>
        <stp>##V3_BDHV12</stp>
        <stp>XOM US Equity</stp>
        <stp>BS_TOT_NON_CUR_ASSET</stp>
        <stp>FQ3 2010</stp>
        <stp>FQ3 2010</stp>
        <stp>[FA1_m42y3cpi.xlsx]Bal Sheet - Standardized!R38C11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8" s="3"/>
      </tp>
      <tp t="s">
        <v>—</v>
        <stp/>
        <stp>##V3_BDHV12</stp>
        <stp>XOM US Equity</stp>
        <stp>BS_LT_INVEST</stp>
        <stp>FQ3 2015</stp>
        <stp>FQ3 2015</stp>
        <stp>[FA1_m42y3cpi.xlsx]Bal Sheet - Standardized!R26C31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3"/>
      </tp>
      <tp>
        <v>29568</v>
        <stp/>
        <stp>##V3_BDHV12</stp>
        <stp>XOM US Equity</stp>
        <stp>BS_LT_BORROW</stp>
        <stp>FQ1 2016</stp>
        <stp>FQ1 2016</stp>
        <stp>[FA1_m42y3cpi.xlsx]Bal Sheet - Standardized!R56C33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6" s="3"/>
      </tp>
      <tp t="s">
        <v>—</v>
        <stp/>
        <stp>##V3_BDHV12</stp>
        <stp>XOM US Equity</stp>
        <stp>BS_LT_INVEST</stp>
        <stp>FQ2 2014</stp>
        <stp>FQ2 2014</stp>
        <stp>[FA1_m42y3cpi.xlsx]Bal Sheet - Standardized!R26C26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3"/>
      </tp>
      <tp t="s">
        <v>—</v>
        <stp/>
        <stp>##V3_BDHV12</stp>
        <stp>XOM US Equity</stp>
        <stp>BS_LT_INVEST</stp>
        <stp>FQ3 2016</stp>
        <stp>FQ3 2016</stp>
        <stp>[FA1_m42y3cpi.xlsx]Bal Sheet - Standardized!R26C35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3"/>
      </tp>
      <tp>
        <v>298538</v>
        <stp/>
        <stp>##V3_BDHV12</stp>
        <stp>XOM US Equity</stp>
        <stp>BS_TOT_NON_CUR_ASSET</stp>
        <stp>FQ1 2016</stp>
        <stp>FQ1 2016</stp>
        <stp>[FA1_m42y3cpi.xlsx]Bal Sheet - Standardized!R38C33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8" s="3"/>
      </tp>
      <tp>
        <v>15248</v>
        <stp/>
        <stp>##V3_BDHV12</stp>
        <stp>XOM US Equity</stp>
        <stp>BS_LT_BORROW</stp>
        <stp>FQ3 2010</stp>
        <stp>FQ3 2010</stp>
        <stp>[FA1_m42y3cpi.xlsx]Bal Sheet - Standardized!R56C11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6" s="3"/>
      </tp>
      <tp t="s">
        <v>—</v>
        <stp/>
        <stp>##V3_BDHV12</stp>
        <stp>XOM US Equity</stp>
        <stp>CF_NET_CASH_PAID_FOR_AQUIS</stp>
        <stp>FQ3 2013</stp>
        <stp>FQ3 2013</stp>
        <stp>[FA1_m42y3cpi.xlsx]Cash Flow - Standardized!R61C23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1" s="4"/>
      </tp>
      <tp>
        <v>253851</v>
        <stp/>
        <stp>##V3_BDHV12</stp>
        <stp>XOM US Equity</stp>
        <stp>BS_TOT_NON_CUR_ASSET</stp>
        <stp>FQ3 2011</stp>
        <stp>FQ3 2011</stp>
        <stp>[FA1_m42y3cpi.xlsx]Bal Sheet - Standardized!R38C15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8" s="3"/>
      </tp>
      <tp>
        <v>25124</v>
        <stp/>
        <stp>##V3_BDHV12</stp>
        <stp>XOM US Equity</stp>
        <stp>BS_LT_BORROW</stp>
        <stp>FQ1 2017</stp>
        <stp>FQ1 2017</stp>
        <stp>[FA1_m42y3cpi.xlsx]Bal Sheet - Standardized!R56C37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6" s="3"/>
      </tp>
      <tp t="s">
        <v>—</v>
        <stp/>
        <stp>##V3_BDHV12</stp>
        <stp>XOM US Equity</stp>
        <stp>CF_NET_CASH_PAID_FOR_AQUIS</stp>
        <stp>FQ2 2016</stp>
        <stp>FQ2 2016</stp>
        <stp>[FA1_m42y3cpi.xlsx]Cash Flow - Standardized!R61C34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1" s="4"/>
      </tp>
      <tp>
        <v>0</v>
        <stp/>
        <stp>##V3_BDHV12</stp>
        <stp>XOM US Equity</stp>
        <stp>CF_NET_CASH_PAID_FOR_AQUIS</stp>
        <stp>FQ3 2014</stp>
        <stp>FQ3 2014</stp>
        <stp>[FA1_m42y3cpi.xlsx]Cash Flow - Standardized!R61C27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1" s="4"/>
      </tp>
      <tp t="s">
        <v>—</v>
        <stp/>
        <stp>##V3_BDHV12</stp>
        <stp>XOM US Equity</stp>
        <stp>BS_LT_INVEST</stp>
        <stp>FQ1 2011</stp>
        <stp>FQ1 2011</stp>
        <stp>[FA1_m42y3cpi.xlsx]Bal Sheet - Standardized!R26C13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3"/>
      </tp>
      <tp t="s">
        <v>—</v>
        <stp/>
        <stp>##V3_BDHV12</stp>
        <stp>XOM US Equity</stp>
        <stp>BS_LT_INVEST</stp>
        <stp>FQ2 2013</stp>
        <stp>FQ2 2013</stp>
        <stp>[FA1_m42y3cpi.xlsx]Bal Sheet - Standardized!R26C22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3"/>
      </tp>
      <tp>
        <v>5694</v>
        <stp/>
        <stp>##V3_BDHV12</stp>
        <stp>XOM US Equity</stp>
        <stp>BS_LT_INVEST</stp>
        <stp>FQ4 2017</stp>
        <stp>FQ4 2017</stp>
        <stp>[FA1_m42y3cpi.xlsx]Bal Sheet - Standardized!R26C40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3"/>
      </tp>
      <tp>
        <v>263053</v>
        <stp/>
        <stp>##V3_BDHV12</stp>
        <stp>XOM US Equity</stp>
        <stp>BS_TOT_NON_CUR_ASSET</stp>
        <stp>FQ3 2012</stp>
        <stp>FQ3 2012</stp>
        <stp>[FA1_m42y3cpi.xlsx]Bal Sheet - Standardized!R38C19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8" s="3"/>
      </tp>
      <tp t="s">
        <v>—</v>
        <stp/>
        <stp>##V3_BDHV12</stp>
        <stp>XOM US Equity</stp>
        <stp>BS_LT_INVEST</stp>
        <stp>FQ3 2017</stp>
        <stp>FQ3 2017</stp>
        <stp>[FA1_m42y3cpi.xlsx]Bal Sheet - Standardized!R26C39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3"/>
      </tp>
      <tp t="s">
        <v>—</v>
        <stp/>
        <stp>##V3_BDHV12</stp>
        <stp>XOM US Equity</stp>
        <stp>CF_NET_CASH_PAID_FOR_AQUIS</stp>
        <stp>FQ2 2017</stp>
        <stp>FQ2 2017</stp>
        <stp>[FA1_m42y3cpi.xlsx]Cash Flow - Standardized!R61C38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1" s="4"/>
      </tp>
      <tp>
        <v>8928</v>
        <stp/>
        <stp>##V3_BDHV12</stp>
        <stp>XOM US Equity</stp>
        <stp>BS_LT_BORROW</stp>
        <stp>FQ3 2012</stp>
        <stp>FQ3 2012</stp>
        <stp>[FA1_m42y3cpi.xlsx]Bal Sheet - Standardized!R56C19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6" s="3"/>
      </tp>
      <tp>
        <v>0</v>
        <stp/>
        <stp>##V3_BDHV12</stp>
        <stp>XOM US Equity</stp>
        <stp>BS_MKT_SEC_OTHER_ST_INVEST</stp>
        <stp>FQ4 2017</stp>
        <stp>FQ4 2017</stp>
        <stp>[FA1_m42y3cpi.xlsx]Bal Sheet - Standardized!R9C40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9" s="3"/>
      </tp>
      <tp>
        <v>0</v>
        <stp/>
        <stp>##V3_BDHV12</stp>
        <stp>XOM US Equity</stp>
        <stp>BS_MKT_SEC_OTHER_ST_INVEST</stp>
        <stp>FQ1 2018</stp>
        <stp>FQ1 2018</stp>
        <stp>[FA1_m42y3cpi.xlsx]Bal Sheet - Standardized!R9C41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9" s="3"/>
      </tp>
      <tp>
        <v>0</v>
        <stp/>
        <stp>##V3_BDHV12</stp>
        <stp>XOM US Equity</stp>
        <stp>BS_MKT_SEC_OTHER_ST_INVEST</stp>
        <stp>FQ2 2018</stp>
        <stp>FQ2 2018</stp>
        <stp>[FA1_m42y3cpi.xlsx]Bal Sheet - Standardized!R9C42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9" s="3"/>
      </tp>
      <tp>
        <v>2.89</v>
        <stp/>
        <stp>##V3_BDHV12</stp>
        <stp>XOM US Equity</stp>
        <stp>IS_EARN_BEF_XO_ITEMS_PER_SH</stp>
        <stp>FQ3 2008</stp>
        <stp>FQ3 2008</stp>
        <stp>[FA1_m42y3cpi.xlsx]Per Share!R15C3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5" s="5"/>
      </tp>
      <tp>
        <v>1.5699999999999998</v>
        <stp/>
        <stp>##V3_BDHV12</stp>
        <stp>XOM US Equity</stp>
        <stp>IS_EARN_BEF_XO_ITEMS_PER_SH</stp>
        <stp>FQ4 2008</stp>
        <stp>FQ4 2008</stp>
        <stp>[FA1_m42y3cpi.xlsx]Per Share!R15C4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5" s="5"/>
      </tp>
      <tp>
        <v>0</v>
        <stp/>
        <stp>##V3_BDHV12</stp>
        <stp>XOM US Equity</stp>
        <stp>CF_CASH_FOR_ACQUIS_SUBSIDIARIES</stp>
        <stp>FQ2 2013</stp>
        <stp>FQ2 2013</stp>
        <stp>[FA1_m42y3cpi.xlsx]Cash Flow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4"/>
      </tp>
      <tp>
        <v>0</v>
        <stp/>
        <stp>##V3_BDHV12</stp>
        <stp>XOM US Equity</stp>
        <stp>CF_CASH_FOR_ACQUIS_SUBSIDIARIES</stp>
        <stp>FQ1 2011</stp>
        <stp>FQ1 2011</stp>
        <stp>[FA1_m42y3cpi.xlsx]Cash Flow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4"/>
      </tp>
      <tp>
        <v>0</v>
        <stp/>
        <stp>##V3_BDHV12</stp>
        <stp>XOM US Equity</stp>
        <stp>CF_CASH_FOR_ACQUIS_SUBSIDIARIES</stp>
        <stp>FQ4 2017</stp>
        <stp>FQ4 2017</stp>
        <stp>[FA1_m42y3cpi.xlsx]Cash Flow - Standardized!R32C40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4"/>
      </tp>
      <tp>
        <v>0</v>
        <stp/>
        <stp>##V3_BDHV12</stp>
        <stp>XOM US Equity</stp>
        <stp>CF_CASH_FOR_ACQUIS_SUBSIDIARIES</stp>
        <stp>FQ3 2016</stp>
        <stp>FQ3 2016</stp>
        <stp>[FA1_m42y3cpi.xlsx]Cash Flow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4"/>
      </tp>
      <tp>
        <v>0</v>
        <stp/>
        <stp>##V3_BDHV12</stp>
        <stp>XOM US Equity</stp>
        <stp>CF_CASH_FOR_ACQUIS_SUBSIDIARIES</stp>
        <stp>FQ2 2014</stp>
        <stp>FQ2 2014</stp>
        <stp>[FA1_m42y3cpi.xlsx]Cash Flow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4"/>
      </tp>
      <tp>
        <v>260</v>
        <stp/>
        <stp>##V3_BDHV12</stp>
        <stp>XOM US Equity</stp>
        <stp>CF_PROC_LT_DEBT_&amp;_CAPITAL_LEASE</stp>
        <stp>FQ2 2012</stp>
        <stp>FQ2 2012</stp>
        <stp>[FA1_m42y3cpi.xlsx]Cash Flow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4"/>
      </tp>
      <tp>
        <v>0</v>
        <stp/>
        <stp>##V3_BDHV12</stp>
        <stp>XOM US Equity</stp>
        <stp>CF_CASH_FOR_ACQUIS_SUBSIDIARIES</stp>
        <stp>FQ3 2015</stp>
        <stp>FQ3 2015</stp>
        <stp>[FA1_m42y3cpi.xlsx]Cash Flow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4"/>
      </tp>
      <tp>
        <v>3838</v>
        <stp/>
        <stp>##V3_BDHV12</stp>
        <stp>XOM US Equity</stp>
        <stp>BS_NUM_OF_TSY_SH</stp>
        <stp>FQ1 2015</stp>
        <stp>FQ1 2015</stp>
        <stp>[FA1_m42y3cpi.xlsx]Bal Sheet - Standardized!R80C29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0" s="3"/>
      </tp>
      <tp>
        <v>3782</v>
        <stp/>
        <stp>##V3_BDHV12</stp>
        <stp>XOM US Equity</stp>
        <stp>BS_NUM_OF_TSY_SH</stp>
        <stp>FQ2 2017</stp>
        <stp>FQ2 2017</stp>
        <stp>[FA1_m42y3cpi.xlsx]Bal Sheet - Standardized!R80C38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0" s="3"/>
      </tp>
      <tp>
        <v>3782</v>
        <stp/>
        <stp>##V3_BDHV12</stp>
        <stp>XOM US Equity</stp>
        <stp>BS_NUM_OF_TSY_SH</stp>
        <stp>FQ3 2017</stp>
        <stp>FQ3 2017</stp>
        <stp>[FA1_m42y3cpi.xlsx]Bal Sheet - Standardized!R80C39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0" s="3"/>
      </tp>
      <tp>
        <v>8000</v>
        <stp/>
        <stp>##V3_BDHV12</stp>
        <stp>XOM US Equity</stp>
        <stp>CF_PROC_LT_DEBT_&amp;_CAPITAL_LEASE</stp>
        <stp>FQ1 2015</stp>
        <stp>FQ1 2015</stp>
        <stp>[FA1_m42y3cpi.xlsx]Cash Flow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4"/>
      </tp>
      <tp>
        <v>0</v>
        <stp/>
        <stp>##V3_BDHV12</stp>
        <stp>XOM US Equity</stp>
        <stp>CF_CASH_FOR_ACQUIS_SUBSIDIARIES</stp>
        <stp>FQ1 2012</stp>
        <stp>FQ1 2012</stp>
        <stp>[FA1_m42y3cpi.xlsx]Cash Flow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4"/>
      </tp>
      <tp t="s">
        <v>—</v>
        <stp/>
        <stp>##V3_BDHV12</stp>
        <stp>XOM US Equity</stp>
        <stp>IS_LEGAL_LITIGATION_SETTLEMENT</stp>
        <stp>FQ1 2009</stp>
        <stp>FQ1 2009</stp>
        <stp>[FA1_m42y3cpi.xlsx]Income - Adjusted!R30C5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2"/>
      </tp>
      <tp>
        <v>5</v>
        <stp/>
        <stp>##V3_BDHV12</stp>
        <stp>XOM US Equity</stp>
        <stp>CF_PROC_LT_DEBT_&amp;_CAPITAL_LEASE</stp>
        <stp>FQ1 2013</stp>
        <stp>FQ1 2013</stp>
        <stp>[FA1_m42y3cpi.xlsx]Cash Flow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4"/>
      </tp>
      <tp>
        <v>6</v>
        <stp/>
        <stp>##V3_BDHV12</stp>
        <stp>XOM US Equity</stp>
        <stp>CF_PROC_LT_DEBT_&amp;_CAPITAL_LEASE</stp>
        <stp>FQ2 2010</stp>
        <stp>FQ2 2010</stp>
        <stp>[FA1_m42y3cpi.xlsx]Cash Flow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4"/>
      </tp>
      <tp>
        <v>2093</v>
        <stp/>
        <stp>##V3_BDHV12</stp>
        <stp>XOM US Equity</stp>
        <stp>DISP_FXD_&amp;_INTANGIBLES_DETAILED</stp>
        <stp>FQ4 2016</stp>
        <stp>FQ4 2016</stp>
        <stp>[FA1_m42y3cpi.xlsx]Cash Flow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4"/>
      </tp>
      <tp>
        <v>5500</v>
        <stp/>
        <stp>##V3_BDHV12</stp>
        <stp>XOM US Equity</stp>
        <stp>CF_PROC_LT_DEBT_&amp;_CAPITAL_LEASE</stp>
        <stp>FQ1 2014</stp>
        <stp>FQ1 2014</stp>
        <stp>[FA1_m42y3cpi.xlsx]Cash Flow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4"/>
      </tp>
      <tp>
        <v>151</v>
        <stp/>
        <stp>##V3_BDHV12</stp>
        <stp>XOM US Equity</stp>
        <stp>CF_PROC_LT_DEBT_&amp;_CAPITAL_LEASE</stp>
        <stp>FQ2 2011</stp>
        <stp>FQ2 2011</stp>
        <stp>[FA1_m42y3cpi.xlsx]Cash Flow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4"/>
      </tp>
      <tp>
        <v>785</v>
        <stp/>
        <stp>##V3_BDHV12</stp>
        <stp>XOM US Equity</stp>
        <stp>DISP_FXD_&amp;_INTANGIBLES_DETAILED</stp>
        <stp>FQ4 2015</stp>
        <stp>FQ4 2015</stp>
        <stp>[FA1_m42y3cpi.xlsx]Cash Flow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4"/>
      </tp>
      <tp>
        <v>0</v>
        <stp/>
        <stp>##V3_BDHV12</stp>
        <stp>XOM US Equity</stp>
        <stp>CF_CASH_FOR_ACQUIS_SUBSIDIARIES</stp>
        <stp>FQ3 2017</stp>
        <stp>FQ3 2017</stp>
        <stp>[FA1_m42y3cpi.xlsx]Cash Flow - Standardized!R32C39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4"/>
      </tp>
      <tp>
        <v>-1981</v>
        <stp/>
        <stp>##V3_BDHV12</stp>
        <stp>XOM US Equity</stp>
        <stp>CF_DVD_PAID</stp>
        <stp>FQ1 2009</stp>
        <stp>FQ1 2009</stp>
        <stp>[FA1_m42y3cpi.xlsx]Cash Flow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4"/>
      </tp>
      <tp>
        <v>-2039</v>
        <stp/>
        <stp>##V3_BDHV12</stp>
        <stp>XOM US Equity</stp>
        <stp>CF_DVD_PAID</stp>
        <stp>FQ2 2009</stp>
        <stp>FQ2 2009</stp>
        <stp>[FA1_m42y3cpi.xlsx]Cash Flow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4"/>
      </tp>
      <tp>
        <v>-2011</v>
        <stp/>
        <stp>##V3_BDHV12</stp>
        <stp>XOM US Equity</stp>
        <stp>CF_DVD_PAID</stp>
        <stp>FQ3 2009</stp>
        <stp>FQ3 2009</stp>
        <stp>[FA1_m42y3cpi.xlsx]Cash Flow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4"/>
      </tp>
      <tp>
        <v>0</v>
        <stp/>
        <stp>##V3_BDHV12</stp>
        <stp>XOM US Equity</stp>
        <stp>CF_NET_CASH_DISCONTINUED_OPS_INV</stp>
        <stp>FQ1 2009</stp>
        <stp>FQ1 2009</stp>
        <stp>[FA1_m42y3cpi.xlsx]Cash Flow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4"/>
      </tp>
      <tp>
        <v>0</v>
        <stp/>
        <stp>##V3_BDHV12</stp>
        <stp>XOM US Equity</stp>
        <stp>CF_NET_CASH_DISCONTINUED_OPS_INV</stp>
        <stp>FQ2 2009</stp>
        <stp>FQ2 2009</stp>
        <stp>[FA1_m42y3cpi.xlsx]Cash Flow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4"/>
      </tp>
      <tp>
        <v>0</v>
        <stp/>
        <stp>##V3_BDHV12</stp>
        <stp>XOM US Equity</stp>
        <stp>CF_NET_CASH_DISCONTINUED_OPS_INV</stp>
        <stp>FQ3 2009</stp>
        <stp>FQ3 2009</stp>
        <stp>[FA1_m42y3cpi.xlsx]Cash Flow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4"/>
      </tp>
      <tp>
        <v>-2018</v>
        <stp/>
        <stp>##V3_BDHV12</stp>
        <stp>XOM US Equity</stp>
        <stp>CF_DVD_PAID</stp>
        <stp>FQ4 2008</stp>
        <stp>FQ4 2008</stp>
        <stp>[FA1_m42y3cpi.xlsx]Cash Flow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4"/>
      </tp>
      <tp>
        <v>-2063</v>
        <stp/>
        <stp>##V3_BDHV12</stp>
        <stp>XOM US Equity</stp>
        <stp>CF_DVD_PAID</stp>
        <stp>FQ3 2008</stp>
        <stp>FQ3 2008</stp>
        <stp>[FA1_m42y3cpi.xlsx]Cash Flow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4"/>
      </tp>
      <tp t="s">
        <v>—</v>
        <stp/>
        <stp>##V3_BDHV12</stp>
        <stp>XOM US Equity</stp>
        <stp>CF_NET_CASH_DISCONTINUED_OPS_INV</stp>
        <stp>FQ3 2008</stp>
        <stp>FQ3 2008</stp>
        <stp>[FA1_m42y3cpi.xlsx]Cash Flow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4"/>
      </tp>
      <tp t="s">
        <v>—</v>
        <stp/>
        <stp>##V3_BDHV12</stp>
        <stp>XOM US Equity</stp>
        <stp>CF_NET_CASH_DISCONTINUED_OPS_INV</stp>
        <stp>FQ4 2008</stp>
        <stp>FQ4 2008</stp>
        <stp>[FA1_m42y3cpi.xlsx]Cash Flow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4"/>
      </tp>
      <tp>
        <v>-1992</v>
        <stp/>
        <stp>##V3_BDHV12</stp>
        <stp>XOM US Equity</stp>
        <stp>CF_DVD_PAID</stp>
        <stp>FQ4 2009</stp>
        <stp>FQ4 2009</stp>
        <stp>[FA1_m42y3cpi.xlsx]Cash Flow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4"/>
      </tp>
      <tp>
        <v>0</v>
        <stp/>
        <stp>##V3_BDHV12</stp>
        <stp>XOM US Equity</stp>
        <stp>IS_EXTRAORD_ITEMS_&amp;_ACCTG_CHNG</stp>
        <stp>FQ1 2010</stp>
        <stp>FQ1 2010</stp>
        <stp>[FA1_m42y3cpi.xlsx]Income - Adjusted!R37C9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7" s="2"/>
      </tp>
      <tp>
        <v>0.66800000000000004</v>
        <stp/>
        <stp>##V3_BDHV12</stp>
        <stp>XOM US Equity</stp>
        <stp>FREE_CASH_FLOW_PER_SH</stp>
        <stp>FQ2 2018</stp>
        <stp>FQ2 2018</stp>
        <stp>[FA1_m42y3cpi.xlsx]Per Share!R23C42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3" s="5"/>
      </tp>
      <tp>
        <v>0.40210000000000001</v>
        <stp/>
        <stp>##V3_BDHV12</stp>
        <stp>XOM US Equity</stp>
        <stp>FREE_CASH_FLOW_PER_SH</stp>
        <stp>FQ2 2012</stp>
        <stp>FQ2 2012</stp>
        <stp>[FA1_m42y3cpi.xlsx]Per Share!R23C18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3" s="5"/>
      </tp>
      <tp>
        <v>0</v>
        <stp/>
        <stp>##V3_BDHV12</stp>
        <stp>XOM US Equity</stp>
        <stp>CF_NET_CASH_DISCONTINUED_OPS_INV</stp>
        <stp>FQ4 2009</stp>
        <stp>FQ4 2009</stp>
        <stp>[FA1_m42y3cpi.xlsx]Cash Flow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4"/>
      </tp>
      <tp>
        <v>994</v>
        <stp/>
        <stp>##V3_BDHV12</stp>
        <stp>XOM US Equity</stp>
        <stp>CF_CHNG_NON_CASH_WORK_CAP</stp>
        <stp>FQ4 2016</stp>
        <stp>FQ4 2016</stp>
        <stp>[FA1_m42y3cpi.xlsx]Cash Flow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4"/>
      </tp>
      <tp>
        <v>-2076</v>
        <stp/>
        <stp>##V3_BDHV12</stp>
        <stp>XOM US Equity</stp>
        <stp>CF_CHNG_NON_CASH_WORK_CAP</stp>
        <stp>FQ4 2015</stp>
        <stp>FQ4 2015</stp>
        <stp>[FA1_m42y3cpi.xlsx]Cash Flow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4"/>
      </tp>
      <tp>
        <v>-1986</v>
        <stp/>
        <stp>##V3_BDHV12</stp>
        <stp>XOM US Equity</stp>
        <stp>CF_DVD_PAID</stp>
        <stp>FQ1 2010</stp>
        <stp>FQ1 2010</stp>
        <stp>[FA1_m42y3cpi.xlsx]Cash Flow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4"/>
      </tp>
      <tp>
        <v>0</v>
        <stp/>
        <stp>##V3_BDHV12</stp>
        <stp>XOM US Equity</stp>
        <stp>CF_NET_CASH_DISCONTINUED_OPS_INV</stp>
        <stp>FQ1 2010</stp>
        <stp>FQ1 2010</stp>
        <stp>[FA1_m42y3cpi.xlsx]Cash Flow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4"/>
      </tp>
      <tp>
        <v>-6465</v>
        <stp/>
        <stp>##V3_BDHV12</stp>
        <stp>XOM US Equity</stp>
        <stp>CF_NET_CHNG_CASH</stp>
        <stp>FQ1 2009</stp>
        <stp>FQ1 2009</stp>
        <stp>[FA1_m42y3cpi.xlsx]Cash Flow - Standardized!R53C5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3" s="4"/>
      </tp>
      <tp>
        <v>-3104</v>
        <stp/>
        <stp>##V3_BDHV12</stp>
        <stp>XOM US Equity</stp>
        <stp>CF_NET_CHNG_CASH</stp>
        <stp>FQ3 2009</stp>
        <stp>FQ3 2009</stp>
        <stp>[FA1_m42y3cpi.xlsx]Cash Flow - Standardized!R53C7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3" s="4"/>
      </tp>
      <tp>
        <v>-9396</v>
        <stp/>
        <stp>##V3_BDHV12</stp>
        <stp>XOM US Equity</stp>
        <stp>CF_NET_CHNG_CASH</stp>
        <stp>FQ2 2009</stp>
        <stp>FQ2 2009</stp>
        <stp>[FA1_m42y3cpi.xlsx]Cash Flow - Standardized!R53C6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3" s="4"/>
      </tp>
      <tp>
        <v>-2294</v>
        <stp/>
        <stp>##V3_BDHV12</stp>
        <stp>XOM US Equity</stp>
        <stp>CF_NET_CHNG_CASH</stp>
        <stp>FQ3 2008</stp>
        <stp>FQ3 2008</stp>
        <stp>[FA1_m42y3cpi.xlsx]Cash Flow - Standardized!R53C3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3" s="4"/>
      </tp>
      <tp>
        <v>-5237</v>
        <stp/>
        <stp>##V3_BDHV12</stp>
        <stp>XOM US Equity</stp>
        <stp>CF_NET_CHNG_CASH</stp>
        <stp>FQ4 2008</stp>
        <stp>FQ4 2008</stp>
        <stp>[FA1_m42y3cpi.xlsx]Cash Flow - Standardized!R53C4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3" s="4"/>
      </tp>
      <tp>
        <v>-1779</v>
        <stp/>
        <stp>##V3_BDHV12</stp>
        <stp>XOM US Equity</stp>
        <stp>CF_NET_CHNG_CASH</stp>
        <stp>FQ4 2009</stp>
        <stp>FQ4 2009</stp>
        <stp>[FA1_m42y3cpi.xlsx]Cash Flow - Standardized!R53C8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3" s="4"/>
      </tp>
      <tp>
        <v>3049</v>
        <stp/>
        <stp>##V3_BDHV12</stp>
        <stp>XOM US Equity</stp>
        <stp>CF_NET_CHNG_CASH</stp>
        <stp>FQ1 2010</stp>
        <stp>FQ1 2010</stp>
        <stp>[FA1_m42y3cpi.xlsx]Cash Flow - Standardized!R53C9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3" s="4"/>
      </tp>
      <tp>
        <v>2990</v>
        <stp/>
        <stp>##V3_BDHV12</stp>
        <stp>XOM US Equity</stp>
        <stp>IS_SG&amp;A_EXPENSE</stp>
        <stp>FQ4 2015</stp>
        <stp>FQ4 2015</stp>
        <stp>[FA1_m42y3cpi.xlsx]Income - Adjusted!R14C32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4" s="2"/>
      </tp>
      <tp>
        <v>3341</v>
        <stp/>
        <stp>##V3_BDHV12</stp>
        <stp>XOM US Equity</stp>
        <stp>IS_SG&amp;A_EXPENSE</stp>
        <stp>FQ4 2013</stp>
        <stp>FQ4 2013</stp>
        <stp>[FA1_m42y3cpi.xlsx]Income - Adjusted!R14C24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4" s="2"/>
      </tp>
      <tp>
        <v>3911</v>
        <stp/>
        <stp>##V3_BDHV12</stp>
        <stp>XOM US Equity</stp>
        <stp>IS_SG&amp;A_EXPENSE</stp>
        <stp>FQ4 2011</stp>
        <stp>FQ4 2011</stp>
        <stp>[FA1_m42y3cpi.xlsx]Income - Adjusted!R14C16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4" s="2"/>
      </tp>
      <tp>
        <v>3004</v>
        <stp/>
        <stp>##V3_BDHV12</stp>
        <stp>XOM US Equity</stp>
        <stp>IS_SG&amp;A_EXPENSE</stp>
        <stp>FQ4 2017</stp>
        <stp>FQ4 2017</stp>
        <stp>[FA1_m42y3cpi.xlsx]Income - Adjusted!R14C40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4" s="2"/>
      </tp>
      <tp>
        <v>0.80810000000000004</v>
        <stp/>
        <stp>##V3_BDHV12</stp>
        <stp>XOM US Equity</stp>
        <stp>CUR_RATIO</stp>
        <stp>FQ1 2017</stp>
        <stp>FQ1 2017</stp>
        <stp>[FA1_m42y3cpi.xlsx]Bal Sheet - Standardized!R89C37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9" s="3"/>
      </tp>
      <tp>
        <v>9636</v>
        <stp/>
        <stp>##V3_BDHV12</stp>
        <stp>XOM US Equity</stp>
        <stp>EBITA</stp>
        <stp>FQ3 2014</stp>
        <stp>FQ3 2014</stp>
        <stp>[FA1_m42y3cpi.xlsx]Income - Adjusted!R63C27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3" s="2"/>
      </tp>
      <tp>
        <v>1422</v>
        <stp/>
        <stp>##V3_BDHV12</stp>
        <stp>XOM US Equity</stp>
        <stp>EBITA</stp>
        <stp>FQ3 2016</stp>
        <stp>FQ3 2016</stp>
        <stp>[FA1_m42y3cpi.xlsx]Income - Adjusted!R63C35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3" s="2"/>
      </tp>
      <tp>
        <v>3970</v>
        <stp/>
        <stp>##V3_BDHV12</stp>
        <stp>XOM US Equity</stp>
        <stp>EARN_FOR_COMMON</stp>
        <stp>FQ3 2017</stp>
        <stp>FQ3 2017</stp>
        <stp>[FA1_m42y3cpi.xlsx]Income - Adjusted!R45C39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5" s="2"/>
      </tp>
      <tp>
        <v>0</v>
        <stp/>
        <stp>##V3_BDHV12</stp>
        <stp>XOM US Equity</stp>
        <stp>INVTRY_RAW_MATERIALS</stp>
        <stp>FQ4 2010</stp>
        <stp>FQ4 2010</stp>
        <stp>[FA1_m42y3cpi.xlsx]Bal Sheet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3"/>
      </tp>
      <tp>
        <v>-487</v>
        <stp/>
        <stp>##V3_BDHV12</stp>
        <stp>XOM US Equity</stp>
        <stp>IS_OTHER_NON_OPERATING_INC_LOSS</stp>
        <stp>FQ1 2017</stp>
        <stp>FQ1 2017</stp>
        <stp>[FA1_m42y3cpi.xlsx]Income - Adjusted!R23C37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23" s="2"/>
      </tp>
      <tp>
        <v>-538</v>
        <stp/>
        <stp>##V3_BDHV12</stp>
        <stp>XOM US Equity</stp>
        <stp>IS_OTHER_NON_OPERATING_INC_LOSS</stp>
        <stp>FQ3 2013</stp>
        <stp>FQ3 2013</stp>
        <stp>[FA1_m42y3cpi.xlsx]Income - Adjusted!R23C23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3" s="2"/>
      </tp>
      <tp>
        <v>-549</v>
        <stp/>
        <stp>##V3_BDHV12</stp>
        <stp>XOM US Equity</stp>
        <stp>IS_OTHER_NON_OPERATING_INC_LOSS</stp>
        <stp>FQ2 2010</stp>
        <stp>FQ2 2010</stp>
        <stp>[FA1_m42y3cpi.xlsx]Income - Adjusted!R23C10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3" s="2"/>
      </tp>
      <tp>
        <v>-1312</v>
        <stp/>
        <stp>##V3_BDHV12</stp>
        <stp>XOM US Equity</stp>
        <stp>IS_OTHER_NON_OPERATING_INC_LOSS</stp>
        <stp>FQ4 2016</stp>
        <stp>FQ4 2016</stp>
        <stp>[FA1_m42y3cpi.xlsx]Income - Adjusted!R23C36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3" s="2"/>
      </tp>
      <tp>
        <v>4589</v>
        <stp/>
        <stp>##V3_BDHV12</stp>
        <stp>XOM US Equity</stp>
        <stp>IS_DEPR_EXP</stp>
        <stp>FQ2 2018</stp>
        <stp>FQ2 2018</stp>
        <stp>[FA1_m42y3cpi.xlsx]Income - Adjusted!R71C42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1" s="2"/>
      </tp>
      <tp>
        <v>0</v>
        <stp/>
        <stp>##V3_BDHV12</stp>
        <stp>XOM US Equity</stp>
        <stp>INVTRY_RAW_MATERIALS</stp>
        <stp>FQ4 2011</stp>
        <stp>FQ4 2011</stp>
        <stp>[FA1_m42y3cpi.xlsx]Bal Sheet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3"/>
      </tp>
      <tp>
        <v>1.33</v>
        <stp/>
        <stp>##V3_BDHV12</stp>
        <stp>XOM US Equity</stp>
        <stp>IS_DILUTED_EPS</stp>
        <stp>FQ1 2010</stp>
        <stp>FQ1 2010</stp>
        <stp>[FA1_m42y3cpi.xlsx]Per Share!R17C9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7" s="5"/>
      </tp>
      <tp>
        <v>0</v>
        <stp/>
        <stp>##V3_BDHV12</stp>
        <stp>XOM US Equity</stp>
        <stp>INVTRY_RAW_MATERIALS</stp>
        <stp>FQ1 2018</stp>
        <stp>FQ1 2018</stp>
        <stp>[FA1_m42y3cpi.xlsx]Bal Sheet - Standardized!R14C41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4" s="3"/>
      </tp>
      <tp t="s">
        <v>—</v>
        <stp/>
        <stp>##V3_BDHV12</stp>
        <stp>XOM US Equity</stp>
        <stp>IS_NET_INTEREST_EXPENSE</stp>
        <stp>FQ2 2017</stp>
        <stp>FQ2 2017</stp>
        <stp>[FA1_m42y3cpi.xlsx]Income - Adjusted!R18C38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8" s="2"/>
      </tp>
      <tp>
        <v>12123</v>
        <stp/>
        <stp>##V3_BDHV12</stp>
        <stp>XOM US Equity</stp>
        <stp>BS_LT_BORROW</stp>
        <stp>FQ2 2011</stp>
        <stp>FQ2 2011</stp>
        <stp>[FA1_m42y3cpi.xlsx]Bal Sheet - Standardized!R56C14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6" s="3"/>
      </tp>
      <tp>
        <v>291169</v>
        <stp/>
        <stp>##V3_BDHV12</stp>
        <stp>XOM US Equity</stp>
        <stp>BS_TOT_NON_CUR_ASSET</stp>
        <stp>FQ1 2014</stp>
        <stp>FQ1 2014</stp>
        <stp>[FA1_m42y3cpi.xlsx]Bal Sheet - Standardized!R38C25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8" s="3"/>
      </tp>
      <tp>
        <v>0</v>
        <stp/>
        <stp>##V3_BDHV12</stp>
        <stp>XOM US Equity</stp>
        <stp>CF_NET_CASH_PAID_FOR_AQUIS</stp>
        <stp>FQ3 2015</stp>
        <stp>FQ3 2015</stp>
        <stp>[FA1_m42y3cpi.xlsx]Cash Flow - Standardized!R61C31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1" s="4"/>
      </tp>
      <tp>
        <v>277045</v>
        <stp/>
        <stp>##V3_BDHV12</stp>
        <stp>XOM US Equity</stp>
        <stp>BS_TOT_NON_CUR_ASSET</stp>
        <stp>FQ1 2013</stp>
        <stp>FQ1 2013</stp>
        <stp>[FA1_m42y3cpi.xlsx]Bal Sheet - Standardized!R38C21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8" s="3"/>
      </tp>
      <tp t="s">
        <v>—</v>
        <stp/>
        <stp>##V3_BDHV12</stp>
        <stp>XOM US Equity</stp>
        <stp>CF_NET_CASH_PAID_FOR_AQUIS</stp>
        <stp>FQ1 2012</stp>
        <stp>FQ1 2012</stp>
        <stp>[FA1_m42y3cpi.xlsx]Cash Flow - Standardized!R61C17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1" s="4"/>
      </tp>
      <tp>
        <v>228852</v>
        <stp/>
        <stp>##V3_BDHV12</stp>
        <stp>XOM US Equity</stp>
        <stp>BS_TOT_NON_CUR_ASSET</stp>
        <stp>FQ2 2010</stp>
        <stp>FQ2 2010</stp>
        <stp>[FA1_m42y3cpi.xlsx]Bal Sheet - Standardized!R38C10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8" s="3"/>
      </tp>
      <tp t="s">
        <v>—</v>
        <stp/>
        <stp>##V3_BDHV12</stp>
        <stp>XOM US Equity</stp>
        <stp>BS_LT_INVEST</stp>
        <stp>FQ2 2015</stp>
        <stp>FQ2 2015</stp>
        <stp>[FA1_m42y3cpi.xlsx]Bal Sheet - Standardized!R26C30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3"/>
      </tp>
      <tp t="s">
        <v>—</v>
        <stp/>
        <stp>##V3_BDHV12</stp>
        <stp>XOM US Equity</stp>
        <stp>IS_SALE_OF_BUSINESS</stp>
        <stp>FQ4 2009</stp>
        <stp>FQ4 2009</stp>
        <stp>[FA1_m42y3cpi.xlsx]Income - Adjusted!R29C8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2"/>
      </tp>
      <tp t="s">
        <v>—</v>
        <stp/>
        <stp>##V3_BDHV12</stp>
        <stp>XOM US Equity</stp>
        <stp>BS_LT_INVEST</stp>
        <stp>FQ3 2014</stp>
        <stp>FQ3 2014</stp>
        <stp>[FA1_m42y3cpi.xlsx]Bal Sheet - Standardized!R26C27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3"/>
      </tp>
      <tp t="s">
        <v>—</v>
        <stp/>
        <stp>##V3_BDHV12</stp>
        <stp>XOM US Equity</stp>
        <stp>BS_LT_INVEST</stp>
        <stp>FQ2 2016</stp>
        <stp>FQ2 2016</stp>
        <stp>[FA1_m42y3cpi.xlsx]Bal Sheet - Standardized!R26C34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3"/>
      </tp>
      <tp>
        <v>7475</v>
        <stp/>
        <stp>##V3_BDHV12</stp>
        <stp>XOM US Equity</stp>
        <stp>BS_LT_BORROW</stp>
        <stp>FQ1 2013</stp>
        <stp>FQ1 2013</stp>
        <stp>[FA1_m42y3cpi.xlsx]Bal Sheet - Standardized!R56C21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6" s="3"/>
      </tp>
      <tp>
        <v>17486</v>
        <stp/>
        <stp>##V3_BDHV12</stp>
        <stp>XOM US Equity</stp>
        <stp>BS_LT_BORROW</stp>
        <stp>FQ2 2010</stp>
        <stp>FQ2 2010</stp>
        <stp>[FA1_m42y3cpi.xlsx]Bal Sheet - Standardized!R56C10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6" s="3"/>
      </tp>
      <tp t="s">
        <v>—</v>
        <stp/>
        <stp>##V3_BDHV12</stp>
        <stp>XOM US Equity</stp>
        <stp>CF_NET_CASH_PAID_FOR_AQUIS</stp>
        <stp>FQ4 2017</stp>
        <stp>FQ4 2017</stp>
        <stp>[FA1_m42y3cpi.xlsx]Cash Flow - Standardized!R61C40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1" s="4"/>
      </tp>
      <tp>
        <v>0</v>
        <stp/>
        <stp>##V3_BDHV12</stp>
        <stp>XOM US Equity</stp>
        <stp>CF_NET_CASH_PAID_FOR_AQUIS</stp>
        <stp>FQ2 2013</stp>
        <stp>FQ2 2013</stp>
        <stp>[FA1_m42y3cpi.xlsx]Cash Flow - Standardized!R61C22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1" s="4"/>
      </tp>
      <tp t="s">
        <v>—</v>
        <stp/>
        <stp>##V3_BDHV12</stp>
        <stp>XOM US Equity</stp>
        <stp>CF_NET_CASH_PAID_FOR_AQUIS</stp>
        <stp>FQ1 2011</stp>
        <stp>FQ1 2011</stp>
        <stp>[FA1_m42y3cpi.xlsx]Cash Flow - Standardized!R61C13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1" s="4"/>
      </tp>
      <tp>
        <v>253899</v>
        <stp/>
        <stp>##V3_BDHV12</stp>
        <stp>XOM US Equity</stp>
        <stp>BS_TOT_NON_CUR_ASSET</stp>
        <stp>FQ2 2011</stp>
        <stp>FQ2 2011</stp>
        <stp>[FA1_m42y3cpi.xlsx]Bal Sheet - Standardized!R38C14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8" s="3"/>
      </tp>
      <tp t="s">
        <v>—</v>
        <stp/>
        <stp>##V3_BDHV12</stp>
        <stp>XOM US Equity</stp>
        <stp>CF_NET_CASH_PAID_FOR_AQUIS</stp>
        <stp>FQ3 2016</stp>
        <stp>FQ3 2016</stp>
        <stp>[FA1_m42y3cpi.xlsx]Cash Flow - Standardized!R61C35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1" s="4"/>
      </tp>
      <tp>
        <v>0</v>
        <stp/>
        <stp>##V3_BDHV12</stp>
        <stp>XOM US Equity</stp>
        <stp>CF_NET_CASH_PAID_FOR_AQUIS</stp>
        <stp>FQ2 2014</stp>
        <stp>FQ2 2014</stp>
        <stp>[FA1_m42y3cpi.xlsx]Cash Flow - Standardized!R61C26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1" s="4"/>
      </tp>
      <tp t="s">
        <v>—</v>
        <stp/>
        <stp>##V3_BDHV12</stp>
        <stp>XOM US Equity</stp>
        <stp>BS_LT_INVEST</stp>
        <stp>FQ3 2013</stp>
        <stp>FQ3 2013</stp>
        <stp>[FA1_m42y3cpi.xlsx]Bal Sheet - Standardized!R26C23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3"/>
      </tp>
      <tp>
        <v>12144</v>
        <stp/>
        <stp>##V3_BDHV12</stp>
        <stp>XOM US Equity</stp>
        <stp>BS_LT_BORROW</stp>
        <stp>FQ1 2014</stp>
        <stp>FQ1 2014</stp>
        <stp>[FA1_m42y3cpi.xlsx]Bal Sheet - Standardized!R56C25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6" s="3"/>
      </tp>
      <tp>
        <v>256848</v>
        <stp/>
        <stp>##V3_BDHV12</stp>
        <stp>XOM US Equity</stp>
        <stp>BS_TOT_NON_CUR_ASSET</stp>
        <stp>FQ2 2012</stp>
        <stp>FQ2 2012</stp>
        <stp>[FA1_m42y3cpi.xlsx]Bal Sheet - Standardized!R38C18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8" s="3"/>
      </tp>
      <tp t="s">
        <v>—</v>
        <stp/>
        <stp>##V3_BDHV12</stp>
        <stp>XOM US Equity</stp>
        <stp>BS_LT_INVEST</stp>
        <stp>FQ2 2017</stp>
        <stp>FQ2 2017</stp>
        <stp>[FA1_m42y3cpi.xlsx]Bal Sheet - Standardized!R26C38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3"/>
      </tp>
      <tp>
        <v>19494</v>
        <stp/>
        <stp>##V3_BDHV12</stp>
        <stp>XOM US Equity</stp>
        <stp>BS_LT_BORROW</stp>
        <stp>FQ1 2015</stp>
        <stp>FQ1 2015</stp>
        <stp>[FA1_m42y3cpi.xlsx]Bal Sheet - Standardized!R56C29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6" s="3"/>
      </tp>
      <tp t="s">
        <v>—</v>
        <stp/>
        <stp>##V3_BDHV12</stp>
        <stp>XOM US Equity</stp>
        <stp>CF_NET_CASH_PAID_FOR_AQUIS</stp>
        <stp>FQ3 2017</stp>
        <stp>FQ3 2017</stp>
        <stp>[FA1_m42y3cpi.xlsx]Cash Flow - Standardized!R61C39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1" s="4"/>
      </tp>
      <tp>
        <v>292303</v>
        <stp/>
        <stp>##V3_BDHV12</stp>
        <stp>XOM US Equity</stp>
        <stp>BS_TOT_NON_CUR_ASSET</stp>
        <stp>FQ1 2015</stp>
        <stp>FQ1 2015</stp>
        <stp>[FA1_m42y3cpi.xlsx]Bal Sheet - Standardized!R38C29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8" s="3"/>
      </tp>
      <tp t="s">
        <v>—</v>
        <stp/>
        <stp>##V3_BDHV12</stp>
        <stp>XOM US Equity</stp>
        <stp>IS_SALE_OF_BUSINESS</stp>
        <stp>FQ1 2018</stp>
        <stp>FQ1 2018</stp>
        <stp>[FA1_m42y3cpi.xlsx]Income - Adjusted!R29C41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9" s="2"/>
      </tp>
      <tp t="s">
        <v>—</v>
        <stp/>
        <stp>##V3_BDHV12</stp>
        <stp>XOM US Equity</stp>
        <stp>IS_SALE_OF_BUSINESS</stp>
        <stp>FQ4 2008</stp>
        <stp>FQ4 2008</stp>
        <stp>[FA1_m42y3cpi.xlsx]Income - Adjusted!R29C4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2"/>
      </tp>
      <tp>
        <v>8877</v>
        <stp/>
        <stp>##V3_BDHV12</stp>
        <stp>XOM US Equity</stp>
        <stp>BS_LT_BORROW</stp>
        <stp>FQ2 2012</stp>
        <stp>FQ2 2012</stp>
        <stp>[FA1_m42y3cpi.xlsx]Bal Sheet - Standardized!R56C18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6" s="3"/>
      </tp>
      <tp>
        <v>1.33</v>
        <stp/>
        <stp>##V3_BDHV12</stp>
        <stp>XOM US Equity</stp>
        <stp>IS_EARN_BEF_XO_ITEMS_PER_SH</stp>
        <stp>FQ1 2010</stp>
        <stp>FQ1 2010</stp>
        <stp>[FA1_m42y3cpi.xlsx]Per Share!R15C9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5" s="5"/>
      </tp>
      <tp>
        <v>0</v>
        <stp/>
        <stp>##V3_BDHV12</stp>
        <stp>XOM US Equity</stp>
        <stp>CF_CASH_FOR_ACQUIS_SUBSIDIARIES</stp>
        <stp>FQ3 2013</stp>
        <stp>FQ3 2013</stp>
        <stp>[FA1_m42y3cpi.xlsx]Cash Flow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4"/>
      </tp>
      <tp>
        <v>4211</v>
        <stp/>
        <stp>##V3_BDHV12</stp>
        <stp>XOM US Equity</stp>
        <stp>IS_AVG_NUM_SH_FOR_EPS</stp>
        <stp>FQ1 2015</stp>
        <stp>FQ1 2015</stp>
        <stp>[FA1_m42y3cpi.xlsx]Income - Adjusted!R49C29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9" s="2"/>
      </tp>
      <tp>
        <v>4235</v>
        <stp/>
        <stp>##V3_BDHV12</stp>
        <stp>XOM US Equity</stp>
        <stp>IS_AVG_NUM_SH_FOR_EPS</stp>
        <stp>FQ4 2014</stp>
        <stp>FQ4 2014</stp>
        <stp>[FA1_m42y3cpi.xlsx]Income - Adjusted!R49C28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9" s="2"/>
      </tp>
      <tp>
        <v>0</v>
        <stp/>
        <stp>##V3_BDHV12</stp>
        <stp>XOM US Equity</stp>
        <stp>CF_CASH_FOR_ACQUIS_SUBSIDIARIES</stp>
        <stp>FQ2 2016</stp>
        <stp>FQ2 2016</stp>
        <stp>[FA1_m42y3cpi.xlsx]Cash Flow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4"/>
      </tp>
      <tp>
        <v>0</v>
        <stp/>
        <stp>##V3_BDHV12</stp>
        <stp>XOM US Equity</stp>
        <stp>CF_CASH_FOR_ACQUIS_SUBSIDIARIES</stp>
        <stp>FQ3 2014</stp>
        <stp>FQ3 2014</stp>
        <stp>[FA1_m42y3cpi.xlsx]Cash Flow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4"/>
      </tp>
      <tp t="s">
        <v>—</v>
        <stp/>
        <stp>##V3_BDHV12</stp>
        <stp>XOM US Equity</stp>
        <stp>IS_LEGAL_LITIGATION_SETTLEMENT</stp>
        <stp>FQ1 2010</stp>
        <stp>FQ1 2010</stp>
        <stp>[FA1_m42y3cpi.xlsx]Income - Adjusted!R30C9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2"/>
      </tp>
      <tp>
        <v>208</v>
        <stp/>
        <stp>##V3_BDHV12</stp>
        <stp>XOM US Equity</stp>
        <stp>CF_PROC_LT_DEBT_&amp;_CAPITAL_LEASE</stp>
        <stp>FQ3 2012</stp>
        <stp>FQ3 2012</stp>
        <stp>[FA1_m42y3cpi.xlsx]Cash Flow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4"/>
      </tp>
      <tp>
        <v>0</v>
        <stp/>
        <stp>##V3_BDHV12</stp>
        <stp>XOM US Equity</stp>
        <stp>CF_CASH_FOR_ACQUIS_SUBSIDIARIES</stp>
        <stp>FQ2 2015</stp>
        <stp>FQ2 2015</stp>
        <stp>[FA1_m42y3cpi.xlsx]Cash Flow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4"/>
      </tp>
      <tp>
        <v>0.73</v>
        <stp/>
        <stp>##V3_BDHV12</stp>
        <stp>XOM US Equity</stp>
        <stp>EQY_DPS</stp>
        <stp>FQ4 2015</stp>
        <stp>FQ4 2015</stp>
        <stp>[FA1_m42y3cpi.xlsx]Per Share!R20C32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0" s="5"/>
      </tp>
      <tp>
        <v>0.47</v>
        <stp/>
        <stp>##V3_BDHV12</stp>
        <stp>XOM US Equity</stp>
        <stp>EQY_DPS</stp>
        <stp>FQ4 2011</stp>
        <stp>FQ4 2011</stp>
        <stp>[FA1_m42y3cpi.xlsx]Per Share!R20C16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0" s="5"/>
      </tp>
      <tp>
        <v>0.63</v>
        <stp/>
        <stp>##V3_BDHV12</stp>
        <stp>XOM US Equity</stp>
        <stp>EQY_DPS</stp>
        <stp>FQ4 2013</stp>
        <stp>FQ4 2013</stp>
        <stp>[FA1_m42y3cpi.xlsx]Per Share!R20C24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0" s="5"/>
      </tp>
      <tp>
        <v>0.77</v>
        <stp/>
        <stp>##V3_BDHV12</stp>
        <stp>XOM US Equity</stp>
        <stp>EQY_DPS</stp>
        <stp>FQ4 2017</stp>
        <stp>FQ4 2017</stp>
        <stp>[FA1_m42y3cpi.xlsx]Per Share!R20C40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0" s="5"/>
      </tp>
      <tp>
        <v>241</v>
        <stp/>
        <stp>##V3_BDHV12</stp>
        <stp>XOM US Equity</stp>
        <stp>DISP_FXD_&amp;_INTANGIBLES_DETAILED</stp>
        <stp>FQ4 2014</stp>
        <stp>FQ4 2014</stp>
        <stp>[FA1_m42y3cpi.xlsx]Cash Flow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4"/>
      </tp>
      <tp>
        <v>307</v>
        <stp/>
        <stp>##V3_BDHV12</stp>
        <stp>XOM US Equity</stp>
        <stp>DISP_FXD_&amp;_INTANGIBLES_DETAILED</stp>
        <stp>FQ2 2018</stp>
        <stp>FQ2 2018</stp>
        <stp>[FA1_m42y3cpi.xlsx]Cash Flow - Standardized!R21C42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4"/>
      </tp>
      <tp>
        <v>805</v>
        <stp/>
        <stp>##V3_BDHV12</stp>
        <stp>XOM US Equity</stp>
        <stp>DISP_FXD_&amp;_INTANGIBLES_DETAILED</stp>
        <stp>FQ4 2012</stp>
        <stp>FQ4 2012</stp>
        <stp>[FA1_m42y3cpi.xlsx]Cash Flow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4"/>
      </tp>
      <tp>
        <v>341</v>
        <stp/>
        <stp>##V3_BDHV12</stp>
        <stp>XOM US Equity</stp>
        <stp>CF_PROC_LT_DEBT_&amp;_CAPITAL_LEASE</stp>
        <stp>FQ3 2010</stp>
        <stp>FQ3 2010</stp>
        <stp>[FA1_m42y3cpi.xlsx]Cash Flow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4"/>
      </tp>
      <tp>
        <v>60</v>
        <stp/>
        <stp>##V3_BDHV12</stp>
        <stp>XOM US Equity</stp>
        <stp>CF_PROC_LT_DEBT_&amp;_CAPITAL_LEASE</stp>
        <stp>FQ1 2017</stp>
        <stp>FQ1 2017</stp>
        <stp>[FA1_m42y3cpi.xlsx]Cash Flow - Standardized!R42C37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2" s="4"/>
      </tp>
      <tp>
        <v>208</v>
        <stp/>
        <stp>##V3_BDHV12</stp>
        <stp>XOM US Equity</stp>
        <stp>CF_PROC_LT_DEBT_&amp;_CAPITAL_LEASE</stp>
        <stp>FQ3 2011</stp>
        <stp>FQ3 2011</stp>
        <stp>[FA1_m42y3cpi.xlsx]Cash Flow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4"/>
      </tp>
      <tp>
        <v>1836</v>
        <stp/>
        <stp>##V3_BDHV12</stp>
        <stp>XOM US Equity</stp>
        <stp>DISP_FXD_&amp;_INTANGIBLES_DETAILED</stp>
        <stp>FQ4 2013</stp>
        <stp>FQ4 2013</stp>
        <stp>[FA1_m42y3cpi.xlsx]Cash Flow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4"/>
      </tp>
      <tp>
        <v>0</v>
        <stp/>
        <stp>##V3_BDHV12</stp>
        <stp>XOM US Equity</stp>
        <stp>CF_CASH_FOR_ACQUIS_SUBSIDIARIES</stp>
        <stp>FQ2 2017</stp>
        <stp>FQ2 2017</stp>
        <stp>[FA1_m42y3cpi.xlsx]Cash Flow - Standardized!R32C38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4"/>
      </tp>
      <tp>
        <v>11963</v>
        <stp/>
        <stp>##V3_BDHV12</stp>
        <stp>XOM US Equity</stp>
        <stp>CF_PROC_LT_DEBT_&amp;_CAPITAL_LEASE</stp>
        <stp>FQ1 2016</stp>
        <stp>FQ1 2016</stp>
        <stp>[FA1_m42y3cpi.xlsx]Cash Flow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4"/>
      </tp>
      <tp>
        <v>1.17</v>
        <stp/>
        <stp>##V3_BDHV12</stp>
        <stp>XOM US Equity</stp>
        <stp>IS_BASIC_EPS_CONT_OPS</stp>
        <stp>FQ1 2015</stp>
        <stp>FQ1 2015</stp>
        <stp>[FA1_m42y3cpi.xlsx]Per Share!R16C29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6" s="5"/>
      </tp>
      <tp>
        <v>1.4878</v>
        <stp/>
        <stp>##V3_BDHV12</stp>
        <stp>XOM US Equity</stp>
        <stp>IS_BASIC_EPS_CONT_OPS</stp>
        <stp>FQ4 2014</stp>
        <stp>FQ4 2014</stp>
        <stp>[FA1_m42y3cpi.xlsx]Per Share!R16C28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6" s="5"/>
      </tp>
      <tp>
        <v>0</v>
        <stp/>
        <stp>##V3_BDHV12</stp>
        <stp>XOM US Equity</stp>
        <stp>BS_PFD_EQTY_&amp;_HYBRID_CPTL</stp>
        <stp>FQ4 2008</stp>
        <stp>FQ4 2008</stp>
        <stp>[FA1_m42y3cpi.xlsx]Bal Sheet - Standardized!R67C4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7" s="3"/>
      </tp>
      <tp>
        <v>0</v>
        <stp/>
        <stp>##V3_BDHV12</stp>
        <stp>XOM US Equity</stp>
        <stp>BS_PFD_EQTY_&amp;_HYBRID_CPTL</stp>
        <stp>FQ3 2008</stp>
        <stp>FQ3 2008</stp>
        <stp>[FA1_m42y3cpi.xlsx]Bal Sheet - Standardized!R67C3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7" s="3"/>
      </tp>
      <tp>
        <v>0</v>
        <stp/>
        <stp>##V3_BDHV12</stp>
        <stp>XOM US Equity</stp>
        <stp>BS_PFD_EQTY_&amp;_HYBRID_CPTL</stp>
        <stp>FQ1 2009</stp>
        <stp>FQ1 2009</stp>
        <stp>[FA1_m42y3cpi.xlsx]Bal Sheet - Standardized!R67C5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7" s="3"/>
      </tp>
      <tp>
        <v>0</v>
        <stp/>
        <stp>##V3_BDHV12</stp>
        <stp>XOM US Equity</stp>
        <stp>BS_PFD_EQTY_&amp;_HYBRID_CPTL</stp>
        <stp>FQ2 2009</stp>
        <stp>FQ2 2009</stp>
        <stp>[FA1_m42y3cpi.xlsx]Bal Sheet - Standardized!R67C6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7" s="3"/>
      </tp>
      <tp>
        <v>0</v>
        <stp/>
        <stp>##V3_BDHV12</stp>
        <stp>XOM US Equity</stp>
        <stp>BS_PFD_EQTY_&amp;_HYBRID_CPTL</stp>
        <stp>FQ3 2009</stp>
        <stp>FQ3 2009</stp>
        <stp>[FA1_m42y3cpi.xlsx]Bal Sheet - Standardized!R67C7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7" s="3"/>
      </tp>
      <tp>
        <v>-4472</v>
        <stp/>
        <stp>##V3_BDHV12</stp>
        <stp>XOM US Equity</stp>
        <stp>CF_CHNG_NON_CASH_WORK_CAP</stp>
        <stp>FQ4 2014</stp>
        <stp>FQ4 2014</stp>
        <stp>[FA1_m42y3cpi.xlsx]Cash Flow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4"/>
      </tp>
      <tp>
        <v>-1333</v>
        <stp/>
        <stp>##V3_BDHV12</stp>
        <stp>XOM US Equity</stp>
        <stp>CF_CHNG_NON_CASH_WORK_CAP</stp>
        <stp>FQ2 2018</stp>
        <stp>FQ2 2018</stp>
        <stp>[FA1_m42y3cpi.xlsx]Cash Flow - Standardized!R13C42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3" s="4"/>
      </tp>
      <tp>
        <v>-2492</v>
        <stp/>
        <stp>##V3_BDHV12</stp>
        <stp>XOM US Equity</stp>
        <stp>CF_CHNG_NON_CASH_WORK_CAP</stp>
        <stp>FQ4 2012</stp>
        <stp>FQ4 2012</stp>
        <stp>[FA1_m42y3cpi.xlsx]Cash Flow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4"/>
      </tp>
      <tp>
        <v>0</v>
        <stp/>
        <stp>##V3_BDHV12</stp>
        <stp>XOM US Equity</stp>
        <stp>BS_PFD_EQTY_&amp;_HYBRID_CPTL</stp>
        <stp>FQ1 2010</stp>
        <stp>FQ1 2010</stp>
        <stp>[FA1_m42y3cpi.xlsx]Bal Sheet - Standardized!R67C9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7" s="3"/>
      </tp>
      <tp>
        <v>1.1781999999999999</v>
        <stp/>
        <stp>##V3_BDHV12</stp>
        <stp>XOM US Equity</stp>
        <stp>FREE_CASH_FLOW_PER_SH</stp>
        <stp>FQ3 2012</stp>
        <stp>FQ3 2012</stp>
        <stp>[FA1_m42y3cpi.xlsx]Per Share!R23C19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3" s="5"/>
      </tp>
      <tp>
        <v>-2044</v>
        <stp/>
        <stp>##V3_BDHV12</stp>
        <stp>XOM US Equity</stp>
        <stp>CF_CHNG_NON_CASH_WORK_CAP</stp>
        <stp>FQ4 2013</stp>
        <stp>FQ4 2013</stp>
        <stp>[FA1_m42y3cpi.xlsx]Cash Flow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4"/>
      </tp>
      <tp>
        <v>0</v>
        <stp/>
        <stp>##V3_BDHV12</stp>
        <stp>XOM US Equity</stp>
        <stp>IS_EXTRAORD_ITEMS_&amp;_ACCTG_CHNG</stp>
        <stp>FQ1 2009</stp>
        <stp>FQ1 2009</stp>
        <stp>[FA1_m42y3cpi.xlsx]Income - Adjusted!R37C5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7" s="2"/>
      </tp>
      <tp>
        <v>0</v>
        <stp/>
        <stp>##V3_BDHV12</stp>
        <stp>XOM US Equity</stp>
        <stp>BS_PFD_EQTY_&amp;_HYBRID_CPTL</stp>
        <stp>FQ4 2009</stp>
        <stp>FQ4 2009</stp>
        <stp>[FA1_m42y3cpi.xlsx]Bal Sheet - Standardized!R67C8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7" s="3"/>
      </tp>
      <tp>
        <v>0.85850000000000004</v>
        <stp/>
        <stp>##V3_BDHV12</stp>
        <stp>XOM US Equity</stp>
        <stp>CUR_RATIO</stp>
        <stp>FQ3 2016</stp>
        <stp>FQ3 2016</stp>
        <stp>[FA1_m42y3cpi.xlsx]Bal Sheet - Standardized!R89C35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9" s="3"/>
      </tp>
      <tp>
        <v>0.88980000000000004</v>
        <stp/>
        <stp>##V3_BDHV12</stp>
        <stp>XOM US Equity</stp>
        <stp>CUR_RATIO</stp>
        <stp>FQ2 2016</stp>
        <stp>FQ2 2016</stp>
        <stp>[FA1_m42y3cpi.xlsx]Bal Sheet - Standardized!R89C34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9" s="3"/>
      </tp>
      <tp>
        <v>0.88239999999999996</v>
        <stp/>
        <stp>##V3_BDHV12</stp>
        <stp>XOM US Equity</stp>
        <stp>CUR_RATIO</stp>
        <stp>FQ1 2014</stp>
        <stp>FQ1 2014</stp>
        <stp>[FA1_m42y3cpi.xlsx]Bal Sheet - Standardized!R89C25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9" s="3"/>
      </tp>
      <tp>
        <v>0.92069999999999996</v>
        <stp/>
        <stp>##V3_BDHV12</stp>
        <stp>XOM US Equity</stp>
        <stp>CUR_RATIO</stp>
        <stp>FQ2 2014</stp>
        <stp>FQ2 2014</stp>
        <stp>[FA1_m42y3cpi.xlsx]Bal Sheet - Standardized!R89C26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9" s="3"/>
      </tp>
      <tp>
        <v>0.88800000000000001</v>
        <stp/>
        <stp>##V3_BDHV12</stp>
        <stp>XOM US Equity</stp>
        <stp>CUR_RATIO</stp>
        <stp>FQ3 2014</stp>
        <stp>FQ3 2014</stp>
        <stp>[FA1_m42y3cpi.xlsx]Bal Sheet - Standardized!R89C27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9" s="3"/>
      </tp>
      <tp>
        <v>80700</v>
        <stp/>
        <stp>##V3_BDHV12</stp>
        <stp>XOM US Equity</stp>
        <stp>NUM_OF_EMPLOYEES</stp>
        <stp>FQ4 2009</stp>
        <stp>FQ4 2009</stp>
        <stp>[FA1_m42y3cpi.xlsx]Bal Sheet - Standardized!R91C8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91" s="3"/>
      </tp>
      <tp>
        <v>11093</v>
        <stp/>
        <stp>##V3_BDHV12</stp>
        <stp>XOM US Equity</stp>
        <stp>EBITA</stp>
        <stp>FQ1 2013</stp>
        <stp>FQ1 2013</stp>
        <stp>[FA1_m42y3cpi.xlsx]Income - Adjusted!R63C21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3" s="2"/>
      </tp>
      <tp>
        <v>14193</v>
        <stp/>
        <stp>##V3_BDHV12</stp>
        <stp>XOM US Equity</stp>
        <stp>EBITA</stp>
        <stp>FQ1 2011</stp>
        <stp>FQ1 2011</stp>
        <stp>[FA1_m42y3cpi.xlsx]Income - Adjusted!R63C13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3" s="2"/>
      </tp>
      <tp>
        <v>8726</v>
        <stp/>
        <stp>##V3_BDHV12</stp>
        <stp>XOM US Equity</stp>
        <stp>EBITA</stp>
        <stp>FQ2 2014</stp>
        <stp>FQ2 2014</stp>
        <stp>[FA1_m42y3cpi.xlsx]Income - Adjusted!R63C26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3" s="2"/>
      </tp>
      <tp>
        <v>1137</v>
        <stp/>
        <stp>##V3_BDHV12</stp>
        <stp>XOM US Equity</stp>
        <stp>EBITA</stp>
        <stp>FQ2 2016</stp>
        <stp>FQ2 2016</stp>
        <stp>[FA1_m42y3cpi.xlsx]Income - Adjusted!R63C34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3" s="2"/>
      </tp>
      <tp>
        <v>11349.9231</v>
        <stp/>
        <stp>##V3_BDHV12</stp>
        <stp>XOM US Equity</stp>
        <stp>EBITA</stp>
        <stp>FQ4 2012</stp>
        <stp>FQ4 2012</stp>
        <stp>[FA1_m42y3cpi.xlsx]Income - Adjusted!R63C20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3" s="2"/>
      </tp>
      <tp>
        <v>11294</v>
        <stp/>
        <stp>##V3_BDHV12</stp>
        <stp>XOM US Equity</stp>
        <stp>EBITA</stp>
        <stp>FQ4 2010</stp>
        <stp>FQ4 2010</stp>
        <stp>[FA1_m42y3cpi.xlsx]Income - Adjusted!R63C12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0</v>
      </c>
      <c r="B6" s="6" t="s">
        <v>88</v>
      </c>
      <c r="C6" s="16">
        <f>_xll.BDH("XOM US Equity","SALES_REV_TURN","FQ3 2008","FQ3 2008","Currency=USD","Period=FQ","BEST_FPERIOD_OVERRIDE=FQ","FILING_STATUS=OR","SCALING_FORMAT=MLN","FA_ADJUSTED=Adjusted","Sort=A","Dates=H","DateFormat=P","Fill=—","Direction=H","UseDPDF=Y")</f>
        <v>122758</v>
      </c>
      <c r="D6" s="16">
        <f>_xll.BDH("XOM US Equity","SALES_REV_TURN","FQ4 2008","FQ4 2008","Currency=USD","Period=FQ","BEST_FPERIOD_OVERRIDE=FQ","FILING_STATUS=OR","SCALING_FORMAT=MLN","FA_ADJUSTED=Adjusted","Sort=A","Dates=H","DateFormat=P","Fill=—","Direction=H","UseDPDF=Y")</f>
        <v>73284</v>
      </c>
      <c r="E6" s="16">
        <f>_xll.BDH("XOM US Equity","SALES_REV_TURN","FQ1 2009","FQ1 2009","Currency=USD","Period=FQ","BEST_FPERIOD_OVERRIDE=FQ","FILING_STATUS=OR","SCALING_FORMAT=MLN","FA_ADJUSTED=Adjusted","Sort=A","Dates=H","DateFormat=P","Fill=—","Direction=H","UseDPDF=Y")</f>
        <v>56222</v>
      </c>
      <c r="F6" s="16">
        <f>_xll.BDH("XOM US Equity","SALES_REV_TURN","FQ2 2009","FQ2 2009","Currency=USD","Period=FQ","BEST_FPERIOD_OVERRIDE=FQ","FILING_STATUS=OR","SCALING_FORMAT=MLN","FA_ADJUSTED=Adjusted","Sort=A","Dates=H","DateFormat=P","Fill=—","Direction=H","UseDPDF=Y")</f>
        <v>65951</v>
      </c>
      <c r="G6" s="16">
        <f>_xll.BDH("XOM US Equity","SALES_REV_TURN","FQ3 2009","FQ3 2009","Currency=USD","Period=FQ","BEST_FPERIOD_OVERRIDE=FQ","FILING_STATUS=OR","SCALING_FORMAT=MLN","FA_ADJUSTED=Adjusted","Sort=A","Dates=H","DateFormat=P","Fill=—","Direction=H","UseDPDF=Y")</f>
        <v>73285</v>
      </c>
      <c r="H6" s="16">
        <f>_xll.BDH("XOM US Equity","SALES_REV_TURN","FQ4 2009","FQ4 2009","Currency=USD","Period=FQ","BEST_FPERIOD_OVERRIDE=FQ","FILING_STATUS=OR","SCALING_FORMAT=MLN","FA_ADJUSTED=Adjusted","Sort=A","Dates=H","DateFormat=P","Fill=—","Direction=H","UseDPDF=Y")</f>
        <v>80106</v>
      </c>
      <c r="I6" s="16">
        <f>_xll.BDH("XOM US Equity","SALES_REV_TURN","FQ1 2010","FQ1 2010","Currency=USD","Period=FQ","BEST_FPERIOD_OVERRIDE=FQ","FILING_STATUS=OR","SCALING_FORMAT=MLN","FA_ADJUSTED=Adjusted","Sort=A","Dates=H","DateFormat=P","Fill=—","Direction=H","UseDPDF=Y")</f>
        <v>80222</v>
      </c>
      <c r="J6" s="16">
        <f>_xll.BDH("XOM US Equity","SALES_REV_TURN","FQ2 2010","FQ2 2010","Currency=USD","Period=FQ","BEST_FPERIOD_OVERRIDE=FQ","FILING_STATUS=OR","SCALING_FORMAT=MLN","FA_ADJUSTED=Adjusted","Sort=A","Dates=H","DateFormat=P","Fill=—","Direction=H","UseDPDF=Y")</f>
        <v>82747</v>
      </c>
      <c r="K6" s="16">
        <f>_xll.BDH("XOM US Equity","SALES_REV_TURN","FQ3 2010","FQ3 2010","Currency=USD","Period=FQ","BEST_FPERIOD_OVERRIDE=FQ","FILING_STATUS=OR","SCALING_FORMAT=MLN","FA_ADJUSTED=Adjusted","Sort=A","Dates=H","DateFormat=P","Fill=—","Direction=H","UseDPDF=Y")</f>
        <v>85181</v>
      </c>
      <c r="L6" s="16">
        <f>_xll.BDH("XOM US Equity","SALES_REV_TURN","FQ4 2010","FQ4 2010","Currency=USD","Period=FQ","BEST_FPERIOD_OVERRIDE=FQ","FILING_STATUS=OR","SCALING_FORMAT=MLN","FA_ADJUSTED=Adjusted","Sort=A","Dates=H","DateFormat=P","Fill=—","Direction=H","UseDPDF=Y")</f>
        <v>93428</v>
      </c>
      <c r="M6" s="16">
        <f>_xll.BDH("XOM US Equity","SALES_REV_TURN","FQ1 2011","FQ1 2011","Currency=USD","Period=FQ","BEST_FPERIOD_OVERRIDE=FQ","FILING_STATUS=OR","SCALING_FORMAT=MLN","FA_ADJUSTED=Adjusted","Sort=A","Dates=H","DateFormat=P","Fill=—","Direction=H","UseDPDF=Y")</f>
        <v>101335</v>
      </c>
      <c r="N6" s="16">
        <f>_xll.BDH("XOM US Equity","SALES_REV_TURN","FQ2 2011","FQ2 2011","Currency=USD","Period=FQ","BEST_FPERIOD_OVERRIDE=FQ","FILING_STATUS=OR","SCALING_FORMAT=MLN","FA_ADJUSTED=Adjusted","Sort=A","Dates=H","DateFormat=P","Fill=—","Direction=H","UseDPDF=Y")</f>
        <v>112781</v>
      </c>
      <c r="O6" s="16">
        <f>_xll.BDH("XOM US Equity","SALES_REV_TURN","FQ3 2011","FQ3 2011","Currency=USD","Period=FQ","BEST_FPERIOD_OVERRIDE=FQ","FILING_STATUS=OR","SCALING_FORMAT=MLN","FA_ADJUSTED=Adjusted","Sort=A","Dates=H","DateFormat=P","Fill=—","Direction=H","UseDPDF=Y")</f>
        <v>111991</v>
      </c>
      <c r="P6" s="16">
        <f>_xll.BDH("XOM US Equity","SALES_REV_TURN","FQ4 2011","FQ4 2011","Currency=USD","Period=FQ","BEST_FPERIOD_OVERRIDE=FQ","FILING_STATUS=OR","SCALING_FORMAT=MLN","FA_ADJUSTED=Adjusted","Sort=A","Dates=H","DateFormat=P","Fill=—","Direction=H","UseDPDF=Y")</f>
        <v>107419</v>
      </c>
      <c r="Q6" s="16">
        <f>_xll.BDH("XOM US Equity","SALES_REV_TURN","FQ1 2012","FQ1 2012","Currency=USD","Period=FQ","BEST_FPERIOD_OVERRIDE=FQ","FILING_STATUS=OR","SCALING_FORMAT=MLN","FA_ADJUSTED=Adjusted","Sort=A","Dates=H","DateFormat=P","Fill=—","Direction=H","UseDPDF=Y")</f>
        <v>110696</v>
      </c>
      <c r="R6" s="16">
        <f>_xll.BDH("XOM US Equity","SALES_REV_TURN","FQ2 2012","FQ2 2012","Currency=USD","Period=FQ","BEST_FPERIOD_OVERRIDE=FQ","FILING_STATUS=OR","SCALING_FORMAT=MLN","FA_ADJUSTED=Adjusted","Sort=A","Dates=H","DateFormat=P","Fill=—","Direction=H","UseDPDF=Y")</f>
        <v>104718</v>
      </c>
      <c r="S6" s="16">
        <f>_xll.BDH("XOM US Equity","SALES_REV_TURN","FQ3 2012","FQ3 2012","Currency=USD","Period=FQ","BEST_FPERIOD_OVERRIDE=FQ","FILING_STATUS=OR","SCALING_FORMAT=MLN","FA_ADJUSTED=Adjusted","Sort=A","Dates=H","DateFormat=P","Fill=—","Direction=H","UseDPDF=Y")</f>
        <v>103417</v>
      </c>
      <c r="T6" s="16">
        <f>_xll.BDH("XOM US Equity","SALES_REV_TURN","FQ4 2012","FQ4 2012","Currency=USD","Period=FQ","BEST_FPERIOD_OVERRIDE=FQ","FILING_STATUS=OR","SCALING_FORMAT=MLN","FA_ADJUSTED=Adjusted","Sort=A","Dates=H","DateFormat=P","Fill=—","Direction=H","UseDPDF=Y")</f>
        <v>101409</v>
      </c>
      <c r="U6" s="16">
        <f>_xll.BDH("XOM US Equity","SALES_REV_TURN","FQ1 2013","FQ1 2013","Currency=USD","Period=FQ","BEST_FPERIOD_OVERRIDE=FQ","FILING_STATUS=OR","SCALING_FORMAT=MLN","FA_ADJUSTED=Adjusted","Sort=A","Dates=H","DateFormat=P","Fill=—","Direction=H","UseDPDF=Y")</f>
        <v>96336</v>
      </c>
      <c r="V6" s="16">
        <f>_xll.BDH("XOM US Equity","SALES_REV_TURN","FQ2 2013","FQ2 2013","Currency=USD","Period=FQ","BEST_FPERIOD_OVERRIDE=FQ","FILING_STATUS=OR","SCALING_FORMAT=MLN","FA_ADJUSTED=Adjusted","Sort=A","Dates=H","DateFormat=P","Fill=—","Direction=H","UseDPDF=Y")</f>
        <v>95301</v>
      </c>
      <c r="W6" s="16">
        <f>_xll.BDH("XOM US Equity","SALES_REV_TURN","FQ3 2013","FQ3 2013","Currency=USD","Period=FQ","BEST_FPERIOD_OVERRIDE=FQ","FILING_STATUS=OR","SCALING_FORMAT=MLN","FA_ADJUSTED=Adjusted","Sort=A","Dates=H","DateFormat=P","Fill=—","Direction=H","UseDPDF=Y")</f>
        <v>100508</v>
      </c>
      <c r="X6" s="16">
        <f>_xll.BDH("XOM US Equity","SALES_REV_TURN","FQ4 2013","FQ4 2013","Currency=USD","Period=FQ","BEST_FPERIOD_OVERRIDE=FQ","FILING_STATUS=OR","SCALING_FORMAT=MLN","FA_ADJUSTED=Adjusted","Sort=A","Dates=H","DateFormat=P","Fill=—","Direction=H","UseDPDF=Y")</f>
        <v>98355</v>
      </c>
      <c r="Y6" s="16">
        <f>_xll.BDH("XOM US Equity","SALES_REV_TURN","FQ1 2014","FQ1 2014","Currency=USD","Period=FQ","BEST_FPERIOD_OVERRIDE=FQ","FILING_STATUS=OR","SCALING_FORMAT=MLN","FA_ADJUSTED=Adjusted","Sort=A","Dates=H","DateFormat=P","Fill=—","Direction=H","UseDPDF=Y")</f>
        <v>94344</v>
      </c>
      <c r="Z6" s="16">
        <f>_xll.BDH("XOM US Equity","SALES_REV_TURN","FQ2 2014","FQ2 2014","Currency=USD","Period=FQ","BEST_FPERIOD_OVERRIDE=FQ","FILING_STATUS=OR","SCALING_FORMAT=MLN","FA_ADJUSTED=Adjusted","Sort=A","Dates=H","DateFormat=P","Fill=—","Direction=H","UseDPDF=Y")</f>
        <v>98287</v>
      </c>
      <c r="AA6" s="16">
        <f>_xll.BDH("XOM US Equity","SALES_REV_TURN","FQ3 2014","FQ3 2014","Currency=USD","Period=FQ","BEST_FPERIOD_OVERRIDE=FQ","FILING_STATUS=OR","SCALING_FORMAT=MLN","FA_ADJUSTED=Adjusted","Sort=A","Dates=H","DateFormat=P","Fill=—","Direction=H","UseDPDF=Y")</f>
        <v>96047</v>
      </c>
      <c r="AB6" s="16">
        <f>_xll.BDH("XOM US Equity","SALES_REV_TURN","FQ4 2014","FQ4 2014","Currency=USD","Period=FQ","BEST_FPERIOD_OVERRIDE=FQ","FILING_STATUS=OR","SCALING_FORMAT=MLN","FA_ADJUSTED=Adjusted","Sort=A","Dates=H","DateFormat=P","Fill=—","Direction=H","UseDPDF=Y")</f>
        <v>76085</v>
      </c>
      <c r="AC6" s="16">
        <f>_xll.BDH("XOM US Equity","SALES_REV_TURN","FQ1 2015","FQ1 2015","Currency=USD","Period=FQ","BEST_FPERIOD_OVERRIDE=FQ","FILING_STATUS=OR","SCALING_FORMAT=MLN","FA_ADJUSTED=Adjusted","Sort=A","Dates=H","DateFormat=P","Fill=—","Direction=H","UseDPDF=Y")</f>
        <v>59228</v>
      </c>
      <c r="AD6" s="16">
        <f>_xll.BDH("XOM US Equity","SALES_REV_TURN","FQ2 2015","FQ2 2015","Currency=USD","Period=FQ","BEST_FPERIOD_OVERRIDE=FQ","FILING_STATUS=OR","SCALING_FORMAT=MLN","FA_ADJUSTED=Adjusted","Sort=A","Dates=H","DateFormat=P","Fill=—","Direction=H","UseDPDF=Y")</f>
        <v>65395</v>
      </c>
      <c r="AE6" s="16">
        <f>_xll.BDH("XOM US Equity","SALES_REV_TURN","FQ3 2015","FQ3 2015","Currency=USD","Period=FQ","BEST_FPERIOD_OVERRIDE=FQ","FILING_STATUS=OR","SCALING_FORMAT=MLN","FA_ADJUSTED=Adjusted","Sort=A","Dates=H","DateFormat=P","Fill=—","Direction=H","UseDPDF=Y")</f>
        <v>59866</v>
      </c>
      <c r="AF6" s="16">
        <f>_xll.BDH("XOM US Equity","SALES_REV_TURN","FQ4 2015","FQ4 2015","Currency=USD","Period=FQ","BEST_FPERIOD_OVERRIDE=FQ","FILING_STATUS=OR","SCALING_FORMAT=MLN","FA_ADJUSTED=Adjusted","Sort=A","Dates=H","DateFormat=P","Fill=—","Direction=H","UseDPDF=Y")</f>
        <v>52321</v>
      </c>
      <c r="AG6" s="16">
        <f>_xll.BDH("XOM US Equity","SALES_REV_TURN","FQ1 2016","FQ1 2016","Currency=USD","Period=FQ","BEST_FPERIOD_OVERRIDE=FQ","FILING_STATUS=OR","SCALING_FORMAT=MLN","FA_ADJUSTED=Adjusted","Sort=A","Dates=H","DateFormat=P","Fill=—","Direction=H","UseDPDF=Y")</f>
        <v>42290</v>
      </c>
      <c r="AH6" s="16">
        <f>_xll.BDH("XOM US Equity","SALES_REV_TURN","FQ2 2016","FQ2 2016","Currency=USD","Period=FQ","BEST_FPERIOD_OVERRIDE=FQ","FILING_STATUS=OR","SCALING_FORMAT=MLN","FA_ADJUSTED=Adjusted","Sort=A","Dates=H","DateFormat=P","Fill=—","Direction=H","UseDPDF=Y")</f>
        <v>50925</v>
      </c>
      <c r="AI6" s="16">
        <f>_xll.BDH("XOM US Equity","SALES_REV_TURN","FQ3 2016","FQ3 2016","Currency=USD","Period=FQ","BEST_FPERIOD_OVERRIDE=FQ","FILING_STATUS=OR","SCALING_FORMAT=MLN","FA_ADJUSTED=Adjusted","Sort=A","Dates=H","DateFormat=P","Fill=—","Direction=H","UseDPDF=Y")</f>
        <v>51330</v>
      </c>
      <c r="AJ6" s="16">
        <f>_xll.BDH("XOM US Equity","SALES_REV_TURN","FQ4 2016","FQ4 2016","Currency=USD","Period=FQ","BEST_FPERIOD_OVERRIDE=FQ","FILING_STATUS=OR","SCALING_FORMAT=MLN","FA_ADJUSTED=Adjusted","Sort=A","Dates=H","DateFormat=P","Fill=—","Direction=H","UseDPDF=Y")</f>
        <v>52973</v>
      </c>
      <c r="AK6" s="16">
        <f>_xll.BDH("XOM US Equity","SALES_REV_TURN","FQ1 2017","FQ1 2017","Currency=USD","Period=FQ","BEST_FPERIOD_OVERRIDE=FQ","FILING_STATUS=OR","SCALING_FORMAT=MLN","FA_ADJUSTED=Adjusted","Sort=A","Dates=H","DateFormat=P","Fill=—","Direction=H","UseDPDF=Y")</f>
        <v>55748</v>
      </c>
      <c r="AL6" s="16">
        <f>_xll.BDH("XOM US Equity","SALES_REV_TURN","FQ2 2017","FQ2 2017","Currency=USD","Period=FQ","BEST_FPERIOD_OVERRIDE=FQ","FILING_STATUS=OR","SCALING_FORMAT=MLN","FA_ADJUSTED=Adjusted","Sort=A","Dates=H","DateFormat=P","Fill=—","Direction=H","UseDPDF=Y")</f>
        <v>55236</v>
      </c>
      <c r="AM6" s="16">
        <f>_xll.BDH("XOM US Equity","SALES_REV_TURN","FQ3 2017","FQ3 2017","Currency=USD","Period=FQ","BEST_FPERIOD_OVERRIDE=FQ","FILING_STATUS=OR","SCALING_FORMAT=MLN","FA_ADJUSTED=Adjusted","Sort=A","Dates=H","DateFormat=P","Fill=—","Direction=H","UseDPDF=Y")</f>
        <v>58551</v>
      </c>
      <c r="AN6" s="16">
        <f>_xll.BDH("XOM US Equity","SALES_REV_TURN","FQ4 2017","FQ4 2017","Currency=USD","Period=FQ","BEST_FPERIOD_OVERRIDE=FQ","FILING_STATUS=OR","SCALING_FORMAT=MLN","FA_ADJUSTED=Adjusted","Sort=A","Dates=H","DateFormat=P","Fill=—","Direction=H","UseDPDF=Y")</f>
        <v>66515</v>
      </c>
      <c r="AO6" s="16">
        <f>_xll.BDH("XOM US Equity","SALES_REV_TURN","FQ1 2018","FQ1 2018","Currency=USD","Period=FQ","BEST_FPERIOD_OVERRIDE=FQ","FILING_STATUS=OR","SCALING_FORMAT=MLN","FA_ADJUSTED=Adjusted","Sort=A","Dates=H","DateFormat=P","Fill=—","Direction=H","UseDPDF=Y")</f>
        <v>65436</v>
      </c>
      <c r="AP6" s="16">
        <f>_xll.BDH("XOM US Equity","SALES_REV_TURN","FQ2 2018","FQ2 2018","Currency=USD","Period=FQ","BEST_FPERIOD_OVERRIDE=FQ","FILING_STATUS=OR","SCALING_FORMAT=MLN","FA_ADJUSTED=Adjusted","Sort=A","Dates=H","DateFormat=P","Fill=—","Direction=H","UseDPDF=Y")</f>
        <v>71456</v>
      </c>
    </row>
    <row r="7" spans="1:42" x14ac:dyDescent="0.25">
      <c r="A7" s="10" t="s">
        <v>89</v>
      </c>
      <c r="B7" s="10" t="s">
        <v>90</v>
      </c>
      <c r="C7" s="13" t="str">
        <f>_xll.BDH("XOM US Equity","IS_SALES_AND_SERVICES_REVENUES","FQ3 2008","FQ3 2008","Currency=USD","Period=FQ","BEST_FPERIOD_OVERRIDE=FQ","FILING_STATUS=OR","SCALING_FORMAT=MLN","FA_ADJUSTED=Adjusted","Sort=A","Dates=H","DateFormat=P","Fill=—","Direction=H","UseDPDF=Y")</f>
        <v>—</v>
      </c>
      <c r="D7" s="13" t="str">
        <f>_xll.BDH("XOM US Equity","IS_SALES_AND_SERVICES_REVENUES","FQ4 2008","FQ4 2008","Currency=USD","Period=FQ","BEST_FPERIOD_OVERRIDE=FQ","FILING_STATUS=OR","SCALING_FORMAT=MLN","FA_ADJUSTED=Adjusted","Sort=A","Dates=H","DateFormat=P","Fill=—","Direction=H","UseDPDF=Y")</f>
        <v>—</v>
      </c>
      <c r="E7" s="13">
        <f>_xll.BDH("XOM US Equity","IS_SALES_AND_SERVICES_REVENUES","FQ1 2009","FQ1 2009","Currency=USD","Period=FQ","BEST_FPERIOD_OVERRIDE=FQ","FILING_STATUS=OR","SCALING_FORMAT=MLN","FA_ADJUSTED=Adjusted","Sort=A","Dates=H","DateFormat=P","Fill=—","Direction=H","UseDPDF=Y")</f>
        <v>56222</v>
      </c>
      <c r="F7" s="13">
        <f>_xll.BDH("XOM US Equity","IS_SALES_AND_SERVICES_REVENUES","FQ2 2009","FQ2 2009","Currency=USD","Period=FQ","BEST_FPERIOD_OVERRIDE=FQ","FILING_STATUS=OR","SCALING_FORMAT=MLN","FA_ADJUSTED=Adjusted","Sort=A","Dates=H","DateFormat=P","Fill=—","Direction=H","UseDPDF=Y")</f>
        <v>65951</v>
      </c>
      <c r="G7" s="13">
        <f>_xll.BDH("XOM US Equity","IS_SALES_AND_SERVICES_REVENUES","FQ3 2009","FQ3 2009","Currency=USD","Period=FQ","BEST_FPERIOD_OVERRIDE=FQ","FILING_STATUS=OR","SCALING_FORMAT=MLN","FA_ADJUSTED=Adjusted","Sort=A","Dates=H","DateFormat=P","Fill=—","Direction=H","UseDPDF=Y")</f>
        <v>73285</v>
      </c>
      <c r="H7" s="13">
        <f>_xll.BDH("XOM US Equity","IS_SALES_AND_SERVICES_REVENUES","FQ4 2009","FQ4 2009","Currency=USD","Period=FQ","BEST_FPERIOD_OVERRIDE=FQ","FILING_STATUS=OR","SCALING_FORMAT=MLN","FA_ADJUSTED=Adjusted","Sort=A","Dates=H","DateFormat=P","Fill=—","Direction=H","UseDPDF=Y")</f>
        <v>80106</v>
      </c>
      <c r="I7" s="13">
        <f>_xll.BDH("XOM US Equity","IS_SALES_AND_SERVICES_REVENUES","FQ1 2010","FQ1 2010","Currency=USD","Period=FQ","BEST_FPERIOD_OVERRIDE=FQ","FILING_STATUS=OR","SCALING_FORMAT=MLN","FA_ADJUSTED=Adjusted","Sort=A","Dates=H","DateFormat=P","Fill=—","Direction=H","UseDPDF=Y")</f>
        <v>80222</v>
      </c>
      <c r="J7" s="13">
        <f>_xll.BDH("XOM US Equity","IS_SALES_AND_SERVICES_REVENUES","FQ2 2010","FQ2 2010","Currency=USD","Period=FQ","BEST_FPERIOD_OVERRIDE=FQ","FILING_STATUS=OR","SCALING_FORMAT=MLN","FA_ADJUSTED=Adjusted","Sort=A","Dates=H","DateFormat=P","Fill=—","Direction=H","UseDPDF=Y")</f>
        <v>82747</v>
      </c>
      <c r="K7" s="13">
        <f>_xll.BDH("XOM US Equity","IS_SALES_AND_SERVICES_REVENUES","FQ3 2010","FQ3 2010","Currency=USD","Period=FQ","BEST_FPERIOD_OVERRIDE=FQ","FILING_STATUS=OR","SCALING_FORMAT=MLN","FA_ADJUSTED=Adjusted","Sort=A","Dates=H","DateFormat=P","Fill=—","Direction=H","UseDPDF=Y")</f>
        <v>85181</v>
      </c>
      <c r="L7" s="13">
        <f>_xll.BDH("XOM US Equity","IS_SALES_AND_SERVICES_REVENUES","FQ4 2010","FQ4 2010","Currency=USD","Period=FQ","BEST_FPERIOD_OVERRIDE=FQ","FILING_STATUS=OR","SCALING_FORMAT=MLN","FA_ADJUSTED=Adjusted","Sort=A","Dates=H","DateFormat=P","Fill=—","Direction=H","UseDPDF=Y")</f>
        <v>93428</v>
      </c>
      <c r="M7" s="13">
        <f>_xll.BDH("XOM US Equity","IS_SALES_AND_SERVICES_REVENUES","FQ1 2011","FQ1 2011","Currency=USD","Period=FQ","BEST_FPERIOD_OVERRIDE=FQ","FILING_STATUS=OR","SCALING_FORMAT=MLN","FA_ADJUSTED=Adjusted","Sort=A","Dates=H","DateFormat=P","Fill=—","Direction=H","UseDPDF=Y")</f>
        <v>101335</v>
      </c>
      <c r="N7" s="13">
        <f>_xll.BDH("XOM US Equity","IS_SALES_AND_SERVICES_REVENUES","FQ2 2011","FQ2 2011","Currency=USD","Period=FQ","BEST_FPERIOD_OVERRIDE=FQ","FILING_STATUS=OR","SCALING_FORMAT=MLN","FA_ADJUSTED=Adjusted","Sort=A","Dates=H","DateFormat=P","Fill=—","Direction=H","UseDPDF=Y")</f>
        <v>112781</v>
      </c>
      <c r="O7" s="13">
        <f>_xll.BDH("XOM US Equity","IS_SALES_AND_SERVICES_REVENUES","FQ3 2011","FQ3 2011","Currency=USD","Period=FQ","BEST_FPERIOD_OVERRIDE=FQ","FILING_STATUS=OR","SCALING_FORMAT=MLN","FA_ADJUSTED=Adjusted","Sort=A","Dates=H","DateFormat=P","Fill=—","Direction=H","UseDPDF=Y")</f>
        <v>111991</v>
      </c>
      <c r="P7" s="13">
        <f>_xll.BDH("XOM US Equity","IS_SALES_AND_SERVICES_REVENUES","FQ4 2011","FQ4 2011","Currency=USD","Period=FQ","BEST_FPERIOD_OVERRIDE=FQ","FILING_STATUS=OR","SCALING_FORMAT=MLN","FA_ADJUSTED=Adjusted","Sort=A","Dates=H","DateFormat=P","Fill=—","Direction=H","UseDPDF=Y")</f>
        <v>107419</v>
      </c>
      <c r="Q7" s="13">
        <f>_xll.BDH("XOM US Equity","IS_SALES_AND_SERVICES_REVENUES","FQ1 2012","FQ1 2012","Currency=USD","Period=FQ","BEST_FPERIOD_OVERRIDE=FQ","FILING_STATUS=OR","SCALING_FORMAT=MLN","FA_ADJUSTED=Adjusted","Sort=A","Dates=H","DateFormat=P","Fill=—","Direction=H","UseDPDF=Y")</f>
        <v>110696</v>
      </c>
      <c r="R7" s="13">
        <f>_xll.BDH("XOM US Equity","IS_SALES_AND_SERVICES_REVENUES","FQ2 2012","FQ2 2012","Currency=USD","Period=FQ","BEST_FPERIOD_OVERRIDE=FQ","FILING_STATUS=OR","SCALING_FORMAT=MLN","FA_ADJUSTED=Adjusted","Sort=A","Dates=H","DateFormat=P","Fill=—","Direction=H","UseDPDF=Y")</f>
        <v>104718</v>
      </c>
      <c r="S7" s="13">
        <f>_xll.BDH("XOM US Equity","IS_SALES_AND_SERVICES_REVENUES","FQ3 2012","FQ3 2012","Currency=USD","Period=FQ","BEST_FPERIOD_OVERRIDE=FQ","FILING_STATUS=OR","SCALING_FORMAT=MLN","FA_ADJUSTED=Adjusted","Sort=A","Dates=H","DateFormat=P","Fill=—","Direction=H","UseDPDF=Y")</f>
        <v>103417</v>
      </c>
      <c r="T7" s="13">
        <f>_xll.BDH("XOM US Equity","IS_SALES_AND_SERVICES_REVENUES","FQ4 2012","FQ4 2012","Currency=USD","Period=FQ","BEST_FPERIOD_OVERRIDE=FQ","FILING_STATUS=OR","SCALING_FORMAT=MLN","FA_ADJUSTED=Adjusted","Sort=A","Dates=H","DateFormat=P","Fill=—","Direction=H","UseDPDF=Y")</f>
        <v>101409</v>
      </c>
      <c r="U7" s="13">
        <f>_xll.BDH("XOM US Equity","IS_SALES_AND_SERVICES_REVENUES","FQ1 2013","FQ1 2013","Currency=USD","Period=FQ","BEST_FPERIOD_OVERRIDE=FQ","FILING_STATUS=OR","SCALING_FORMAT=MLN","FA_ADJUSTED=Adjusted","Sort=A","Dates=H","DateFormat=P","Fill=—","Direction=H","UseDPDF=Y")</f>
        <v>96336</v>
      </c>
      <c r="V7" s="13">
        <f>_xll.BDH("XOM US Equity","IS_SALES_AND_SERVICES_REVENUES","FQ2 2013","FQ2 2013","Currency=USD","Period=FQ","BEST_FPERIOD_OVERRIDE=FQ","FILING_STATUS=OR","SCALING_FORMAT=MLN","FA_ADJUSTED=Adjusted","Sort=A","Dates=H","DateFormat=P","Fill=—","Direction=H","UseDPDF=Y")</f>
        <v>95301</v>
      </c>
      <c r="W7" s="13">
        <f>_xll.BDH("XOM US Equity","IS_SALES_AND_SERVICES_REVENUES","FQ3 2013","FQ3 2013","Currency=USD","Period=FQ","BEST_FPERIOD_OVERRIDE=FQ","FILING_STATUS=OR","SCALING_FORMAT=MLN","FA_ADJUSTED=Adjusted","Sort=A","Dates=H","DateFormat=P","Fill=—","Direction=H","UseDPDF=Y")</f>
        <v>100508</v>
      </c>
      <c r="X7" s="13">
        <f>_xll.BDH("XOM US Equity","IS_SALES_AND_SERVICES_REVENUES","FQ4 2013","FQ4 2013","Currency=USD","Period=FQ","BEST_FPERIOD_OVERRIDE=FQ","FILING_STATUS=OR","SCALING_FORMAT=MLN","FA_ADJUSTED=Adjusted","Sort=A","Dates=H","DateFormat=P","Fill=—","Direction=H","UseDPDF=Y")</f>
        <v>98355</v>
      </c>
      <c r="Y7" s="13">
        <f>_xll.BDH("XOM US Equity","IS_SALES_AND_SERVICES_REVENUES","FQ1 2014","FQ1 2014","Currency=USD","Period=FQ","BEST_FPERIOD_OVERRIDE=FQ","FILING_STATUS=OR","SCALING_FORMAT=MLN","FA_ADJUSTED=Adjusted","Sort=A","Dates=H","DateFormat=P","Fill=—","Direction=H","UseDPDF=Y")</f>
        <v>94344</v>
      </c>
      <c r="Z7" s="13">
        <f>_xll.BDH("XOM US Equity","IS_SALES_AND_SERVICES_REVENUES","FQ2 2014","FQ2 2014","Currency=USD","Period=FQ","BEST_FPERIOD_OVERRIDE=FQ","FILING_STATUS=OR","SCALING_FORMAT=MLN","FA_ADJUSTED=Adjusted","Sort=A","Dates=H","DateFormat=P","Fill=—","Direction=H","UseDPDF=Y")</f>
        <v>98287</v>
      </c>
      <c r="AA7" s="13">
        <f>_xll.BDH("XOM US Equity","IS_SALES_AND_SERVICES_REVENUES","FQ3 2014","FQ3 2014","Currency=USD","Period=FQ","BEST_FPERIOD_OVERRIDE=FQ","FILING_STATUS=OR","SCALING_FORMAT=MLN","FA_ADJUSTED=Adjusted","Sort=A","Dates=H","DateFormat=P","Fill=—","Direction=H","UseDPDF=Y")</f>
        <v>96047</v>
      </c>
      <c r="AB7" s="13">
        <f>_xll.BDH("XOM US Equity","IS_SALES_AND_SERVICES_REVENUES","FQ4 2014","FQ4 2014","Currency=USD","Period=FQ","BEST_FPERIOD_OVERRIDE=FQ","FILING_STATUS=OR","SCALING_FORMAT=MLN","FA_ADJUSTED=Adjusted","Sort=A","Dates=H","DateFormat=P","Fill=—","Direction=H","UseDPDF=Y")</f>
        <v>76085</v>
      </c>
      <c r="AC7" s="13">
        <f>_xll.BDH("XOM US Equity","IS_SALES_AND_SERVICES_REVENUES","FQ1 2015","FQ1 2015","Currency=USD","Period=FQ","BEST_FPERIOD_OVERRIDE=FQ","FILING_STATUS=OR","SCALING_FORMAT=MLN","FA_ADJUSTED=Adjusted","Sort=A","Dates=H","DateFormat=P","Fill=—","Direction=H","UseDPDF=Y")</f>
        <v>59228</v>
      </c>
      <c r="AD7" s="13">
        <f>_xll.BDH("XOM US Equity","IS_SALES_AND_SERVICES_REVENUES","FQ2 2015","FQ2 2015","Currency=USD","Period=FQ","BEST_FPERIOD_OVERRIDE=FQ","FILING_STATUS=OR","SCALING_FORMAT=MLN","FA_ADJUSTED=Adjusted","Sort=A","Dates=H","DateFormat=P","Fill=—","Direction=H","UseDPDF=Y")</f>
        <v>65395</v>
      </c>
      <c r="AE7" s="13">
        <f>_xll.BDH("XOM US Equity","IS_SALES_AND_SERVICES_REVENUES","FQ3 2015","FQ3 2015","Currency=USD","Period=FQ","BEST_FPERIOD_OVERRIDE=FQ","FILING_STATUS=OR","SCALING_FORMAT=MLN","FA_ADJUSTED=Adjusted","Sort=A","Dates=H","DateFormat=P","Fill=—","Direction=H","UseDPDF=Y")</f>
        <v>59866</v>
      </c>
      <c r="AF7" s="13">
        <f>_xll.BDH("XOM US Equity","IS_SALES_AND_SERVICES_REVENUES","FQ4 2015","FQ4 2015","Currency=USD","Period=FQ","BEST_FPERIOD_OVERRIDE=FQ","FILING_STATUS=OR","SCALING_FORMAT=MLN","FA_ADJUSTED=Adjusted","Sort=A","Dates=H","DateFormat=P","Fill=—","Direction=H","UseDPDF=Y")</f>
        <v>52321</v>
      </c>
      <c r="AG7" s="13">
        <f>_xll.BDH("XOM US Equity","IS_SALES_AND_SERVICES_REVENUES","FQ1 2016","FQ1 2016","Currency=USD","Period=FQ","BEST_FPERIOD_OVERRIDE=FQ","FILING_STATUS=OR","SCALING_FORMAT=MLN","FA_ADJUSTED=Adjusted","Sort=A","Dates=H","DateFormat=P","Fill=—","Direction=H","UseDPDF=Y")</f>
        <v>42290</v>
      </c>
      <c r="AH7" s="13">
        <f>_xll.BDH("XOM US Equity","IS_SALES_AND_SERVICES_REVENUES","FQ2 2016","FQ2 2016","Currency=USD","Period=FQ","BEST_FPERIOD_OVERRIDE=FQ","FILING_STATUS=OR","SCALING_FORMAT=MLN","FA_ADJUSTED=Adjusted","Sort=A","Dates=H","DateFormat=P","Fill=—","Direction=H","UseDPDF=Y")</f>
        <v>50925</v>
      </c>
      <c r="AI7" s="13">
        <f>_xll.BDH("XOM US Equity","IS_SALES_AND_SERVICES_REVENUES","FQ3 2016","FQ3 2016","Currency=USD","Period=FQ","BEST_FPERIOD_OVERRIDE=FQ","FILING_STATUS=OR","SCALING_FORMAT=MLN","FA_ADJUSTED=Adjusted","Sort=A","Dates=H","DateFormat=P","Fill=—","Direction=H","UseDPDF=Y")</f>
        <v>51330</v>
      </c>
      <c r="AJ7" s="13">
        <f>_xll.BDH("XOM US Equity","IS_SALES_AND_SERVICES_REVENUES","FQ4 2016","FQ4 2016","Currency=USD","Period=FQ","BEST_FPERIOD_OVERRIDE=FQ","FILING_STATUS=OR","SCALING_FORMAT=MLN","FA_ADJUSTED=Adjusted","Sort=A","Dates=H","DateFormat=P","Fill=—","Direction=H","UseDPDF=Y")</f>
        <v>52973</v>
      </c>
      <c r="AK7" s="13">
        <f>_xll.BDH("XOM US Equity","IS_SALES_AND_SERVICES_REVENUES","FQ1 2017","FQ1 2017","Currency=USD","Period=FQ","BEST_FPERIOD_OVERRIDE=FQ","FILING_STATUS=OR","SCALING_FORMAT=MLN","FA_ADJUSTED=Adjusted","Sort=A","Dates=H","DateFormat=P","Fill=—","Direction=H","UseDPDF=Y")</f>
        <v>55748</v>
      </c>
      <c r="AL7" s="13">
        <f>_xll.BDH("XOM US Equity","IS_SALES_AND_SERVICES_REVENUES","FQ2 2017","FQ2 2017","Currency=USD","Period=FQ","BEST_FPERIOD_OVERRIDE=FQ","FILING_STATUS=OR","SCALING_FORMAT=MLN","FA_ADJUSTED=Adjusted","Sort=A","Dates=H","DateFormat=P","Fill=—","Direction=H","UseDPDF=Y")</f>
        <v>55236</v>
      </c>
      <c r="AM7" s="13">
        <f>_xll.BDH("XOM US Equity","IS_SALES_AND_SERVICES_REVENUES","FQ3 2017","FQ3 2017","Currency=USD","Period=FQ","BEST_FPERIOD_OVERRIDE=FQ","FILING_STATUS=OR","SCALING_FORMAT=MLN","FA_ADJUSTED=Adjusted","Sort=A","Dates=H","DateFormat=P","Fill=—","Direction=H","UseDPDF=Y")</f>
        <v>58551</v>
      </c>
      <c r="AN7" s="13">
        <f>_xll.BDH("XOM US Equity","IS_SALES_AND_SERVICES_REVENUES","FQ4 2017","FQ4 2017","Currency=USD","Period=FQ","BEST_FPERIOD_OVERRIDE=FQ","FILING_STATUS=OR","SCALING_FORMAT=MLN","FA_ADJUSTED=Adjusted","Sort=A","Dates=H","DateFormat=P","Fill=—","Direction=H","UseDPDF=Y")</f>
        <v>66515</v>
      </c>
      <c r="AO7" s="13">
        <f>_xll.BDH("XOM US Equity","IS_SALES_AND_SERVICES_REVENUES","FQ1 2018","FQ1 2018","Currency=USD","Period=FQ","BEST_FPERIOD_OVERRIDE=FQ","FILING_STATUS=OR","SCALING_FORMAT=MLN","FA_ADJUSTED=Adjusted","Sort=A","Dates=H","DateFormat=P","Fill=—","Direction=H","UseDPDF=Y")</f>
        <v>65436</v>
      </c>
      <c r="AP7" s="13">
        <f>_xll.BDH("XOM US Equity","IS_SALES_AND_SERVICES_REVENUES","FQ2 2018","FQ2 2018","Currency=USD","Period=FQ","BEST_FPERIOD_OVERRIDE=FQ","FILING_STATUS=OR","SCALING_FORMAT=MLN","FA_ADJUSTED=Adjusted","Sort=A","Dates=H","DateFormat=P","Fill=—","Direction=H","UseDPDF=Y")</f>
        <v>71456</v>
      </c>
    </row>
    <row r="8" spans="1:42" x14ac:dyDescent="0.25">
      <c r="A8" s="10" t="s">
        <v>91</v>
      </c>
      <c r="B8" s="10" t="s">
        <v>92</v>
      </c>
      <c r="C8" s="13">
        <f>_xll.BDH("XOM US Equity","IS_COGS_TO_FE_AND_PP_AND_G","FQ3 2008","FQ3 2008","Currency=USD","Period=FQ","BEST_FPERIOD_OVERRIDE=FQ","FILING_STATUS=OR","SCALING_FORMAT=MLN","FA_ADJUSTED=Adjusted","Sort=A","Dates=H","DateFormat=P","Fill=—","Direction=H","UseDPDF=Y")</f>
        <v>97173</v>
      </c>
      <c r="D8" s="13">
        <f>_xll.BDH("XOM US Equity","IS_COGS_TO_FE_AND_PP_AND_G","FQ4 2008","FQ4 2008","Currency=USD","Period=FQ","BEST_FPERIOD_OVERRIDE=FQ","FILING_STATUS=OR","SCALING_FORMAT=MLN","FA_ADJUSTED=Adjusted","Sort=A","Dates=H","DateFormat=P","Fill=—","Direction=H","UseDPDF=Y")</f>
        <v>59341</v>
      </c>
      <c r="E8" s="13">
        <f>_xll.BDH("XOM US Equity","IS_COGS_TO_FE_AND_PP_AND_G","FQ1 2009","FQ1 2009","Currency=USD","Period=FQ","BEST_FPERIOD_OVERRIDE=FQ","FILING_STATUS=OR","SCALING_FORMAT=MLN","FA_ADJUSTED=Adjusted","Sort=A","Dates=H","DateFormat=P","Fill=—","Direction=H","UseDPDF=Y")</f>
        <v>46366</v>
      </c>
      <c r="F8" s="13">
        <f>_xll.BDH("XOM US Equity","IS_COGS_TO_FE_AND_PP_AND_G","FQ2 2009","FQ2 2009","Currency=USD","Period=FQ","BEST_FPERIOD_OVERRIDE=FQ","FILING_STATUS=OR","SCALING_FORMAT=MLN","FA_ADJUSTED=Adjusted","Sort=A","Dates=H","DateFormat=P","Fill=—","Direction=H","UseDPDF=Y")</f>
        <v>56372</v>
      </c>
      <c r="G8" s="13">
        <f>_xll.BDH("XOM US Equity","IS_COGS_TO_FE_AND_PP_AND_G","FQ3 2009","FQ3 2009","Currency=USD","Period=FQ","BEST_FPERIOD_OVERRIDE=FQ","FILING_STATUS=OR","SCALING_FORMAT=MLN","FA_ADJUSTED=Adjusted","Sort=A","Dates=H","DateFormat=P","Fill=—","Direction=H","UseDPDF=Y")</f>
        <v>61807</v>
      </c>
      <c r="H8" s="13">
        <f>_xll.BDH("XOM US Equity","IS_COGS_TO_FE_AND_PP_AND_G","FQ4 2009","FQ4 2009","Currency=USD","Period=FQ","BEST_FPERIOD_OVERRIDE=FQ","FILING_STATUS=OR","SCALING_FORMAT=MLN","FA_ADJUSTED=Adjusted","Sort=A","Dates=H","DateFormat=P","Fill=—","Direction=H","UseDPDF=Y")</f>
        <v>68024</v>
      </c>
      <c r="I8" s="13">
        <f>_xll.BDH("XOM US Equity","IS_COGS_TO_FE_AND_PP_AND_G","FQ1 2010","FQ1 2010","Currency=USD","Period=FQ","BEST_FPERIOD_OVERRIDE=FQ","FILING_STATUS=OR","SCALING_FORMAT=MLN","FA_ADJUSTED=Adjusted","Sort=A","Dates=H","DateFormat=P","Fill=—","Direction=H","UseDPDF=Y")</f>
        <v>67113</v>
      </c>
      <c r="J8" s="13">
        <f>_xll.BDH("XOM US Equity","IS_COGS_TO_FE_AND_PP_AND_G","FQ2 2010","FQ2 2010","Currency=USD","Period=FQ","BEST_FPERIOD_OVERRIDE=FQ","FILING_STATUS=OR","SCALING_FORMAT=MLN","FA_ADJUSTED=Adjusted","Sort=A","Dates=H","DateFormat=P","Fill=—","Direction=H","UseDPDF=Y")</f>
        <v>68780</v>
      </c>
      <c r="K8" s="13">
        <f>_xll.BDH("XOM US Equity","IS_COGS_TO_FE_AND_PP_AND_G","FQ3 2010","FQ3 2010","Currency=USD","Period=FQ","BEST_FPERIOD_OVERRIDE=FQ","FILING_STATUS=OR","SCALING_FORMAT=MLN","FA_ADJUSTED=Adjusted","Sort=A","Dates=H","DateFormat=P","Fill=—","Direction=H","UseDPDF=Y")</f>
        <v>71007</v>
      </c>
      <c r="L8" s="13">
        <f>_xll.BDH("XOM US Equity","IS_COGS_TO_FE_AND_PP_AND_G","FQ4 2010","FQ4 2010","Currency=USD","Period=FQ","BEST_FPERIOD_OVERRIDE=FQ","FILING_STATUS=OR","SCALING_FORMAT=MLN","FA_ADJUSTED=Adjusted","Sort=A","Dates=H","DateFormat=P","Fill=—","Direction=H","UseDPDF=Y")</f>
        <v>77729</v>
      </c>
      <c r="M8" s="13">
        <f>_xll.BDH("XOM US Equity","IS_COGS_TO_FE_AND_PP_AND_G","FQ1 2011","FQ1 2011","Currency=USD","Period=FQ","BEST_FPERIOD_OVERRIDE=FQ","FILING_STATUS=OR","SCALING_FORMAT=MLN","FA_ADJUSTED=Adjusted","Sort=A","Dates=H","DateFormat=P","Fill=—","Direction=H","UseDPDF=Y")</f>
        <v>83181</v>
      </c>
      <c r="N8" s="13">
        <f>_xll.BDH("XOM US Equity","IS_COGS_TO_FE_AND_PP_AND_G","FQ2 2011","FQ2 2011","Currency=USD","Period=FQ","BEST_FPERIOD_OVERRIDE=FQ","FILING_STATUS=OR","SCALING_FORMAT=MLN","FA_ADJUSTED=Adjusted","Sort=A","Dates=H","DateFormat=P","Fill=—","Direction=H","UseDPDF=Y")</f>
        <v>93936</v>
      </c>
      <c r="O8" s="13">
        <f>_xll.BDH("XOM US Equity","IS_COGS_TO_FE_AND_PP_AND_G","FQ3 2011","FQ3 2011","Currency=USD","Period=FQ","BEST_FPERIOD_OVERRIDE=FQ","FILING_STATUS=OR","SCALING_FORMAT=MLN","FA_ADJUSTED=Adjusted","Sort=A","Dates=H","DateFormat=P","Fill=—","Direction=H","UseDPDF=Y")</f>
        <v>93576</v>
      </c>
      <c r="P8" s="13">
        <f>_xll.BDH("XOM US Equity","IS_COGS_TO_FE_AND_PP_AND_G","FQ4 2011","FQ4 2011","Currency=USD","Period=FQ","BEST_FPERIOD_OVERRIDE=FQ","FILING_STATUS=OR","SCALING_FORMAT=MLN","FA_ADJUSTED=Adjusted","Sort=A","Dates=H","DateFormat=P","Fill=—","Direction=H","UseDPDF=Y")</f>
        <v>91665</v>
      </c>
      <c r="Q8" s="13">
        <f>_xll.BDH("XOM US Equity","IS_COGS_TO_FE_AND_PP_AND_G","FQ1 2012","FQ1 2012","Currency=USD","Period=FQ","BEST_FPERIOD_OVERRIDE=FQ","FILING_STATUS=OR","SCALING_FORMAT=MLN","FA_ADJUSTED=Adjusted","Sort=A","Dates=H","DateFormat=P","Fill=—","Direction=H","UseDPDF=Y")</f>
        <v>93815</v>
      </c>
      <c r="R8" s="13">
        <f>_xll.BDH("XOM US Equity","IS_COGS_TO_FE_AND_PP_AND_G","FQ2 2012","FQ2 2012","Currency=USD","Period=FQ","BEST_FPERIOD_OVERRIDE=FQ","FILING_STATUS=OR","SCALING_FORMAT=MLN","FA_ADJUSTED=Adjusted","Sort=A","Dates=H","DateFormat=P","Fill=—","Direction=H","UseDPDF=Y")</f>
        <v>89237</v>
      </c>
      <c r="S8" s="13">
        <f>_xll.BDH("XOM US Equity","IS_COGS_TO_FE_AND_PP_AND_G","FQ3 2012","FQ3 2012","Currency=USD","Period=FQ","BEST_FPERIOD_OVERRIDE=FQ","FILING_STATUS=OR","SCALING_FORMAT=MLN","FA_ADJUSTED=Adjusted","Sort=A","Dates=H","DateFormat=P","Fill=—","Direction=H","UseDPDF=Y")</f>
        <v>86228</v>
      </c>
      <c r="T8" s="13">
        <f>_xll.BDH("XOM US Equity","IS_COGS_TO_FE_AND_PP_AND_G","FQ4 2012","FQ4 2012","Currency=USD","Period=FQ","BEST_FPERIOD_OVERRIDE=FQ","FILING_STATUS=OR","SCALING_FORMAT=MLN","FA_ADJUSTED=Adjusted","Sort=A","Dates=H","DateFormat=P","Fill=—","Direction=H","UseDPDF=Y")</f>
        <v>85362</v>
      </c>
      <c r="U8" s="13">
        <f>_xll.BDH("XOM US Equity","IS_COGS_TO_FE_AND_PP_AND_G","FQ1 2013","FQ1 2013","Currency=USD","Period=FQ","BEST_FPERIOD_OVERRIDE=FQ","FILING_STATUS=OR","SCALING_FORMAT=MLN","FA_ADJUSTED=Adjusted","Sort=A","Dates=H","DateFormat=P","Fill=—","Direction=H","UseDPDF=Y")</f>
        <v>81690</v>
      </c>
      <c r="V8" s="13">
        <f>_xll.BDH("XOM US Equity","IS_COGS_TO_FE_AND_PP_AND_G","FQ2 2013","FQ2 2013","Currency=USD","Period=FQ","BEST_FPERIOD_OVERRIDE=FQ","FILING_STATUS=OR","SCALING_FORMAT=MLN","FA_ADJUSTED=Adjusted","Sort=A","Dates=H","DateFormat=P","Fill=—","Direction=H","UseDPDF=Y")</f>
        <v>82342</v>
      </c>
      <c r="W8" s="13">
        <f>_xll.BDH("XOM US Equity","IS_COGS_TO_FE_AND_PP_AND_G","FQ3 2013","FQ3 2013","Currency=USD","Period=FQ","BEST_FPERIOD_OVERRIDE=FQ","FILING_STATUS=OR","SCALING_FORMAT=MLN","FA_ADJUSTED=Adjusted","Sort=A","Dates=H","DateFormat=P","Fill=—","Direction=H","UseDPDF=Y")</f>
        <v>86613</v>
      </c>
      <c r="X8" s="13">
        <f>_xll.BDH("XOM US Equity","IS_COGS_TO_FE_AND_PP_AND_G","FQ4 2013","FQ4 2013","Currency=USD","Period=FQ","BEST_FPERIOD_OVERRIDE=FQ","FILING_STATUS=OR","SCALING_FORMAT=MLN","FA_ADJUSTED=Adjusted","Sort=A","Dates=H","DateFormat=P","Fill=—","Direction=H","UseDPDF=Y")</f>
        <v>84701</v>
      </c>
      <c r="Y8" s="13">
        <f>_xll.BDH("XOM US Equity","IS_COGS_TO_FE_AND_PP_AND_G","FQ1 2014","FQ1 2014","Currency=USD","Period=FQ","BEST_FPERIOD_OVERRIDE=FQ","FILING_STATUS=OR","SCALING_FORMAT=MLN","FA_ADJUSTED=Adjusted","Sort=A","Dates=H","DateFormat=P","Fill=—","Direction=H","UseDPDF=Y")</f>
        <v>80615</v>
      </c>
      <c r="Z8" s="13">
        <f>_xll.BDH("XOM US Equity","IS_COGS_TO_FE_AND_PP_AND_G","FQ2 2014","FQ2 2014","Currency=USD","Period=FQ","BEST_FPERIOD_OVERRIDE=FQ","FILING_STATUS=OR","SCALING_FORMAT=MLN","FA_ADJUSTED=Adjusted","Sort=A","Dates=H","DateFormat=P","Fill=—","Direction=H","UseDPDF=Y")</f>
        <v>85896</v>
      </c>
      <c r="AA8" s="13">
        <f>_xll.BDH("XOM US Equity","IS_COGS_TO_FE_AND_PP_AND_G","FQ3 2014","FQ3 2014","Currency=USD","Period=FQ","BEST_FPERIOD_OVERRIDE=FQ","FILING_STATUS=OR","SCALING_FORMAT=MLN","FA_ADJUSTED=Adjusted","Sort=A","Dates=H","DateFormat=P","Fill=—","Direction=H","UseDPDF=Y")</f>
        <v>82985</v>
      </c>
      <c r="AB8" s="13">
        <f>_xll.BDH("XOM US Equity","IS_COGS_TO_FE_AND_PP_AND_G","FQ4 2014","FQ4 2014","Currency=USD","Period=FQ","BEST_FPERIOD_OVERRIDE=FQ","FILING_STATUS=OR","SCALING_FORMAT=MLN","FA_ADJUSTED=Adjusted","Sort=A","Dates=H","DateFormat=P","Fill=—","Direction=H","UseDPDF=Y")</f>
        <v>66918</v>
      </c>
      <c r="AC8" s="13">
        <f>_xll.BDH("XOM US Equity","IS_COGS_TO_FE_AND_PP_AND_G","FQ1 2015","FQ1 2015","Currency=USD","Period=FQ","BEST_FPERIOD_OVERRIDE=FQ","FILING_STATUS=OR","SCALING_FORMAT=MLN","FA_ADJUSTED=Adjusted","Sort=A","Dates=H","DateFormat=P","Fill=—","Direction=H","UseDPDF=Y")</f>
        <v>52341</v>
      </c>
      <c r="AD8" s="13">
        <f>_xll.BDH("XOM US Equity","IS_COGS_TO_FE_AND_PP_AND_G","FQ2 2015","FQ2 2015","Currency=USD","Period=FQ","BEST_FPERIOD_OVERRIDE=FQ","FILING_STATUS=OR","SCALING_FORMAT=MLN","FA_ADJUSTED=Adjusted","Sort=A","Dates=H","DateFormat=P","Fill=—","Direction=H","UseDPDF=Y")</f>
        <v>57908</v>
      </c>
      <c r="AE8" s="13">
        <f>_xll.BDH("XOM US Equity","IS_COGS_TO_FE_AND_PP_AND_G","FQ3 2015","FQ3 2015","Currency=USD","Period=FQ","BEST_FPERIOD_OVERRIDE=FQ","FILING_STATUS=OR","SCALING_FORMAT=MLN","FA_ADJUSTED=Adjusted","Sort=A","Dates=H","DateFormat=P","Fill=—","Direction=H","UseDPDF=Y")</f>
        <v>52413</v>
      </c>
      <c r="AF8" s="13">
        <f>_xll.BDH("XOM US Equity","IS_COGS_TO_FE_AND_PP_AND_G","FQ4 2015","FQ4 2015","Currency=USD","Period=FQ","BEST_FPERIOD_OVERRIDE=FQ","FILING_STATUS=OR","SCALING_FORMAT=MLN","FA_ADJUSTED=Adjusted","Sort=A","Dates=H","DateFormat=P","Fill=—","Direction=H","UseDPDF=Y")</f>
        <v>48241</v>
      </c>
      <c r="AG8" s="13">
        <f>_xll.BDH("XOM US Equity","IS_COGS_TO_FE_AND_PP_AND_G","FQ1 2016","FQ1 2016","Currency=USD","Period=FQ","BEST_FPERIOD_OVERRIDE=FQ","FILING_STATUS=OR","SCALING_FORMAT=MLN","FA_ADJUSTED=Adjusted","Sort=A","Dates=H","DateFormat=P","Fill=—","Direction=H","UseDPDF=Y")</f>
        <v>39137</v>
      </c>
      <c r="AH8" s="13">
        <f>_xll.BDH("XOM US Equity","IS_COGS_TO_FE_AND_PP_AND_G","FQ2 2016","FQ2 2016","Currency=USD","Period=FQ","BEST_FPERIOD_OVERRIDE=FQ","FILING_STATUS=OR","SCALING_FORMAT=MLN","FA_ADJUSTED=Adjusted","Sort=A","Dates=H","DateFormat=P","Fill=—","Direction=H","UseDPDF=Y")</f>
        <v>46697</v>
      </c>
      <c r="AI8" s="13">
        <f>_xll.BDH("XOM US Equity","IS_COGS_TO_FE_AND_PP_AND_G","FQ3 2016","FQ3 2016","Currency=USD","Period=FQ","BEST_FPERIOD_OVERRIDE=FQ","FILING_STATUS=OR","SCALING_FORMAT=MLN","FA_ADJUSTED=Adjusted","Sort=A","Dates=H","DateFormat=P","Fill=—","Direction=H","UseDPDF=Y")</f>
        <v>46845</v>
      </c>
      <c r="AJ8" s="13">
        <f>_xll.BDH("XOM US Equity","IS_COGS_TO_FE_AND_PP_AND_G","FQ4 2016","FQ4 2016","Currency=USD","Period=FQ","BEST_FPERIOD_OVERRIDE=FQ","FILING_STATUS=OR","SCALING_FORMAT=MLN","FA_ADJUSTED=Adjusted","Sort=A","Dates=H","DateFormat=P","Fill=—","Direction=H","UseDPDF=Y")</f>
        <v>51637</v>
      </c>
      <c r="AK8" s="13">
        <f>_xll.BDH("XOM US Equity","IS_COGS_TO_FE_AND_PP_AND_G","FQ1 2017","FQ1 2017","Currency=USD","Period=FQ","BEST_FPERIOD_OVERRIDE=FQ","FILING_STATUS=OR","SCALING_FORMAT=MLN","FA_ADJUSTED=Adjusted","Sort=A","Dates=H","DateFormat=P","Fill=—","Direction=H","UseDPDF=Y")</f>
        <v>48993</v>
      </c>
      <c r="AL8" s="13">
        <f>_xll.BDH("XOM US Equity","IS_COGS_TO_FE_AND_PP_AND_G","FQ2 2017","FQ2 2017","Currency=USD","Period=FQ","BEST_FPERIOD_OVERRIDE=FQ","FILING_STATUS=OR","SCALING_FORMAT=MLN","FA_ADJUSTED=Adjusted","Sort=A","Dates=H","DateFormat=P","Fill=—","Direction=H","UseDPDF=Y")</f>
        <v>49831</v>
      </c>
      <c r="AM8" s="13">
        <f>_xll.BDH("XOM US Equity","IS_COGS_TO_FE_AND_PP_AND_G","FQ3 2017","FQ3 2017","Currency=USD","Period=FQ","BEST_FPERIOD_OVERRIDE=FQ","FILING_STATUS=OR","SCALING_FORMAT=MLN","FA_ADJUSTED=Adjusted","Sort=A","Dates=H","DateFormat=P","Fill=—","Direction=H","UseDPDF=Y")</f>
        <v>51598</v>
      </c>
      <c r="AN8" s="13">
        <f>_xll.BDH("XOM US Equity","IS_COGS_TO_FE_AND_PP_AND_G","FQ4 2017","FQ4 2017","Currency=USD","Period=FQ","BEST_FPERIOD_OVERRIDE=FQ","FILING_STATUS=OR","SCALING_FORMAT=MLN","FA_ADJUSTED=Adjusted","Sort=A","Dates=H","DateFormat=P","Fill=—","Direction=H","UseDPDF=Y")</f>
        <v>61920</v>
      </c>
      <c r="AO8" s="13">
        <f>_xll.BDH("XOM US Equity","IS_COGS_TO_FE_AND_PP_AND_G","FQ1 2018","FQ1 2018","Currency=USD","Period=FQ","BEST_FPERIOD_OVERRIDE=FQ","FILING_STATUS=OR","SCALING_FORMAT=MLN","FA_ADJUSTED=Adjusted","Sort=A","Dates=H","DateFormat=P","Fill=—","Direction=H","UseDPDF=Y")</f>
        <v>57396</v>
      </c>
      <c r="AP8" s="13">
        <f>_xll.BDH("XOM US Equity","IS_COGS_TO_FE_AND_PP_AND_G","FQ2 2018","FQ2 2018","Currency=USD","Period=FQ","BEST_FPERIOD_OVERRIDE=FQ","FILING_STATUS=OR","SCALING_FORMAT=MLN","FA_ADJUSTED=Adjusted","Sort=A","Dates=H","DateFormat=P","Fill=—","Direction=H","UseDPDF=Y")</f>
        <v>63209</v>
      </c>
    </row>
    <row r="9" spans="1:42" x14ac:dyDescent="0.25">
      <c r="A9" s="10" t="s">
        <v>93</v>
      </c>
      <c r="B9" s="10" t="s">
        <v>94</v>
      </c>
      <c r="C9" s="13" t="str">
        <f>_xll.BDH("XOM US Equity","IS_COG_AND_SERVICES_SOLD","FQ3 2008","FQ3 2008","Currency=USD","Period=FQ","BEST_FPERIOD_OVERRIDE=FQ","FILING_STATUS=OR","SCALING_FORMAT=MLN","FA_ADJUSTED=Adjusted","Sort=A","Dates=H","DateFormat=P","Fill=—","Direction=H","UseDPDF=Y")</f>
        <v>—</v>
      </c>
      <c r="D9" s="13" t="str">
        <f>_xll.BDH("XOM US Equity","IS_COG_AND_SERVICES_SOLD","FQ4 2008","FQ4 2008","Currency=USD","Period=FQ","BEST_FPERIOD_OVERRIDE=FQ","FILING_STATUS=OR","SCALING_FORMAT=MLN","FA_ADJUSTED=Adjusted","Sort=A","Dates=H","DateFormat=P","Fill=—","Direction=H","UseDPDF=Y")</f>
        <v>—</v>
      </c>
      <c r="E9" s="13">
        <f>_xll.BDH("XOM US Equity","IS_COG_AND_SERVICES_SOLD","FQ1 2009","FQ1 2009","Currency=USD","Period=FQ","BEST_FPERIOD_OVERRIDE=FQ","FILING_STATUS=OR","SCALING_FORMAT=MLN","FA_ADJUSTED=Adjusted","Sort=A","Dates=H","DateFormat=P","Fill=—","Direction=H","UseDPDF=Y")</f>
        <v>43573</v>
      </c>
      <c r="F9" s="13">
        <f>_xll.BDH("XOM US Equity","IS_COG_AND_SERVICES_SOLD","FQ2 2009","FQ2 2009","Currency=USD","Period=FQ","BEST_FPERIOD_OVERRIDE=FQ","FILING_STATUS=OR","SCALING_FORMAT=MLN","FA_ADJUSTED=Adjusted","Sort=A","Dates=H","DateFormat=P","Fill=—","Direction=H","UseDPDF=Y")</f>
        <v>53368</v>
      </c>
      <c r="G9" s="13">
        <f>_xll.BDH("XOM US Equity","IS_COG_AND_SERVICES_SOLD","FQ3 2009","FQ3 2009","Currency=USD","Period=FQ","BEST_FPERIOD_OVERRIDE=FQ","FILING_STATUS=OR","SCALING_FORMAT=MLN","FA_ADJUSTED=Adjusted","Sort=A","Dates=H","DateFormat=P","Fill=—","Direction=H","UseDPDF=Y")</f>
        <v>58880</v>
      </c>
      <c r="H9" s="13">
        <f>_xll.BDH("XOM US Equity","IS_COG_AND_SERVICES_SOLD","FQ4 2009","FQ4 2009","Currency=USD","Period=FQ","BEST_FPERIOD_OVERRIDE=FQ","FILING_STATUS=OR","SCALING_FORMAT=MLN","FA_ADJUSTED=Adjusted","Sort=A","Dates=H","DateFormat=P","Fill=—","Direction=H","UseDPDF=Y")</f>
        <v>64831</v>
      </c>
      <c r="I9" s="13">
        <f>_xll.BDH("XOM US Equity","IS_COG_AND_SERVICES_SOLD","FQ1 2010","FQ1 2010","Currency=USD","Period=FQ","BEST_FPERIOD_OVERRIDE=FQ","FILING_STATUS=OR","SCALING_FORMAT=MLN","FA_ADJUSTED=Adjusted","Sort=A","Dates=H","DateFormat=P","Fill=—","Direction=H","UseDPDF=Y")</f>
        <v>63833</v>
      </c>
      <c r="J9" s="13">
        <f>_xll.BDH("XOM US Equity","IS_COG_AND_SERVICES_SOLD","FQ2 2010","FQ2 2010","Currency=USD","Period=FQ","BEST_FPERIOD_OVERRIDE=FQ","FILING_STATUS=OR","SCALING_FORMAT=MLN","FA_ADJUSTED=Adjusted","Sort=A","Dates=H","DateFormat=P","Fill=—","Direction=H","UseDPDF=Y")</f>
        <v>65414</v>
      </c>
      <c r="K9" s="13">
        <f>_xll.BDH("XOM US Equity","IS_COG_AND_SERVICES_SOLD","FQ3 2010","FQ3 2010","Currency=USD","Period=FQ","BEST_FPERIOD_OVERRIDE=FQ","FILING_STATUS=OR","SCALING_FORMAT=MLN","FA_ADJUSTED=Adjusted","Sort=A","Dates=H","DateFormat=P","Fill=—","Direction=H","UseDPDF=Y")</f>
        <v>67163</v>
      </c>
      <c r="L9" s="13">
        <f>_xll.BDH("XOM US Equity","IS_COG_AND_SERVICES_SOLD","FQ4 2010","FQ4 2010","Currency=USD","Period=FQ","BEST_FPERIOD_OVERRIDE=FQ","FILING_STATUS=OR","SCALING_FORMAT=MLN","FA_ADJUSTED=Adjusted","Sort=A","Dates=H","DateFormat=P","Fill=—","Direction=H","UseDPDF=Y")</f>
        <v>73459</v>
      </c>
      <c r="M9" s="13">
        <f>_xll.BDH("XOM US Equity","IS_COG_AND_SERVICES_SOLD","FQ1 2011","FQ1 2011","Currency=USD","Period=FQ","BEST_FPERIOD_OVERRIDE=FQ","FILING_STATUS=OR","SCALING_FORMAT=MLN","FA_ADJUSTED=Adjusted","Sort=A","Dates=H","DateFormat=P","Fill=—","Direction=H","UseDPDF=Y")</f>
        <v>79420</v>
      </c>
      <c r="N9" s="13">
        <f>_xll.BDH("XOM US Equity","IS_COG_AND_SERVICES_SOLD","FQ2 2011","FQ2 2011","Currency=USD","Period=FQ","BEST_FPERIOD_OVERRIDE=FQ","FILING_STATUS=OR","SCALING_FORMAT=MLN","FA_ADJUSTED=Adjusted","Sort=A","Dates=H","DateFormat=P","Fill=—","Direction=H","UseDPDF=Y")</f>
        <v>90055</v>
      </c>
      <c r="O9" s="13">
        <f>_xll.BDH("XOM US Equity","IS_COG_AND_SERVICES_SOLD","FQ3 2011","FQ3 2011","Currency=USD","Period=FQ","BEST_FPERIOD_OVERRIDE=FQ","FILING_STATUS=OR","SCALING_FORMAT=MLN","FA_ADJUSTED=Adjusted","Sort=A","Dates=H","DateFormat=P","Fill=—","Direction=H","UseDPDF=Y")</f>
        <v>89710</v>
      </c>
      <c r="P9" s="13">
        <f>_xll.BDH("XOM US Equity","IS_COG_AND_SERVICES_SOLD","FQ4 2011","FQ4 2011","Currency=USD","Period=FQ","BEST_FPERIOD_OVERRIDE=FQ","FILING_STATUS=OR","SCALING_FORMAT=MLN","FA_ADJUSTED=Adjusted","Sort=A","Dates=H","DateFormat=P","Fill=—","Direction=H","UseDPDF=Y")</f>
        <v>87590</v>
      </c>
      <c r="Q9" s="13">
        <f>_xll.BDH("XOM US Equity","IS_COG_AND_SERVICES_SOLD","FQ1 2012","FQ1 2012","Currency=USD","Period=FQ","BEST_FPERIOD_OVERRIDE=FQ","FILING_STATUS=OR","SCALING_FORMAT=MLN","FA_ADJUSTED=Adjusted","Sort=A","Dates=H","DateFormat=P","Fill=—","Direction=H","UseDPDF=Y")</f>
        <v>89973</v>
      </c>
      <c r="R9" s="13">
        <f>_xll.BDH("XOM US Equity","IS_COG_AND_SERVICES_SOLD","FQ2 2012","FQ2 2012","Currency=USD","Period=FQ","BEST_FPERIOD_OVERRIDE=FQ","FILING_STATUS=OR","SCALING_FORMAT=MLN","FA_ADJUSTED=Adjusted","Sort=A","Dates=H","DateFormat=P","Fill=—","Direction=H","UseDPDF=Y")</f>
        <v>85338</v>
      </c>
      <c r="S9" s="13">
        <f>_xll.BDH("XOM US Equity","IS_COG_AND_SERVICES_SOLD","FQ3 2012","FQ3 2012","Currency=USD","Period=FQ","BEST_FPERIOD_OVERRIDE=FQ","FILING_STATUS=OR","SCALING_FORMAT=MLN","FA_ADJUSTED=Adjusted","Sort=A","Dates=H","DateFormat=P","Fill=—","Direction=H","UseDPDF=Y")</f>
        <v>82191</v>
      </c>
      <c r="T9" s="13">
        <f>_xll.BDH("XOM US Equity","IS_COG_AND_SERVICES_SOLD","FQ4 2012","FQ4 2012","Currency=USD","Period=FQ","BEST_FPERIOD_OVERRIDE=FQ","FILING_STATUS=OR","SCALING_FORMAT=MLN","FA_ADJUSTED=Adjusted","Sort=A","Dates=H","DateFormat=P","Fill=—","Direction=H","UseDPDF=Y")</f>
        <v>81252</v>
      </c>
      <c r="U9" s="13">
        <f>_xll.BDH("XOM US Equity","IS_COG_AND_SERVICES_SOLD","FQ1 2013","FQ1 2013","Currency=USD","Period=FQ","BEST_FPERIOD_OVERRIDE=FQ","FILING_STATUS=OR","SCALING_FORMAT=MLN","FA_ADJUSTED=Adjusted","Sort=A","Dates=H","DateFormat=P","Fill=—","Direction=H","UseDPDF=Y")</f>
        <v>77580</v>
      </c>
      <c r="V9" s="13">
        <f>_xll.BDH("XOM US Equity","IS_COG_AND_SERVICES_SOLD","FQ2 2013","FQ2 2013","Currency=USD","Period=FQ","BEST_FPERIOD_OVERRIDE=FQ","FILING_STATUS=OR","SCALING_FORMAT=MLN","FA_ADJUSTED=Adjusted","Sort=A","Dates=H","DateFormat=P","Fill=—","Direction=H","UseDPDF=Y")</f>
        <v>77937</v>
      </c>
      <c r="W9" s="13">
        <f>_xll.BDH("XOM US Equity","IS_COG_AND_SERVICES_SOLD","FQ3 2013","FQ3 2013","Currency=USD","Period=FQ","BEST_FPERIOD_OVERRIDE=FQ","FILING_STATUS=OR","SCALING_FORMAT=MLN","FA_ADJUSTED=Adjusted","Sort=A","Dates=H","DateFormat=P","Fill=—","Direction=H","UseDPDF=Y")</f>
        <v>82326</v>
      </c>
      <c r="X9" s="13">
        <f>_xll.BDH("XOM US Equity","IS_COG_AND_SERVICES_SOLD","FQ4 2013","FQ4 2013","Currency=USD","Period=FQ","BEST_FPERIOD_OVERRIDE=FQ","FILING_STATUS=OR","SCALING_FORMAT=MLN","FA_ADJUSTED=Adjusted","Sort=A","Dates=H","DateFormat=P","Fill=—","Direction=H","UseDPDF=Y")</f>
        <v>80321</v>
      </c>
      <c r="Y9" s="13">
        <f>_xll.BDH("XOM US Equity","IS_COG_AND_SERVICES_SOLD","FQ1 2014","FQ1 2014","Currency=USD","Period=FQ","BEST_FPERIOD_OVERRIDE=FQ","FILING_STATUS=OR","SCALING_FORMAT=MLN","FA_ADJUSTED=Adjusted","Sort=A","Dates=H","DateFormat=P","Fill=—","Direction=H","UseDPDF=Y")</f>
        <v>76423</v>
      </c>
      <c r="Z9" s="13">
        <f>_xll.BDH("XOM US Equity","IS_COG_AND_SERVICES_SOLD","FQ2 2014","FQ2 2014","Currency=USD","Period=FQ","BEST_FPERIOD_OVERRIDE=FQ","FILING_STATUS=OR","SCALING_FORMAT=MLN","FA_ADJUSTED=Adjusted","Sort=A","Dates=H","DateFormat=P","Fill=—","Direction=H","UseDPDF=Y")</f>
        <v>81611</v>
      </c>
      <c r="AA9" s="13">
        <f>_xll.BDH("XOM US Equity","IS_COG_AND_SERVICES_SOLD","FQ3 2014","FQ3 2014","Currency=USD","Period=FQ","BEST_FPERIOD_OVERRIDE=FQ","FILING_STATUS=OR","SCALING_FORMAT=MLN","FA_ADJUSTED=Adjusted","Sort=A","Dates=H","DateFormat=P","Fill=—","Direction=H","UseDPDF=Y")</f>
        <v>78623</v>
      </c>
      <c r="AB9" s="13">
        <f>_xll.BDH("XOM US Equity","IS_COG_AND_SERVICES_SOLD","FQ4 2014","FQ4 2014","Currency=USD","Period=FQ","BEST_FPERIOD_OVERRIDE=FQ","FILING_STATUS=OR","SCALING_FORMAT=MLN","FA_ADJUSTED=Adjusted","Sort=A","Dates=H","DateFormat=P","Fill=—","Direction=H","UseDPDF=Y")</f>
        <v>62460</v>
      </c>
      <c r="AC9" s="13">
        <f>_xll.BDH("XOM US Equity","IS_COG_AND_SERVICES_SOLD","FQ1 2015","FQ1 2015","Currency=USD","Period=FQ","BEST_FPERIOD_OVERRIDE=FQ","FILING_STATUS=OR","SCALING_FORMAT=MLN","FA_ADJUSTED=Adjusted","Sort=A","Dates=H","DateFormat=P","Fill=—","Direction=H","UseDPDF=Y")</f>
        <v>48041</v>
      </c>
      <c r="AD9" s="13">
        <f>_xll.BDH("XOM US Equity","IS_COG_AND_SERVICES_SOLD","FQ2 2015","FQ2 2015","Currency=USD","Period=FQ","BEST_FPERIOD_OVERRIDE=FQ","FILING_STATUS=OR","SCALING_FORMAT=MLN","FA_ADJUSTED=Adjusted","Sort=A","Dates=H","DateFormat=P","Fill=—","Direction=H","UseDPDF=Y")</f>
        <v>53457</v>
      </c>
      <c r="AE9" s="13">
        <f>_xll.BDH("XOM US Equity","IS_COG_AND_SERVICES_SOLD","FQ3 2015","FQ3 2015","Currency=USD","Period=FQ","BEST_FPERIOD_OVERRIDE=FQ","FILING_STATUS=OR","SCALING_FORMAT=MLN","FA_ADJUSTED=Adjusted","Sort=A","Dates=H","DateFormat=P","Fill=—","Direction=H","UseDPDF=Y")</f>
        <v>47871</v>
      </c>
      <c r="AF9" s="13">
        <f>_xll.BDH("XOM US Equity","IS_COG_AND_SERVICES_SOLD","FQ4 2015","FQ4 2015","Currency=USD","Period=FQ","BEST_FPERIOD_OVERRIDE=FQ","FILING_STATUS=OR","SCALING_FORMAT=MLN","FA_ADJUSTED=Adjusted","Sort=A","Dates=H","DateFormat=P","Fill=—","Direction=H","UseDPDF=Y")</f>
        <v>43486</v>
      </c>
      <c r="AG9" s="13">
        <f>_xll.BDH("XOM US Equity","IS_COG_AND_SERVICES_SOLD","FQ1 2016","FQ1 2016","Currency=USD","Period=FQ","BEST_FPERIOD_OVERRIDE=FQ","FILING_STATUS=OR","SCALING_FORMAT=MLN","FA_ADJUSTED=Adjusted","Sort=A","Dates=H","DateFormat=P","Fill=—","Direction=H","UseDPDF=Y")</f>
        <v>34372</v>
      </c>
      <c r="AH9" s="13">
        <f>_xll.BDH("XOM US Equity","IS_COG_AND_SERVICES_SOLD","FQ2 2016","FQ2 2016","Currency=USD","Period=FQ","BEST_FPERIOD_OVERRIDE=FQ","FILING_STATUS=OR","SCALING_FORMAT=MLN","FA_ADJUSTED=Adjusted","Sort=A","Dates=H","DateFormat=P","Fill=—","Direction=H","UseDPDF=Y")</f>
        <v>41876</v>
      </c>
      <c r="AI9" s="13">
        <f>_xll.BDH("XOM US Equity","IS_COG_AND_SERVICES_SOLD","FQ3 2016","FQ3 2016","Currency=USD","Period=FQ","BEST_FPERIOD_OVERRIDE=FQ","FILING_STATUS=OR","SCALING_FORMAT=MLN","FA_ADJUSTED=Adjusted","Sort=A","Dates=H","DateFormat=P","Fill=—","Direction=H","UseDPDF=Y")</f>
        <v>42240</v>
      </c>
      <c r="AJ9" s="13">
        <f>_xll.BDH("XOM US Equity","IS_COG_AND_SERVICES_SOLD","FQ4 2016","FQ4 2016","Currency=USD","Period=FQ","BEST_FPERIOD_OVERRIDE=FQ","FILING_STATUS=OR","SCALING_FORMAT=MLN","FA_ADJUSTED=Adjusted","Sort=A","Dates=H","DateFormat=P","Fill=—","Direction=H","UseDPDF=Y")</f>
        <v>43520</v>
      </c>
      <c r="AK9" s="13">
        <f>_xll.BDH("XOM US Equity","IS_COG_AND_SERVICES_SOLD","FQ1 2017","FQ1 2017","Currency=USD","Period=FQ","BEST_FPERIOD_OVERRIDE=FQ","FILING_STATUS=OR","SCALING_FORMAT=MLN","FA_ADJUSTED=Adjusted","Sort=A","Dates=H","DateFormat=P","Fill=—","Direction=H","UseDPDF=Y")</f>
        <v>44474</v>
      </c>
      <c r="AL9" s="13">
        <f>_xll.BDH("XOM US Equity","IS_COG_AND_SERVICES_SOLD","FQ2 2017","FQ2 2017","Currency=USD","Period=FQ","BEST_FPERIOD_OVERRIDE=FQ","FILING_STATUS=OR","SCALING_FORMAT=MLN","FA_ADJUSTED=Adjusted","Sort=A","Dates=H","DateFormat=P","Fill=—","Direction=H","UseDPDF=Y")</f>
        <v>45179</v>
      </c>
      <c r="AM9" s="13">
        <f>_xll.BDH("XOM US Equity","IS_COG_AND_SERVICES_SOLD","FQ3 2017","FQ3 2017","Currency=USD","Period=FQ","BEST_FPERIOD_OVERRIDE=FQ","FILING_STATUS=OR","SCALING_FORMAT=MLN","FA_ADJUSTED=Adjusted","Sort=A","Dates=H","DateFormat=P","Fill=—","Direction=H","UseDPDF=Y")</f>
        <v>46718</v>
      </c>
      <c r="AN9" s="13">
        <f>_xll.BDH("XOM US Equity","IS_COG_AND_SERVICES_SOLD","FQ4 2017","FQ4 2017","Currency=USD","Period=FQ","BEST_FPERIOD_OVERRIDE=FQ","FILING_STATUS=OR","SCALING_FORMAT=MLN","FA_ADJUSTED=Adjusted","Sort=A","Dates=H","DateFormat=P","Fill=—","Direction=H","UseDPDF=Y")</f>
        <v>56078</v>
      </c>
      <c r="AO9" s="13">
        <f>_xll.BDH("XOM US Equity","IS_COG_AND_SERVICES_SOLD","FQ1 2018","FQ1 2018","Currency=USD","Period=FQ","BEST_FPERIOD_OVERRIDE=FQ","FILING_STATUS=OR","SCALING_FORMAT=MLN","FA_ADJUSTED=Adjusted","Sort=A","Dates=H","DateFormat=P","Fill=—","Direction=H","UseDPDF=Y")</f>
        <v>52926</v>
      </c>
      <c r="AP9" s="13">
        <f>_xll.BDH("XOM US Equity","IS_COG_AND_SERVICES_SOLD","FQ2 2018","FQ2 2018","Currency=USD","Period=FQ","BEST_FPERIOD_OVERRIDE=FQ","FILING_STATUS=OR","SCALING_FORMAT=MLN","FA_ADJUSTED=Adjusted","Sort=A","Dates=H","DateFormat=P","Fill=—","Direction=H","UseDPDF=Y")</f>
        <v>58620</v>
      </c>
    </row>
    <row r="10" spans="1:42" x14ac:dyDescent="0.25">
      <c r="A10" s="10" t="s">
        <v>95</v>
      </c>
      <c r="B10" s="10" t="s">
        <v>96</v>
      </c>
      <c r="C10" s="13" t="str">
        <f>_xll.BDH("XOM US Equity","IS_D&amp;A_COST_OF_REVENUE","FQ3 2008","FQ3 2008","Currency=USD","Period=FQ","BEST_FPERIOD_OVERRIDE=FQ","FILING_STATUS=OR","SCALING_FORMAT=MLN","FA_ADJUSTED=Adjusted","Sort=A","Dates=H","DateFormat=P","Fill=—","Direction=H","UseDPDF=Y")</f>
        <v>—</v>
      </c>
      <c r="D10" s="13" t="str">
        <f>_xll.BDH("XOM US Equity","IS_D&amp;A_COST_OF_REVENUE","FQ4 2008","FQ4 2008","Currency=USD","Period=FQ","BEST_FPERIOD_OVERRIDE=FQ","FILING_STATUS=OR","SCALING_FORMAT=MLN","FA_ADJUSTED=Adjusted","Sort=A","Dates=H","DateFormat=P","Fill=—","Direction=H","UseDPDF=Y")</f>
        <v>—</v>
      </c>
      <c r="E10" s="13">
        <f>_xll.BDH("XOM US Equity","IS_D&amp;A_COST_OF_REVENUE","FQ1 2009","FQ1 2009","Currency=USD","Period=FQ","BEST_FPERIOD_OVERRIDE=FQ","FILING_STATUS=OR","SCALING_FORMAT=MLN","FA_ADJUSTED=Adjusted","Sort=A","Dates=H","DateFormat=P","Fill=—","Direction=H","UseDPDF=Y")</f>
        <v>2793</v>
      </c>
      <c r="F10" s="13">
        <f>_xll.BDH("XOM US Equity","IS_D&amp;A_COST_OF_REVENUE","FQ2 2009","FQ2 2009","Currency=USD","Period=FQ","BEST_FPERIOD_OVERRIDE=FQ","FILING_STATUS=OR","SCALING_FORMAT=MLN","FA_ADJUSTED=Adjusted","Sort=A","Dates=H","DateFormat=P","Fill=—","Direction=H","UseDPDF=Y")</f>
        <v>3004</v>
      </c>
      <c r="G10" s="13">
        <f>_xll.BDH("XOM US Equity","IS_D&amp;A_COST_OF_REVENUE","FQ3 2009","FQ3 2009","Currency=USD","Period=FQ","BEST_FPERIOD_OVERRIDE=FQ","FILING_STATUS=OR","SCALING_FORMAT=MLN","FA_ADJUSTED=Adjusted","Sort=A","Dates=H","DateFormat=P","Fill=—","Direction=H","UseDPDF=Y")</f>
        <v>2927</v>
      </c>
      <c r="H10" s="13">
        <f>_xll.BDH("XOM US Equity","IS_D&amp;A_COST_OF_REVENUE","FQ4 2009","FQ4 2009","Currency=USD","Period=FQ","BEST_FPERIOD_OVERRIDE=FQ","FILING_STATUS=OR","SCALING_FORMAT=MLN","FA_ADJUSTED=Adjusted","Sort=A","Dates=H","DateFormat=P","Fill=—","Direction=H","UseDPDF=Y")</f>
        <v>3193</v>
      </c>
      <c r="I10" s="13">
        <f>_xll.BDH("XOM US Equity","IS_D&amp;A_COST_OF_REVENUE","FQ1 2010","FQ1 2010","Currency=USD","Period=FQ","BEST_FPERIOD_OVERRIDE=FQ","FILING_STATUS=OR","SCALING_FORMAT=MLN","FA_ADJUSTED=Adjusted","Sort=A","Dates=H","DateFormat=P","Fill=—","Direction=H","UseDPDF=Y")</f>
        <v>3280</v>
      </c>
      <c r="J10" s="13">
        <f>_xll.BDH("XOM US Equity","IS_D&amp;A_COST_OF_REVENUE","FQ2 2010","FQ2 2010","Currency=USD","Period=FQ","BEST_FPERIOD_OVERRIDE=FQ","FILING_STATUS=OR","SCALING_FORMAT=MLN","FA_ADJUSTED=Adjusted","Sort=A","Dates=H","DateFormat=P","Fill=—","Direction=H","UseDPDF=Y")</f>
        <v>3366</v>
      </c>
      <c r="K10" s="13">
        <f>_xll.BDH("XOM US Equity","IS_D&amp;A_COST_OF_REVENUE","FQ3 2010","FQ3 2010","Currency=USD","Period=FQ","BEST_FPERIOD_OVERRIDE=FQ","FILING_STATUS=OR","SCALING_FORMAT=MLN","FA_ADJUSTED=Adjusted","Sort=A","Dates=H","DateFormat=P","Fill=—","Direction=H","UseDPDF=Y")</f>
        <v>3844</v>
      </c>
      <c r="L10" s="13">
        <f>_xll.BDH("XOM US Equity","IS_D&amp;A_COST_OF_REVENUE","FQ4 2010","FQ4 2010","Currency=USD","Period=FQ","BEST_FPERIOD_OVERRIDE=FQ","FILING_STATUS=OR","SCALING_FORMAT=MLN","FA_ADJUSTED=Adjusted","Sort=A","Dates=H","DateFormat=P","Fill=—","Direction=H","UseDPDF=Y")</f>
        <v>4270</v>
      </c>
      <c r="M10" s="13">
        <f>_xll.BDH("XOM US Equity","IS_D&amp;A_COST_OF_REVENUE","FQ1 2011","FQ1 2011","Currency=USD","Period=FQ","BEST_FPERIOD_OVERRIDE=FQ","FILING_STATUS=OR","SCALING_FORMAT=MLN","FA_ADJUSTED=Adjusted","Sort=A","Dates=H","DateFormat=P","Fill=—","Direction=H","UseDPDF=Y")</f>
        <v>3761</v>
      </c>
      <c r="N10" s="13">
        <f>_xll.BDH("XOM US Equity","IS_D&amp;A_COST_OF_REVENUE","FQ2 2011","FQ2 2011","Currency=USD","Period=FQ","BEST_FPERIOD_OVERRIDE=FQ","FILING_STATUS=OR","SCALING_FORMAT=MLN","FA_ADJUSTED=Adjusted","Sort=A","Dates=H","DateFormat=P","Fill=—","Direction=H","UseDPDF=Y")</f>
        <v>3881</v>
      </c>
      <c r="O10" s="13">
        <f>_xll.BDH("XOM US Equity","IS_D&amp;A_COST_OF_REVENUE","FQ3 2011","FQ3 2011","Currency=USD","Period=FQ","BEST_FPERIOD_OVERRIDE=FQ","FILING_STATUS=OR","SCALING_FORMAT=MLN","FA_ADJUSTED=Adjusted","Sort=A","Dates=H","DateFormat=P","Fill=—","Direction=H","UseDPDF=Y")</f>
        <v>3866</v>
      </c>
      <c r="P10" s="13">
        <f>_xll.BDH("XOM US Equity","IS_D&amp;A_COST_OF_REVENUE","FQ4 2011","FQ4 2011","Currency=USD","Period=FQ","BEST_FPERIOD_OVERRIDE=FQ","FILING_STATUS=OR","SCALING_FORMAT=MLN","FA_ADJUSTED=Adjusted","Sort=A","Dates=H","DateFormat=P","Fill=—","Direction=H","UseDPDF=Y")</f>
        <v>4075</v>
      </c>
      <c r="Q10" s="13">
        <f>_xll.BDH("XOM US Equity","IS_D&amp;A_COST_OF_REVENUE","FQ1 2012","FQ1 2012","Currency=USD","Period=FQ","BEST_FPERIOD_OVERRIDE=FQ","FILING_STATUS=OR","SCALING_FORMAT=MLN","FA_ADJUSTED=Adjusted","Sort=A","Dates=H","DateFormat=P","Fill=—","Direction=H","UseDPDF=Y")</f>
        <v>3842</v>
      </c>
      <c r="R10" s="13">
        <f>_xll.BDH("XOM US Equity","IS_D&amp;A_COST_OF_REVENUE","FQ2 2012","FQ2 2012","Currency=USD","Period=FQ","BEST_FPERIOD_OVERRIDE=FQ","FILING_STATUS=OR","SCALING_FORMAT=MLN","FA_ADJUSTED=Adjusted","Sort=A","Dates=H","DateFormat=P","Fill=—","Direction=H","UseDPDF=Y")</f>
        <v>3899</v>
      </c>
      <c r="S10" s="13">
        <f>_xll.BDH("XOM US Equity","IS_D&amp;A_COST_OF_REVENUE","FQ3 2012","FQ3 2012","Currency=USD","Period=FQ","BEST_FPERIOD_OVERRIDE=FQ","FILING_STATUS=OR","SCALING_FORMAT=MLN","FA_ADJUSTED=Adjusted","Sort=A","Dates=H","DateFormat=P","Fill=—","Direction=H","UseDPDF=Y")</f>
        <v>4037</v>
      </c>
      <c r="T10" s="13">
        <f>_xll.BDH("XOM US Equity","IS_D&amp;A_COST_OF_REVENUE","FQ4 2012","FQ4 2012","Currency=USD","Period=FQ","BEST_FPERIOD_OVERRIDE=FQ","FILING_STATUS=OR","SCALING_FORMAT=MLN","FA_ADJUSTED=Adjusted","Sort=A","Dates=H","DateFormat=P","Fill=—","Direction=H","UseDPDF=Y")</f>
        <v>4110</v>
      </c>
      <c r="U10" s="13">
        <f>_xll.BDH("XOM US Equity","IS_D&amp;A_COST_OF_REVENUE","FQ1 2013","FQ1 2013","Currency=USD","Period=FQ","BEST_FPERIOD_OVERRIDE=FQ","FILING_STATUS=OR","SCALING_FORMAT=MLN","FA_ADJUSTED=Adjusted","Sort=A","Dates=H","DateFormat=P","Fill=—","Direction=H","UseDPDF=Y")</f>
        <v>4110</v>
      </c>
      <c r="V10" s="13">
        <f>_xll.BDH("XOM US Equity","IS_D&amp;A_COST_OF_REVENUE","FQ2 2013","FQ2 2013","Currency=USD","Period=FQ","BEST_FPERIOD_OVERRIDE=FQ","FILING_STATUS=OR","SCALING_FORMAT=MLN","FA_ADJUSTED=Adjusted","Sort=A","Dates=H","DateFormat=P","Fill=—","Direction=H","UseDPDF=Y")</f>
        <v>4405</v>
      </c>
      <c r="W10" s="13">
        <f>_xll.BDH("XOM US Equity","IS_D&amp;A_COST_OF_REVENUE","FQ3 2013","FQ3 2013","Currency=USD","Period=FQ","BEST_FPERIOD_OVERRIDE=FQ","FILING_STATUS=OR","SCALING_FORMAT=MLN","FA_ADJUSTED=Adjusted","Sort=A","Dates=H","DateFormat=P","Fill=—","Direction=H","UseDPDF=Y")</f>
        <v>4287</v>
      </c>
      <c r="X10" s="13">
        <f>_xll.BDH("XOM US Equity","IS_D&amp;A_COST_OF_REVENUE","FQ4 2013","FQ4 2013","Currency=USD","Period=FQ","BEST_FPERIOD_OVERRIDE=FQ","FILING_STATUS=OR","SCALING_FORMAT=MLN","FA_ADJUSTED=Adjusted","Sort=A","Dates=H","DateFormat=P","Fill=—","Direction=H","UseDPDF=Y")</f>
        <v>4380</v>
      </c>
      <c r="Y10" s="13">
        <f>_xll.BDH("XOM US Equity","IS_D&amp;A_COST_OF_REVENUE","FQ1 2014","FQ1 2014","Currency=USD","Period=FQ","BEST_FPERIOD_OVERRIDE=FQ","FILING_STATUS=OR","SCALING_FORMAT=MLN","FA_ADJUSTED=Adjusted","Sort=A","Dates=H","DateFormat=P","Fill=—","Direction=H","UseDPDF=Y")</f>
        <v>4192</v>
      </c>
      <c r="Z10" s="13">
        <f>_xll.BDH("XOM US Equity","IS_D&amp;A_COST_OF_REVENUE","FQ2 2014","FQ2 2014","Currency=USD","Period=FQ","BEST_FPERIOD_OVERRIDE=FQ","FILING_STATUS=OR","SCALING_FORMAT=MLN","FA_ADJUSTED=Adjusted","Sort=A","Dates=H","DateFormat=P","Fill=—","Direction=H","UseDPDF=Y")</f>
        <v>4285</v>
      </c>
      <c r="AA10" s="13">
        <f>_xll.BDH("XOM US Equity","IS_D&amp;A_COST_OF_REVENUE","FQ3 2014","FQ3 2014","Currency=USD","Period=FQ","BEST_FPERIOD_OVERRIDE=FQ","FILING_STATUS=OR","SCALING_FORMAT=MLN","FA_ADJUSTED=Adjusted","Sort=A","Dates=H","DateFormat=P","Fill=—","Direction=H","UseDPDF=Y")</f>
        <v>4362</v>
      </c>
      <c r="AB10" s="13">
        <f>_xll.BDH("XOM US Equity","IS_D&amp;A_COST_OF_REVENUE","FQ4 2014","FQ4 2014","Currency=USD","Period=FQ","BEST_FPERIOD_OVERRIDE=FQ","FILING_STATUS=OR","SCALING_FORMAT=MLN","FA_ADJUSTED=Adjusted","Sort=A","Dates=H","DateFormat=P","Fill=—","Direction=H","UseDPDF=Y")</f>
        <v>4458</v>
      </c>
      <c r="AC10" s="13">
        <f>_xll.BDH("XOM US Equity","IS_D&amp;A_COST_OF_REVENUE","FQ1 2015","FQ1 2015","Currency=USD","Period=FQ","BEST_FPERIOD_OVERRIDE=FQ","FILING_STATUS=OR","SCALING_FORMAT=MLN","FA_ADJUSTED=Adjusted","Sort=A","Dates=H","DateFormat=P","Fill=—","Direction=H","UseDPDF=Y")</f>
        <v>4300</v>
      </c>
      <c r="AD10" s="13">
        <f>_xll.BDH("XOM US Equity","IS_D&amp;A_COST_OF_REVENUE","FQ2 2015","FQ2 2015","Currency=USD","Period=FQ","BEST_FPERIOD_OVERRIDE=FQ","FILING_STATUS=OR","SCALING_FORMAT=MLN","FA_ADJUSTED=Adjusted","Sort=A","Dates=H","DateFormat=P","Fill=—","Direction=H","UseDPDF=Y")</f>
        <v>4451</v>
      </c>
      <c r="AE10" s="13">
        <f>_xll.BDH("XOM US Equity","IS_D&amp;A_COST_OF_REVENUE","FQ3 2015","FQ3 2015","Currency=USD","Period=FQ","BEST_FPERIOD_OVERRIDE=FQ","FILING_STATUS=OR","SCALING_FORMAT=MLN","FA_ADJUSTED=Adjusted","Sort=A","Dates=H","DateFormat=P","Fill=—","Direction=H","UseDPDF=Y")</f>
        <v>4542</v>
      </c>
      <c r="AF10" s="13">
        <f>_xll.BDH("XOM US Equity","IS_D&amp;A_COST_OF_REVENUE","FQ4 2015","FQ4 2015","Currency=USD","Period=FQ","BEST_FPERIOD_OVERRIDE=FQ","FILING_STATUS=OR","SCALING_FORMAT=MLN","FA_ADJUSTED=Adjusted","Sort=A","Dates=H","DateFormat=P","Fill=—","Direction=H","UseDPDF=Y")</f>
        <v>4755</v>
      </c>
      <c r="AG10" s="13">
        <f>_xll.BDH("XOM US Equity","IS_D&amp;A_COST_OF_REVENUE","FQ1 2016","FQ1 2016","Currency=USD","Period=FQ","BEST_FPERIOD_OVERRIDE=FQ","FILING_STATUS=OR","SCALING_FORMAT=MLN","FA_ADJUSTED=Adjusted","Sort=A","Dates=H","DateFormat=P","Fill=—","Direction=H","UseDPDF=Y")</f>
        <v>4765</v>
      </c>
      <c r="AH10" s="13">
        <f>_xll.BDH("XOM US Equity","IS_D&amp;A_COST_OF_REVENUE","FQ2 2016","FQ2 2016","Currency=USD","Period=FQ","BEST_FPERIOD_OVERRIDE=FQ","FILING_STATUS=OR","SCALING_FORMAT=MLN","FA_ADJUSTED=Adjusted","Sort=A","Dates=H","DateFormat=P","Fill=—","Direction=H","UseDPDF=Y")</f>
        <v>4821</v>
      </c>
      <c r="AI10" s="13">
        <f>_xll.BDH("XOM US Equity","IS_D&amp;A_COST_OF_REVENUE","FQ3 2016","FQ3 2016","Currency=USD","Period=FQ","BEST_FPERIOD_OVERRIDE=FQ","FILING_STATUS=OR","SCALING_FORMAT=MLN","FA_ADJUSTED=Adjusted","Sort=A","Dates=H","DateFormat=P","Fill=—","Direction=H","UseDPDF=Y")</f>
        <v>4605</v>
      </c>
      <c r="AJ10" s="13">
        <f>_xll.BDH("XOM US Equity","IS_D&amp;A_COST_OF_REVENUE","FQ4 2016","FQ4 2016","Currency=USD","Period=FQ","BEST_FPERIOD_OVERRIDE=FQ","FILING_STATUS=OR","SCALING_FORMAT=MLN","FA_ADJUSTED=Adjusted","Sort=A","Dates=H","DateFormat=P","Fill=—","Direction=H","UseDPDF=Y")</f>
        <v>8117</v>
      </c>
      <c r="AK10" s="13">
        <f>_xll.BDH("XOM US Equity","IS_D&amp;A_COST_OF_REVENUE","FQ1 2017","FQ1 2017","Currency=USD","Period=FQ","BEST_FPERIOD_OVERRIDE=FQ","FILING_STATUS=OR","SCALING_FORMAT=MLN","FA_ADJUSTED=Adjusted","Sort=A","Dates=H","DateFormat=P","Fill=—","Direction=H","UseDPDF=Y")</f>
        <v>4519</v>
      </c>
      <c r="AL10" s="13">
        <f>_xll.BDH("XOM US Equity","IS_D&amp;A_COST_OF_REVENUE","FQ2 2017","FQ2 2017","Currency=USD","Period=FQ","BEST_FPERIOD_OVERRIDE=FQ","FILING_STATUS=OR","SCALING_FORMAT=MLN","FA_ADJUSTED=Adjusted","Sort=A","Dates=H","DateFormat=P","Fill=—","Direction=H","UseDPDF=Y")</f>
        <v>4652</v>
      </c>
      <c r="AM10" s="13">
        <f>_xll.BDH("XOM US Equity","IS_D&amp;A_COST_OF_REVENUE","FQ3 2017","FQ3 2017","Currency=USD","Period=FQ","BEST_FPERIOD_OVERRIDE=FQ","FILING_STATUS=OR","SCALING_FORMAT=MLN","FA_ADJUSTED=Adjusted","Sort=A","Dates=H","DateFormat=P","Fill=—","Direction=H","UseDPDF=Y")</f>
        <v>4880</v>
      </c>
      <c r="AN10" s="13">
        <f>_xll.BDH("XOM US Equity","IS_D&amp;A_COST_OF_REVENUE","FQ4 2017","FQ4 2017","Currency=USD","Period=FQ","BEST_FPERIOD_OVERRIDE=FQ","FILING_STATUS=OR","SCALING_FORMAT=MLN","FA_ADJUSTED=Adjusted","Sort=A","Dates=H","DateFormat=P","Fill=—","Direction=H","UseDPDF=Y")</f>
        <v>5842</v>
      </c>
      <c r="AO10" s="13">
        <f>_xll.BDH("XOM US Equity","IS_D&amp;A_COST_OF_REVENUE","FQ1 2018","FQ1 2018","Currency=USD","Period=FQ","BEST_FPERIOD_OVERRIDE=FQ","FILING_STATUS=OR","SCALING_FORMAT=MLN","FA_ADJUSTED=Adjusted","Sort=A","Dates=H","DateFormat=P","Fill=—","Direction=H","UseDPDF=Y")</f>
        <v>4470</v>
      </c>
      <c r="AP10" s="13">
        <f>_xll.BDH("XOM US Equity","IS_D&amp;A_COST_OF_REVENUE","FQ2 2018","FQ2 2018","Currency=USD","Period=FQ","BEST_FPERIOD_OVERRIDE=FQ","FILING_STATUS=OR","SCALING_FORMAT=MLN","FA_ADJUSTED=Adjusted","Sort=A","Dates=H","DateFormat=P","Fill=—","Direction=H","UseDPDF=Y")</f>
        <v>4589</v>
      </c>
    </row>
    <row r="11" spans="1:42" x14ac:dyDescent="0.25">
      <c r="A11" s="6" t="s">
        <v>1</v>
      </c>
      <c r="B11" s="6" t="s">
        <v>97</v>
      </c>
      <c r="C11" s="16">
        <f>_xll.BDH("XOM US Equity","GROSS_PROFIT","FQ3 2008","FQ3 2008","Currency=USD","Period=FQ","BEST_FPERIOD_OVERRIDE=FQ","FILING_STATUS=OR","SCALING_FORMAT=MLN","FA_ADJUSTED=Adjusted","Sort=A","Dates=H","DateFormat=P","Fill=—","Direction=H","UseDPDF=Y")</f>
        <v>25585</v>
      </c>
      <c r="D11" s="16">
        <f>_xll.BDH("XOM US Equity","GROSS_PROFIT","FQ4 2008","FQ4 2008","Currency=USD","Period=FQ","BEST_FPERIOD_OVERRIDE=FQ","FILING_STATUS=OR","SCALING_FORMAT=MLN","FA_ADJUSTED=Adjusted","Sort=A","Dates=H","DateFormat=P","Fill=—","Direction=H","UseDPDF=Y")</f>
        <v>13943</v>
      </c>
      <c r="E11" s="16">
        <f>_xll.BDH("XOM US Equity","GROSS_PROFIT","FQ1 2009","FQ1 2009","Currency=USD","Period=FQ","BEST_FPERIOD_OVERRIDE=FQ","FILING_STATUS=OR","SCALING_FORMAT=MLN","FA_ADJUSTED=Adjusted","Sort=A","Dates=H","DateFormat=P","Fill=—","Direction=H","UseDPDF=Y")</f>
        <v>9856</v>
      </c>
      <c r="F11" s="16">
        <f>_xll.BDH("XOM US Equity","GROSS_PROFIT","FQ2 2009","FQ2 2009","Currency=USD","Period=FQ","BEST_FPERIOD_OVERRIDE=FQ","FILING_STATUS=OR","SCALING_FORMAT=MLN","FA_ADJUSTED=Adjusted","Sort=A","Dates=H","DateFormat=P","Fill=—","Direction=H","UseDPDF=Y")</f>
        <v>9579</v>
      </c>
      <c r="G11" s="16">
        <f>_xll.BDH("XOM US Equity","GROSS_PROFIT","FQ3 2009","FQ3 2009","Currency=USD","Period=FQ","BEST_FPERIOD_OVERRIDE=FQ","FILING_STATUS=OR","SCALING_FORMAT=MLN","FA_ADJUSTED=Adjusted","Sort=A","Dates=H","DateFormat=P","Fill=—","Direction=H","UseDPDF=Y")</f>
        <v>11478</v>
      </c>
      <c r="H11" s="16">
        <f>_xll.BDH("XOM US Equity","GROSS_PROFIT","FQ4 2009","FQ4 2009","Currency=USD","Period=FQ","BEST_FPERIOD_OVERRIDE=FQ","FILING_STATUS=OR","SCALING_FORMAT=MLN","FA_ADJUSTED=Adjusted","Sort=A","Dates=H","DateFormat=P","Fill=—","Direction=H","UseDPDF=Y")</f>
        <v>12082</v>
      </c>
      <c r="I11" s="16">
        <f>_xll.BDH("XOM US Equity","GROSS_PROFIT","FQ1 2010","FQ1 2010","Currency=USD","Period=FQ","BEST_FPERIOD_OVERRIDE=FQ","FILING_STATUS=OR","SCALING_FORMAT=MLN","FA_ADJUSTED=Adjusted","Sort=A","Dates=H","DateFormat=P","Fill=—","Direction=H","UseDPDF=Y")</f>
        <v>13109</v>
      </c>
      <c r="J11" s="16">
        <f>_xll.BDH("XOM US Equity","GROSS_PROFIT","FQ2 2010","FQ2 2010","Currency=USD","Period=FQ","BEST_FPERIOD_OVERRIDE=FQ","FILING_STATUS=OR","SCALING_FORMAT=MLN","FA_ADJUSTED=Adjusted","Sort=A","Dates=H","DateFormat=P","Fill=—","Direction=H","UseDPDF=Y")</f>
        <v>13967</v>
      </c>
      <c r="K11" s="16">
        <f>_xll.BDH("XOM US Equity","GROSS_PROFIT","FQ3 2010","FQ3 2010","Currency=USD","Period=FQ","BEST_FPERIOD_OVERRIDE=FQ","FILING_STATUS=OR","SCALING_FORMAT=MLN","FA_ADJUSTED=Adjusted","Sort=A","Dates=H","DateFormat=P","Fill=—","Direction=H","UseDPDF=Y")</f>
        <v>14174</v>
      </c>
      <c r="L11" s="16">
        <f>_xll.BDH("XOM US Equity","GROSS_PROFIT","FQ4 2010","FQ4 2010","Currency=USD","Period=FQ","BEST_FPERIOD_OVERRIDE=FQ","FILING_STATUS=OR","SCALING_FORMAT=MLN","FA_ADJUSTED=Adjusted","Sort=A","Dates=H","DateFormat=P","Fill=—","Direction=H","UseDPDF=Y")</f>
        <v>15699</v>
      </c>
      <c r="M11" s="16">
        <f>_xll.BDH("XOM US Equity","GROSS_PROFIT","FQ1 2011","FQ1 2011","Currency=USD","Period=FQ","BEST_FPERIOD_OVERRIDE=FQ","FILING_STATUS=OR","SCALING_FORMAT=MLN","FA_ADJUSTED=Adjusted","Sort=A","Dates=H","DateFormat=P","Fill=—","Direction=H","UseDPDF=Y")</f>
        <v>18154</v>
      </c>
      <c r="N11" s="16">
        <f>_xll.BDH("XOM US Equity","GROSS_PROFIT","FQ2 2011","FQ2 2011","Currency=USD","Period=FQ","BEST_FPERIOD_OVERRIDE=FQ","FILING_STATUS=OR","SCALING_FORMAT=MLN","FA_ADJUSTED=Adjusted","Sort=A","Dates=H","DateFormat=P","Fill=—","Direction=H","UseDPDF=Y")</f>
        <v>18845</v>
      </c>
      <c r="O11" s="16">
        <f>_xll.BDH("XOM US Equity","GROSS_PROFIT","FQ3 2011","FQ3 2011","Currency=USD","Period=FQ","BEST_FPERIOD_OVERRIDE=FQ","FILING_STATUS=OR","SCALING_FORMAT=MLN","FA_ADJUSTED=Adjusted","Sort=A","Dates=H","DateFormat=P","Fill=—","Direction=H","UseDPDF=Y")</f>
        <v>18415</v>
      </c>
      <c r="P11" s="16">
        <f>_xll.BDH("XOM US Equity","GROSS_PROFIT","FQ4 2011","FQ4 2011","Currency=USD","Period=FQ","BEST_FPERIOD_OVERRIDE=FQ","FILING_STATUS=OR","SCALING_FORMAT=MLN","FA_ADJUSTED=Adjusted","Sort=A","Dates=H","DateFormat=P","Fill=—","Direction=H","UseDPDF=Y")</f>
        <v>15754</v>
      </c>
      <c r="Q11" s="16">
        <f>_xll.BDH("XOM US Equity","GROSS_PROFIT","FQ1 2012","FQ1 2012","Currency=USD","Period=FQ","BEST_FPERIOD_OVERRIDE=FQ","FILING_STATUS=OR","SCALING_FORMAT=MLN","FA_ADJUSTED=Adjusted","Sort=A","Dates=H","DateFormat=P","Fill=—","Direction=H","UseDPDF=Y")</f>
        <v>16881</v>
      </c>
      <c r="R11" s="16">
        <f>_xll.BDH("XOM US Equity","GROSS_PROFIT","FQ2 2012","FQ2 2012","Currency=USD","Period=FQ","BEST_FPERIOD_OVERRIDE=FQ","FILING_STATUS=OR","SCALING_FORMAT=MLN","FA_ADJUSTED=Adjusted","Sort=A","Dates=H","DateFormat=P","Fill=—","Direction=H","UseDPDF=Y")</f>
        <v>15481</v>
      </c>
      <c r="S11" s="16">
        <f>_xll.BDH("XOM US Equity","GROSS_PROFIT","FQ3 2012","FQ3 2012","Currency=USD","Period=FQ","BEST_FPERIOD_OVERRIDE=FQ","FILING_STATUS=OR","SCALING_FORMAT=MLN","FA_ADJUSTED=Adjusted","Sort=A","Dates=H","DateFormat=P","Fill=—","Direction=H","UseDPDF=Y")</f>
        <v>17189</v>
      </c>
      <c r="T11" s="16">
        <f>_xll.BDH("XOM US Equity","GROSS_PROFIT","FQ4 2012","FQ4 2012","Currency=USD","Period=FQ","BEST_FPERIOD_OVERRIDE=FQ","FILING_STATUS=OR","SCALING_FORMAT=MLN","FA_ADJUSTED=Adjusted","Sort=A","Dates=H","DateFormat=P","Fill=—","Direction=H","UseDPDF=Y")</f>
        <v>16047</v>
      </c>
      <c r="U11" s="16">
        <f>_xll.BDH("XOM US Equity","GROSS_PROFIT","FQ1 2013","FQ1 2013","Currency=USD","Period=FQ","BEST_FPERIOD_OVERRIDE=FQ","FILING_STATUS=OR","SCALING_FORMAT=MLN","FA_ADJUSTED=Adjusted","Sort=A","Dates=H","DateFormat=P","Fill=—","Direction=H","UseDPDF=Y")</f>
        <v>14646</v>
      </c>
      <c r="V11" s="16">
        <f>_xll.BDH("XOM US Equity","GROSS_PROFIT","FQ2 2013","FQ2 2013","Currency=USD","Period=FQ","BEST_FPERIOD_OVERRIDE=FQ","FILING_STATUS=OR","SCALING_FORMAT=MLN","FA_ADJUSTED=Adjusted","Sort=A","Dates=H","DateFormat=P","Fill=—","Direction=H","UseDPDF=Y")</f>
        <v>12959</v>
      </c>
      <c r="W11" s="16">
        <f>_xll.BDH("XOM US Equity","GROSS_PROFIT","FQ3 2013","FQ3 2013","Currency=USD","Period=FQ","BEST_FPERIOD_OVERRIDE=FQ","FILING_STATUS=OR","SCALING_FORMAT=MLN","FA_ADJUSTED=Adjusted","Sort=A","Dates=H","DateFormat=P","Fill=—","Direction=H","UseDPDF=Y")</f>
        <v>13895</v>
      </c>
      <c r="X11" s="16">
        <f>_xll.BDH("XOM US Equity","GROSS_PROFIT","FQ4 2013","FQ4 2013","Currency=USD","Period=FQ","BEST_FPERIOD_OVERRIDE=FQ","FILING_STATUS=OR","SCALING_FORMAT=MLN","FA_ADJUSTED=Adjusted","Sort=A","Dates=H","DateFormat=P","Fill=—","Direction=H","UseDPDF=Y")</f>
        <v>13654</v>
      </c>
      <c r="Y11" s="16">
        <f>_xll.BDH("XOM US Equity","GROSS_PROFIT","FQ1 2014","FQ1 2014","Currency=USD","Period=FQ","BEST_FPERIOD_OVERRIDE=FQ","FILING_STATUS=OR","SCALING_FORMAT=MLN","FA_ADJUSTED=Adjusted","Sort=A","Dates=H","DateFormat=P","Fill=—","Direction=H","UseDPDF=Y")</f>
        <v>13729</v>
      </c>
      <c r="Z11" s="16">
        <f>_xll.BDH("XOM US Equity","GROSS_PROFIT","FQ2 2014","FQ2 2014","Currency=USD","Period=FQ","BEST_FPERIOD_OVERRIDE=FQ","FILING_STATUS=OR","SCALING_FORMAT=MLN","FA_ADJUSTED=Adjusted","Sort=A","Dates=H","DateFormat=P","Fill=—","Direction=H","UseDPDF=Y")</f>
        <v>12391</v>
      </c>
      <c r="AA11" s="16">
        <f>_xll.BDH("XOM US Equity","GROSS_PROFIT","FQ3 2014","FQ3 2014","Currency=USD","Period=FQ","BEST_FPERIOD_OVERRIDE=FQ","FILING_STATUS=OR","SCALING_FORMAT=MLN","FA_ADJUSTED=Adjusted","Sort=A","Dates=H","DateFormat=P","Fill=—","Direction=H","UseDPDF=Y")</f>
        <v>13062</v>
      </c>
      <c r="AB11" s="16">
        <f>_xll.BDH("XOM US Equity","GROSS_PROFIT","FQ4 2014","FQ4 2014","Currency=USD","Period=FQ","BEST_FPERIOD_OVERRIDE=FQ","FILING_STATUS=OR","SCALING_FORMAT=MLN","FA_ADJUSTED=Adjusted","Sort=A","Dates=H","DateFormat=P","Fill=—","Direction=H","UseDPDF=Y")</f>
        <v>9167</v>
      </c>
      <c r="AC11" s="16">
        <f>_xll.BDH("XOM US Equity","GROSS_PROFIT","FQ1 2015","FQ1 2015","Currency=USD","Period=FQ","BEST_FPERIOD_OVERRIDE=FQ","FILING_STATUS=OR","SCALING_FORMAT=MLN","FA_ADJUSTED=Adjusted","Sort=A","Dates=H","DateFormat=P","Fill=—","Direction=H","UseDPDF=Y")</f>
        <v>6887</v>
      </c>
      <c r="AD11" s="16">
        <f>_xll.BDH("XOM US Equity","GROSS_PROFIT","FQ2 2015","FQ2 2015","Currency=USD","Period=FQ","BEST_FPERIOD_OVERRIDE=FQ","FILING_STATUS=OR","SCALING_FORMAT=MLN","FA_ADJUSTED=Adjusted","Sort=A","Dates=H","DateFormat=P","Fill=—","Direction=H","UseDPDF=Y")</f>
        <v>7487</v>
      </c>
      <c r="AE11" s="16">
        <f>_xll.BDH("XOM US Equity","GROSS_PROFIT","FQ3 2015","FQ3 2015","Currency=USD","Period=FQ","BEST_FPERIOD_OVERRIDE=FQ","FILING_STATUS=OR","SCALING_FORMAT=MLN","FA_ADJUSTED=Adjusted","Sort=A","Dates=H","DateFormat=P","Fill=—","Direction=H","UseDPDF=Y")</f>
        <v>7453</v>
      </c>
      <c r="AF11" s="16">
        <f>_xll.BDH("XOM US Equity","GROSS_PROFIT","FQ4 2015","FQ4 2015","Currency=USD","Period=FQ","BEST_FPERIOD_OVERRIDE=FQ","FILING_STATUS=OR","SCALING_FORMAT=MLN","FA_ADJUSTED=Adjusted","Sort=A","Dates=H","DateFormat=P","Fill=—","Direction=H","UseDPDF=Y")</f>
        <v>4080</v>
      </c>
      <c r="AG11" s="16">
        <f>_xll.BDH("XOM US Equity","GROSS_PROFIT","FQ1 2016","FQ1 2016","Currency=USD","Period=FQ","BEST_FPERIOD_OVERRIDE=FQ","FILING_STATUS=OR","SCALING_FORMAT=MLN","FA_ADJUSTED=Adjusted","Sort=A","Dates=H","DateFormat=P","Fill=—","Direction=H","UseDPDF=Y")</f>
        <v>3153</v>
      </c>
      <c r="AH11" s="16">
        <f>_xll.BDH("XOM US Equity","GROSS_PROFIT","FQ2 2016","FQ2 2016","Currency=USD","Period=FQ","BEST_FPERIOD_OVERRIDE=FQ","FILING_STATUS=OR","SCALING_FORMAT=MLN","FA_ADJUSTED=Adjusted","Sort=A","Dates=H","DateFormat=P","Fill=—","Direction=H","UseDPDF=Y")</f>
        <v>4228</v>
      </c>
      <c r="AI11" s="16">
        <f>_xll.BDH("XOM US Equity","GROSS_PROFIT","FQ3 2016","FQ3 2016","Currency=USD","Period=FQ","BEST_FPERIOD_OVERRIDE=FQ","FILING_STATUS=OR","SCALING_FORMAT=MLN","FA_ADJUSTED=Adjusted","Sort=A","Dates=H","DateFormat=P","Fill=—","Direction=H","UseDPDF=Y")</f>
        <v>4485</v>
      </c>
      <c r="AJ11" s="16">
        <f>_xll.BDH("XOM US Equity","GROSS_PROFIT","FQ4 2016","FQ4 2016","Currency=USD","Period=FQ","BEST_FPERIOD_OVERRIDE=FQ","FILING_STATUS=OR","SCALING_FORMAT=MLN","FA_ADJUSTED=Adjusted","Sort=A","Dates=H","DateFormat=P","Fill=—","Direction=H","UseDPDF=Y")</f>
        <v>1336</v>
      </c>
      <c r="AK11" s="16">
        <f>_xll.BDH("XOM US Equity","GROSS_PROFIT","FQ1 2017","FQ1 2017","Currency=USD","Period=FQ","BEST_FPERIOD_OVERRIDE=FQ","FILING_STATUS=OR","SCALING_FORMAT=MLN","FA_ADJUSTED=Adjusted","Sort=A","Dates=H","DateFormat=P","Fill=—","Direction=H","UseDPDF=Y")</f>
        <v>6755</v>
      </c>
      <c r="AL11" s="16">
        <f>_xll.BDH("XOM US Equity","GROSS_PROFIT","FQ2 2017","FQ2 2017","Currency=USD","Period=FQ","BEST_FPERIOD_OVERRIDE=FQ","FILING_STATUS=OR","SCALING_FORMAT=MLN","FA_ADJUSTED=Adjusted","Sort=A","Dates=H","DateFormat=P","Fill=—","Direction=H","UseDPDF=Y")</f>
        <v>5405</v>
      </c>
      <c r="AM11" s="16">
        <f>_xll.BDH("XOM US Equity","GROSS_PROFIT","FQ3 2017","FQ3 2017","Currency=USD","Period=FQ","BEST_FPERIOD_OVERRIDE=FQ","FILING_STATUS=OR","SCALING_FORMAT=MLN","FA_ADJUSTED=Adjusted","Sort=A","Dates=H","DateFormat=P","Fill=—","Direction=H","UseDPDF=Y")</f>
        <v>6953</v>
      </c>
      <c r="AN11" s="16">
        <f>_xll.BDH("XOM US Equity","GROSS_PROFIT","FQ4 2017","FQ4 2017","Currency=USD","Period=FQ","BEST_FPERIOD_OVERRIDE=FQ","FILING_STATUS=OR","SCALING_FORMAT=MLN","FA_ADJUSTED=Adjusted","Sort=A","Dates=H","DateFormat=P","Fill=—","Direction=H","UseDPDF=Y")</f>
        <v>4595</v>
      </c>
      <c r="AO11" s="16">
        <f>_xll.BDH("XOM US Equity","GROSS_PROFIT","FQ1 2018","FQ1 2018","Currency=USD","Period=FQ","BEST_FPERIOD_OVERRIDE=FQ","FILING_STATUS=OR","SCALING_FORMAT=MLN","FA_ADJUSTED=Adjusted","Sort=A","Dates=H","DateFormat=P","Fill=—","Direction=H","UseDPDF=Y")</f>
        <v>8040</v>
      </c>
      <c r="AP11" s="16">
        <f>_xll.BDH("XOM US Equity","GROSS_PROFIT","FQ2 2018","FQ2 2018","Currency=USD","Period=FQ","BEST_FPERIOD_OVERRIDE=FQ","FILING_STATUS=OR","SCALING_FORMAT=MLN","FA_ADJUSTED=Adjusted","Sort=A","Dates=H","DateFormat=P","Fill=—","Direction=H","UseDPDF=Y")</f>
        <v>8247</v>
      </c>
    </row>
    <row r="12" spans="1:42" x14ac:dyDescent="0.25">
      <c r="A12" s="10" t="s">
        <v>98</v>
      </c>
      <c r="B12" s="10" t="s">
        <v>99</v>
      </c>
      <c r="C12" s="13" t="str">
        <f>_xll.BDH("XOM US Equity","IS_OTHER_OPER_INC","FQ3 2008","FQ3 2008","Currency=USD","Period=FQ","BEST_FPERIOD_OVERRIDE=FQ","FILING_STATUS=OR","SCALING_FORMAT=MLN","FA_ADJUSTED=Adjusted","Sort=A","Dates=H","DateFormat=P","Fill=—","Direction=H","UseDPDF=Y")</f>
        <v>—</v>
      </c>
      <c r="D12" s="13" t="str">
        <f>_xll.BDH("XOM US Equity","IS_OTHER_OPER_INC","FQ4 2008","FQ4 2008","Currency=USD","Period=FQ","BEST_FPERIOD_OVERRIDE=FQ","FILING_STATUS=OR","SCALING_FORMAT=MLN","FA_ADJUSTED=Adjusted","Sort=A","Dates=H","DateFormat=P","Fill=—","Direction=H","UseDPDF=Y")</f>
        <v>—</v>
      </c>
      <c r="E12" s="13">
        <f>_xll.BDH("XOM US Equity","IS_OTHER_OPER_INC","FQ1 2009","FQ1 2009","Currency=USD","Period=FQ","BEST_FPERIOD_OVERRIDE=FQ","FILING_STATUS=OR","SCALING_FORMAT=MLN","FA_ADJUSTED=Adjusted","Sort=A","Dates=H","DateFormat=P","Fill=—","Direction=H","UseDPDF=Y")</f>
        <v>0</v>
      </c>
      <c r="F12" s="13">
        <f>_xll.BDH("XOM US Equity","IS_OTHER_OPER_INC","FQ2 2009","FQ2 2009","Currency=USD","Period=FQ","BEST_FPERIOD_OVERRIDE=FQ","FILING_STATUS=OR","SCALING_FORMAT=MLN","FA_ADJUSTED=Adjusted","Sort=A","Dates=H","DateFormat=P","Fill=—","Direction=H","UseDPDF=Y")</f>
        <v>0</v>
      </c>
      <c r="G12" s="13">
        <f>_xll.BDH("XOM US Equity","IS_OTHER_OPER_INC","FQ3 2009","FQ3 2009","Currency=USD","Period=FQ","BEST_FPERIOD_OVERRIDE=FQ","FILING_STATUS=OR","SCALING_FORMAT=MLN","FA_ADJUSTED=Adjusted","Sort=A","Dates=H","DateFormat=P","Fill=—","Direction=H","UseDPDF=Y")</f>
        <v>0</v>
      </c>
      <c r="H12" s="13">
        <f>_xll.BDH("XOM US Equity","IS_OTHER_OPER_INC","FQ4 2009","FQ4 2009","Currency=USD","Period=FQ","BEST_FPERIOD_OVERRIDE=FQ","FILING_STATUS=OR","SCALING_FORMAT=MLN","FA_ADJUSTED=Adjusted","Sort=A","Dates=H","DateFormat=P","Fill=—","Direction=H","UseDPDF=Y")</f>
        <v>0</v>
      </c>
      <c r="I12" s="13">
        <f>_xll.BDH("XOM US Equity","IS_OTHER_OPER_INC","FQ1 2010","FQ1 2010","Currency=USD","Period=FQ","BEST_FPERIOD_OVERRIDE=FQ","FILING_STATUS=OR","SCALING_FORMAT=MLN","FA_ADJUSTED=Adjusted","Sort=A","Dates=H","DateFormat=P","Fill=—","Direction=H","UseDPDF=Y")</f>
        <v>0</v>
      </c>
      <c r="J12" s="13">
        <f>_xll.BDH("XOM US Equity","IS_OTHER_OPER_INC","FQ2 2010","FQ2 2010","Currency=USD","Period=FQ","BEST_FPERIOD_OVERRIDE=FQ","FILING_STATUS=OR","SCALING_FORMAT=MLN","FA_ADJUSTED=Adjusted","Sort=A","Dates=H","DateFormat=P","Fill=—","Direction=H","UseDPDF=Y")</f>
        <v>0</v>
      </c>
      <c r="K12" s="13">
        <f>_xll.BDH("XOM US Equity","IS_OTHER_OPER_INC","FQ3 2010","FQ3 2010","Currency=USD","Period=FQ","BEST_FPERIOD_OVERRIDE=FQ","FILING_STATUS=OR","SCALING_FORMAT=MLN","FA_ADJUSTED=Adjusted","Sort=A","Dates=H","DateFormat=P","Fill=—","Direction=H","UseDPDF=Y")</f>
        <v>0</v>
      </c>
      <c r="L12" s="13">
        <f>_xll.BDH("XOM US Equity","IS_OTHER_OPER_INC","FQ4 2010","FQ4 2010","Currency=USD","Period=FQ","BEST_FPERIOD_OVERRIDE=FQ","FILING_STATUS=OR","SCALING_FORMAT=MLN","FA_ADJUSTED=Adjusted","Sort=A","Dates=H","DateFormat=P","Fill=—","Direction=H","UseDPDF=Y")</f>
        <v>0</v>
      </c>
      <c r="M12" s="13">
        <f>_xll.BDH("XOM US Equity","IS_OTHER_OPER_INC","FQ1 2011","FQ1 2011","Currency=USD","Period=FQ","BEST_FPERIOD_OVERRIDE=FQ","FILING_STATUS=OR","SCALING_FORMAT=MLN","FA_ADJUSTED=Adjusted","Sort=A","Dates=H","DateFormat=P","Fill=—","Direction=H","UseDPDF=Y")</f>
        <v>0</v>
      </c>
      <c r="N12" s="13">
        <f>_xll.BDH("XOM US Equity","IS_OTHER_OPER_INC","FQ2 2011","FQ2 2011","Currency=USD","Period=FQ","BEST_FPERIOD_OVERRIDE=FQ","FILING_STATUS=OR","SCALING_FORMAT=MLN","FA_ADJUSTED=Adjusted","Sort=A","Dates=H","DateFormat=P","Fill=—","Direction=H","UseDPDF=Y")</f>
        <v>0</v>
      </c>
      <c r="O12" s="13">
        <f>_xll.BDH("XOM US Equity","IS_OTHER_OPER_INC","FQ3 2011","FQ3 2011","Currency=USD","Period=FQ","BEST_FPERIOD_OVERRIDE=FQ","FILING_STATUS=OR","SCALING_FORMAT=MLN","FA_ADJUSTED=Adjusted","Sort=A","Dates=H","DateFormat=P","Fill=—","Direction=H","UseDPDF=Y")</f>
        <v>0</v>
      </c>
      <c r="P12" s="13">
        <f>_xll.BDH("XOM US Equity","IS_OTHER_OPER_INC","FQ4 2011","FQ4 2011","Currency=USD","Period=FQ","BEST_FPERIOD_OVERRIDE=FQ","FILING_STATUS=OR","SCALING_FORMAT=MLN","FA_ADJUSTED=Adjusted","Sort=A","Dates=H","DateFormat=P","Fill=—","Direction=H","UseDPDF=Y")</f>
        <v>0</v>
      </c>
      <c r="Q12" s="13">
        <f>_xll.BDH("XOM US Equity","IS_OTHER_OPER_INC","FQ1 2012","FQ1 2012","Currency=USD","Period=FQ","BEST_FPERIOD_OVERRIDE=FQ","FILING_STATUS=OR","SCALING_FORMAT=MLN","FA_ADJUSTED=Adjusted","Sort=A","Dates=H","DateFormat=P","Fill=—","Direction=H","UseDPDF=Y")</f>
        <v>0</v>
      </c>
      <c r="R12" s="13">
        <f>_xll.BDH("XOM US Equity","IS_OTHER_OPER_INC","FQ2 2012","FQ2 2012","Currency=USD","Period=FQ","BEST_FPERIOD_OVERRIDE=FQ","FILING_STATUS=OR","SCALING_FORMAT=MLN","FA_ADJUSTED=Adjusted","Sort=A","Dates=H","DateFormat=P","Fill=—","Direction=H","UseDPDF=Y")</f>
        <v>0</v>
      </c>
      <c r="S12" s="13">
        <f>_xll.BDH("XOM US Equity","IS_OTHER_OPER_INC","FQ3 2012","FQ3 2012","Currency=USD","Period=FQ","BEST_FPERIOD_OVERRIDE=FQ","FILING_STATUS=OR","SCALING_FORMAT=MLN","FA_ADJUSTED=Adjusted","Sort=A","Dates=H","DateFormat=P","Fill=—","Direction=H","UseDPDF=Y")</f>
        <v>0</v>
      </c>
      <c r="T12" s="13">
        <f>_xll.BDH("XOM US Equity","IS_OTHER_OPER_INC","FQ4 2012","FQ4 2012","Currency=USD","Period=FQ","BEST_FPERIOD_OVERRIDE=FQ","FILING_STATUS=OR","SCALING_FORMAT=MLN","FA_ADJUSTED=Adjusted","Sort=A","Dates=H","DateFormat=P","Fill=—","Direction=H","UseDPDF=Y")</f>
        <v>0</v>
      </c>
      <c r="U12" s="13">
        <f>_xll.BDH("XOM US Equity","IS_OTHER_OPER_INC","FQ1 2013","FQ1 2013","Currency=USD","Period=FQ","BEST_FPERIOD_OVERRIDE=FQ","FILING_STATUS=OR","SCALING_FORMAT=MLN","FA_ADJUSTED=Adjusted","Sort=A","Dates=H","DateFormat=P","Fill=—","Direction=H","UseDPDF=Y")</f>
        <v>0</v>
      </c>
      <c r="V12" s="13">
        <f>_xll.BDH("XOM US Equity","IS_OTHER_OPER_INC","FQ2 2013","FQ2 2013","Currency=USD","Period=FQ","BEST_FPERIOD_OVERRIDE=FQ","FILING_STATUS=OR","SCALING_FORMAT=MLN","FA_ADJUSTED=Adjusted","Sort=A","Dates=H","DateFormat=P","Fill=—","Direction=H","UseDPDF=Y")</f>
        <v>0</v>
      </c>
      <c r="W12" s="13">
        <f>_xll.BDH("XOM US Equity","IS_OTHER_OPER_INC","FQ3 2013","FQ3 2013","Currency=USD","Period=FQ","BEST_FPERIOD_OVERRIDE=FQ","FILING_STATUS=OR","SCALING_FORMAT=MLN","FA_ADJUSTED=Adjusted","Sort=A","Dates=H","DateFormat=P","Fill=—","Direction=H","UseDPDF=Y")</f>
        <v>0</v>
      </c>
      <c r="X12" s="13">
        <f>_xll.BDH("XOM US Equity","IS_OTHER_OPER_INC","FQ4 2013","FQ4 2013","Currency=USD","Period=FQ","BEST_FPERIOD_OVERRIDE=FQ","FILING_STATUS=OR","SCALING_FORMAT=MLN","FA_ADJUSTED=Adjusted","Sort=A","Dates=H","DateFormat=P","Fill=—","Direction=H","UseDPDF=Y")</f>
        <v>0</v>
      </c>
      <c r="Y12" s="13">
        <f>_xll.BDH("XOM US Equity","IS_OTHER_OPER_INC","FQ1 2014","FQ1 2014","Currency=USD","Period=FQ","BEST_FPERIOD_OVERRIDE=FQ","FILING_STATUS=OR","SCALING_FORMAT=MLN","FA_ADJUSTED=Adjusted","Sort=A","Dates=H","DateFormat=P","Fill=—","Direction=H","UseDPDF=Y")</f>
        <v>0</v>
      </c>
      <c r="Z12" s="13">
        <f>_xll.BDH("XOM US Equity","IS_OTHER_OPER_INC","FQ2 2014","FQ2 2014","Currency=USD","Period=FQ","BEST_FPERIOD_OVERRIDE=FQ","FILING_STATUS=OR","SCALING_FORMAT=MLN","FA_ADJUSTED=Adjusted","Sort=A","Dates=H","DateFormat=P","Fill=—","Direction=H","UseDPDF=Y")</f>
        <v>0</v>
      </c>
      <c r="AA12" s="13">
        <f>_xll.BDH("XOM US Equity","IS_OTHER_OPER_INC","FQ3 2014","FQ3 2014","Currency=USD","Period=FQ","BEST_FPERIOD_OVERRIDE=FQ","FILING_STATUS=OR","SCALING_FORMAT=MLN","FA_ADJUSTED=Adjusted","Sort=A","Dates=H","DateFormat=P","Fill=—","Direction=H","UseDPDF=Y")</f>
        <v>0</v>
      </c>
      <c r="AB12" s="13">
        <f>_xll.BDH("XOM US Equity","IS_OTHER_OPER_INC","FQ4 2014","FQ4 2014","Currency=USD","Period=FQ","BEST_FPERIOD_OVERRIDE=FQ","FILING_STATUS=OR","SCALING_FORMAT=MLN","FA_ADJUSTED=Adjusted","Sort=A","Dates=H","DateFormat=P","Fill=—","Direction=H","UseDPDF=Y")</f>
        <v>0</v>
      </c>
      <c r="AC12" s="13">
        <f>_xll.BDH("XOM US Equity","IS_OTHER_OPER_INC","FQ1 2015","FQ1 2015","Currency=USD","Period=FQ","BEST_FPERIOD_OVERRIDE=FQ","FILING_STATUS=OR","SCALING_FORMAT=MLN","FA_ADJUSTED=Adjusted","Sort=A","Dates=H","DateFormat=P","Fill=—","Direction=H","UseDPDF=Y")</f>
        <v>0</v>
      </c>
      <c r="AD12" s="13">
        <f>_xll.BDH("XOM US Equity","IS_OTHER_OPER_INC","FQ2 2015","FQ2 2015","Currency=USD","Period=FQ","BEST_FPERIOD_OVERRIDE=FQ","FILING_STATUS=OR","SCALING_FORMAT=MLN","FA_ADJUSTED=Adjusted","Sort=A","Dates=H","DateFormat=P","Fill=—","Direction=H","UseDPDF=Y")</f>
        <v>0</v>
      </c>
      <c r="AE12" s="13">
        <f>_xll.BDH("XOM US Equity","IS_OTHER_OPER_INC","FQ3 2015","FQ3 2015","Currency=USD","Period=FQ","BEST_FPERIOD_OVERRIDE=FQ","FILING_STATUS=OR","SCALING_FORMAT=MLN","FA_ADJUSTED=Adjusted","Sort=A","Dates=H","DateFormat=P","Fill=—","Direction=H","UseDPDF=Y")</f>
        <v>0</v>
      </c>
      <c r="AF12" s="13">
        <f>_xll.BDH("XOM US Equity","IS_OTHER_OPER_INC","FQ4 2015","FQ4 2015","Currency=USD","Period=FQ","BEST_FPERIOD_OVERRIDE=FQ","FILING_STATUS=OR","SCALING_FORMAT=MLN","FA_ADJUSTED=Adjusted","Sort=A","Dates=H","DateFormat=P","Fill=—","Direction=H","UseDPDF=Y")</f>
        <v>0</v>
      </c>
      <c r="AG12" s="13">
        <f>_xll.BDH("XOM US Equity","IS_OTHER_OPER_INC","FQ1 2016","FQ1 2016","Currency=USD","Period=FQ","BEST_FPERIOD_OVERRIDE=FQ","FILING_STATUS=OR","SCALING_FORMAT=MLN","FA_ADJUSTED=Adjusted","Sort=A","Dates=H","DateFormat=P","Fill=—","Direction=H","UseDPDF=Y")</f>
        <v>0</v>
      </c>
      <c r="AH12" s="13">
        <f>_xll.BDH("XOM US Equity","IS_OTHER_OPER_INC","FQ2 2016","FQ2 2016","Currency=USD","Period=FQ","BEST_FPERIOD_OVERRIDE=FQ","FILING_STATUS=OR","SCALING_FORMAT=MLN","FA_ADJUSTED=Adjusted","Sort=A","Dates=H","DateFormat=P","Fill=—","Direction=H","UseDPDF=Y")</f>
        <v>0</v>
      </c>
      <c r="AI12" s="13">
        <f>_xll.BDH("XOM US Equity","IS_OTHER_OPER_INC","FQ3 2016","FQ3 2016","Currency=USD","Period=FQ","BEST_FPERIOD_OVERRIDE=FQ","FILING_STATUS=OR","SCALING_FORMAT=MLN","FA_ADJUSTED=Adjusted","Sort=A","Dates=H","DateFormat=P","Fill=—","Direction=H","UseDPDF=Y")</f>
        <v>0</v>
      </c>
      <c r="AJ12" s="13">
        <f>_xll.BDH("XOM US Equity","IS_OTHER_OPER_INC","FQ4 2016","FQ4 2016","Currency=USD","Period=FQ","BEST_FPERIOD_OVERRIDE=FQ","FILING_STATUS=OR","SCALING_FORMAT=MLN","FA_ADJUSTED=Adjusted","Sort=A","Dates=H","DateFormat=P","Fill=—","Direction=H","UseDPDF=Y")</f>
        <v>0</v>
      </c>
      <c r="AK12" s="13">
        <f>_xll.BDH("XOM US Equity","IS_OTHER_OPER_INC","FQ1 2017","FQ1 2017","Currency=USD","Period=FQ","BEST_FPERIOD_OVERRIDE=FQ","FILING_STATUS=OR","SCALING_FORMAT=MLN","FA_ADJUSTED=Adjusted","Sort=A","Dates=H","DateFormat=P","Fill=—","Direction=H","UseDPDF=Y")</f>
        <v>0</v>
      </c>
      <c r="AL12" s="13">
        <f>_xll.BDH("XOM US Equity","IS_OTHER_OPER_INC","FQ2 2017","FQ2 2017","Currency=USD","Period=FQ","BEST_FPERIOD_OVERRIDE=FQ","FILING_STATUS=OR","SCALING_FORMAT=MLN","FA_ADJUSTED=Adjusted","Sort=A","Dates=H","DateFormat=P","Fill=—","Direction=H","UseDPDF=Y")</f>
        <v>0</v>
      </c>
      <c r="AM12" s="13">
        <f>_xll.BDH("XOM US Equity","IS_OTHER_OPER_INC","FQ3 2017","FQ3 2017","Currency=USD","Period=FQ","BEST_FPERIOD_OVERRIDE=FQ","FILING_STATUS=OR","SCALING_FORMAT=MLN","FA_ADJUSTED=Adjusted","Sort=A","Dates=H","DateFormat=P","Fill=—","Direction=H","UseDPDF=Y")</f>
        <v>0</v>
      </c>
      <c r="AN12" s="13">
        <f>_xll.BDH("XOM US Equity","IS_OTHER_OPER_INC","FQ4 2017","FQ4 2017","Currency=USD","Period=FQ","BEST_FPERIOD_OVERRIDE=FQ","FILING_STATUS=OR","SCALING_FORMAT=MLN","FA_ADJUSTED=Adjusted","Sort=A","Dates=H","DateFormat=P","Fill=—","Direction=H","UseDPDF=Y")</f>
        <v>1112</v>
      </c>
      <c r="AO12" s="13">
        <f>_xll.BDH("XOM US Equity","IS_OTHER_OPER_INC","FQ1 2018","FQ1 2018","Currency=USD","Period=FQ","BEST_FPERIOD_OVERRIDE=FQ","FILING_STATUS=OR","SCALING_FORMAT=MLN","FA_ADJUSTED=Adjusted","Sort=A","Dates=H","DateFormat=P","Fill=—","Direction=H","UseDPDF=Y")</f>
        <v>0</v>
      </c>
      <c r="AP12" s="13">
        <f>_xll.BDH("XOM US Equity","IS_OTHER_OPER_INC","FQ2 2018","FQ2 2018","Currency=USD","Period=FQ","BEST_FPERIOD_OVERRIDE=FQ","FILING_STATUS=OR","SCALING_FORMAT=MLN","FA_ADJUSTED=Adjusted","Sort=A","Dates=H","DateFormat=P","Fill=—","Direction=H","UseDPDF=Y")</f>
        <v>0</v>
      </c>
    </row>
    <row r="13" spans="1:42" x14ac:dyDescent="0.25">
      <c r="A13" s="10" t="s">
        <v>100</v>
      </c>
      <c r="B13" s="10" t="s">
        <v>101</v>
      </c>
      <c r="C13" s="13">
        <f>_xll.BDH("XOM US Equity","IS_OPERATING_EXPN","FQ3 2008","FQ3 2008","Currency=USD","Period=FQ","BEST_FPERIOD_OVERRIDE=FQ","FILING_STATUS=OR","SCALING_FORMAT=MLN","FA_ADJUSTED=Adjusted","Sort=A","Dates=H","DateFormat=P","Fill=—","Direction=H","UseDPDF=Y")</f>
        <v>4226</v>
      </c>
      <c r="D13" s="13">
        <f>_xll.BDH("XOM US Equity","IS_OPERATING_EXPN","FQ4 2008","FQ4 2008","Currency=USD","Period=FQ","BEST_FPERIOD_OVERRIDE=FQ","FILING_STATUS=OR","SCALING_FORMAT=MLN","FA_ADJUSTED=Adjusted","Sort=A","Dates=H","DateFormat=P","Fill=—","Direction=H","UseDPDF=Y")</f>
        <v>5049</v>
      </c>
      <c r="E13" s="13">
        <f>_xll.BDH("XOM US Equity","IS_OPERATING_EXPN","FQ1 2009","FQ1 2009","Currency=USD","Period=FQ","BEST_FPERIOD_OVERRIDE=FQ","FILING_STATUS=OR","SCALING_FORMAT=MLN","FA_ADJUSTED=Adjusted","Sort=A","Dates=H","DateFormat=P","Fill=—","Direction=H","UseDPDF=Y")</f>
        <v>3799</v>
      </c>
      <c r="F13" s="13">
        <f>_xll.BDH("XOM US Equity","IS_OPERATING_EXPN","FQ2 2009","FQ2 2009","Currency=USD","Period=FQ","BEST_FPERIOD_OVERRIDE=FQ","FILING_STATUS=OR","SCALING_FORMAT=MLN","FA_ADJUSTED=Adjusted","Sort=A","Dates=H","DateFormat=P","Fill=—","Direction=H","UseDPDF=Y")</f>
        <v>4009</v>
      </c>
      <c r="G13" s="13">
        <f>_xll.BDH("XOM US Equity","IS_OPERATING_EXPN","FQ3 2009","FQ3 2009","Currency=USD","Period=FQ","BEST_FPERIOD_OVERRIDE=FQ","FILING_STATUS=OR","SCALING_FORMAT=MLN","FA_ADJUSTED=Adjusted","Sort=A","Dates=H","DateFormat=P","Fill=—","Direction=H","UseDPDF=Y")</f>
        <v>4382</v>
      </c>
      <c r="H13" s="13">
        <f>_xll.BDH("XOM US Equity","IS_OPERATING_EXPN","FQ4 2009","FQ4 2009","Currency=USD","Period=FQ","BEST_FPERIOD_OVERRIDE=FQ","FILING_STATUS=OR","SCALING_FORMAT=MLN","FA_ADJUSTED=Adjusted","Sort=A","Dates=H","DateFormat=P","Fill=—","Direction=H","UseDPDF=Y")</f>
        <v>4566</v>
      </c>
      <c r="I13" s="13">
        <f>_xll.BDH("XOM US Equity","IS_OPERATING_EXPN","FQ1 2010","FQ1 2010","Currency=USD","Period=FQ","BEST_FPERIOD_OVERRIDE=FQ","FILING_STATUS=OR","SCALING_FORMAT=MLN","FA_ADJUSTED=Adjusted","Sort=A","Dates=H","DateFormat=P","Fill=—","Direction=H","UseDPDF=Y")</f>
        <v>4200</v>
      </c>
      <c r="J13" s="13">
        <f>_xll.BDH("XOM US Equity","IS_OPERATING_EXPN","FQ2 2010","FQ2 2010","Currency=USD","Period=FQ","BEST_FPERIOD_OVERRIDE=FQ","FILING_STATUS=OR","SCALING_FORMAT=MLN","FA_ADJUSTED=Adjusted","Sort=A","Dates=H","DateFormat=P","Fill=—","Direction=H","UseDPDF=Y")</f>
        <v>3999</v>
      </c>
      <c r="K13" s="13">
        <f>_xll.BDH("XOM US Equity","IS_OPERATING_EXPN","FQ3 2010","FQ3 2010","Currency=USD","Period=FQ","BEST_FPERIOD_OVERRIDE=FQ","FILING_STATUS=OR","SCALING_FORMAT=MLN","FA_ADJUSTED=Adjusted","Sort=A","Dates=H","DateFormat=P","Fill=—","Direction=H","UseDPDF=Y")</f>
        <v>4205</v>
      </c>
      <c r="L13" s="13">
        <f>_xll.BDH("XOM US Equity","IS_OPERATING_EXPN","FQ4 2010","FQ4 2010","Currency=USD","Period=FQ","BEST_FPERIOD_OVERRIDE=FQ","FILING_STATUS=OR","SCALING_FORMAT=MLN","FA_ADJUSTED=Adjusted","Sort=A","Dates=H","DateFormat=P","Fill=—","Direction=H","UseDPDF=Y")</f>
        <v>4405</v>
      </c>
      <c r="M13" s="13">
        <f>_xll.BDH("XOM US Equity","IS_OPERATING_EXPN","FQ1 2011","FQ1 2011","Currency=USD","Period=FQ","BEST_FPERIOD_OVERRIDE=FQ","FILING_STATUS=OR","SCALING_FORMAT=MLN","FA_ADJUSTED=Adjusted","Sort=A","Dates=H","DateFormat=P","Fill=—","Direction=H","UseDPDF=Y")</f>
        <v>3961</v>
      </c>
      <c r="N13" s="13">
        <f>_xll.BDH("XOM US Equity","IS_OPERATING_EXPN","FQ2 2011","FQ2 2011","Currency=USD","Period=FQ","BEST_FPERIOD_OVERRIDE=FQ","FILING_STATUS=OR","SCALING_FORMAT=MLN","FA_ADJUSTED=Adjusted","Sort=A","Dates=H","DateFormat=P","Fill=—","Direction=H","UseDPDF=Y")</f>
        <v>4273</v>
      </c>
      <c r="O13" s="13">
        <f>_xll.BDH("XOM US Equity","IS_OPERATING_EXPN","FQ3 2011","FQ3 2011","Currency=USD","Period=FQ","BEST_FPERIOD_OVERRIDE=FQ","FILING_STATUS=OR","SCALING_FORMAT=MLN","FA_ADJUSTED=Adjusted","Sort=A","Dates=H","DateFormat=P","Fill=—","Direction=H","UseDPDF=Y")</f>
        <v>4492</v>
      </c>
      <c r="P13" s="13">
        <f>_xll.BDH("XOM US Equity","IS_OPERATING_EXPN","FQ4 2011","FQ4 2011","Currency=USD","Period=FQ","BEST_FPERIOD_OVERRIDE=FQ","FILING_STATUS=OR","SCALING_FORMAT=MLN","FA_ADJUSTED=Adjusted","Sort=A","Dates=H","DateFormat=P","Fill=—","Direction=H","UseDPDF=Y")</f>
        <v>4338</v>
      </c>
      <c r="Q13" s="13">
        <f>_xll.BDH("XOM US Equity","IS_OPERATING_EXPN","FQ1 2012","FQ1 2012","Currency=USD","Period=FQ","BEST_FPERIOD_OVERRIDE=FQ","FILING_STATUS=OR","SCALING_FORMAT=MLN","FA_ADJUSTED=Adjusted","Sort=A","Dates=H","DateFormat=P","Fill=—","Direction=H","UseDPDF=Y")</f>
        <v>4123</v>
      </c>
      <c r="R13" s="13">
        <f>_xll.BDH("XOM US Equity","IS_OPERATING_EXPN","FQ2 2012","FQ2 2012","Currency=USD","Period=FQ","BEST_FPERIOD_OVERRIDE=FQ","FILING_STATUS=OR","SCALING_FORMAT=MLN","FA_ADJUSTED=Adjusted","Sort=A","Dates=H","DateFormat=P","Fill=—","Direction=H","UseDPDF=Y")</f>
        <v>13858</v>
      </c>
      <c r="S13" s="13">
        <f>_xll.BDH("XOM US Equity","IS_OPERATING_EXPN","FQ3 2012","FQ3 2012","Currency=USD","Period=FQ","BEST_FPERIOD_OVERRIDE=FQ","FILING_STATUS=OR","SCALING_FORMAT=MLN","FA_ADJUSTED=Adjusted","Sort=A","Dates=H","DateFormat=P","Fill=—","Direction=H","UseDPDF=Y")</f>
        <v>3962</v>
      </c>
      <c r="T13" s="13">
        <f>_xll.BDH("XOM US Equity","IS_OPERATING_EXPN","FQ4 2012","FQ4 2012","Currency=USD","Period=FQ","BEST_FPERIOD_OVERRIDE=FQ","FILING_STATUS=OR","SCALING_FORMAT=MLN","FA_ADJUSTED=Adjusted","Sort=A","Dates=H","DateFormat=P","Fill=—","Direction=H","UseDPDF=Y")</f>
        <v>4697.0769</v>
      </c>
      <c r="U13" s="13">
        <f>_xll.BDH("XOM US Equity","IS_OPERATING_EXPN","FQ1 2013","FQ1 2013","Currency=USD","Period=FQ","BEST_FPERIOD_OVERRIDE=FQ","FILING_STATUS=OR","SCALING_FORMAT=MLN","FA_ADJUSTED=Adjusted","Sort=A","Dates=H","DateFormat=P","Fill=—","Direction=H","UseDPDF=Y")</f>
        <v>3563</v>
      </c>
      <c r="V13" s="13">
        <f>_xll.BDH("XOM US Equity","IS_OPERATING_EXPN","FQ2 2013","FQ2 2013","Currency=USD","Period=FQ","BEST_FPERIOD_OVERRIDE=FQ","FILING_STATUS=OR","SCALING_FORMAT=MLN","FA_ADJUSTED=Adjusted","Sort=A","Dates=H","DateFormat=P","Fill=—","Direction=H","UseDPDF=Y")</f>
        <v>3722</v>
      </c>
      <c r="W13" s="13">
        <f>_xll.BDH("XOM US Equity","IS_OPERATING_EXPN","FQ3 2013","FQ3 2013","Currency=USD","Period=FQ","BEST_FPERIOD_OVERRIDE=FQ","FILING_STATUS=OR","SCALING_FORMAT=MLN","FA_ADJUSTED=Adjusted","Sort=A","Dates=H","DateFormat=P","Fill=—","Direction=H","UseDPDF=Y")</f>
        <v>3636</v>
      </c>
      <c r="X13" s="13">
        <f>_xll.BDH("XOM US Equity","IS_OPERATING_EXPN","FQ4 2013","FQ4 2013","Currency=USD","Period=FQ","BEST_FPERIOD_OVERRIDE=FQ","FILING_STATUS=OR","SCALING_FORMAT=MLN","FA_ADJUSTED=Adjusted","Sort=A","Dates=H","DateFormat=P","Fill=—","Direction=H","UseDPDF=Y")</f>
        <v>3932</v>
      </c>
      <c r="Y13" s="13">
        <f>_xll.BDH("XOM US Equity","IS_OPERATING_EXPN","FQ1 2014","FQ1 2014","Currency=USD","Period=FQ","BEST_FPERIOD_OVERRIDE=FQ","FILING_STATUS=OR","SCALING_FORMAT=MLN","FA_ADJUSTED=Adjusted","Sort=A","Dates=H","DateFormat=P","Fill=—","Direction=H","UseDPDF=Y")</f>
        <v>3449</v>
      </c>
      <c r="Z13" s="13">
        <f>_xll.BDH("XOM US Equity","IS_OPERATING_EXPN","FQ2 2014","FQ2 2014","Currency=USD","Period=FQ","BEST_FPERIOD_OVERRIDE=FQ","FILING_STATUS=OR","SCALING_FORMAT=MLN","FA_ADJUSTED=Adjusted","Sort=A","Dates=H","DateFormat=P","Fill=—","Direction=H","UseDPDF=Y")</f>
        <v>3665</v>
      </c>
      <c r="AA13" s="13">
        <f>_xll.BDH("XOM US Equity","IS_OPERATING_EXPN","FQ3 2014","FQ3 2014","Currency=USD","Period=FQ","BEST_FPERIOD_OVERRIDE=FQ","FILING_STATUS=OR","SCALING_FORMAT=MLN","FA_ADJUSTED=Adjusted","Sort=A","Dates=H","DateFormat=P","Fill=—","Direction=H","UseDPDF=Y")</f>
        <v>3488</v>
      </c>
      <c r="AB13" s="13">
        <f>_xll.BDH("XOM US Equity","IS_OPERATING_EXPN","FQ4 2014","FQ4 2014","Currency=USD","Period=FQ","BEST_FPERIOD_OVERRIDE=FQ","FILING_STATUS=OR","SCALING_FORMAT=MLN","FA_ADJUSTED=Adjusted","Sort=A","Dates=H","DateFormat=P","Fill=—","Direction=H","UseDPDF=Y")</f>
        <v>4078.8462</v>
      </c>
      <c r="AC13" s="13">
        <f>_xll.BDH("XOM US Equity","IS_OPERATING_EXPN","FQ1 2015","FQ1 2015","Currency=USD","Period=FQ","BEST_FPERIOD_OVERRIDE=FQ","FILING_STATUS=OR","SCALING_FORMAT=MLN","FA_ADJUSTED=Adjusted","Sort=A","Dates=H","DateFormat=P","Fill=—","Direction=H","UseDPDF=Y")</f>
        <v>3024</v>
      </c>
      <c r="AD13" s="13">
        <f>_xll.BDH("XOM US Equity","IS_OPERATING_EXPN","FQ2 2015","FQ2 2015","Currency=USD","Period=FQ","BEST_FPERIOD_OVERRIDE=FQ","FILING_STATUS=OR","SCALING_FORMAT=MLN","FA_ADJUSTED=Adjusted","Sort=A","Dates=H","DateFormat=P","Fill=—","Direction=H","UseDPDF=Y")</f>
        <v>3201</v>
      </c>
      <c r="AE13" s="13">
        <f>_xll.BDH("XOM US Equity","IS_OPERATING_EXPN","FQ3 2015","FQ3 2015","Currency=USD","Period=FQ","BEST_FPERIOD_OVERRIDE=FQ","FILING_STATUS=OR","SCALING_FORMAT=MLN","FA_ADJUSTED=Adjusted","Sort=A","Dates=H","DateFormat=P","Fill=—","Direction=H","UseDPDF=Y")</f>
        <v>3291</v>
      </c>
      <c r="AF13" s="13">
        <f>_xll.BDH("XOM US Equity","IS_OPERATING_EXPN","FQ4 2015","FQ4 2015","Currency=USD","Period=FQ","BEST_FPERIOD_OVERRIDE=FQ","FILING_STATUS=OR","SCALING_FORMAT=MLN","FA_ADJUSTED=Adjusted","Sort=A","Dates=H","DateFormat=P","Fill=—","Direction=H","UseDPDF=Y")</f>
        <v>3508</v>
      </c>
      <c r="AG13" s="13">
        <f>_xll.BDH("XOM US Equity","IS_OPERATING_EXPN","FQ1 2016","FQ1 2016","Currency=USD","Period=FQ","BEST_FPERIOD_OVERRIDE=FQ","FILING_STATUS=OR","SCALING_FORMAT=MLN","FA_ADJUSTED=Adjusted","Sort=A","Dates=H","DateFormat=P","Fill=—","Direction=H","UseDPDF=Y")</f>
        <v>2948</v>
      </c>
      <c r="AH13" s="13">
        <f>_xll.BDH("XOM US Equity","IS_OPERATING_EXPN","FQ2 2016","FQ2 2016","Currency=USD","Period=FQ","BEST_FPERIOD_OVERRIDE=FQ","FILING_STATUS=OR","SCALING_FORMAT=MLN","FA_ADJUSTED=Adjusted","Sort=A","Dates=H","DateFormat=P","Fill=—","Direction=H","UseDPDF=Y")</f>
        <v>3091</v>
      </c>
      <c r="AI13" s="13">
        <f>_xll.BDH("XOM US Equity","IS_OPERATING_EXPN","FQ3 2016","FQ3 2016","Currency=USD","Period=FQ","BEST_FPERIOD_OVERRIDE=FQ","FILING_STATUS=OR","SCALING_FORMAT=MLN","FA_ADJUSTED=Adjusted","Sort=A","Dates=H","DateFormat=P","Fill=—","Direction=H","UseDPDF=Y")</f>
        <v>3063</v>
      </c>
      <c r="AJ13" s="13">
        <f>_xll.BDH("XOM US Equity","IS_OPERATING_EXPN","FQ4 2016","FQ4 2016","Currency=USD","Period=FQ","BEST_FPERIOD_OVERRIDE=FQ","FILING_STATUS=OR","SCALING_FORMAT=MLN","FA_ADJUSTED=Adjusted","Sort=A","Dates=H","DateFormat=P","Fill=—","Direction=H","UseDPDF=Y")</f>
        <v>1137</v>
      </c>
      <c r="AK13" s="13">
        <f>_xll.BDH("XOM US Equity","IS_OPERATING_EXPN","FQ1 2017","FQ1 2017","Currency=USD","Period=FQ","BEST_FPERIOD_OVERRIDE=FQ","FILING_STATUS=OR","SCALING_FORMAT=MLN","FA_ADJUSTED=Adjusted","Sort=A","Dates=H","DateFormat=P","Fill=—","Direction=H","UseDPDF=Y")</f>
        <v>2888</v>
      </c>
      <c r="AL13" s="13">
        <f>_xll.BDH("XOM US Equity","IS_OPERATING_EXPN","FQ2 2017","FQ2 2017","Currency=USD","Period=FQ","BEST_FPERIOD_OVERRIDE=FQ","FILING_STATUS=OR","SCALING_FORMAT=MLN","FA_ADJUSTED=Adjusted","Sort=A","Dates=H","DateFormat=P","Fill=—","Direction=H","UseDPDF=Y")</f>
        <v>3142</v>
      </c>
      <c r="AM13" s="13">
        <f>_xll.BDH("XOM US Equity","IS_OPERATING_EXPN","FQ3 2017","FQ3 2017","Currency=USD","Period=FQ","BEST_FPERIOD_OVERRIDE=FQ","FILING_STATUS=OR","SCALING_FORMAT=MLN","FA_ADJUSTED=Adjusted","Sort=A","Dates=H","DateFormat=P","Fill=—","Direction=H","UseDPDF=Y")</f>
        <v>3009</v>
      </c>
      <c r="AN13" s="13">
        <f>_xll.BDH("XOM US Equity","IS_OPERATING_EXPN","FQ4 2017","FQ4 2017","Currency=USD","Period=FQ","BEST_FPERIOD_OVERRIDE=FQ","FILING_STATUS=OR","SCALING_FORMAT=MLN","FA_ADJUSTED=Adjusted","Sort=A","Dates=H","DateFormat=P","Fill=—","Direction=H","UseDPDF=Y")</f>
        <v>1716.2308</v>
      </c>
      <c r="AO13" s="13">
        <f>_xll.BDH("XOM US Equity","IS_OPERATING_EXPN","FQ1 2018","FQ1 2018","Currency=USD","Period=FQ","BEST_FPERIOD_OVERRIDE=FQ","FILING_STATUS=OR","SCALING_FORMAT=MLN","FA_ADJUSTED=Adjusted","Sort=A","Dates=H","DateFormat=P","Fill=—","Direction=H","UseDPDF=Y")</f>
        <v>3034</v>
      </c>
      <c r="AP13" s="13">
        <f>_xll.BDH("XOM US Equity","IS_OPERATING_EXPN","FQ2 2018","FQ2 2018","Currency=USD","Period=FQ","BEST_FPERIOD_OVERRIDE=FQ","FILING_STATUS=OR","SCALING_FORMAT=MLN","FA_ADJUSTED=Adjusted","Sort=A","Dates=H","DateFormat=P","Fill=—","Direction=H","UseDPDF=Y")</f>
        <v>3633</v>
      </c>
    </row>
    <row r="14" spans="1:42" x14ac:dyDescent="0.25">
      <c r="A14" s="10" t="s">
        <v>102</v>
      </c>
      <c r="B14" s="10" t="s">
        <v>103</v>
      </c>
      <c r="C14" s="13">
        <f>_xll.BDH("XOM US Equity","IS_SG&amp;A_EXPENSE","FQ3 2008","FQ3 2008","Currency=USD","Period=FQ","BEST_FPERIOD_OVERRIDE=FQ","FILING_STATUS=OR","SCALING_FORMAT=MLN","FA_ADJUSTED=Adjusted","Sort=A","Dates=H","DateFormat=P","Fill=—","Direction=H","UseDPDF=Y")</f>
        <v>3823</v>
      </c>
      <c r="D14" s="13">
        <f>_xll.BDH("XOM US Equity","IS_SG&amp;A_EXPENSE","FQ4 2008","FQ4 2008","Currency=USD","Period=FQ","BEST_FPERIOD_OVERRIDE=FQ","FILING_STATUS=OR","SCALING_FORMAT=MLN","FA_ADJUSTED=Adjusted","Sort=A","Dates=H","DateFormat=P","Fill=—","Direction=H","UseDPDF=Y")</f>
        <v>15873</v>
      </c>
      <c r="E14" s="13">
        <f>_xll.BDH("XOM US Equity","IS_SG&amp;A_EXPENSE","FQ1 2009","FQ1 2009","Currency=USD","Period=FQ","BEST_FPERIOD_OVERRIDE=FQ","FILING_STATUS=OR","SCALING_FORMAT=MLN","FA_ADJUSTED=Adjusted","Sort=A","Dates=H","DateFormat=P","Fill=—","Direction=H","UseDPDF=Y")</f>
        <v>3448</v>
      </c>
      <c r="F14" s="13">
        <f>_xll.BDH("XOM US Equity","IS_SG&amp;A_EXPENSE","FQ2 2009","FQ2 2009","Currency=USD","Period=FQ","BEST_FPERIOD_OVERRIDE=FQ","FILING_STATUS=OR","SCALING_FORMAT=MLN","FA_ADJUSTED=Adjusted","Sort=A","Dates=H","DateFormat=P","Fill=—","Direction=H","UseDPDF=Y")</f>
        <v>3519</v>
      </c>
      <c r="G14" s="13">
        <f>_xll.BDH("XOM US Equity","IS_SG&amp;A_EXPENSE","FQ3 2009","FQ3 2009","Currency=USD","Period=FQ","BEST_FPERIOD_OVERRIDE=FQ","FILING_STATUS=OR","SCALING_FORMAT=MLN","FA_ADJUSTED=Adjusted","Sort=A","Dates=H","DateFormat=P","Fill=—","Direction=H","UseDPDF=Y")</f>
        <v>3887</v>
      </c>
      <c r="H14" s="13">
        <f>_xll.BDH("XOM US Equity","IS_SG&amp;A_EXPENSE","FQ4 2009","FQ4 2009","Currency=USD","Period=FQ","BEST_FPERIOD_OVERRIDE=FQ","FILING_STATUS=OR","SCALING_FORMAT=MLN","FA_ADJUSTED=Adjusted","Sort=A","Dates=H","DateFormat=P","Fill=—","Direction=H","UseDPDF=Y")</f>
        <v>3881</v>
      </c>
      <c r="I14" s="13">
        <f>_xll.BDH("XOM US Equity","IS_SG&amp;A_EXPENSE","FQ1 2010","FQ1 2010","Currency=USD","Period=FQ","BEST_FPERIOD_OVERRIDE=FQ","FILING_STATUS=OR","SCALING_FORMAT=MLN","FA_ADJUSTED=Adjusted","Sort=A","Dates=H","DateFormat=P","Fill=—","Direction=H","UseDPDF=Y")</f>
        <v>3514</v>
      </c>
      <c r="J14" s="13">
        <f>_xll.BDH("XOM US Equity","IS_SG&amp;A_EXPENSE","FQ2 2010","FQ2 2010","Currency=USD","Period=FQ","BEST_FPERIOD_OVERRIDE=FQ","FILING_STATUS=OR","SCALING_FORMAT=MLN","FA_ADJUSTED=Adjusted","Sort=A","Dates=H","DateFormat=P","Fill=—","Direction=H","UseDPDF=Y")</f>
        <v>3607</v>
      </c>
      <c r="K14" s="13">
        <f>_xll.BDH("XOM US Equity","IS_SG&amp;A_EXPENSE","FQ3 2010","FQ3 2010","Currency=USD","Period=FQ","BEST_FPERIOD_OVERRIDE=FQ","FILING_STATUS=OR","SCALING_FORMAT=MLN","FA_ADJUSTED=Adjusted","Sort=A","Dates=H","DateFormat=P","Fill=—","Direction=H","UseDPDF=Y")</f>
        <v>3707</v>
      </c>
      <c r="L14" s="13">
        <f>_xll.BDH("XOM US Equity","IS_SG&amp;A_EXPENSE","FQ4 2010","FQ4 2010","Currency=USD","Period=FQ","BEST_FPERIOD_OVERRIDE=FQ","FILING_STATUS=OR","SCALING_FORMAT=MLN","FA_ADJUSTED=Adjusted","Sort=A","Dates=H","DateFormat=P","Fill=—","Direction=H","UseDPDF=Y")</f>
        <v>3855</v>
      </c>
      <c r="M14" s="13">
        <f>_xll.BDH("XOM US Equity","IS_SG&amp;A_EXPENSE","FQ1 2011","FQ1 2011","Currency=USD","Period=FQ","BEST_FPERIOD_OVERRIDE=FQ","FILING_STATUS=OR","SCALING_FORMAT=MLN","FA_ADJUSTED=Adjusted","Sort=A","Dates=H","DateFormat=P","Fill=—","Direction=H","UseDPDF=Y")</f>
        <v>3627</v>
      </c>
      <c r="N14" s="13">
        <f>_xll.BDH("XOM US Equity","IS_SG&amp;A_EXPENSE","FQ2 2011","FQ2 2011","Currency=USD","Period=FQ","BEST_FPERIOD_OVERRIDE=FQ","FILING_STATUS=OR","SCALING_FORMAT=MLN","FA_ADJUSTED=Adjusted","Sort=A","Dates=H","DateFormat=P","Fill=—","Direction=H","UseDPDF=Y")</f>
        <v>3681</v>
      </c>
      <c r="O14" s="13">
        <f>_xll.BDH("XOM US Equity","IS_SG&amp;A_EXPENSE","FQ3 2011","FQ3 2011","Currency=USD","Period=FQ","BEST_FPERIOD_OVERRIDE=FQ","FILING_STATUS=OR","SCALING_FORMAT=MLN","FA_ADJUSTED=Adjusted","Sort=A","Dates=H","DateFormat=P","Fill=—","Direction=H","UseDPDF=Y")</f>
        <v>3764</v>
      </c>
      <c r="P14" s="13">
        <f>_xll.BDH("XOM US Equity","IS_SG&amp;A_EXPENSE","FQ4 2011","FQ4 2011","Currency=USD","Period=FQ","BEST_FPERIOD_OVERRIDE=FQ","FILING_STATUS=OR","SCALING_FORMAT=MLN","FA_ADJUSTED=Adjusted","Sort=A","Dates=H","DateFormat=P","Fill=—","Direction=H","UseDPDF=Y")</f>
        <v>3911</v>
      </c>
      <c r="Q14" s="13">
        <f>_xll.BDH("XOM US Equity","IS_SG&amp;A_EXPENSE","FQ1 2012","FQ1 2012","Currency=USD","Period=FQ","BEST_FPERIOD_OVERRIDE=FQ","FILING_STATUS=OR","SCALING_FORMAT=MLN","FA_ADJUSTED=Adjusted","Sort=A","Dates=H","DateFormat=P","Fill=—","Direction=H","UseDPDF=Y")</f>
        <v>3601</v>
      </c>
      <c r="R14" s="13">
        <f>_xll.BDH("XOM US Equity","IS_SG&amp;A_EXPENSE","FQ2 2012","FQ2 2012","Currency=USD","Period=FQ","BEST_FPERIOD_OVERRIDE=FQ","FILING_STATUS=OR","SCALING_FORMAT=MLN","FA_ADJUSTED=Adjusted","Sort=A","Dates=H","DateFormat=P","Fill=—","Direction=H","UseDPDF=Y")</f>
        <v>3486</v>
      </c>
      <c r="S14" s="13">
        <f>_xll.BDH("XOM US Equity","IS_SG&amp;A_EXPENSE","FQ3 2012","FQ3 2012","Currency=USD","Period=FQ","BEST_FPERIOD_OVERRIDE=FQ","FILING_STATUS=OR","SCALING_FORMAT=MLN","FA_ADJUSTED=Adjusted","Sort=A","Dates=H","DateFormat=P","Fill=—","Direction=H","UseDPDF=Y")</f>
        <v>3468</v>
      </c>
      <c r="T14" s="13">
        <f>_xll.BDH("XOM US Equity","IS_SG&amp;A_EXPENSE","FQ4 2012","FQ4 2012","Currency=USD","Period=FQ","BEST_FPERIOD_OVERRIDE=FQ","FILING_STATUS=OR","SCALING_FORMAT=MLN","FA_ADJUSTED=Adjusted","Sort=A","Dates=H","DateFormat=P","Fill=—","Direction=H","UseDPDF=Y")</f>
        <v>3322</v>
      </c>
      <c r="U14" s="13">
        <f>_xll.BDH("XOM US Equity","IS_SG&amp;A_EXPENSE","FQ1 2013","FQ1 2013","Currency=USD","Period=FQ","BEST_FPERIOD_OVERRIDE=FQ","FILING_STATUS=OR","SCALING_FORMAT=MLN","FA_ADJUSTED=Adjusted","Sort=A","Dates=H","DateFormat=P","Fill=—","Direction=H","UseDPDF=Y")</f>
        <v>3118</v>
      </c>
      <c r="V14" s="13">
        <f>_xll.BDH("XOM US Equity","IS_SG&amp;A_EXPENSE","FQ2 2013","FQ2 2013","Currency=USD","Period=FQ","BEST_FPERIOD_OVERRIDE=FQ","FILING_STATUS=OR","SCALING_FORMAT=MLN","FA_ADJUSTED=Adjusted","Sort=A","Dates=H","DateFormat=P","Fill=—","Direction=H","UseDPDF=Y")</f>
        <v>3268</v>
      </c>
      <c r="W14" s="13">
        <f>_xll.BDH("XOM US Equity","IS_SG&amp;A_EXPENSE","FQ3 2013","FQ3 2013","Currency=USD","Period=FQ","BEST_FPERIOD_OVERRIDE=FQ","FILING_STATUS=OR","SCALING_FORMAT=MLN","FA_ADJUSTED=Adjusted","Sort=A","Dates=H","DateFormat=P","Fill=—","Direction=H","UseDPDF=Y")</f>
        <v>3150</v>
      </c>
      <c r="X14" s="13">
        <f>_xll.BDH("XOM US Equity","IS_SG&amp;A_EXPENSE","FQ4 2013","FQ4 2013","Currency=USD","Period=FQ","BEST_FPERIOD_OVERRIDE=FQ","FILING_STATUS=OR","SCALING_FORMAT=MLN","FA_ADJUSTED=Adjusted","Sort=A","Dates=H","DateFormat=P","Fill=—","Direction=H","UseDPDF=Y")</f>
        <v>3341</v>
      </c>
      <c r="Y14" s="13">
        <f>_xll.BDH("XOM US Equity","IS_SG&amp;A_EXPENSE","FQ1 2014","FQ1 2014","Currency=USD","Period=FQ","BEST_FPERIOD_OVERRIDE=FQ","FILING_STATUS=OR","SCALING_FORMAT=MLN","FA_ADJUSTED=Adjusted","Sort=A","Dates=H","DateFormat=P","Fill=—","Direction=H","UseDPDF=Y")</f>
        <v>3132</v>
      </c>
      <c r="Z14" s="13">
        <f>_xll.BDH("XOM US Equity","IS_SG&amp;A_EXPENSE","FQ2 2014","FQ2 2014","Currency=USD","Period=FQ","BEST_FPERIOD_OVERRIDE=FQ","FILING_STATUS=OR","SCALING_FORMAT=MLN","FA_ADJUSTED=Adjusted","Sort=A","Dates=H","DateFormat=P","Fill=—","Direction=H","UseDPDF=Y")</f>
        <v>3169</v>
      </c>
      <c r="AA14" s="13">
        <f>_xll.BDH("XOM US Equity","IS_SG&amp;A_EXPENSE","FQ3 2014","FQ3 2014","Currency=USD","Period=FQ","BEST_FPERIOD_OVERRIDE=FQ","FILING_STATUS=OR","SCALING_FORMAT=MLN","FA_ADJUSTED=Adjusted","Sort=A","Dates=H","DateFormat=P","Fill=—","Direction=H","UseDPDF=Y")</f>
        <v>3169</v>
      </c>
      <c r="AB14" s="13">
        <f>_xll.BDH("XOM US Equity","IS_SG&amp;A_EXPENSE","FQ4 2014","FQ4 2014","Currency=USD","Period=FQ","BEST_FPERIOD_OVERRIDE=FQ","FILING_STATUS=OR","SCALING_FORMAT=MLN","FA_ADJUSTED=Adjusted","Sort=A","Dates=H","DateFormat=P","Fill=—","Direction=H","UseDPDF=Y")</f>
        <v>3128</v>
      </c>
      <c r="AC14" s="13">
        <f>_xll.BDH("XOM US Equity","IS_SG&amp;A_EXPENSE","FQ1 2015","FQ1 2015","Currency=USD","Period=FQ","BEST_FPERIOD_OVERRIDE=FQ","FILING_STATUS=OR","SCALING_FORMAT=MLN","FA_ADJUSTED=Adjusted","Sort=A","Dates=H","DateFormat=P","Fill=—","Direction=H","UseDPDF=Y")</f>
        <v>2713</v>
      </c>
      <c r="AD14" s="13">
        <f>_xll.BDH("XOM US Equity","IS_SG&amp;A_EXPENSE","FQ2 2015","FQ2 2015","Currency=USD","Period=FQ","BEST_FPERIOD_OVERRIDE=FQ","FILING_STATUS=OR","SCALING_FORMAT=MLN","FA_ADJUSTED=Adjusted","Sort=A","Dates=H","DateFormat=P","Fill=—","Direction=H","UseDPDF=Y")</f>
        <v>2831</v>
      </c>
      <c r="AE14" s="13">
        <f>_xll.BDH("XOM US Equity","IS_SG&amp;A_EXPENSE","FQ3 2015","FQ3 2015","Currency=USD","Period=FQ","BEST_FPERIOD_OVERRIDE=FQ","FILING_STATUS=OR","SCALING_FORMAT=MLN","FA_ADJUSTED=Adjusted","Sort=A","Dates=H","DateFormat=P","Fill=—","Direction=H","UseDPDF=Y")</f>
        <v>2967</v>
      </c>
      <c r="AF14" s="13">
        <f>_xll.BDH("XOM US Equity","IS_SG&amp;A_EXPENSE","FQ4 2015","FQ4 2015","Currency=USD","Period=FQ","BEST_FPERIOD_OVERRIDE=FQ","FILING_STATUS=OR","SCALING_FORMAT=MLN","FA_ADJUSTED=Adjusted","Sort=A","Dates=H","DateFormat=P","Fill=—","Direction=H","UseDPDF=Y")</f>
        <v>2990</v>
      </c>
      <c r="AG14" s="13">
        <f>_xll.BDH("XOM US Equity","IS_SG&amp;A_EXPENSE","FQ1 2016","FQ1 2016","Currency=USD","Period=FQ","BEST_FPERIOD_OVERRIDE=FQ","FILING_STATUS=OR","SCALING_FORMAT=MLN","FA_ADJUSTED=Adjusted","Sort=A","Dates=H","DateFormat=P","Fill=—","Direction=H","UseDPDF=Y")</f>
        <v>2593</v>
      </c>
      <c r="AH14" s="13">
        <f>_xll.BDH("XOM US Equity","IS_SG&amp;A_EXPENSE","FQ2 2016","FQ2 2016","Currency=USD","Period=FQ","BEST_FPERIOD_OVERRIDE=FQ","FILING_STATUS=OR","SCALING_FORMAT=MLN","FA_ADJUSTED=Adjusted","Sort=A","Dates=H","DateFormat=P","Fill=—","Direction=H","UseDPDF=Y")</f>
        <v>2646</v>
      </c>
      <c r="AI14" s="13">
        <f>_xll.BDH("XOM US Equity","IS_SG&amp;A_EXPENSE","FQ3 2016","FQ3 2016","Currency=USD","Period=FQ","BEST_FPERIOD_OVERRIDE=FQ","FILING_STATUS=OR","SCALING_FORMAT=MLN","FA_ADJUSTED=Adjusted","Sort=A","Dates=H","DateFormat=P","Fill=—","Direction=H","UseDPDF=Y")</f>
        <v>2736</v>
      </c>
      <c r="AJ14" s="13">
        <f>_xll.BDH("XOM US Equity","IS_SG&amp;A_EXPENSE","FQ4 2016","FQ4 2016","Currency=USD","Period=FQ","BEST_FPERIOD_OVERRIDE=FQ","FILING_STATUS=OR","SCALING_FORMAT=MLN","FA_ADJUSTED=Adjusted","Sort=A","Dates=H","DateFormat=P","Fill=—","Direction=H","UseDPDF=Y")</f>
        <v>2824</v>
      </c>
      <c r="AK14" s="13">
        <f>_xll.BDH("XOM US Equity","IS_SG&amp;A_EXPENSE","FQ1 2017","FQ1 2017","Currency=USD","Period=FQ","BEST_FPERIOD_OVERRIDE=FQ","FILING_STATUS=OR","SCALING_FORMAT=MLN","FA_ADJUSTED=Adjusted","Sort=A","Dates=H","DateFormat=P","Fill=—","Direction=H","UseDPDF=Y")</f>
        <v>2599</v>
      </c>
      <c r="AL14" s="13">
        <f>_xll.BDH("XOM US Equity","IS_SG&amp;A_EXPENSE","FQ2 2017","FQ2 2017","Currency=USD","Period=FQ","BEST_FPERIOD_OVERRIDE=FQ","FILING_STATUS=OR","SCALING_FORMAT=MLN","FA_ADJUSTED=Adjusted","Sort=A","Dates=H","DateFormat=P","Fill=—","Direction=H","UseDPDF=Y")</f>
        <v>2628</v>
      </c>
      <c r="AM14" s="13">
        <f>_xll.BDH("XOM US Equity","IS_SG&amp;A_EXPENSE","FQ3 2017","FQ3 2017","Currency=USD","Period=FQ","BEST_FPERIOD_OVERRIDE=FQ","FILING_STATUS=OR","SCALING_FORMAT=MLN","FA_ADJUSTED=Adjusted","Sort=A","Dates=H","DateFormat=P","Fill=—","Direction=H","UseDPDF=Y")</f>
        <v>2725</v>
      </c>
      <c r="AN14" s="13">
        <f>_xll.BDH("XOM US Equity","IS_SG&amp;A_EXPENSE","FQ4 2017","FQ4 2017","Currency=USD","Period=FQ","BEST_FPERIOD_OVERRIDE=FQ","FILING_STATUS=OR","SCALING_FORMAT=MLN","FA_ADJUSTED=Adjusted","Sort=A","Dates=H","DateFormat=P","Fill=—","Direction=H","UseDPDF=Y")</f>
        <v>3004</v>
      </c>
      <c r="AO14" s="13">
        <f>_xll.BDH("XOM US Equity","IS_SG&amp;A_EXPENSE","FQ1 2018","FQ1 2018","Currency=USD","Period=FQ","BEST_FPERIOD_OVERRIDE=FQ","FILING_STATUS=OR","SCALING_FORMAT=MLN","FA_ADJUSTED=Adjusted","Sort=A","Dates=H","DateFormat=P","Fill=—","Direction=H","UseDPDF=Y")</f>
        <v>2747</v>
      </c>
      <c r="AP14" s="13">
        <f>_xll.BDH("XOM US Equity","IS_SG&amp;A_EXPENSE","FQ2 2018","FQ2 2018","Currency=USD","Period=FQ","BEST_FPERIOD_OVERRIDE=FQ","FILING_STATUS=OR","SCALING_FORMAT=MLN","FA_ADJUSTED=Adjusted","Sort=A","Dates=H","DateFormat=P","Fill=—","Direction=H","UseDPDF=Y")</f>
        <v>2993</v>
      </c>
    </row>
    <row r="15" spans="1:42" x14ac:dyDescent="0.25">
      <c r="A15" s="10" t="s">
        <v>104</v>
      </c>
      <c r="B15" s="10" t="s">
        <v>105</v>
      </c>
      <c r="C15" s="13" t="str">
        <f>_xll.BDH("XOM US Equity","IS_OTHER_OPERATING_EXPENSES","FQ3 2008","FQ3 2008","Currency=USD","Period=FQ","BEST_FPERIOD_OVERRIDE=FQ","FILING_STATUS=OR","SCALING_FORMAT=MLN","FA_ADJUSTED=Adjusted","Sort=A","Dates=H","DateFormat=P","Fill=—","Direction=H","UseDPDF=Y")</f>
        <v>—</v>
      </c>
      <c r="D15" s="13" t="str">
        <f>_xll.BDH("XOM US Equity","IS_OTHER_OPERATING_EXPENSES","FQ4 2008","FQ4 2008","Currency=USD","Period=FQ","BEST_FPERIOD_OVERRIDE=FQ","FILING_STATUS=OR","SCALING_FORMAT=MLN","FA_ADJUSTED=Adjusted","Sort=A","Dates=H","DateFormat=P","Fill=—","Direction=H","UseDPDF=Y")</f>
        <v>—</v>
      </c>
      <c r="E15" s="13">
        <f>_xll.BDH("XOM US Equity","IS_OTHER_OPERATING_EXPENSES","FQ1 2009","FQ1 2009","Currency=USD","Period=FQ","BEST_FPERIOD_OVERRIDE=FQ","FILING_STATUS=OR","SCALING_FORMAT=MLN","FA_ADJUSTED=Adjusted","Sort=A","Dates=H","DateFormat=P","Fill=—","Direction=H","UseDPDF=Y")</f>
        <v>351</v>
      </c>
      <c r="F15" s="13">
        <f>_xll.BDH("XOM US Equity","IS_OTHER_OPERATING_EXPENSES","FQ2 2009","FQ2 2009","Currency=USD","Period=FQ","BEST_FPERIOD_OVERRIDE=FQ","FILING_STATUS=OR","SCALING_FORMAT=MLN","FA_ADJUSTED=Adjusted","Sort=A","Dates=H","DateFormat=P","Fill=—","Direction=H","UseDPDF=Y")</f>
        <v>490</v>
      </c>
      <c r="G15" s="13">
        <f>_xll.BDH("XOM US Equity","IS_OTHER_OPERATING_EXPENSES","FQ3 2009","FQ3 2009","Currency=USD","Period=FQ","BEST_FPERIOD_OVERRIDE=FQ","FILING_STATUS=OR","SCALING_FORMAT=MLN","FA_ADJUSTED=Adjusted","Sort=A","Dates=H","DateFormat=P","Fill=—","Direction=H","UseDPDF=Y")</f>
        <v>495</v>
      </c>
      <c r="H15" s="13">
        <f>_xll.BDH("XOM US Equity","IS_OTHER_OPERATING_EXPENSES","FQ4 2009","FQ4 2009","Currency=USD","Period=FQ","BEST_FPERIOD_OVERRIDE=FQ","FILING_STATUS=OR","SCALING_FORMAT=MLN","FA_ADJUSTED=Adjusted","Sort=A","Dates=H","DateFormat=P","Fill=—","Direction=H","UseDPDF=Y")</f>
        <v>685</v>
      </c>
      <c r="I15" s="13">
        <f>_xll.BDH("XOM US Equity","IS_OTHER_OPERATING_EXPENSES","FQ1 2010","FQ1 2010","Currency=USD","Period=FQ","BEST_FPERIOD_OVERRIDE=FQ","FILING_STATUS=OR","SCALING_FORMAT=MLN","FA_ADJUSTED=Adjusted","Sort=A","Dates=H","DateFormat=P","Fill=—","Direction=H","UseDPDF=Y")</f>
        <v>686</v>
      </c>
      <c r="J15" s="13">
        <f>_xll.BDH("XOM US Equity","IS_OTHER_OPERATING_EXPENSES","FQ2 2010","FQ2 2010","Currency=USD","Period=FQ","BEST_FPERIOD_OVERRIDE=FQ","FILING_STATUS=OR","SCALING_FORMAT=MLN","FA_ADJUSTED=Adjusted","Sort=A","Dates=H","DateFormat=P","Fill=—","Direction=H","UseDPDF=Y")</f>
        <v>392</v>
      </c>
      <c r="K15" s="13">
        <f>_xll.BDH("XOM US Equity","IS_OTHER_OPERATING_EXPENSES","FQ3 2010","FQ3 2010","Currency=USD","Period=FQ","BEST_FPERIOD_OVERRIDE=FQ","FILING_STATUS=OR","SCALING_FORMAT=MLN","FA_ADJUSTED=Adjusted","Sort=A","Dates=H","DateFormat=P","Fill=—","Direction=H","UseDPDF=Y")</f>
        <v>498</v>
      </c>
      <c r="L15" s="13">
        <f>_xll.BDH("XOM US Equity","IS_OTHER_OPERATING_EXPENSES","FQ4 2010","FQ4 2010","Currency=USD","Period=FQ","BEST_FPERIOD_OVERRIDE=FQ","FILING_STATUS=OR","SCALING_FORMAT=MLN","FA_ADJUSTED=Adjusted","Sort=A","Dates=H","DateFormat=P","Fill=—","Direction=H","UseDPDF=Y")</f>
        <v>550</v>
      </c>
      <c r="M15" s="13">
        <f>_xll.BDH("XOM US Equity","IS_OTHER_OPERATING_EXPENSES","FQ1 2011","FQ1 2011","Currency=USD","Period=FQ","BEST_FPERIOD_OVERRIDE=FQ","FILING_STATUS=OR","SCALING_FORMAT=MLN","FA_ADJUSTED=Adjusted","Sort=A","Dates=H","DateFormat=P","Fill=—","Direction=H","UseDPDF=Y")</f>
        <v>334</v>
      </c>
      <c r="N15" s="13">
        <f>_xll.BDH("XOM US Equity","IS_OTHER_OPERATING_EXPENSES","FQ2 2011","FQ2 2011","Currency=USD","Period=FQ","BEST_FPERIOD_OVERRIDE=FQ","FILING_STATUS=OR","SCALING_FORMAT=MLN","FA_ADJUSTED=Adjusted","Sort=A","Dates=H","DateFormat=P","Fill=—","Direction=H","UseDPDF=Y")</f>
        <v>592</v>
      </c>
      <c r="O15" s="13">
        <f>_xll.BDH("XOM US Equity","IS_OTHER_OPERATING_EXPENSES","FQ3 2011","FQ3 2011","Currency=USD","Period=FQ","BEST_FPERIOD_OVERRIDE=FQ","FILING_STATUS=OR","SCALING_FORMAT=MLN","FA_ADJUSTED=Adjusted","Sort=A","Dates=H","DateFormat=P","Fill=—","Direction=H","UseDPDF=Y")</f>
        <v>728</v>
      </c>
      <c r="P15" s="13">
        <f>_xll.BDH("XOM US Equity","IS_OTHER_OPERATING_EXPENSES","FQ4 2011","FQ4 2011","Currency=USD","Period=FQ","BEST_FPERIOD_OVERRIDE=FQ","FILING_STATUS=OR","SCALING_FORMAT=MLN","FA_ADJUSTED=Adjusted","Sort=A","Dates=H","DateFormat=P","Fill=—","Direction=H","UseDPDF=Y")</f>
        <v>427</v>
      </c>
      <c r="Q15" s="13">
        <f>_xll.BDH("XOM US Equity","IS_OTHER_OPERATING_EXPENSES","FQ1 2012","FQ1 2012","Currency=USD","Period=FQ","BEST_FPERIOD_OVERRIDE=FQ","FILING_STATUS=OR","SCALING_FORMAT=MLN","FA_ADJUSTED=Adjusted","Sort=A","Dates=H","DateFormat=P","Fill=—","Direction=H","UseDPDF=Y")</f>
        <v>522</v>
      </c>
      <c r="R15" s="13">
        <f>_xll.BDH("XOM US Equity","IS_OTHER_OPERATING_EXPENSES","FQ2 2012","FQ2 2012","Currency=USD","Period=FQ","BEST_FPERIOD_OVERRIDE=FQ","FILING_STATUS=OR","SCALING_FORMAT=MLN","FA_ADJUSTED=Adjusted","Sort=A","Dates=H","DateFormat=P","Fill=—","Direction=H","UseDPDF=Y")</f>
        <v>10372</v>
      </c>
      <c r="S15" s="13">
        <f>_xll.BDH("XOM US Equity","IS_OTHER_OPERATING_EXPENSES","FQ3 2012","FQ3 2012","Currency=USD","Period=FQ","BEST_FPERIOD_OVERRIDE=FQ","FILING_STATUS=OR","SCALING_FORMAT=MLN","FA_ADJUSTED=Adjusted","Sort=A","Dates=H","DateFormat=P","Fill=—","Direction=H","UseDPDF=Y")</f>
        <v>494</v>
      </c>
      <c r="T15" s="13">
        <f>_xll.BDH("XOM US Equity","IS_OTHER_OPERATING_EXPENSES","FQ4 2012","FQ4 2012","Currency=USD","Period=FQ","BEST_FPERIOD_OVERRIDE=FQ","FILING_STATUS=OR","SCALING_FORMAT=MLN","FA_ADJUSTED=Adjusted","Sort=A","Dates=H","DateFormat=P","Fill=—","Direction=H","UseDPDF=Y")</f>
        <v>1375.0769</v>
      </c>
      <c r="U15" s="13">
        <f>_xll.BDH("XOM US Equity","IS_OTHER_OPERATING_EXPENSES","FQ1 2013","FQ1 2013","Currency=USD","Period=FQ","BEST_FPERIOD_OVERRIDE=FQ","FILING_STATUS=OR","SCALING_FORMAT=MLN","FA_ADJUSTED=Adjusted","Sort=A","Dates=H","DateFormat=P","Fill=—","Direction=H","UseDPDF=Y")</f>
        <v>445</v>
      </c>
      <c r="V15" s="13">
        <f>_xll.BDH("XOM US Equity","IS_OTHER_OPERATING_EXPENSES","FQ2 2013","FQ2 2013","Currency=USD","Period=FQ","BEST_FPERIOD_OVERRIDE=FQ","FILING_STATUS=OR","SCALING_FORMAT=MLN","FA_ADJUSTED=Adjusted","Sort=A","Dates=H","DateFormat=P","Fill=—","Direction=H","UseDPDF=Y")</f>
        <v>454</v>
      </c>
      <c r="W15" s="13">
        <f>_xll.BDH("XOM US Equity","IS_OTHER_OPERATING_EXPENSES","FQ3 2013","FQ3 2013","Currency=USD","Period=FQ","BEST_FPERIOD_OVERRIDE=FQ","FILING_STATUS=OR","SCALING_FORMAT=MLN","FA_ADJUSTED=Adjusted","Sort=A","Dates=H","DateFormat=P","Fill=—","Direction=H","UseDPDF=Y")</f>
        <v>486</v>
      </c>
      <c r="X15" s="13">
        <f>_xll.BDH("XOM US Equity","IS_OTHER_OPERATING_EXPENSES","FQ4 2013","FQ4 2013","Currency=USD","Period=FQ","BEST_FPERIOD_OVERRIDE=FQ","FILING_STATUS=OR","SCALING_FORMAT=MLN","FA_ADJUSTED=Adjusted","Sort=A","Dates=H","DateFormat=P","Fill=—","Direction=H","UseDPDF=Y")</f>
        <v>591</v>
      </c>
      <c r="Y15" s="13">
        <f>_xll.BDH("XOM US Equity","IS_OTHER_OPERATING_EXPENSES","FQ1 2014","FQ1 2014","Currency=USD","Period=FQ","BEST_FPERIOD_OVERRIDE=FQ","FILING_STATUS=OR","SCALING_FORMAT=MLN","FA_ADJUSTED=Adjusted","Sort=A","Dates=H","DateFormat=P","Fill=—","Direction=H","UseDPDF=Y")</f>
        <v>317</v>
      </c>
      <c r="Z15" s="13">
        <f>_xll.BDH("XOM US Equity","IS_OTHER_OPERATING_EXPENSES","FQ2 2014","FQ2 2014","Currency=USD","Period=FQ","BEST_FPERIOD_OVERRIDE=FQ","FILING_STATUS=OR","SCALING_FORMAT=MLN","FA_ADJUSTED=Adjusted","Sort=A","Dates=H","DateFormat=P","Fill=—","Direction=H","UseDPDF=Y")</f>
        <v>496</v>
      </c>
      <c r="AA15" s="13">
        <f>_xll.BDH("XOM US Equity","IS_OTHER_OPERATING_EXPENSES","FQ3 2014","FQ3 2014","Currency=USD","Period=FQ","BEST_FPERIOD_OVERRIDE=FQ","FILING_STATUS=OR","SCALING_FORMAT=MLN","FA_ADJUSTED=Adjusted","Sort=A","Dates=H","DateFormat=P","Fill=—","Direction=H","UseDPDF=Y")</f>
        <v>319</v>
      </c>
      <c r="AB15" s="13">
        <f>_xll.BDH("XOM US Equity","IS_OTHER_OPERATING_EXPENSES","FQ4 2014","FQ4 2014","Currency=USD","Period=FQ","BEST_FPERIOD_OVERRIDE=FQ","FILING_STATUS=OR","SCALING_FORMAT=MLN","FA_ADJUSTED=Adjusted","Sort=A","Dates=H","DateFormat=P","Fill=—","Direction=H","UseDPDF=Y")</f>
        <v>950.84619999999995</v>
      </c>
      <c r="AC15" s="13">
        <f>_xll.BDH("XOM US Equity","IS_OTHER_OPERATING_EXPENSES","FQ1 2015","FQ1 2015","Currency=USD","Period=FQ","BEST_FPERIOD_OVERRIDE=FQ","FILING_STATUS=OR","SCALING_FORMAT=MLN","FA_ADJUSTED=Adjusted","Sort=A","Dates=H","DateFormat=P","Fill=—","Direction=H","UseDPDF=Y")</f>
        <v>311</v>
      </c>
      <c r="AD15" s="13">
        <f>_xll.BDH("XOM US Equity","IS_OTHER_OPERATING_EXPENSES","FQ2 2015","FQ2 2015","Currency=USD","Period=FQ","BEST_FPERIOD_OVERRIDE=FQ","FILING_STATUS=OR","SCALING_FORMAT=MLN","FA_ADJUSTED=Adjusted","Sort=A","Dates=H","DateFormat=P","Fill=—","Direction=H","UseDPDF=Y")</f>
        <v>370</v>
      </c>
      <c r="AE15" s="13">
        <f>_xll.BDH("XOM US Equity","IS_OTHER_OPERATING_EXPENSES","FQ3 2015","FQ3 2015","Currency=USD","Period=FQ","BEST_FPERIOD_OVERRIDE=FQ","FILING_STATUS=OR","SCALING_FORMAT=MLN","FA_ADJUSTED=Adjusted","Sort=A","Dates=H","DateFormat=P","Fill=—","Direction=H","UseDPDF=Y")</f>
        <v>324</v>
      </c>
      <c r="AF15" s="13">
        <f>_xll.BDH("XOM US Equity","IS_OTHER_OPERATING_EXPENSES","FQ4 2015","FQ4 2015","Currency=USD","Period=FQ","BEST_FPERIOD_OVERRIDE=FQ","FILING_STATUS=OR","SCALING_FORMAT=MLN","FA_ADJUSTED=Adjusted","Sort=A","Dates=H","DateFormat=P","Fill=—","Direction=H","UseDPDF=Y")</f>
        <v>518</v>
      </c>
      <c r="AG15" s="13">
        <f>_xll.BDH("XOM US Equity","IS_OTHER_OPERATING_EXPENSES","FQ1 2016","FQ1 2016","Currency=USD","Period=FQ","BEST_FPERIOD_OVERRIDE=FQ","FILING_STATUS=OR","SCALING_FORMAT=MLN","FA_ADJUSTED=Adjusted","Sort=A","Dates=H","DateFormat=P","Fill=—","Direction=H","UseDPDF=Y")</f>
        <v>355</v>
      </c>
      <c r="AH15" s="13">
        <f>_xll.BDH("XOM US Equity","IS_OTHER_OPERATING_EXPENSES","FQ2 2016","FQ2 2016","Currency=USD","Period=FQ","BEST_FPERIOD_OVERRIDE=FQ","FILING_STATUS=OR","SCALING_FORMAT=MLN","FA_ADJUSTED=Adjusted","Sort=A","Dates=H","DateFormat=P","Fill=—","Direction=H","UseDPDF=Y")</f>
        <v>445</v>
      </c>
      <c r="AI15" s="13">
        <f>_xll.BDH("XOM US Equity","IS_OTHER_OPERATING_EXPENSES","FQ3 2016","FQ3 2016","Currency=USD","Period=FQ","BEST_FPERIOD_OVERRIDE=FQ","FILING_STATUS=OR","SCALING_FORMAT=MLN","FA_ADJUSTED=Adjusted","Sort=A","Dates=H","DateFormat=P","Fill=—","Direction=H","UseDPDF=Y")</f>
        <v>327</v>
      </c>
      <c r="AJ15" s="13">
        <f>_xll.BDH("XOM US Equity","IS_OTHER_OPERATING_EXPENSES","FQ4 2016","FQ4 2016","Currency=USD","Period=FQ","BEST_FPERIOD_OVERRIDE=FQ","FILING_STATUS=OR","SCALING_FORMAT=MLN","FA_ADJUSTED=Adjusted","Sort=A","Dates=H","DateFormat=P","Fill=—","Direction=H","UseDPDF=Y")</f>
        <v>-1687</v>
      </c>
      <c r="AK15" s="13">
        <f>_xll.BDH("XOM US Equity","IS_OTHER_OPERATING_EXPENSES","FQ1 2017","FQ1 2017","Currency=USD","Period=FQ","BEST_FPERIOD_OVERRIDE=FQ","FILING_STATUS=OR","SCALING_FORMAT=MLN","FA_ADJUSTED=Adjusted","Sort=A","Dates=H","DateFormat=P","Fill=—","Direction=H","UseDPDF=Y")</f>
        <v>289</v>
      </c>
      <c r="AL15" s="13">
        <f>_xll.BDH("XOM US Equity","IS_OTHER_OPERATING_EXPENSES","FQ2 2017","FQ2 2017","Currency=USD","Period=FQ","BEST_FPERIOD_OVERRIDE=FQ","FILING_STATUS=OR","SCALING_FORMAT=MLN","FA_ADJUSTED=Adjusted","Sort=A","Dates=H","DateFormat=P","Fill=—","Direction=H","UseDPDF=Y")</f>
        <v>514</v>
      </c>
      <c r="AM15" s="13">
        <f>_xll.BDH("XOM US Equity","IS_OTHER_OPERATING_EXPENSES","FQ3 2017","FQ3 2017","Currency=USD","Period=FQ","BEST_FPERIOD_OVERRIDE=FQ","FILING_STATUS=OR","SCALING_FORMAT=MLN","FA_ADJUSTED=Adjusted","Sort=A","Dates=H","DateFormat=P","Fill=—","Direction=H","UseDPDF=Y")</f>
        <v>284</v>
      </c>
      <c r="AN15" s="13">
        <f>_xll.BDH("XOM US Equity","IS_OTHER_OPERATING_EXPENSES","FQ4 2017","FQ4 2017","Currency=USD","Period=FQ","BEST_FPERIOD_OVERRIDE=FQ","FILING_STATUS=OR","SCALING_FORMAT=MLN","FA_ADJUSTED=Adjusted","Sort=A","Dates=H","DateFormat=P","Fill=—","Direction=H","UseDPDF=Y")</f>
        <v>-1287.7692</v>
      </c>
      <c r="AO15" s="13">
        <f>_xll.BDH("XOM US Equity","IS_OTHER_OPERATING_EXPENSES","FQ1 2018","FQ1 2018","Currency=USD","Period=FQ","BEST_FPERIOD_OVERRIDE=FQ","FILING_STATUS=OR","SCALING_FORMAT=MLN","FA_ADJUSTED=Adjusted","Sort=A","Dates=H","DateFormat=P","Fill=—","Direction=H","UseDPDF=Y")</f>
        <v>287</v>
      </c>
      <c r="AP15" s="13">
        <f>_xll.BDH("XOM US Equity","IS_OTHER_OPERATING_EXPENSES","FQ2 2018","FQ2 2018","Currency=USD","Period=FQ","BEST_FPERIOD_OVERRIDE=FQ","FILING_STATUS=OR","SCALING_FORMAT=MLN","FA_ADJUSTED=Adjusted","Sort=A","Dates=H","DateFormat=P","Fill=—","Direction=H","UseDPDF=Y")</f>
        <v>640</v>
      </c>
    </row>
    <row r="16" spans="1:42" x14ac:dyDescent="0.25">
      <c r="A16" s="6" t="s">
        <v>106</v>
      </c>
      <c r="B16" s="6" t="s">
        <v>107</v>
      </c>
      <c r="C16" s="16">
        <f>_xll.BDH("XOM US Equity","IS_OPER_INC","FQ3 2008","FQ3 2008","Currency=USD","Period=FQ","BEST_FPERIOD_OVERRIDE=FQ","FILING_STATUS=OR","SCALING_FORMAT=MLN","FA_ADJUSTED=Adjusted","Sort=A","Dates=H","DateFormat=P","Fill=—","Direction=H","UseDPDF=Y")</f>
        <v>21359</v>
      </c>
      <c r="D16" s="16">
        <f>_xll.BDH("XOM US Equity","IS_OPER_INC","FQ4 2008","FQ4 2008","Currency=USD","Period=FQ","BEST_FPERIOD_OVERRIDE=FQ","FILING_STATUS=OR","SCALING_FORMAT=MLN","FA_ADJUSTED=Adjusted","Sort=A","Dates=H","DateFormat=P","Fill=—","Direction=H","UseDPDF=Y")</f>
        <v>8894</v>
      </c>
      <c r="E16" s="16">
        <f>_xll.BDH("XOM US Equity","IS_OPER_INC","FQ1 2009","FQ1 2009","Currency=USD","Period=FQ","BEST_FPERIOD_OVERRIDE=FQ","FILING_STATUS=OR","SCALING_FORMAT=MLN","FA_ADJUSTED=Adjusted","Sort=A","Dates=H","DateFormat=P","Fill=—","Direction=H","UseDPDF=Y")</f>
        <v>6057</v>
      </c>
      <c r="F16" s="16">
        <f>_xll.BDH("XOM US Equity","IS_OPER_INC","FQ2 2009","FQ2 2009","Currency=USD","Period=FQ","BEST_FPERIOD_OVERRIDE=FQ","FILING_STATUS=OR","SCALING_FORMAT=MLN","FA_ADJUSTED=Adjusted","Sort=A","Dates=H","DateFormat=P","Fill=—","Direction=H","UseDPDF=Y")</f>
        <v>5570</v>
      </c>
      <c r="G16" s="16">
        <f>_xll.BDH("XOM US Equity","IS_OPER_INC","FQ3 2009","FQ3 2009","Currency=USD","Period=FQ","BEST_FPERIOD_OVERRIDE=FQ","FILING_STATUS=OR","SCALING_FORMAT=MLN","FA_ADJUSTED=Adjusted","Sort=A","Dates=H","DateFormat=P","Fill=—","Direction=H","UseDPDF=Y")</f>
        <v>7096</v>
      </c>
      <c r="H16" s="16">
        <f>_xll.BDH("XOM US Equity","IS_OPER_INC","FQ4 2009","FQ4 2009","Currency=USD","Period=FQ","BEST_FPERIOD_OVERRIDE=FQ","FILING_STATUS=OR","SCALING_FORMAT=MLN","FA_ADJUSTED=Adjusted","Sort=A","Dates=H","DateFormat=P","Fill=—","Direction=H","UseDPDF=Y")</f>
        <v>7516</v>
      </c>
      <c r="I16" s="16">
        <f>_xll.BDH("XOM US Equity","IS_OPER_INC","FQ1 2010","FQ1 2010","Currency=USD","Period=FQ","BEST_FPERIOD_OVERRIDE=FQ","FILING_STATUS=OR","SCALING_FORMAT=MLN","FA_ADJUSTED=Adjusted","Sort=A","Dates=H","DateFormat=P","Fill=—","Direction=H","UseDPDF=Y")</f>
        <v>8909</v>
      </c>
      <c r="J16" s="16">
        <f>_xll.BDH("XOM US Equity","IS_OPER_INC","FQ2 2010","FQ2 2010","Currency=USD","Period=FQ","BEST_FPERIOD_OVERRIDE=FQ","FILING_STATUS=OR","SCALING_FORMAT=MLN","FA_ADJUSTED=Adjusted","Sort=A","Dates=H","DateFormat=P","Fill=—","Direction=H","UseDPDF=Y")</f>
        <v>9968</v>
      </c>
      <c r="K16" s="16">
        <f>_xll.BDH("XOM US Equity","IS_OPER_INC","FQ3 2010","FQ3 2010","Currency=USD","Period=FQ","BEST_FPERIOD_OVERRIDE=FQ","FILING_STATUS=OR","SCALING_FORMAT=MLN","FA_ADJUSTED=Adjusted","Sort=A","Dates=H","DateFormat=P","Fill=—","Direction=H","UseDPDF=Y")</f>
        <v>9969</v>
      </c>
      <c r="L16" s="16">
        <f>_xll.BDH("XOM US Equity","IS_OPER_INC","FQ4 2010","FQ4 2010","Currency=USD","Period=FQ","BEST_FPERIOD_OVERRIDE=FQ","FILING_STATUS=OR","SCALING_FORMAT=MLN","FA_ADJUSTED=Adjusted","Sort=A","Dates=H","DateFormat=P","Fill=—","Direction=H","UseDPDF=Y")</f>
        <v>11294</v>
      </c>
      <c r="M16" s="16">
        <f>_xll.BDH("XOM US Equity","IS_OPER_INC","FQ1 2011","FQ1 2011","Currency=USD","Period=FQ","BEST_FPERIOD_OVERRIDE=FQ","FILING_STATUS=OR","SCALING_FORMAT=MLN","FA_ADJUSTED=Adjusted","Sort=A","Dates=H","DateFormat=P","Fill=—","Direction=H","UseDPDF=Y")</f>
        <v>14193</v>
      </c>
      <c r="N16" s="16">
        <f>_xll.BDH("XOM US Equity","IS_OPER_INC","FQ2 2011","FQ2 2011","Currency=USD","Period=FQ","BEST_FPERIOD_OVERRIDE=FQ","FILING_STATUS=OR","SCALING_FORMAT=MLN","FA_ADJUSTED=Adjusted","Sort=A","Dates=H","DateFormat=P","Fill=—","Direction=H","UseDPDF=Y")</f>
        <v>14572</v>
      </c>
      <c r="O16" s="16">
        <f>_xll.BDH("XOM US Equity","IS_OPER_INC","FQ3 2011","FQ3 2011","Currency=USD","Period=FQ","BEST_FPERIOD_OVERRIDE=FQ","FILING_STATUS=OR","SCALING_FORMAT=MLN","FA_ADJUSTED=Adjusted","Sort=A","Dates=H","DateFormat=P","Fill=—","Direction=H","UseDPDF=Y")</f>
        <v>13923</v>
      </c>
      <c r="P16" s="16">
        <f>_xll.BDH("XOM US Equity","IS_OPER_INC","FQ4 2011","FQ4 2011","Currency=USD","Period=FQ","BEST_FPERIOD_OVERRIDE=FQ","FILING_STATUS=OR","SCALING_FORMAT=MLN","FA_ADJUSTED=Adjusted","Sort=A","Dates=H","DateFormat=P","Fill=—","Direction=H","UseDPDF=Y")</f>
        <v>11416</v>
      </c>
      <c r="Q16" s="16">
        <f>_xll.BDH("XOM US Equity","IS_OPER_INC","FQ1 2012","FQ1 2012","Currency=USD","Period=FQ","BEST_FPERIOD_OVERRIDE=FQ","FILING_STATUS=OR","SCALING_FORMAT=MLN","FA_ADJUSTED=Adjusted","Sort=A","Dates=H","DateFormat=P","Fill=—","Direction=H","UseDPDF=Y")</f>
        <v>12758</v>
      </c>
      <c r="R16" s="16">
        <f>_xll.BDH("XOM US Equity","IS_OPER_INC","FQ2 2012","FQ2 2012","Currency=USD","Period=FQ","BEST_FPERIOD_OVERRIDE=FQ","FILING_STATUS=OR","SCALING_FORMAT=MLN","FA_ADJUSTED=Adjusted","Sort=A","Dates=H","DateFormat=P","Fill=—","Direction=H","UseDPDF=Y")</f>
        <v>1623</v>
      </c>
      <c r="S16" s="16">
        <f>_xll.BDH("XOM US Equity","IS_OPER_INC","FQ3 2012","FQ3 2012","Currency=USD","Period=FQ","BEST_FPERIOD_OVERRIDE=FQ","FILING_STATUS=OR","SCALING_FORMAT=MLN","FA_ADJUSTED=Adjusted","Sort=A","Dates=H","DateFormat=P","Fill=—","Direction=H","UseDPDF=Y")</f>
        <v>13227</v>
      </c>
      <c r="T16" s="16">
        <f>_xll.BDH("XOM US Equity","IS_OPER_INC","FQ4 2012","FQ4 2012","Currency=USD","Period=FQ","BEST_FPERIOD_OVERRIDE=FQ","FILING_STATUS=OR","SCALING_FORMAT=MLN","FA_ADJUSTED=Adjusted","Sort=A","Dates=H","DateFormat=P","Fill=—","Direction=H","UseDPDF=Y")</f>
        <v>11349.9231</v>
      </c>
      <c r="U16" s="16">
        <f>_xll.BDH("XOM US Equity","IS_OPER_INC","FQ1 2013","FQ1 2013","Currency=USD","Period=FQ","BEST_FPERIOD_OVERRIDE=FQ","FILING_STATUS=OR","SCALING_FORMAT=MLN","FA_ADJUSTED=Adjusted","Sort=A","Dates=H","DateFormat=P","Fill=—","Direction=H","UseDPDF=Y")</f>
        <v>11083</v>
      </c>
      <c r="V16" s="16">
        <f>_xll.BDH("XOM US Equity","IS_OPER_INC","FQ2 2013","FQ2 2013","Currency=USD","Period=FQ","BEST_FPERIOD_OVERRIDE=FQ","FILING_STATUS=OR","SCALING_FORMAT=MLN","FA_ADJUSTED=Adjusted","Sort=A","Dates=H","DateFormat=P","Fill=—","Direction=H","UseDPDF=Y")</f>
        <v>9237</v>
      </c>
      <c r="W16" s="16">
        <f>_xll.BDH("XOM US Equity","IS_OPER_INC","FQ3 2013","FQ3 2013","Currency=USD","Period=FQ","BEST_FPERIOD_OVERRIDE=FQ","FILING_STATUS=OR","SCALING_FORMAT=MLN","FA_ADJUSTED=Adjusted","Sort=A","Dates=H","DateFormat=P","Fill=—","Direction=H","UseDPDF=Y")</f>
        <v>10259</v>
      </c>
      <c r="X16" s="16">
        <f>_xll.BDH("XOM US Equity","IS_OPER_INC","FQ4 2013","FQ4 2013","Currency=USD","Period=FQ","BEST_FPERIOD_OVERRIDE=FQ","FILING_STATUS=OR","SCALING_FORMAT=MLN","FA_ADJUSTED=Adjusted","Sort=A","Dates=H","DateFormat=P","Fill=—","Direction=H","UseDPDF=Y")</f>
        <v>9722</v>
      </c>
      <c r="Y16" s="16">
        <f>_xll.BDH("XOM US Equity","IS_OPER_INC","FQ1 2014","FQ1 2014","Currency=USD","Period=FQ","BEST_FPERIOD_OVERRIDE=FQ","FILING_STATUS=OR","SCALING_FORMAT=MLN","FA_ADJUSTED=Adjusted","Sort=A","Dates=H","DateFormat=P","Fill=—","Direction=H","UseDPDF=Y")</f>
        <v>10280</v>
      </c>
      <c r="Z16" s="16">
        <f>_xll.BDH("XOM US Equity","IS_OPER_INC","FQ2 2014","FQ2 2014","Currency=USD","Period=FQ","BEST_FPERIOD_OVERRIDE=FQ","FILING_STATUS=OR","SCALING_FORMAT=MLN","FA_ADJUSTED=Adjusted","Sort=A","Dates=H","DateFormat=P","Fill=—","Direction=H","UseDPDF=Y")</f>
        <v>8726</v>
      </c>
      <c r="AA16" s="16">
        <f>_xll.BDH("XOM US Equity","IS_OPER_INC","FQ3 2014","FQ3 2014","Currency=USD","Period=FQ","BEST_FPERIOD_OVERRIDE=FQ","FILING_STATUS=OR","SCALING_FORMAT=MLN","FA_ADJUSTED=Adjusted","Sort=A","Dates=H","DateFormat=P","Fill=—","Direction=H","UseDPDF=Y")</f>
        <v>9574</v>
      </c>
      <c r="AB16" s="16">
        <f>_xll.BDH("XOM US Equity","IS_OPER_INC","FQ4 2014","FQ4 2014","Currency=USD","Period=FQ","BEST_FPERIOD_OVERRIDE=FQ","FILING_STATUS=OR","SCALING_FORMAT=MLN","FA_ADJUSTED=Adjusted","Sort=A","Dates=H","DateFormat=P","Fill=—","Direction=H","UseDPDF=Y")</f>
        <v>5088.1538</v>
      </c>
      <c r="AC16" s="16">
        <f>_xll.BDH("XOM US Equity","IS_OPER_INC","FQ1 2015","FQ1 2015","Currency=USD","Period=FQ","BEST_FPERIOD_OVERRIDE=FQ","FILING_STATUS=OR","SCALING_FORMAT=MLN","FA_ADJUSTED=Adjusted","Sort=A","Dates=H","DateFormat=P","Fill=—","Direction=H","UseDPDF=Y")</f>
        <v>3863</v>
      </c>
      <c r="AD16" s="16">
        <f>_xll.BDH("XOM US Equity","IS_OPER_INC","FQ2 2015","FQ2 2015","Currency=USD","Period=FQ","BEST_FPERIOD_OVERRIDE=FQ","FILING_STATUS=OR","SCALING_FORMAT=MLN","FA_ADJUSTED=Adjusted","Sort=A","Dates=H","DateFormat=P","Fill=—","Direction=H","UseDPDF=Y")</f>
        <v>4286</v>
      </c>
      <c r="AE16" s="16">
        <f>_xll.BDH("XOM US Equity","IS_OPER_INC","FQ3 2015","FQ3 2015","Currency=USD","Period=FQ","BEST_FPERIOD_OVERRIDE=FQ","FILING_STATUS=OR","SCALING_FORMAT=MLN","FA_ADJUSTED=Adjusted","Sort=A","Dates=H","DateFormat=P","Fill=—","Direction=H","UseDPDF=Y")</f>
        <v>4162</v>
      </c>
      <c r="AF16" s="16">
        <f>_xll.BDH("XOM US Equity","IS_OPER_INC","FQ4 2015","FQ4 2015","Currency=USD","Period=FQ","BEST_FPERIOD_OVERRIDE=FQ","FILING_STATUS=OR","SCALING_FORMAT=MLN","FA_ADJUSTED=Adjusted","Sort=A","Dates=H","DateFormat=P","Fill=—","Direction=H","UseDPDF=Y")</f>
        <v>572</v>
      </c>
      <c r="AG16" s="16">
        <f>_xll.BDH("XOM US Equity","IS_OPER_INC","FQ1 2016","FQ1 2016","Currency=USD","Period=FQ","BEST_FPERIOD_OVERRIDE=FQ","FILING_STATUS=OR","SCALING_FORMAT=MLN","FA_ADJUSTED=Adjusted","Sort=A","Dates=H","DateFormat=P","Fill=—","Direction=H","UseDPDF=Y")</f>
        <v>205</v>
      </c>
      <c r="AH16" s="16">
        <f>_xll.BDH("XOM US Equity","IS_OPER_INC","FQ2 2016","FQ2 2016","Currency=USD","Period=FQ","BEST_FPERIOD_OVERRIDE=FQ","FILING_STATUS=OR","SCALING_FORMAT=MLN","FA_ADJUSTED=Adjusted","Sort=A","Dates=H","DateFormat=P","Fill=—","Direction=H","UseDPDF=Y")</f>
        <v>1137</v>
      </c>
      <c r="AI16" s="16">
        <f>_xll.BDH("XOM US Equity","IS_OPER_INC","FQ3 2016","FQ3 2016","Currency=USD","Period=FQ","BEST_FPERIOD_OVERRIDE=FQ","FILING_STATUS=OR","SCALING_FORMAT=MLN","FA_ADJUSTED=Adjusted","Sort=A","Dates=H","DateFormat=P","Fill=—","Direction=H","UseDPDF=Y")</f>
        <v>1422</v>
      </c>
      <c r="AJ16" s="16">
        <f>_xll.BDH("XOM US Equity","IS_OPER_INC","FQ4 2016","FQ4 2016","Currency=USD","Period=FQ","BEST_FPERIOD_OVERRIDE=FQ","FILING_STATUS=OR","SCALING_FORMAT=MLN","FA_ADJUSTED=Adjusted","Sort=A","Dates=H","DateFormat=P","Fill=—","Direction=H","UseDPDF=Y")</f>
        <v>199</v>
      </c>
      <c r="AK16" s="16">
        <f>_xll.BDH("XOM US Equity","IS_OPER_INC","FQ1 2017","FQ1 2017","Currency=USD","Period=FQ","BEST_FPERIOD_OVERRIDE=FQ","FILING_STATUS=OR","SCALING_FORMAT=MLN","FA_ADJUSTED=Adjusted","Sort=A","Dates=H","DateFormat=P","Fill=—","Direction=H","UseDPDF=Y")</f>
        <v>3867</v>
      </c>
      <c r="AL16" s="16">
        <f>_xll.BDH("XOM US Equity","IS_OPER_INC","FQ2 2017","FQ2 2017","Currency=USD","Period=FQ","BEST_FPERIOD_OVERRIDE=FQ","FILING_STATUS=OR","SCALING_FORMAT=MLN","FA_ADJUSTED=Adjusted","Sort=A","Dates=H","DateFormat=P","Fill=—","Direction=H","UseDPDF=Y")</f>
        <v>2263</v>
      </c>
      <c r="AM16" s="16">
        <f>_xll.BDH("XOM US Equity","IS_OPER_INC","FQ3 2017","FQ3 2017","Currency=USD","Period=FQ","BEST_FPERIOD_OVERRIDE=FQ","FILING_STATUS=OR","SCALING_FORMAT=MLN","FA_ADJUSTED=Adjusted","Sort=A","Dates=H","DateFormat=P","Fill=—","Direction=H","UseDPDF=Y")</f>
        <v>3944</v>
      </c>
      <c r="AN16" s="16">
        <f>_xll.BDH("XOM US Equity","IS_OPER_INC","FQ4 2017","FQ4 2017","Currency=USD","Period=FQ","BEST_FPERIOD_OVERRIDE=FQ","FILING_STATUS=OR","SCALING_FORMAT=MLN","FA_ADJUSTED=Adjusted","Sort=A","Dates=H","DateFormat=P","Fill=—","Direction=H","UseDPDF=Y")</f>
        <v>3990.7692000000002</v>
      </c>
      <c r="AO16" s="16">
        <f>_xll.BDH("XOM US Equity","IS_OPER_INC","FQ1 2018","FQ1 2018","Currency=USD","Period=FQ","BEST_FPERIOD_OVERRIDE=FQ","FILING_STATUS=OR","SCALING_FORMAT=MLN","FA_ADJUSTED=Adjusted","Sort=A","Dates=H","DateFormat=P","Fill=—","Direction=H","UseDPDF=Y")</f>
        <v>5006</v>
      </c>
      <c r="AP16" s="16">
        <f>_xll.BDH("XOM US Equity","IS_OPER_INC","FQ2 2018","FQ2 2018","Currency=USD","Period=FQ","BEST_FPERIOD_OVERRIDE=FQ","FILING_STATUS=OR","SCALING_FORMAT=MLN","FA_ADJUSTED=Adjusted","Sort=A","Dates=H","DateFormat=P","Fill=—","Direction=H","UseDPDF=Y")</f>
        <v>4614</v>
      </c>
    </row>
    <row r="17" spans="1:42" x14ac:dyDescent="0.25">
      <c r="A17" s="10" t="s">
        <v>108</v>
      </c>
      <c r="B17" s="10" t="s">
        <v>109</v>
      </c>
      <c r="C17" s="13" t="str">
        <f>_xll.BDH("XOM US Equity","IS_NONOP_INCOME_LOSS","FQ3 2008","FQ3 2008","Currency=USD","Period=FQ","BEST_FPERIOD_OVERRIDE=FQ","FILING_STATUS=OR","SCALING_FORMAT=MLN","FA_ADJUSTED=Adjusted","Sort=A","Dates=H","DateFormat=P","Fill=—","Direction=H","UseDPDF=Y")</f>
        <v>—</v>
      </c>
      <c r="D17" s="13" t="str">
        <f>_xll.BDH("XOM US Equity","IS_NONOP_INCOME_LOSS","FQ4 2008","FQ4 2008","Currency=USD","Period=FQ","BEST_FPERIOD_OVERRIDE=FQ","FILING_STATUS=OR","SCALING_FORMAT=MLN","FA_ADJUSTED=Adjusted","Sort=A","Dates=H","DateFormat=P","Fill=—","Direction=H","UseDPDF=Y")</f>
        <v>—</v>
      </c>
      <c r="E17" s="13">
        <f>_xll.BDH("XOM US Equity","IS_NONOP_INCOME_LOSS","FQ1 2009","FQ1 2009","Currency=USD","Period=FQ","BEST_FPERIOD_OVERRIDE=FQ","FILING_STATUS=OR","SCALING_FORMAT=MLN","FA_ADJUSTED=Adjusted","Sort=A","Dates=H","DateFormat=P","Fill=—","Direction=H","UseDPDF=Y")</f>
        <v>-1793</v>
      </c>
      <c r="F17" s="13">
        <f>_xll.BDH("XOM US Equity","IS_NONOP_INCOME_LOSS","FQ2 2009","FQ2 2009","Currency=USD","Period=FQ","BEST_FPERIOD_OVERRIDE=FQ","FILING_STATUS=OR","SCALING_FORMAT=MLN","FA_ADJUSTED=Adjusted","Sort=A","Dates=H","DateFormat=P","Fill=—","Direction=H","UseDPDF=Y")</f>
        <v>-2162.3845999999999</v>
      </c>
      <c r="G17" s="13">
        <f>_xll.BDH("XOM US Equity","IS_NONOP_INCOME_LOSS","FQ3 2009","FQ3 2009","Currency=USD","Period=FQ","BEST_FPERIOD_OVERRIDE=FQ","FILING_STATUS=OR","SCALING_FORMAT=MLN","FA_ADJUSTED=Adjusted","Sort=A","Dates=H","DateFormat=P","Fill=—","Direction=H","UseDPDF=Y")</f>
        <v>-2108</v>
      </c>
      <c r="H17" s="13">
        <f>_xll.BDH("XOM US Equity","IS_NONOP_INCOME_LOSS","FQ4 2009","FQ4 2009","Currency=USD","Period=FQ","BEST_FPERIOD_OVERRIDE=FQ","FILING_STATUS=OR","SCALING_FORMAT=MLN","FA_ADJUSTED=Adjusted","Sort=A","Dates=H","DateFormat=P","Fill=—","Direction=H","UseDPDF=Y")</f>
        <v>-2690</v>
      </c>
      <c r="I17" s="13">
        <f>_xll.BDH("XOM US Equity","IS_NONOP_INCOME_LOSS","FQ1 2010","FQ1 2010","Currency=USD","Period=FQ","BEST_FPERIOD_OVERRIDE=FQ","FILING_STATUS=OR","SCALING_FORMAT=MLN","FA_ADJUSTED=Adjusted","Sort=A","Dates=H","DateFormat=P","Fill=—","Direction=H","UseDPDF=Y")</f>
        <v>-3159</v>
      </c>
      <c r="J17" s="13">
        <f>_xll.BDH("XOM US Equity","IS_NONOP_INCOME_LOSS","FQ2 2010","FQ2 2010","Currency=USD","Period=FQ","BEST_FPERIOD_OVERRIDE=FQ","FILING_STATUS=OR","SCALING_FORMAT=MLN","FA_ADJUSTED=Adjusted","Sort=A","Dates=H","DateFormat=P","Fill=—","Direction=H","UseDPDF=Y")</f>
        <v>-2753</v>
      </c>
      <c r="K17" s="13">
        <f>_xll.BDH("XOM US Equity","IS_NONOP_INCOME_LOSS","FQ3 2010","FQ3 2010","Currency=USD","Period=FQ","BEST_FPERIOD_OVERRIDE=FQ","FILING_STATUS=OR","SCALING_FORMAT=MLN","FA_ADJUSTED=Adjusted","Sort=A","Dates=H","DateFormat=P","Fill=—","Direction=H","UseDPDF=Y")</f>
        <v>-2891</v>
      </c>
      <c r="L17" s="13">
        <f>_xll.BDH("XOM US Equity","IS_NONOP_INCOME_LOSS","FQ4 2010","FQ4 2010","Currency=USD","Period=FQ","BEST_FPERIOD_OVERRIDE=FQ","FILING_STATUS=OR","SCALING_FORMAT=MLN","FA_ADJUSTED=Adjusted","Sort=A","Dates=H","DateFormat=P","Fill=—","Direction=H","UseDPDF=Y")</f>
        <v>-4034</v>
      </c>
      <c r="M17" s="13">
        <f>_xll.BDH("XOM US Equity","IS_NONOP_INCOME_LOSS","FQ1 2011","FQ1 2011","Currency=USD","Period=FQ","BEST_FPERIOD_OVERRIDE=FQ","FILING_STATUS=OR","SCALING_FORMAT=MLN","FA_ADJUSTED=Adjusted","Sort=A","Dates=H","DateFormat=P","Fill=—","Direction=H","UseDPDF=Y")</f>
        <v>-4724</v>
      </c>
      <c r="N17" s="13">
        <f>_xll.BDH("XOM US Equity","IS_NONOP_INCOME_LOSS","FQ2 2011","FQ2 2011","Currency=USD","Period=FQ","BEST_FPERIOD_OVERRIDE=FQ","FILING_STATUS=OR","SCALING_FORMAT=MLN","FA_ADJUSTED=Adjusted","Sort=A","Dates=H","DateFormat=P","Fill=—","Direction=H","UseDPDF=Y")</f>
        <v>-4047</v>
      </c>
      <c r="O17" s="13">
        <f>_xll.BDH("XOM US Equity","IS_NONOP_INCOME_LOSS","FQ3 2011","FQ3 2011","Currency=USD","Period=FQ","BEST_FPERIOD_OVERRIDE=FQ","FILING_STATUS=OR","SCALING_FORMAT=MLN","FA_ADJUSTED=Adjusted","Sort=A","Dates=H","DateFormat=P","Fill=—","Direction=H","UseDPDF=Y")</f>
        <v>-4757</v>
      </c>
      <c r="P17" s="13">
        <f>_xll.BDH("XOM US Equity","IS_NONOP_INCOME_LOSS","FQ4 2011","FQ4 2011","Currency=USD","Period=FQ","BEST_FPERIOD_OVERRIDE=FQ","FILING_STATUS=OR","SCALING_FORMAT=MLN","FA_ADJUSTED=Adjusted","Sort=A","Dates=H","DateFormat=P","Fill=—","Direction=H","UseDPDF=Y")</f>
        <v>-5625</v>
      </c>
      <c r="Q17" s="13">
        <f>_xll.BDH("XOM US Equity","IS_NONOP_INCOME_LOSS","FQ1 2012","FQ1 2012","Currency=USD","Period=FQ","BEST_FPERIOD_OVERRIDE=FQ","FILING_STATUS=OR","SCALING_FORMAT=MLN","FA_ADJUSTED=Adjusted","Sort=A","Dates=H","DateFormat=P","Fill=—","Direction=H","UseDPDF=Y")</f>
        <v>-4757</v>
      </c>
      <c r="R17" s="13">
        <f>_xll.BDH("XOM US Equity","IS_NONOP_INCOME_LOSS","FQ2 2012","FQ2 2012","Currency=USD","Period=FQ","BEST_FPERIOD_OVERRIDE=FQ","FILING_STATUS=OR","SCALING_FORMAT=MLN","FA_ADJUSTED=Adjusted","Sort=A","Dates=H","DateFormat=P","Fill=—","Direction=H","UseDPDF=Y")</f>
        <v>-14568</v>
      </c>
      <c r="S17" s="13">
        <f>_xll.BDH("XOM US Equity","IS_NONOP_INCOME_LOSS","FQ3 2012","FQ3 2012","Currency=USD","Period=FQ","BEST_FPERIOD_OVERRIDE=FQ","FILING_STATUS=OR","SCALING_FORMAT=MLN","FA_ADJUSTED=Adjusted","Sort=A","Dates=H","DateFormat=P","Fill=—","Direction=H","UseDPDF=Y")</f>
        <v>-4093</v>
      </c>
      <c r="T17" s="13">
        <f>_xll.BDH("XOM US Equity","IS_NONOP_INCOME_LOSS","FQ4 2012","FQ4 2012","Currency=USD","Period=FQ","BEST_FPERIOD_OVERRIDE=FQ","FILING_STATUS=OR","SCALING_FORMAT=MLN","FA_ADJUSTED=Adjusted","Sort=A","Dates=H","DateFormat=P","Fill=—","Direction=H","UseDPDF=Y")</f>
        <v>-5427</v>
      </c>
      <c r="U17" s="13">
        <f>_xll.BDH("XOM US Equity","IS_NONOP_INCOME_LOSS","FQ1 2013","FQ1 2013","Currency=USD","Period=FQ","BEST_FPERIOD_OVERRIDE=FQ","FILING_STATUS=OR","SCALING_FORMAT=MLN","FA_ADJUSTED=Adjusted","Sort=A","Dates=H","DateFormat=P","Fill=—","Direction=H","UseDPDF=Y")</f>
        <v>-4955</v>
      </c>
      <c r="V17" s="13">
        <f>_xll.BDH("XOM US Equity","IS_NONOP_INCOME_LOSS","FQ2 2013","FQ2 2013","Currency=USD","Period=FQ","BEST_FPERIOD_OVERRIDE=FQ","FILING_STATUS=OR","SCALING_FORMAT=MLN","FA_ADJUSTED=Adjusted","Sort=A","Dates=H","DateFormat=P","Fill=—","Direction=H","UseDPDF=Y")</f>
        <v>-3531</v>
      </c>
      <c r="W17" s="13">
        <f>_xll.BDH("XOM US Equity","IS_NONOP_INCOME_LOSS","FQ3 2013","FQ3 2013","Currency=USD","Period=FQ","BEST_FPERIOD_OVERRIDE=FQ","FILING_STATUS=OR","SCALING_FORMAT=MLN","FA_ADJUSTED=Adjusted","Sort=A","Dates=H","DateFormat=P","Fill=—","Direction=H","UseDPDF=Y")</f>
        <v>-3930</v>
      </c>
      <c r="X17" s="13">
        <f>_xll.BDH("XOM US Equity","IS_NONOP_INCOME_LOSS","FQ4 2013","FQ4 2013","Currency=USD","Period=FQ","BEST_FPERIOD_OVERRIDE=FQ","FILING_STATUS=OR","SCALING_FORMAT=MLN","FA_ADJUSTED=Adjusted","Sort=A","Dates=H","DateFormat=P","Fill=—","Direction=H","UseDPDF=Y")</f>
        <v>-4994</v>
      </c>
      <c r="Y17" s="13">
        <f>_xll.BDH("XOM US Equity","IS_NONOP_INCOME_LOSS","FQ1 2014","FQ1 2014","Currency=USD","Period=FQ","BEST_FPERIOD_OVERRIDE=FQ","FILING_STATUS=OR","SCALING_FORMAT=MLN","FA_ADJUSTED=Adjusted","Sort=A","Dates=H","DateFormat=P","Fill=—","Direction=H","UseDPDF=Y")</f>
        <v>-4947</v>
      </c>
      <c r="Z17" s="13">
        <f>_xll.BDH("XOM US Equity","IS_NONOP_INCOME_LOSS","FQ2 2014","FQ2 2014","Currency=USD","Period=FQ","BEST_FPERIOD_OVERRIDE=FQ","FILING_STATUS=OR","SCALING_FORMAT=MLN","FA_ADJUSTED=Adjusted","Sort=A","Dates=H","DateFormat=P","Fill=—","Direction=H","UseDPDF=Y")</f>
        <v>-5425</v>
      </c>
      <c r="AA17" s="13">
        <f>_xll.BDH("XOM US Equity","IS_NONOP_INCOME_LOSS","FQ3 2014","FQ3 2014","Currency=USD","Period=FQ","BEST_FPERIOD_OVERRIDE=FQ","FILING_STATUS=OR","SCALING_FORMAT=MLN","FA_ADJUSTED=Adjusted","Sort=A","Dates=H","DateFormat=P","Fill=—","Direction=H","UseDPDF=Y")</f>
        <v>-3836</v>
      </c>
      <c r="AB17" s="13">
        <f>_xll.BDH("XOM US Equity","IS_NONOP_INCOME_LOSS","FQ4 2014","FQ4 2014","Currency=USD","Period=FQ","BEST_FPERIOD_OVERRIDE=FQ","FILING_STATUS=OR","SCALING_FORMAT=MLN","FA_ADJUSTED=Adjusted","Sort=A","Dates=H","DateFormat=P","Fill=—","Direction=H","UseDPDF=Y")</f>
        <v>-3340</v>
      </c>
      <c r="AC17" s="13">
        <f>_xll.BDH("XOM US Equity","IS_NONOP_INCOME_LOSS","FQ1 2015","FQ1 2015","Currency=USD","Period=FQ","BEST_FPERIOD_OVERRIDE=FQ","FILING_STATUS=OR","SCALING_FORMAT=MLN","FA_ADJUSTED=Adjusted","Sort=A","Dates=H","DateFormat=P","Fill=—","Direction=H","UseDPDF=Y")</f>
        <v>-2772</v>
      </c>
      <c r="AD17" s="13">
        <f>_xll.BDH("XOM US Equity","IS_NONOP_INCOME_LOSS","FQ2 2015","FQ2 2015","Currency=USD","Period=FQ","BEST_FPERIOD_OVERRIDE=FQ","FILING_STATUS=OR","SCALING_FORMAT=MLN","FA_ADJUSTED=Adjusted","Sort=A","Dates=H","DateFormat=P","Fill=—","Direction=H","UseDPDF=Y")</f>
        <v>-2668</v>
      </c>
      <c r="AE17" s="13">
        <f>_xll.BDH("XOM US Equity","IS_NONOP_INCOME_LOSS","FQ3 2015","FQ3 2015","Currency=USD","Period=FQ","BEST_FPERIOD_OVERRIDE=FQ","FILING_STATUS=OR","SCALING_FORMAT=MLN","FA_ADJUSTED=Adjusted","Sort=A","Dates=H","DateFormat=P","Fill=—","Direction=H","UseDPDF=Y")</f>
        <v>-1587</v>
      </c>
      <c r="AF17" s="13">
        <f>_xll.BDH("XOM US Equity","IS_NONOP_INCOME_LOSS","FQ4 2015","FQ4 2015","Currency=USD","Period=FQ","BEST_FPERIOD_OVERRIDE=FQ","FILING_STATUS=OR","SCALING_FORMAT=MLN","FA_ADJUSTED=Adjusted","Sort=A","Dates=H","DateFormat=P","Fill=—","Direction=H","UseDPDF=Y")</f>
        <v>-2056</v>
      </c>
      <c r="AG17" s="13">
        <f>_xll.BDH("XOM US Equity","IS_NONOP_INCOME_LOSS","FQ1 2016","FQ1 2016","Currency=USD","Period=FQ","BEST_FPERIOD_OVERRIDE=FQ","FILING_STATUS=OR","SCALING_FORMAT=MLN","FA_ADJUSTED=Adjusted","Sort=A","Dates=H","DateFormat=P","Fill=—","Direction=H","UseDPDF=Y")</f>
        <v>-1525</v>
      </c>
      <c r="AH17" s="13">
        <f>_xll.BDH("XOM US Equity","IS_NONOP_INCOME_LOSS","FQ2 2016","FQ2 2016","Currency=USD","Period=FQ","BEST_FPERIOD_OVERRIDE=FQ","FILING_STATUS=OR","SCALING_FORMAT=MLN","FA_ADJUSTED=Adjusted","Sort=A","Dates=H","DateFormat=P","Fill=—","Direction=H","UseDPDF=Y")</f>
        <v>-1259</v>
      </c>
      <c r="AI17" s="13">
        <f>_xll.BDH("XOM US Equity","IS_NONOP_INCOME_LOSS","FQ3 2016","FQ3 2016","Currency=USD","Period=FQ","BEST_FPERIOD_OVERRIDE=FQ","FILING_STATUS=OR","SCALING_FORMAT=MLN","FA_ADJUSTED=Adjusted","Sort=A","Dates=H","DateFormat=P","Fill=—","Direction=H","UseDPDF=Y")</f>
        <v>-1804</v>
      </c>
      <c r="AJ17" s="13">
        <f>_xll.BDH("XOM US Equity","IS_NONOP_INCOME_LOSS","FQ4 2016","FQ4 2016","Currency=USD","Period=FQ","BEST_FPERIOD_OVERRIDE=FQ","FILING_STATUS=OR","SCALING_FORMAT=MLN","FA_ADJUSTED=Adjusted","Sort=A","Dates=H","DateFormat=P","Fill=—","Direction=H","UseDPDF=Y")</f>
        <v>-2445</v>
      </c>
      <c r="AK17" s="13">
        <f>_xll.BDH("XOM US Equity","IS_NONOP_INCOME_LOSS","FQ1 2017","FQ1 2017","Currency=USD","Period=FQ","BEST_FPERIOD_OVERRIDE=FQ","FILING_STATUS=OR","SCALING_FORMAT=MLN","FA_ADJUSTED=Adjusted","Sort=A","Dates=H","DateFormat=P","Fill=—","Direction=H","UseDPDF=Y")</f>
        <v>-2051</v>
      </c>
      <c r="AL17" s="13">
        <f>_xll.BDH("XOM US Equity","IS_NONOP_INCOME_LOSS","FQ2 2017","FQ2 2017","Currency=USD","Period=FQ","BEST_FPERIOD_OVERRIDE=FQ","FILING_STATUS=OR","SCALING_FORMAT=MLN","FA_ADJUSTED=Adjusted","Sort=A","Dates=H","DateFormat=P","Fill=—","Direction=H","UseDPDF=Y")</f>
        <v>-1893</v>
      </c>
      <c r="AM17" s="13">
        <f>_xll.BDH("XOM US Equity","IS_NONOP_INCOME_LOSS","FQ3 2017","FQ3 2017","Currency=USD","Period=FQ","BEST_FPERIOD_OVERRIDE=FQ","FILING_STATUS=OR","SCALING_FORMAT=MLN","FA_ADJUSTED=Adjusted","Sort=A","Dates=H","DateFormat=P","Fill=—","Direction=H","UseDPDF=Y")</f>
        <v>-1639</v>
      </c>
      <c r="AN17" s="13">
        <f>_xll.BDH("XOM US Equity","IS_NONOP_INCOME_LOSS","FQ4 2017","FQ4 2017","Currency=USD","Period=FQ","BEST_FPERIOD_OVERRIDE=FQ","FILING_STATUS=OR","SCALING_FORMAT=MLN","FA_ADJUSTED=Adjusted","Sort=A","Dates=H","DateFormat=P","Fill=—","Direction=H","UseDPDF=Y")</f>
        <v>-1017</v>
      </c>
      <c r="AO17" s="13">
        <f>_xll.BDH("XOM US Equity","IS_NONOP_INCOME_LOSS","FQ1 2018","FQ1 2018","Currency=USD","Period=FQ","BEST_FPERIOD_OVERRIDE=FQ","FILING_STATUS=OR","SCALING_FORMAT=MLN","FA_ADJUSTED=Adjusted","Sort=A","Dates=H","DateFormat=P","Fill=—","Direction=H","UseDPDF=Y")</f>
        <v>-2234</v>
      </c>
      <c r="AP17" s="13">
        <f>_xll.BDH("XOM US Equity","IS_NONOP_INCOME_LOSS","FQ2 2018","FQ2 2018","Currency=USD","Period=FQ","BEST_FPERIOD_OVERRIDE=FQ","FILING_STATUS=OR","SCALING_FORMAT=MLN","FA_ADJUSTED=Adjusted","Sort=A","Dates=H","DateFormat=P","Fill=—","Direction=H","UseDPDF=Y")</f>
        <v>-1898</v>
      </c>
    </row>
    <row r="18" spans="1:42" x14ac:dyDescent="0.25">
      <c r="A18" s="10" t="s">
        <v>110</v>
      </c>
      <c r="B18" s="10" t="s">
        <v>111</v>
      </c>
      <c r="C18" s="13">
        <f>_xll.BDH("XOM US Equity","IS_NET_INTEREST_EXPENSE","FQ3 2008","FQ3 2008","Currency=USD","Period=FQ","BEST_FPERIOD_OVERRIDE=FQ","FILING_STATUS=OR","SCALING_FORMAT=MLN","FA_ADJUSTED=Adjusted","Sort=A","Dates=H","DateFormat=P","Fill=—","Direction=H","UseDPDF=Y")</f>
        <v>318</v>
      </c>
      <c r="D18" s="13">
        <f>_xll.BDH("XOM US Equity","IS_NET_INTEREST_EXPENSE","FQ4 2008","FQ4 2008","Currency=USD","Period=FQ","BEST_FPERIOD_OVERRIDE=FQ","FILING_STATUS=OR","SCALING_FORMAT=MLN","FA_ADJUSTED=Adjusted","Sort=A","Dates=H","DateFormat=P","Fill=—","Direction=H","UseDPDF=Y")</f>
        <v>118</v>
      </c>
      <c r="E18" s="13" t="str">
        <f>_xll.BDH("XOM US Equity","IS_NET_INTEREST_EXPENSE","FQ1 2009","FQ1 2009","Currency=USD","Period=FQ","BEST_FPERIOD_OVERRIDE=FQ","FILING_STATUS=OR","SCALING_FORMAT=MLN","FA_ADJUSTED=Adjusted","Sort=A","Dates=H","DateFormat=P","Fill=—","Direction=H","UseDPDF=Y")</f>
        <v>—</v>
      </c>
      <c r="F18" s="13" t="str">
        <f>_xll.BDH("XOM US Equity","IS_NET_INTEREST_EXPENSE","FQ2 2009","FQ2 2009","Currency=USD","Period=FQ","BEST_FPERIOD_OVERRIDE=FQ","FILING_STATUS=OR","SCALING_FORMAT=MLN","FA_ADJUSTED=Adjusted","Sort=A","Dates=H","DateFormat=P","Fill=—","Direction=H","UseDPDF=Y")</f>
        <v>—</v>
      </c>
      <c r="G18" s="13" t="str">
        <f>_xll.BDH("XOM US Equity","IS_NET_INTEREST_EXPENSE","FQ3 2009","FQ3 2009","Currency=USD","Period=FQ","BEST_FPERIOD_OVERRIDE=FQ","FILING_STATUS=OR","SCALING_FORMAT=MLN","FA_ADJUSTED=Adjusted","Sort=A","Dates=H","DateFormat=P","Fill=—","Direction=H","UseDPDF=Y")</f>
        <v>—</v>
      </c>
      <c r="H18" s="13" t="str">
        <f>_xll.BDH("XOM US Equity","IS_NET_INTEREST_EXPENSE","FQ4 2009","FQ4 2009","Currency=USD","Period=FQ","BEST_FPERIOD_OVERRIDE=FQ","FILING_STATUS=OR","SCALING_FORMAT=MLN","FA_ADJUSTED=Adjusted","Sort=A","Dates=H","DateFormat=P","Fill=—","Direction=H","UseDPDF=Y")</f>
        <v>—</v>
      </c>
      <c r="I18" s="13" t="str">
        <f>_xll.BDH("XOM US Equity","IS_NET_INTEREST_EXPENSE","FQ1 2010","FQ1 2010","Currency=USD","Period=FQ","BEST_FPERIOD_OVERRIDE=FQ","FILING_STATUS=OR","SCALING_FORMAT=MLN","FA_ADJUSTED=Adjusted","Sort=A","Dates=H","DateFormat=P","Fill=—","Direction=H","UseDPDF=Y")</f>
        <v>—</v>
      </c>
      <c r="J18" s="13" t="str">
        <f>_xll.BDH("XOM US Equity","IS_NET_INTEREST_EXPENSE","FQ2 2010","FQ2 2010","Currency=USD","Period=FQ","BEST_FPERIOD_OVERRIDE=FQ","FILING_STATUS=OR","SCALING_FORMAT=MLN","FA_ADJUSTED=Adjusted","Sort=A","Dates=H","DateFormat=P","Fill=—","Direction=H","UseDPDF=Y")</f>
        <v>—</v>
      </c>
      <c r="K18" s="13" t="str">
        <f>_xll.BDH("XOM US Equity","IS_NET_INTEREST_EXPENSE","FQ3 2010","FQ3 2010","Currency=USD","Period=FQ","BEST_FPERIOD_OVERRIDE=FQ","FILING_STATUS=OR","SCALING_FORMAT=MLN","FA_ADJUSTED=Adjusted","Sort=A","Dates=H","DateFormat=P","Fill=—","Direction=H","UseDPDF=Y")</f>
        <v>—</v>
      </c>
      <c r="L18" s="13" t="str">
        <f>_xll.BDH("XOM US Equity","IS_NET_INTEREST_EXPENSE","FQ4 2010","FQ4 2010","Currency=USD","Period=FQ","BEST_FPERIOD_OVERRIDE=FQ","FILING_STATUS=OR","SCALING_FORMAT=MLN","FA_ADJUSTED=Adjusted","Sort=A","Dates=H","DateFormat=P","Fill=—","Direction=H","UseDPDF=Y")</f>
        <v>—</v>
      </c>
      <c r="M18" s="13" t="str">
        <f>_xll.BDH("XOM US Equity","IS_NET_INTEREST_EXPENSE","FQ1 2011","FQ1 2011","Currency=USD","Period=FQ","BEST_FPERIOD_OVERRIDE=FQ","FILING_STATUS=OR","SCALING_FORMAT=MLN","FA_ADJUSTED=Adjusted","Sort=A","Dates=H","DateFormat=P","Fill=—","Direction=H","UseDPDF=Y")</f>
        <v>—</v>
      </c>
      <c r="N18" s="13" t="str">
        <f>_xll.BDH("XOM US Equity","IS_NET_INTEREST_EXPENSE","FQ2 2011","FQ2 2011","Currency=USD","Period=FQ","BEST_FPERIOD_OVERRIDE=FQ","FILING_STATUS=OR","SCALING_FORMAT=MLN","FA_ADJUSTED=Adjusted","Sort=A","Dates=H","DateFormat=P","Fill=—","Direction=H","UseDPDF=Y")</f>
        <v>—</v>
      </c>
      <c r="O18" s="13" t="str">
        <f>_xll.BDH("XOM US Equity","IS_NET_INTEREST_EXPENSE","FQ3 2011","FQ3 2011","Currency=USD","Period=FQ","BEST_FPERIOD_OVERRIDE=FQ","FILING_STATUS=OR","SCALING_FORMAT=MLN","FA_ADJUSTED=Adjusted","Sort=A","Dates=H","DateFormat=P","Fill=—","Direction=H","UseDPDF=Y")</f>
        <v>—</v>
      </c>
      <c r="P18" s="13" t="str">
        <f>_xll.BDH("XOM US Equity","IS_NET_INTEREST_EXPENSE","FQ4 2011","FQ4 2011","Currency=USD","Period=FQ","BEST_FPERIOD_OVERRIDE=FQ","FILING_STATUS=OR","SCALING_FORMAT=MLN","FA_ADJUSTED=Adjusted","Sort=A","Dates=H","DateFormat=P","Fill=—","Direction=H","UseDPDF=Y")</f>
        <v>—</v>
      </c>
      <c r="Q18" s="13" t="str">
        <f>_xll.BDH("XOM US Equity","IS_NET_INTEREST_EXPENSE","FQ1 2012","FQ1 2012","Currency=USD","Period=FQ","BEST_FPERIOD_OVERRIDE=FQ","FILING_STATUS=OR","SCALING_FORMAT=MLN","FA_ADJUSTED=Adjusted","Sort=A","Dates=H","DateFormat=P","Fill=—","Direction=H","UseDPDF=Y")</f>
        <v>—</v>
      </c>
      <c r="R18" s="13" t="str">
        <f>_xll.BDH("XOM US Equity","IS_NET_INTEREST_EXPENSE","FQ2 2012","FQ2 2012","Currency=USD","Period=FQ","BEST_FPERIOD_OVERRIDE=FQ","FILING_STATUS=OR","SCALING_FORMAT=MLN","FA_ADJUSTED=Adjusted","Sort=A","Dates=H","DateFormat=P","Fill=—","Direction=H","UseDPDF=Y")</f>
        <v>—</v>
      </c>
      <c r="S18" s="13" t="str">
        <f>_xll.BDH("XOM US Equity","IS_NET_INTEREST_EXPENSE","FQ3 2012","FQ3 2012","Currency=USD","Period=FQ","BEST_FPERIOD_OVERRIDE=FQ","FILING_STATUS=OR","SCALING_FORMAT=MLN","FA_ADJUSTED=Adjusted","Sort=A","Dates=H","DateFormat=P","Fill=—","Direction=H","UseDPDF=Y")</f>
        <v>—</v>
      </c>
      <c r="T18" s="13" t="str">
        <f>_xll.BDH("XOM US Equity","IS_NET_INTEREST_EXPENSE","FQ4 2012","FQ4 2012","Currency=USD","Period=FQ","BEST_FPERIOD_OVERRIDE=FQ","FILING_STATUS=OR","SCALING_FORMAT=MLN","FA_ADJUSTED=Adjusted","Sort=A","Dates=H","DateFormat=P","Fill=—","Direction=H","UseDPDF=Y")</f>
        <v>—</v>
      </c>
      <c r="U18" s="13" t="str">
        <f>_xll.BDH("XOM US Equity","IS_NET_INTEREST_EXPENSE","FQ1 2013","FQ1 2013","Currency=USD","Period=FQ","BEST_FPERIOD_OVERRIDE=FQ","FILING_STATUS=OR","SCALING_FORMAT=MLN","FA_ADJUSTED=Adjusted","Sort=A","Dates=H","DateFormat=P","Fill=—","Direction=H","UseDPDF=Y")</f>
        <v>—</v>
      </c>
      <c r="V18" s="13" t="str">
        <f>_xll.BDH("XOM US Equity","IS_NET_INTEREST_EXPENSE","FQ2 2013","FQ2 2013","Currency=USD","Period=FQ","BEST_FPERIOD_OVERRIDE=FQ","FILING_STATUS=OR","SCALING_FORMAT=MLN","FA_ADJUSTED=Adjusted","Sort=A","Dates=H","DateFormat=P","Fill=—","Direction=H","UseDPDF=Y")</f>
        <v>—</v>
      </c>
      <c r="W18" s="13" t="str">
        <f>_xll.BDH("XOM US Equity","IS_NET_INTEREST_EXPENSE","FQ3 2013","FQ3 2013","Currency=USD","Period=FQ","BEST_FPERIOD_OVERRIDE=FQ","FILING_STATUS=OR","SCALING_FORMAT=MLN","FA_ADJUSTED=Adjusted","Sort=A","Dates=H","DateFormat=P","Fill=—","Direction=H","UseDPDF=Y")</f>
        <v>—</v>
      </c>
      <c r="X18" s="13" t="str">
        <f>_xll.BDH("XOM US Equity","IS_NET_INTEREST_EXPENSE","FQ4 2013","FQ4 2013","Currency=USD","Period=FQ","BEST_FPERIOD_OVERRIDE=FQ","FILING_STATUS=OR","SCALING_FORMAT=MLN","FA_ADJUSTED=Adjusted","Sort=A","Dates=H","DateFormat=P","Fill=—","Direction=H","UseDPDF=Y")</f>
        <v>—</v>
      </c>
      <c r="Y18" s="13" t="str">
        <f>_xll.BDH("XOM US Equity","IS_NET_INTEREST_EXPENSE","FQ1 2014","FQ1 2014","Currency=USD","Period=FQ","BEST_FPERIOD_OVERRIDE=FQ","FILING_STATUS=OR","SCALING_FORMAT=MLN","FA_ADJUSTED=Adjusted","Sort=A","Dates=H","DateFormat=P","Fill=—","Direction=H","UseDPDF=Y")</f>
        <v>—</v>
      </c>
      <c r="Z18" s="13" t="str">
        <f>_xll.BDH("XOM US Equity","IS_NET_INTEREST_EXPENSE","FQ2 2014","FQ2 2014","Currency=USD","Period=FQ","BEST_FPERIOD_OVERRIDE=FQ","FILING_STATUS=OR","SCALING_FORMAT=MLN","FA_ADJUSTED=Adjusted","Sort=A","Dates=H","DateFormat=P","Fill=—","Direction=H","UseDPDF=Y")</f>
        <v>—</v>
      </c>
      <c r="AA18" s="13" t="str">
        <f>_xll.BDH("XOM US Equity","IS_NET_INTEREST_EXPENSE","FQ3 2014","FQ3 2014","Currency=USD","Period=FQ","BEST_FPERIOD_OVERRIDE=FQ","FILING_STATUS=OR","SCALING_FORMAT=MLN","FA_ADJUSTED=Adjusted","Sort=A","Dates=H","DateFormat=P","Fill=—","Direction=H","UseDPDF=Y")</f>
        <v>—</v>
      </c>
      <c r="AB18" s="13" t="str">
        <f>_xll.BDH("XOM US Equity","IS_NET_INTEREST_EXPENSE","FQ4 2014","FQ4 2014","Currency=USD","Period=FQ","BEST_FPERIOD_OVERRIDE=FQ","FILING_STATUS=OR","SCALING_FORMAT=MLN","FA_ADJUSTED=Adjusted","Sort=A","Dates=H","DateFormat=P","Fill=—","Direction=H","UseDPDF=Y")</f>
        <v>—</v>
      </c>
      <c r="AC18" s="13" t="str">
        <f>_xll.BDH("XOM US Equity","IS_NET_INTEREST_EXPENSE","FQ1 2015","FQ1 2015","Currency=USD","Period=FQ","BEST_FPERIOD_OVERRIDE=FQ","FILING_STATUS=OR","SCALING_FORMAT=MLN","FA_ADJUSTED=Adjusted","Sort=A","Dates=H","DateFormat=P","Fill=—","Direction=H","UseDPDF=Y")</f>
        <v>—</v>
      </c>
      <c r="AD18" s="13" t="str">
        <f>_xll.BDH("XOM US Equity","IS_NET_INTEREST_EXPENSE","FQ2 2015","FQ2 2015","Currency=USD","Period=FQ","BEST_FPERIOD_OVERRIDE=FQ","FILING_STATUS=OR","SCALING_FORMAT=MLN","FA_ADJUSTED=Adjusted","Sort=A","Dates=H","DateFormat=P","Fill=—","Direction=H","UseDPDF=Y")</f>
        <v>—</v>
      </c>
      <c r="AE18" s="13" t="str">
        <f>_xll.BDH("XOM US Equity","IS_NET_INTEREST_EXPENSE","FQ3 2015","FQ3 2015","Currency=USD","Period=FQ","BEST_FPERIOD_OVERRIDE=FQ","FILING_STATUS=OR","SCALING_FORMAT=MLN","FA_ADJUSTED=Adjusted","Sort=A","Dates=H","DateFormat=P","Fill=—","Direction=H","UseDPDF=Y")</f>
        <v>—</v>
      </c>
      <c r="AF18" s="13" t="str">
        <f>_xll.BDH("XOM US Equity","IS_NET_INTEREST_EXPENSE","FQ4 2015","FQ4 2015","Currency=USD","Period=FQ","BEST_FPERIOD_OVERRIDE=FQ","FILING_STATUS=OR","SCALING_FORMAT=MLN","FA_ADJUSTED=Adjusted","Sort=A","Dates=H","DateFormat=P","Fill=—","Direction=H","UseDPDF=Y")</f>
        <v>—</v>
      </c>
      <c r="AG18" s="13" t="str">
        <f>_xll.BDH("XOM US Equity","IS_NET_INTEREST_EXPENSE","FQ1 2016","FQ1 2016","Currency=USD","Period=FQ","BEST_FPERIOD_OVERRIDE=FQ","FILING_STATUS=OR","SCALING_FORMAT=MLN","FA_ADJUSTED=Adjusted","Sort=A","Dates=H","DateFormat=P","Fill=—","Direction=H","UseDPDF=Y")</f>
        <v>—</v>
      </c>
      <c r="AH18" s="13" t="str">
        <f>_xll.BDH("XOM US Equity","IS_NET_INTEREST_EXPENSE","FQ2 2016","FQ2 2016","Currency=USD","Period=FQ","BEST_FPERIOD_OVERRIDE=FQ","FILING_STATUS=OR","SCALING_FORMAT=MLN","FA_ADJUSTED=Adjusted","Sort=A","Dates=H","DateFormat=P","Fill=—","Direction=H","UseDPDF=Y")</f>
        <v>—</v>
      </c>
      <c r="AI18" s="13" t="str">
        <f>_xll.BDH("XOM US Equity","IS_NET_INTEREST_EXPENSE","FQ3 2016","FQ3 2016","Currency=USD","Period=FQ","BEST_FPERIOD_OVERRIDE=FQ","FILING_STATUS=OR","SCALING_FORMAT=MLN","FA_ADJUSTED=Adjusted","Sort=A","Dates=H","DateFormat=P","Fill=—","Direction=H","UseDPDF=Y")</f>
        <v>—</v>
      </c>
      <c r="AJ18" s="13" t="str">
        <f>_xll.BDH("XOM US Equity","IS_NET_INTEREST_EXPENSE","FQ4 2016","FQ4 2016","Currency=USD","Period=FQ","BEST_FPERIOD_OVERRIDE=FQ","FILING_STATUS=OR","SCALING_FORMAT=MLN","FA_ADJUSTED=Adjusted","Sort=A","Dates=H","DateFormat=P","Fill=—","Direction=H","UseDPDF=Y")</f>
        <v>—</v>
      </c>
      <c r="AK18" s="13" t="str">
        <f>_xll.BDH("XOM US Equity","IS_NET_INTEREST_EXPENSE","FQ1 2017","FQ1 2017","Currency=USD","Period=FQ","BEST_FPERIOD_OVERRIDE=FQ","FILING_STATUS=OR","SCALING_FORMAT=MLN","FA_ADJUSTED=Adjusted","Sort=A","Dates=H","DateFormat=P","Fill=—","Direction=H","UseDPDF=Y")</f>
        <v>—</v>
      </c>
      <c r="AL18" s="13" t="str">
        <f>_xll.BDH("XOM US Equity","IS_NET_INTEREST_EXPENSE","FQ2 2017","FQ2 2017","Currency=USD","Period=FQ","BEST_FPERIOD_OVERRIDE=FQ","FILING_STATUS=OR","SCALING_FORMAT=MLN","FA_ADJUSTED=Adjusted","Sort=A","Dates=H","DateFormat=P","Fill=—","Direction=H","UseDPDF=Y")</f>
        <v>—</v>
      </c>
      <c r="AM18" s="13" t="str">
        <f>_xll.BDH("XOM US Equity","IS_NET_INTEREST_EXPENSE","FQ3 2017","FQ3 2017","Currency=USD","Period=FQ","BEST_FPERIOD_OVERRIDE=FQ","FILING_STATUS=OR","SCALING_FORMAT=MLN","FA_ADJUSTED=Adjusted","Sort=A","Dates=H","DateFormat=P","Fill=—","Direction=H","UseDPDF=Y")</f>
        <v>—</v>
      </c>
      <c r="AN18" s="13" t="str">
        <f>_xll.BDH("XOM US Equity","IS_NET_INTEREST_EXPENSE","FQ4 2017","FQ4 2017","Currency=USD","Period=FQ","BEST_FPERIOD_OVERRIDE=FQ","FILING_STATUS=OR","SCALING_FORMAT=MLN","FA_ADJUSTED=Adjusted","Sort=A","Dates=H","DateFormat=P","Fill=—","Direction=H","UseDPDF=Y")</f>
        <v>—</v>
      </c>
      <c r="AO18" s="13" t="str">
        <f>_xll.BDH("XOM US Equity","IS_NET_INTEREST_EXPENSE","FQ1 2018","FQ1 2018","Currency=USD","Period=FQ","BEST_FPERIOD_OVERRIDE=FQ","FILING_STATUS=OR","SCALING_FORMAT=MLN","FA_ADJUSTED=Adjusted","Sort=A","Dates=H","DateFormat=P","Fill=—","Direction=H","UseDPDF=Y")</f>
        <v>—</v>
      </c>
      <c r="AP18" s="13" t="str">
        <f>_xll.BDH("XOM US Equity","IS_NET_INTEREST_EXPENSE","FQ2 2018","FQ2 2018","Currency=USD","Period=FQ","BEST_FPERIOD_OVERRIDE=FQ","FILING_STATUS=OR","SCALING_FORMAT=MLN","FA_ADJUSTED=Adjusted","Sort=A","Dates=H","DateFormat=P","Fill=—","Direction=H","UseDPDF=Y")</f>
        <v>—</v>
      </c>
    </row>
    <row r="19" spans="1:42" x14ac:dyDescent="0.25">
      <c r="A19" s="11" t="s">
        <v>112</v>
      </c>
      <c r="B19" s="11" t="s">
        <v>113</v>
      </c>
      <c r="C19" s="18">
        <f>_xll.BDH("XOM US Equity","IS_INT_EXPENSE","FQ3 2008","FQ3 2008","Currency=USD","Period=FQ","BEST_FPERIOD_OVERRIDE=FQ","FILING_STATUS=OR","SCALING_FORMAT=MLN","FA_ADJUSTED=Adjusted","Sort=A","Dates=H","DateFormat=P","Fill=—","Direction=H","UseDPDF=Y")</f>
        <v>318</v>
      </c>
      <c r="D19" s="18">
        <f>_xll.BDH("XOM US Equity","IS_INT_EXPENSE","FQ4 2008","FQ4 2008","Currency=USD","Period=FQ","BEST_FPERIOD_OVERRIDE=FQ","FILING_STATUS=OR","SCALING_FORMAT=MLN","FA_ADJUSTED=Adjusted","Sort=A","Dates=H","DateFormat=P","Fill=—","Direction=H","UseDPDF=Y")</f>
        <v>118</v>
      </c>
      <c r="E19" s="18">
        <f>_xll.BDH("XOM US Equity","IS_INT_EXPENSE","FQ1 2009","FQ1 2009","Currency=USD","Period=FQ","BEST_FPERIOD_OVERRIDE=FQ","FILING_STATUS=OR","SCALING_FORMAT=MLN","FA_ADJUSTED=Adjusted","Sort=A","Dates=H","DateFormat=P","Fill=—","Direction=H","UseDPDF=Y")</f>
        <v>107</v>
      </c>
      <c r="F19" s="18">
        <f>_xll.BDH("XOM US Equity","IS_INT_EXPENSE","FQ2 2009","FQ2 2009","Currency=USD","Period=FQ","BEST_FPERIOD_OVERRIDE=FQ","FILING_STATUS=OR","SCALING_FORMAT=MLN","FA_ADJUSTED=Adjusted","Sort=A","Dates=H","DateFormat=P","Fill=—","Direction=H","UseDPDF=Y")</f>
        <v>127.61539999999999</v>
      </c>
      <c r="G19" s="18">
        <f>_xll.BDH("XOM US Equity","IS_INT_EXPENSE","FQ3 2009","FQ3 2009","Currency=USD","Period=FQ","BEST_FPERIOD_OVERRIDE=FQ","FILING_STATUS=OR","SCALING_FORMAT=MLN","FA_ADJUSTED=Adjusted","Sort=A","Dates=H","DateFormat=P","Fill=—","Direction=H","UseDPDF=Y")</f>
        <v>62</v>
      </c>
      <c r="H19" s="18">
        <f>_xll.BDH("XOM US Equity","IS_INT_EXPENSE","FQ4 2009","FQ4 2009","Currency=USD","Period=FQ","BEST_FPERIOD_OVERRIDE=FQ","FILING_STATUS=OR","SCALING_FORMAT=MLN","FA_ADJUSTED=Adjusted","Sort=A","Dates=H","DateFormat=P","Fill=—","Direction=H","UseDPDF=Y")</f>
        <v>36</v>
      </c>
      <c r="I19" s="18">
        <f>_xll.BDH("XOM US Equity","IS_INT_EXPENSE","FQ1 2010","FQ1 2010","Currency=USD","Period=FQ","BEST_FPERIOD_OVERRIDE=FQ","FILING_STATUS=OR","SCALING_FORMAT=MLN","FA_ADJUSTED=Adjusted","Sort=A","Dates=H","DateFormat=P","Fill=—","Direction=H","UseDPDF=Y")</f>
        <v>55</v>
      </c>
      <c r="J19" s="18">
        <f>_xll.BDH("XOM US Equity","IS_INT_EXPENSE","FQ2 2010","FQ2 2010","Currency=USD","Period=FQ","BEST_FPERIOD_OVERRIDE=FQ","FILING_STATUS=OR","SCALING_FORMAT=MLN","FA_ADJUSTED=Adjusted","Sort=A","Dates=H","DateFormat=P","Fill=—","Direction=H","UseDPDF=Y")</f>
        <v>40</v>
      </c>
      <c r="K19" s="18">
        <f>_xll.BDH("XOM US Equity","IS_INT_EXPENSE","FQ3 2010","FQ3 2010","Currency=USD","Period=FQ","BEST_FPERIOD_OVERRIDE=FQ","FILING_STATUS=OR","SCALING_FORMAT=MLN","FA_ADJUSTED=Adjusted","Sort=A","Dates=H","DateFormat=P","Fill=—","Direction=H","UseDPDF=Y")</f>
        <v>54</v>
      </c>
      <c r="L19" s="18">
        <f>_xll.BDH("XOM US Equity","IS_INT_EXPENSE","FQ4 2010","FQ4 2010","Currency=USD","Period=FQ","BEST_FPERIOD_OVERRIDE=FQ","FILING_STATUS=OR","SCALING_FORMAT=MLN","FA_ADJUSTED=Adjusted","Sort=A","Dates=H","DateFormat=P","Fill=—","Direction=H","UseDPDF=Y")</f>
        <v>110</v>
      </c>
      <c r="M19" s="18">
        <f>_xll.BDH("XOM US Equity","IS_INT_EXPENSE","FQ1 2011","FQ1 2011","Currency=USD","Period=FQ","BEST_FPERIOD_OVERRIDE=FQ","FILING_STATUS=OR","SCALING_FORMAT=MLN","FA_ADJUSTED=Adjusted","Sort=A","Dates=H","DateFormat=P","Fill=—","Direction=H","UseDPDF=Y")</f>
        <v>29</v>
      </c>
      <c r="N19" s="18">
        <f>_xll.BDH("XOM US Equity","IS_INT_EXPENSE","FQ2 2011","FQ2 2011","Currency=USD","Period=FQ","BEST_FPERIOD_OVERRIDE=FQ","FILING_STATUS=OR","SCALING_FORMAT=MLN","FA_ADJUSTED=Adjusted","Sort=A","Dates=H","DateFormat=P","Fill=—","Direction=H","UseDPDF=Y")</f>
        <v>45</v>
      </c>
      <c r="O19" s="18">
        <f>_xll.BDH("XOM US Equity","IS_INT_EXPENSE","FQ3 2011","FQ3 2011","Currency=USD","Period=FQ","BEST_FPERIOD_OVERRIDE=FQ","FILING_STATUS=OR","SCALING_FORMAT=MLN","FA_ADJUSTED=Adjusted","Sort=A","Dates=H","DateFormat=P","Fill=—","Direction=H","UseDPDF=Y")</f>
        <v>98</v>
      </c>
      <c r="P19" s="18">
        <f>_xll.BDH("XOM US Equity","IS_INT_EXPENSE","FQ4 2011","FQ4 2011","Currency=USD","Period=FQ","BEST_FPERIOD_OVERRIDE=FQ","FILING_STATUS=OR","SCALING_FORMAT=MLN","FA_ADJUSTED=Adjusted","Sort=A","Dates=H","DateFormat=P","Fill=—","Direction=H","UseDPDF=Y")</f>
        <v>75</v>
      </c>
      <c r="Q19" s="18">
        <f>_xll.BDH("XOM US Equity","IS_INT_EXPENSE","FQ1 2012","FQ1 2012","Currency=USD","Period=FQ","BEST_FPERIOD_OVERRIDE=FQ","FILING_STATUS=OR","SCALING_FORMAT=MLN","FA_ADJUSTED=Adjusted","Sort=A","Dates=H","DateFormat=P","Fill=—","Direction=H","UseDPDF=Y")</f>
        <v>107</v>
      </c>
      <c r="R19" s="18">
        <f>_xll.BDH("XOM US Equity","IS_INT_EXPENSE","FQ2 2012","FQ2 2012","Currency=USD","Period=FQ","BEST_FPERIOD_OVERRIDE=FQ","FILING_STATUS=OR","SCALING_FORMAT=MLN","FA_ADJUSTED=Adjusted","Sort=A","Dates=H","DateFormat=P","Fill=—","Direction=H","UseDPDF=Y")</f>
        <v>50</v>
      </c>
      <c r="S19" s="18">
        <f>_xll.BDH("XOM US Equity","IS_INT_EXPENSE","FQ3 2012","FQ3 2012","Currency=USD","Period=FQ","BEST_FPERIOD_OVERRIDE=FQ","FILING_STATUS=OR","SCALING_FORMAT=MLN","FA_ADJUSTED=Adjusted","Sort=A","Dates=H","DateFormat=P","Fill=—","Direction=H","UseDPDF=Y")</f>
        <v>59</v>
      </c>
      <c r="T19" s="18">
        <f>_xll.BDH("XOM US Equity","IS_INT_EXPENSE","FQ4 2012","FQ4 2012","Currency=USD","Period=FQ","BEST_FPERIOD_OVERRIDE=FQ","FILING_STATUS=OR","SCALING_FORMAT=MLN","FA_ADJUSTED=Adjusted","Sort=A","Dates=H","DateFormat=P","Fill=—","Direction=H","UseDPDF=Y")</f>
        <v>111</v>
      </c>
      <c r="U19" s="18">
        <f>_xll.BDH("XOM US Equity","IS_INT_EXPENSE","FQ1 2013","FQ1 2013","Currency=USD","Period=FQ","BEST_FPERIOD_OVERRIDE=FQ","FILING_STATUS=OR","SCALING_FORMAT=MLN","FA_ADJUSTED=Adjusted","Sort=A","Dates=H","DateFormat=P","Fill=—","Direction=H","UseDPDF=Y")</f>
        <v>24</v>
      </c>
      <c r="V19" s="18">
        <f>_xll.BDH("XOM US Equity","IS_INT_EXPENSE","FQ2 2013","FQ2 2013","Currency=USD","Period=FQ","BEST_FPERIOD_OVERRIDE=FQ","FILING_STATUS=OR","SCALING_FORMAT=MLN","FA_ADJUSTED=Adjusted","Sort=A","Dates=H","DateFormat=P","Fill=—","Direction=H","UseDPDF=Y")</f>
        <v>85</v>
      </c>
      <c r="W19" s="18">
        <f>_xll.BDH("XOM US Equity","IS_INT_EXPENSE","FQ3 2013","FQ3 2013","Currency=USD","Period=FQ","BEST_FPERIOD_OVERRIDE=FQ","FILING_STATUS=OR","SCALING_FORMAT=MLN","FA_ADJUSTED=Adjusted","Sort=A","Dates=H","DateFormat=P","Fill=—","Direction=H","UseDPDF=Y")</f>
        <v>52</v>
      </c>
      <c r="X19" s="18" t="str">
        <f>_xll.BDH("XOM US Equity","IS_INT_EXPENSE","FQ4 2013","FQ4 2013","Currency=USD","Period=FQ","BEST_FPERIOD_OVERRIDE=FQ","FILING_STATUS=OR","SCALING_FORMAT=MLN","FA_ADJUSTED=Adjusted","Sort=A","Dates=H","DateFormat=P","Fill=—","Direction=H","UseDPDF=Y")</f>
        <v>—</v>
      </c>
      <c r="Y19" s="18">
        <f>_xll.BDH("XOM US Equity","IS_INT_EXPENSE","FQ1 2014","FQ1 2014","Currency=USD","Period=FQ","BEST_FPERIOD_OVERRIDE=FQ","FILING_STATUS=OR","SCALING_FORMAT=MLN","FA_ADJUSTED=Adjusted","Sort=A","Dates=H","DateFormat=P","Fill=—","Direction=H","UseDPDF=Y")</f>
        <v>66</v>
      </c>
      <c r="Z19" s="18">
        <f>_xll.BDH("XOM US Equity","IS_INT_EXPENSE","FQ2 2014","FQ2 2014","Currency=USD","Period=FQ","BEST_FPERIOD_OVERRIDE=FQ","FILING_STATUS=OR","SCALING_FORMAT=MLN","FA_ADJUSTED=Adjusted","Sort=A","Dates=H","DateFormat=P","Fill=—","Direction=H","UseDPDF=Y")</f>
        <v>64</v>
      </c>
      <c r="AA19" s="18">
        <f>_xll.BDH("XOM US Equity","IS_INT_EXPENSE","FQ3 2014","FQ3 2014","Currency=USD","Period=FQ","BEST_FPERIOD_OVERRIDE=FQ","FILING_STATUS=OR","SCALING_FORMAT=MLN","FA_ADJUSTED=Adjusted","Sort=A","Dates=H","DateFormat=P","Fill=—","Direction=H","UseDPDF=Y")</f>
        <v>88</v>
      </c>
      <c r="AB19" s="18">
        <f>_xll.BDH("XOM US Equity","IS_INT_EXPENSE","FQ4 2014","FQ4 2014","Currency=USD","Period=FQ","BEST_FPERIOD_OVERRIDE=FQ","FILING_STATUS=OR","SCALING_FORMAT=MLN","FA_ADJUSTED=Adjusted","Sort=A","Dates=H","DateFormat=P","Fill=—","Direction=H","UseDPDF=Y")</f>
        <v>68</v>
      </c>
      <c r="AC19" s="18">
        <f>_xll.BDH("XOM US Equity","IS_INT_EXPENSE","FQ1 2015","FQ1 2015","Currency=USD","Period=FQ","BEST_FPERIOD_OVERRIDE=FQ","FILING_STATUS=OR","SCALING_FORMAT=MLN","FA_ADJUSTED=Adjusted","Sort=A","Dates=H","DateFormat=P","Fill=—","Direction=H","UseDPDF=Y")</f>
        <v>88</v>
      </c>
      <c r="AD19" s="18">
        <f>_xll.BDH("XOM US Equity","IS_INT_EXPENSE","FQ2 2015","FQ2 2015","Currency=USD","Period=FQ","BEST_FPERIOD_OVERRIDE=FQ","FILING_STATUS=OR","SCALING_FORMAT=MLN","FA_ADJUSTED=Adjusted","Sort=A","Dates=H","DateFormat=P","Fill=—","Direction=H","UseDPDF=Y")</f>
        <v>85</v>
      </c>
      <c r="AE19" s="18">
        <f>_xll.BDH("XOM US Equity","IS_INT_EXPENSE","FQ3 2015","FQ3 2015","Currency=USD","Period=FQ","BEST_FPERIOD_OVERRIDE=FQ","FILING_STATUS=OR","SCALING_FORMAT=MLN","FA_ADJUSTED=Adjusted","Sort=A","Dates=H","DateFormat=P","Fill=—","Direction=H","UseDPDF=Y")</f>
        <v>78</v>
      </c>
      <c r="AF19" s="18">
        <f>_xll.BDH("XOM US Equity","IS_INT_EXPENSE","FQ4 2015","FQ4 2015","Currency=USD","Period=FQ","BEST_FPERIOD_OVERRIDE=FQ","FILING_STATUS=OR","SCALING_FORMAT=MLN","FA_ADJUSTED=Adjusted","Sort=A","Dates=H","DateFormat=P","Fill=—","Direction=H","UseDPDF=Y")</f>
        <v>60</v>
      </c>
      <c r="AG19" s="18">
        <f>_xll.BDH("XOM US Equity","IS_INT_EXPENSE","FQ1 2016","FQ1 2016","Currency=USD","Period=FQ","BEST_FPERIOD_OVERRIDE=FQ","FILING_STATUS=OR","SCALING_FORMAT=MLN","FA_ADJUSTED=Adjusted","Sort=A","Dates=H","DateFormat=P","Fill=—","Direction=H","UseDPDF=Y")</f>
        <v>77</v>
      </c>
      <c r="AH19" s="18">
        <f>_xll.BDH("XOM US Equity","IS_INT_EXPENSE","FQ2 2016","FQ2 2016","Currency=USD","Period=FQ","BEST_FPERIOD_OVERRIDE=FQ","FILING_STATUS=OR","SCALING_FORMAT=MLN","FA_ADJUSTED=Adjusted","Sort=A","Dates=H","DateFormat=P","Fill=—","Direction=H","UseDPDF=Y")</f>
        <v>75</v>
      </c>
      <c r="AI19" s="18">
        <f>_xll.BDH("XOM US Equity","IS_INT_EXPENSE","FQ3 2016","FQ3 2016","Currency=USD","Period=FQ","BEST_FPERIOD_OVERRIDE=FQ","FILING_STATUS=OR","SCALING_FORMAT=MLN","FA_ADJUSTED=Adjusted","Sort=A","Dates=H","DateFormat=P","Fill=—","Direction=H","UseDPDF=Y")</f>
        <v>106</v>
      </c>
      <c r="AJ19" s="18">
        <f>_xll.BDH("XOM US Equity","IS_INT_EXPENSE","FQ4 2016","FQ4 2016","Currency=USD","Period=FQ","BEST_FPERIOD_OVERRIDE=FQ","FILING_STATUS=OR","SCALING_FORMAT=MLN","FA_ADJUSTED=Adjusted","Sort=A","Dates=H","DateFormat=P","Fill=—","Direction=H","UseDPDF=Y")</f>
        <v>195</v>
      </c>
      <c r="AK19" s="18">
        <f>_xll.BDH("XOM US Equity","IS_INT_EXPENSE","FQ1 2017","FQ1 2017","Currency=USD","Period=FQ","BEST_FPERIOD_OVERRIDE=FQ","FILING_STATUS=OR","SCALING_FORMAT=MLN","FA_ADJUSTED=Adjusted","Sort=A","Dates=H","DateFormat=P","Fill=—","Direction=H","UseDPDF=Y")</f>
        <v>146</v>
      </c>
      <c r="AL19" s="18">
        <f>_xll.BDH("XOM US Equity","IS_INT_EXPENSE","FQ2 2017","FQ2 2017","Currency=USD","Period=FQ","BEST_FPERIOD_OVERRIDE=FQ","FILING_STATUS=OR","SCALING_FORMAT=MLN","FA_ADJUSTED=Adjusted","Sort=A","Dates=H","DateFormat=P","Fill=—","Direction=H","UseDPDF=Y")</f>
        <v>158</v>
      </c>
      <c r="AM19" s="18">
        <f>_xll.BDH("XOM US Equity","IS_INT_EXPENSE","FQ3 2017","FQ3 2017","Currency=USD","Period=FQ","BEST_FPERIOD_OVERRIDE=FQ","FILING_STATUS=OR","SCALING_FORMAT=MLN","FA_ADJUSTED=Adjusted","Sort=A","Dates=H","DateFormat=P","Fill=—","Direction=H","UseDPDF=Y")</f>
        <v>111</v>
      </c>
      <c r="AN19" s="18">
        <f>_xll.BDH("XOM US Equity","IS_INT_EXPENSE","FQ4 2017","FQ4 2017","Currency=USD","Period=FQ","BEST_FPERIOD_OVERRIDE=FQ","FILING_STATUS=OR","SCALING_FORMAT=MLN","FA_ADJUSTED=Adjusted","Sort=A","Dates=H","DateFormat=P","Fill=—","Direction=H","UseDPDF=Y")</f>
        <v>186</v>
      </c>
      <c r="AO19" s="18">
        <f>_xll.BDH("XOM US Equity","IS_INT_EXPENSE","FQ1 2018","FQ1 2018","Currency=USD","Period=FQ","BEST_FPERIOD_OVERRIDE=FQ","FILING_STATUS=OR","SCALING_FORMAT=MLN","FA_ADJUSTED=Adjusted","Sort=A","Dates=H","DateFormat=P","Fill=—","Direction=H","UseDPDF=Y")</f>
        <v>204</v>
      </c>
      <c r="AP19" s="18">
        <f>_xll.BDH("XOM US Equity","IS_INT_EXPENSE","FQ2 2018","FQ2 2018","Currency=USD","Period=FQ","BEST_FPERIOD_OVERRIDE=FQ","FILING_STATUS=OR","SCALING_FORMAT=MLN","FA_ADJUSTED=Adjusted","Sort=A","Dates=H","DateFormat=P","Fill=—","Direction=H","UseDPDF=Y")</f>
        <v>147</v>
      </c>
    </row>
    <row r="20" spans="1:42" x14ac:dyDescent="0.25">
      <c r="A20" s="11" t="s">
        <v>114</v>
      </c>
      <c r="B20" s="11" t="s">
        <v>115</v>
      </c>
      <c r="C20" s="18" t="str">
        <f>_xll.BDH("XOM US Equity","IS_INT_INC","FQ3 2008","FQ3 2008","Currency=USD","Period=FQ","BEST_FPERIOD_OVERRIDE=FQ","FILING_STATUS=OR","SCALING_FORMAT=MLN","FA_ADJUSTED=Adjusted","Sort=A","Dates=H","DateFormat=P","Fill=—","Direction=H","UseDPDF=Y")</f>
        <v>—</v>
      </c>
      <c r="D20" s="18" t="str">
        <f>_xll.BDH("XOM US Equity","IS_INT_INC","FQ4 2008","FQ4 2008","Currency=USD","Period=FQ","BEST_FPERIOD_OVERRIDE=FQ","FILING_STATUS=OR","SCALING_FORMAT=MLN","FA_ADJUSTED=Adjusted","Sort=A","Dates=H","DateFormat=P","Fill=—","Direction=H","UseDPDF=Y")</f>
        <v>—</v>
      </c>
      <c r="E20" s="18" t="str">
        <f>_xll.BDH("XOM US Equity","IS_INT_INC","FQ1 2009","FQ1 2009","Currency=USD","Period=FQ","BEST_FPERIOD_OVERRIDE=FQ","FILING_STATUS=OR","SCALING_FORMAT=MLN","FA_ADJUSTED=Adjusted","Sort=A","Dates=H","DateFormat=P","Fill=—","Direction=H","UseDPDF=Y")</f>
        <v>—</v>
      </c>
      <c r="F20" s="18" t="str">
        <f>_xll.BDH("XOM US Equity","IS_INT_INC","FQ2 2009","FQ2 2009","Currency=USD","Period=FQ","BEST_FPERIOD_OVERRIDE=FQ","FILING_STATUS=OR","SCALING_FORMAT=MLN","FA_ADJUSTED=Adjusted","Sort=A","Dates=H","DateFormat=P","Fill=—","Direction=H","UseDPDF=Y")</f>
        <v>—</v>
      </c>
      <c r="G20" s="18" t="str">
        <f>_xll.BDH("XOM US Equity","IS_INT_INC","FQ3 2009","FQ3 2009","Currency=USD","Period=FQ","BEST_FPERIOD_OVERRIDE=FQ","FILING_STATUS=OR","SCALING_FORMAT=MLN","FA_ADJUSTED=Adjusted","Sort=A","Dates=H","DateFormat=P","Fill=—","Direction=H","UseDPDF=Y")</f>
        <v>—</v>
      </c>
      <c r="H20" s="18" t="str">
        <f>_xll.BDH("XOM US Equity","IS_INT_INC","FQ4 2009","FQ4 2009","Currency=USD","Period=FQ","BEST_FPERIOD_OVERRIDE=FQ","FILING_STATUS=OR","SCALING_FORMAT=MLN","FA_ADJUSTED=Adjusted","Sort=A","Dates=H","DateFormat=P","Fill=—","Direction=H","UseDPDF=Y")</f>
        <v>—</v>
      </c>
      <c r="I20" s="18" t="str">
        <f>_xll.BDH("XOM US Equity","IS_INT_INC","FQ1 2010","FQ1 2010","Currency=USD","Period=FQ","BEST_FPERIOD_OVERRIDE=FQ","FILING_STATUS=OR","SCALING_FORMAT=MLN","FA_ADJUSTED=Adjusted","Sort=A","Dates=H","DateFormat=P","Fill=—","Direction=H","UseDPDF=Y")</f>
        <v>—</v>
      </c>
      <c r="J20" s="18" t="str">
        <f>_xll.BDH("XOM US Equity","IS_INT_INC","FQ2 2010","FQ2 2010","Currency=USD","Period=FQ","BEST_FPERIOD_OVERRIDE=FQ","FILING_STATUS=OR","SCALING_FORMAT=MLN","FA_ADJUSTED=Adjusted","Sort=A","Dates=H","DateFormat=P","Fill=—","Direction=H","UseDPDF=Y")</f>
        <v>—</v>
      </c>
      <c r="K20" s="18" t="str">
        <f>_xll.BDH("XOM US Equity","IS_INT_INC","FQ3 2010","FQ3 2010","Currency=USD","Period=FQ","BEST_FPERIOD_OVERRIDE=FQ","FILING_STATUS=OR","SCALING_FORMAT=MLN","FA_ADJUSTED=Adjusted","Sort=A","Dates=H","DateFormat=P","Fill=—","Direction=H","UseDPDF=Y")</f>
        <v>—</v>
      </c>
      <c r="L20" s="18" t="str">
        <f>_xll.BDH("XOM US Equity","IS_INT_INC","FQ4 2010","FQ4 2010","Currency=USD","Period=FQ","BEST_FPERIOD_OVERRIDE=FQ","FILING_STATUS=OR","SCALING_FORMAT=MLN","FA_ADJUSTED=Adjusted","Sort=A","Dates=H","DateFormat=P","Fill=—","Direction=H","UseDPDF=Y")</f>
        <v>—</v>
      </c>
      <c r="M20" s="18" t="str">
        <f>_xll.BDH("XOM US Equity","IS_INT_INC","FQ1 2011","FQ1 2011","Currency=USD","Period=FQ","BEST_FPERIOD_OVERRIDE=FQ","FILING_STATUS=OR","SCALING_FORMAT=MLN","FA_ADJUSTED=Adjusted","Sort=A","Dates=H","DateFormat=P","Fill=—","Direction=H","UseDPDF=Y")</f>
        <v>—</v>
      </c>
      <c r="N20" s="18" t="str">
        <f>_xll.BDH("XOM US Equity","IS_INT_INC","FQ2 2011","FQ2 2011","Currency=USD","Period=FQ","BEST_FPERIOD_OVERRIDE=FQ","FILING_STATUS=OR","SCALING_FORMAT=MLN","FA_ADJUSTED=Adjusted","Sort=A","Dates=H","DateFormat=P","Fill=—","Direction=H","UseDPDF=Y")</f>
        <v>—</v>
      </c>
      <c r="O20" s="18" t="str">
        <f>_xll.BDH("XOM US Equity","IS_INT_INC","FQ3 2011","FQ3 2011","Currency=USD","Period=FQ","BEST_FPERIOD_OVERRIDE=FQ","FILING_STATUS=OR","SCALING_FORMAT=MLN","FA_ADJUSTED=Adjusted","Sort=A","Dates=H","DateFormat=P","Fill=—","Direction=H","UseDPDF=Y")</f>
        <v>—</v>
      </c>
      <c r="P20" s="18" t="str">
        <f>_xll.BDH("XOM US Equity","IS_INT_INC","FQ4 2011","FQ4 2011","Currency=USD","Period=FQ","BEST_FPERIOD_OVERRIDE=FQ","FILING_STATUS=OR","SCALING_FORMAT=MLN","FA_ADJUSTED=Adjusted","Sort=A","Dates=H","DateFormat=P","Fill=—","Direction=H","UseDPDF=Y")</f>
        <v>—</v>
      </c>
      <c r="Q20" s="18" t="str">
        <f>_xll.BDH("XOM US Equity","IS_INT_INC","FQ1 2012","FQ1 2012","Currency=USD","Period=FQ","BEST_FPERIOD_OVERRIDE=FQ","FILING_STATUS=OR","SCALING_FORMAT=MLN","FA_ADJUSTED=Adjusted","Sort=A","Dates=H","DateFormat=P","Fill=—","Direction=H","UseDPDF=Y")</f>
        <v>—</v>
      </c>
      <c r="R20" s="18" t="str">
        <f>_xll.BDH("XOM US Equity","IS_INT_INC","FQ2 2012","FQ2 2012","Currency=USD","Period=FQ","BEST_FPERIOD_OVERRIDE=FQ","FILING_STATUS=OR","SCALING_FORMAT=MLN","FA_ADJUSTED=Adjusted","Sort=A","Dates=H","DateFormat=P","Fill=—","Direction=H","UseDPDF=Y")</f>
        <v>—</v>
      </c>
      <c r="S20" s="18" t="str">
        <f>_xll.BDH("XOM US Equity","IS_INT_INC","FQ3 2012","FQ3 2012","Currency=USD","Period=FQ","BEST_FPERIOD_OVERRIDE=FQ","FILING_STATUS=OR","SCALING_FORMAT=MLN","FA_ADJUSTED=Adjusted","Sort=A","Dates=H","DateFormat=P","Fill=—","Direction=H","UseDPDF=Y")</f>
        <v>—</v>
      </c>
      <c r="T20" s="18" t="str">
        <f>_xll.BDH("XOM US Equity","IS_INT_INC","FQ4 2012","FQ4 2012","Currency=USD","Period=FQ","BEST_FPERIOD_OVERRIDE=FQ","FILING_STATUS=OR","SCALING_FORMAT=MLN","FA_ADJUSTED=Adjusted","Sort=A","Dates=H","DateFormat=P","Fill=—","Direction=H","UseDPDF=Y")</f>
        <v>—</v>
      </c>
      <c r="U20" s="18" t="str">
        <f>_xll.BDH("XOM US Equity","IS_INT_INC","FQ1 2013","FQ1 2013","Currency=USD","Period=FQ","BEST_FPERIOD_OVERRIDE=FQ","FILING_STATUS=OR","SCALING_FORMAT=MLN","FA_ADJUSTED=Adjusted","Sort=A","Dates=H","DateFormat=P","Fill=—","Direction=H","UseDPDF=Y")</f>
        <v>—</v>
      </c>
      <c r="V20" s="18" t="str">
        <f>_xll.BDH("XOM US Equity","IS_INT_INC","FQ2 2013","FQ2 2013","Currency=USD","Period=FQ","BEST_FPERIOD_OVERRIDE=FQ","FILING_STATUS=OR","SCALING_FORMAT=MLN","FA_ADJUSTED=Adjusted","Sort=A","Dates=H","DateFormat=P","Fill=—","Direction=H","UseDPDF=Y")</f>
        <v>—</v>
      </c>
      <c r="W20" s="18" t="str">
        <f>_xll.BDH("XOM US Equity","IS_INT_INC","FQ3 2013","FQ3 2013","Currency=USD","Period=FQ","BEST_FPERIOD_OVERRIDE=FQ","FILING_STATUS=OR","SCALING_FORMAT=MLN","FA_ADJUSTED=Adjusted","Sort=A","Dates=H","DateFormat=P","Fill=—","Direction=H","UseDPDF=Y")</f>
        <v>—</v>
      </c>
      <c r="X20" s="18">
        <f>_xll.BDH("XOM US Equity","IS_INT_INC","FQ4 2013","FQ4 2013","Currency=USD","Period=FQ","BEST_FPERIOD_OVERRIDE=FQ","FILING_STATUS=OR","SCALING_FORMAT=MLN","FA_ADJUSTED=Adjusted","Sort=A","Dates=H","DateFormat=P","Fill=—","Direction=H","UseDPDF=Y")</f>
        <v>152</v>
      </c>
      <c r="Y20" s="18" t="str">
        <f>_xll.BDH("XOM US Equity","IS_INT_INC","FQ1 2014","FQ1 2014","Currency=USD","Period=FQ","BEST_FPERIOD_OVERRIDE=FQ","FILING_STATUS=OR","SCALING_FORMAT=MLN","FA_ADJUSTED=Adjusted","Sort=A","Dates=H","DateFormat=P","Fill=—","Direction=H","UseDPDF=Y")</f>
        <v>—</v>
      </c>
      <c r="Z20" s="18" t="str">
        <f>_xll.BDH("XOM US Equity","IS_INT_INC","FQ2 2014","FQ2 2014","Currency=USD","Period=FQ","BEST_FPERIOD_OVERRIDE=FQ","FILING_STATUS=OR","SCALING_FORMAT=MLN","FA_ADJUSTED=Adjusted","Sort=A","Dates=H","DateFormat=P","Fill=—","Direction=H","UseDPDF=Y")</f>
        <v>—</v>
      </c>
      <c r="AA20" s="18" t="str">
        <f>_xll.BDH("XOM US Equity","IS_INT_INC","FQ3 2014","FQ3 2014","Currency=USD","Period=FQ","BEST_FPERIOD_OVERRIDE=FQ","FILING_STATUS=OR","SCALING_FORMAT=MLN","FA_ADJUSTED=Adjusted","Sort=A","Dates=H","DateFormat=P","Fill=—","Direction=H","UseDPDF=Y")</f>
        <v>—</v>
      </c>
      <c r="AB20" s="18" t="str">
        <f>_xll.BDH("XOM US Equity","IS_INT_INC","FQ4 2014","FQ4 2014","Currency=USD","Period=FQ","BEST_FPERIOD_OVERRIDE=FQ","FILING_STATUS=OR","SCALING_FORMAT=MLN","FA_ADJUSTED=Adjusted","Sort=A","Dates=H","DateFormat=P","Fill=—","Direction=H","UseDPDF=Y")</f>
        <v>—</v>
      </c>
      <c r="AC20" s="18" t="str">
        <f>_xll.BDH("XOM US Equity","IS_INT_INC","FQ1 2015","FQ1 2015","Currency=USD","Period=FQ","BEST_FPERIOD_OVERRIDE=FQ","FILING_STATUS=OR","SCALING_FORMAT=MLN","FA_ADJUSTED=Adjusted","Sort=A","Dates=H","DateFormat=P","Fill=—","Direction=H","UseDPDF=Y")</f>
        <v>—</v>
      </c>
      <c r="AD20" s="18" t="str">
        <f>_xll.BDH("XOM US Equity","IS_INT_INC","FQ2 2015","FQ2 2015","Currency=USD","Period=FQ","BEST_FPERIOD_OVERRIDE=FQ","FILING_STATUS=OR","SCALING_FORMAT=MLN","FA_ADJUSTED=Adjusted","Sort=A","Dates=H","DateFormat=P","Fill=—","Direction=H","UseDPDF=Y")</f>
        <v>—</v>
      </c>
      <c r="AE20" s="18" t="str">
        <f>_xll.BDH("XOM US Equity","IS_INT_INC","FQ3 2015","FQ3 2015","Currency=USD","Period=FQ","BEST_FPERIOD_OVERRIDE=FQ","FILING_STATUS=OR","SCALING_FORMAT=MLN","FA_ADJUSTED=Adjusted","Sort=A","Dates=H","DateFormat=P","Fill=—","Direction=H","UseDPDF=Y")</f>
        <v>—</v>
      </c>
      <c r="AF20" s="18" t="str">
        <f>_xll.BDH("XOM US Equity","IS_INT_INC","FQ4 2015","FQ4 2015","Currency=USD","Period=FQ","BEST_FPERIOD_OVERRIDE=FQ","FILING_STATUS=OR","SCALING_FORMAT=MLN","FA_ADJUSTED=Adjusted","Sort=A","Dates=H","DateFormat=P","Fill=—","Direction=H","UseDPDF=Y")</f>
        <v>—</v>
      </c>
      <c r="AG20" s="18" t="str">
        <f>_xll.BDH("XOM US Equity","IS_INT_INC","FQ1 2016","FQ1 2016","Currency=USD","Period=FQ","BEST_FPERIOD_OVERRIDE=FQ","FILING_STATUS=OR","SCALING_FORMAT=MLN","FA_ADJUSTED=Adjusted","Sort=A","Dates=H","DateFormat=P","Fill=—","Direction=H","UseDPDF=Y")</f>
        <v>—</v>
      </c>
      <c r="AH20" s="18" t="str">
        <f>_xll.BDH("XOM US Equity","IS_INT_INC","FQ2 2016","FQ2 2016","Currency=USD","Period=FQ","BEST_FPERIOD_OVERRIDE=FQ","FILING_STATUS=OR","SCALING_FORMAT=MLN","FA_ADJUSTED=Adjusted","Sort=A","Dates=H","DateFormat=P","Fill=—","Direction=H","UseDPDF=Y")</f>
        <v>—</v>
      </c>
      <c r="AI20" s="18" t="str">
        <f>_xll.BDH("XOM US Equity","IS_INT_INC","FQ3 2016","FQ3 2016","Currency=USD","Period=FQ","BEST_FPERIOD_OVERRIDE=FQ","FILING_STATUS=OR","SCALING_FORMAT=MLN","FA_ADJUSTED=Adjusted","Sort=A","Dates=H","DateFormat=P","Fill=—","Direction=H","UseDPDF=Y")</f>
        <v>—</v>
      </c>
      <c r="AJ20" s="18" t="str">
        <f>_xll.BDH("XOM US Equity","IS_INT_INC","FQ4 2016","FQ4 2016","Currency=USD","Period=FQ","BEST_FPERIOD_OVERRIDE=FQ","FILING_STATUS=OR","SCALING_FORMAT=MLN","FA_ADJUSTED=Adjusted","Sort=A","Dates=H","DateFormat=P","Fill=—","Direction=H","UseDPDF=Y")</f>
        <v>—</v>
      </c>
      <c r="AK20" s="18" t="str">
        <f>_xll.BDH("XOM US Equity","IS_INT_INC","FQ1 2017","FQ1 2017","Currency=USD","Period=FQ","BEST_FPERIOD_OVERRIDE=FQ","FILING_STATUS=OR","SCALING_FORMAT=MLN","FA_ADJUSTED=Adjusted","Sort=A","Dates=H","DateFormat=P","Fill=—","Direction=H","UseDPDF=Y")</f>
        <v>—</v>
      </c>
      <c r="AL20" s="18" t="str">
        <f>_xll.BDH("XOM US Equity","IS_INT_INC","FQ2 2017","FQ2 2017","Currency=USD","Period=FQ","BEST_FPERIOD_OVERRIDE=FQ","FILING_STATUS=OR","SCALING_FORMAT=MLN","FA_ADJUSTED=Adjusted","Sort=A","Dates=H","DateFormat=P","Fill=—","Direction=H","UseDPDF=Y")</f>
        <v>—</v>
      </c>
      <c r="AM20" s="18" t="str">
        <f>_xll.BDH("XOM US Equity","IS_INT_INC","FQ3 2017","FQ3 2017","Currency=USD","Period=FQ","BEST_FPERIOD_OVERRIDE=FQ","FILING_STATUS=OR","SCALING_FORMAT=MLN","FA_ADJUSTED=Adjusted","Sort=A","Dates=H","DateFormat=P","Fill=—","Direction=H","UseDPDF=Y")</f>
        <v>—</v>
      </c>
      <c r="AN20" s="18" t="str">
        <f>_xll.BDH("XOM US Equity","IS_INT_INC","FQ4 2017","FQ4 2017","Currency=USD","Period=FQ","BEST_FPERIOD_OVERRIDE=FQ","FILING_STATUS=OR","SCALING_FORMAT=MLN","FA_ADJUSTED=Adjusted","Sort=A","Dates=H","DateFormat=P","Fill=—","Direction=H","UseDPDF=Y")</f>
        <v>—</v>
      </c>
      <c r="AO20" s="18" t="str">
        <f>_xll.BDH("XOM US Equity","IS_INT_INC","FQ1 2018","FQ1 2018","Currency=USD","Period=FQ","BEST_FPERIOD_OVERRIDE=FQ","FILING_STATUS=OR","SCALING_FORMAT=MLN","FA_ADJUSTED=Adjusted","Sort=A","Dates=H","DateFormat=P","Fill=—","Direction=H","UseDPDF=Y")</f>
        <v>—</v>
      </c>
      <c r="AP20" s="18" t="str">
        <f>_xll.BDH("XOM US Equity","IS_INT_INC","FQ2 2018","FQ2 2018","Currency=USD","Period=FQ","BEST_FPERIOD_OVERRIDE=FQ","FILING_STATUS=OR","SCALING_FORMAT=MLN","FA_ADJUSTED=Adjusted","Sort=A","Dates=H","DateFormat=P","Fill=—","Direction=H","UseDPDF=Y")</f>
        <v>—</v>
      </c>
    </row>
    <row r="21" spans="1:42" x14ac:dyDescent="0.25">
      <c r="A21" s="10" t="s">
        <v>116</v>
      </c>
      <c r="B21" s="10" t="s">
        <v>117</v>
      </c>
      <c r="C21" s="13">
        <f>_xll.BDH("XOM US Equity","IS_FOREIGN_EXCH_LOSS","FQ3 2008","FQ3 2008","Currency=USD","Period=FQ","BEST_FPERIOD_OVERRIDE=FQ","FILING_STATUS=OR","SCALING_FORMAT=MLN","FA_ADJUSTED=Adjusted","Sort=A","Dates=H","DateFormat=P","Fill=—","Direction=H","UseDPDF=Y")</f>
        <v>0</v>
      </c>
      <c r="D21" s="13">
        <f>_xll.BDH("XOM US Equity","IS_FOREIGN_EXCH_LOSS","FQ4 2008","FQ4 2008","Currency=USD","Period=FQ","BEST_FPERIOD_OVERRIDE=FQ","FILING_STATUS=OR","SCALING_FORMAT=MLN","FA_ADJUSTED=Adjusted","Sort=A","Dates=H","DateFormat=P","Fill=—","Direction=H","UseDPDF=Y")</f>
        <v>0</v>
      </c>
      <c r="E21" s="13" t="str">
        <f>_xll.BDH("XOM US Equity","IS_FOREIGN_EXCH_LOSS","FQ1 2009","FQ1 2009","Currency=USD","Period=FQ","BEST_FPERIOD_OVERRIDE=FQ","FILING_STATUS=OR","SCALING_FORMAT=MLN","FA_ADJUSTED=Adjusted","Sort=A","Dates=H","DateFormat=P","Fill=—","Direction=H","UseDPDF=Y")</f>
        <v>—</v>
      </c>
      <c r="F21" s="13" t="str">
        <f>_xll.BDH("XOM US Equity","IS_FOREIGN_EXCH_LOSS","FQ2 2009","FQ2 2009","Currency=USD","Period=FQ","BEST_FPERIOD_OVERRIDE=FQ","FILING_STATUS=OR","SCALING_FORMAT=MLN","FA_ADJUSTED=Adjusted","Sort=A","Dates=H","DateFormat=P","Fill=—","Direction=H","UseDPDF=Y")</f>
        <v>—</v>
      </c>
      <c r="G21" s="13" t="str">
        <f>_xll.BDH("XOM US Equity","IS_FOREIGN_EXCH_LOSS","FQ3 2009","FQ3 2009","Currency=USD","Period=FQ","BEST_FPERIOD_OVERRIDE=FQ","FILING_STATUS=OR","SCALING_FORMAT=MLN","FA_ADJUSTED=Adjusted","Sort=A","Dates=H","DateFormat=P","Fill=—","Direction=H","UseDPDF=Y")</f>
        <v>—</v>
      </c>
      <c r="H21" s="13" t="str">
        <f>_xll.BDH("XOM US Equity","IS_FOREIGN_EXCH_LOSS","FQ4 2009","FQ4 2009","Currency=USD","Period=FQ","BEST_FPERIOD_OVERRIDE=FQ","FILING_STATUS=OR","SCALING_FORMAT=MLN","FA_ADJUSTED=Adjusted","Sort=A","Dates=H","DateFormat=P","Fill=—","Direction=H","UseDPDF=Y")</f>
        <v>—</v>
      </c>
      <c r="I21" s="13" t="str">
        <f>_xll.BDH("XOM US Equity","IS_FOREIGN_EXCH_LOSS","FQ1 2010","FQ1 2010","Currency=USD","Period=FQ","BEST_FPERIOD_OVERRIDE=FQ","FILING_STATUS=OR","SCALING_FORMAT=MLN","FA_ADJUSTED=Adjusted","Sort=A","Dates=H","DateFormat=P","Fill=—","Direction=H","UseDPDF=Y")</f>
        <v>—</v>
      </c>
      <c r="J21" s="13" t="str">
        <f>_xll.BDH("XOM US Equity","IS_FOREIGN_EXCH_LOSS","FQ2 2010","FQ2 2010","Currency=USD","Period=FQ","BEST_FPERIOD_OVERRIDE=FQ","FILING_STATUS=OR","SCALING_FORMAT=MLN","FA_ADJUSTED=Adjusted","Sort=A","Dates=H","DateFormat=P","Fill=—","Direction=H","UseDPDF=Y")</f>
        <v>—</v>
      </c>
      <c r="K21" s="13" t="str">
        <f>_xll.BDH("XOM US Equity","IS_FOREIGN_EXCH_LOSS","FQ3 2010","FQ3 2010","Currency=USD","Period=FQ","BEST_FPERIOD_OVERRIDE=FQ","FILING_STATUS=OR","SCALING_FORMAT=MLN","FA_ADJUSTED=Adjusted","Sort=A","Dates=H","DateFormat=P","Fill=—","Direction=H","UseDPDF=Y")</f>
        <v>—</v>
      </c>
      <c r="L21" s="13" t="str">
        <f>_xll.BDH("XOM US Equity","IS_FOREIGN_EXCH_LOSS","FQ4 2010","FQ4 2010","Currency=USD","Period=FQ","BEST_FPERIOD_OVERRIDE=FQ","FILING_STATUS=OR","SCALING_FORMAT=MLN","FA_ADJUSTED=Adjusted","Sort=A","Dates=H","DateFormat=P","Fill=—","Direction=H","UseDPDF=Y")</f>
        <v>—</v>
      </c>
      <c r="M21" s="13" t="str">
        <f>_xll.BDH("XOM US Equity","IS_FOREIGN_EXCH_LOSS","FQ1 2011","FQ1 2011","Currency=USD","Period=FQ","BEST_FPERIOD_OVERRIDE=FQ","FILING_STATUS=OR","SCALING_FORMAT=MLN","FA_ADJUSTED=Adjusted","Sort=A","Dates=H","DateFormat=P","Fill=—","Direction=H","UseDPDF=Y")</f>
        <v>—</v>
      </c>
      <c r="N21" s="13" t="str">
        <f>_xll.BDH("XOM US Equity","IS_FOREIGN_EXCH_LOSS","FQ2 2011","FQ2 2011","Currency=USD","Period=FQ","BEST_FPERIOD_OVERRIDE=FQ","FILING_STATUS=OR","SCALING_FORMAT=MLN","FA_ADJUSTED=Adjusted","Sort=A","Dates=H","DateFormat=P","Fill=—","Direction=H","UseDPDF=Y")</f>
        <v>—</v>
      </c>
      <c r="O21" s="13" t="str">
        <f>_xll.BDH("XOM US Equity","IS_FOREIGN_EXCH_LOSS","FQ3 2011","FQ3 2011","Currency=USD","Period=FQ","BEST_FPERIOD_OVERRIDE=FQ","FILING_STATUS=OR","SCALING_FORMAT=MLN","FA_ADJUSTED=Adjusted","Sort=A","Dates=H","DateFormat=P","Fill=—","Direction=H","UseDPDF=Y")</f>
        <v>—</v>
      </c>
      <c r="P21" s="13" t="str">
        <f>_xll.BDH("XOM US Equity","IS_FOREIGN_EXCH_LOSS","FQ4 2011","FQ4 2011","Currency=USD","Period=FQ","BEST_FPERIOD_OVERRIDE=FQ","FILING_STATUS=OR","SCALING_FORMAT=MLN","FA_ADJUSTED=Adjusted","Sort=A","Dates=H","DateFormat=P","Fill=—","Direction=H","UseDPDF=Y")</f>
        <v>—</v>
      </c>
      <c r="Q21" s="13" t="str">
        <f>_xll.BDH("XOM US Equity","IS_FOREIGN_EXCH_LOSS","FQ1 2012","FQ1 2012","Currency=USD","Period=FQ","BEST_FPERIOD_OVERRIDE=FQ","FILING_STATUS=OR","SCALING_FORMAT=MLN","FA_ADJUSTED=Adjusted","Sort=A","Dates=H","DateFormat=P","Fill=—","Direction=H","UseDPDF=Y")</f>
        <v>—</v>
      </c>
      <c r="R21" s="13" t="str">
        <f>_xll.BDH("XOM US Equity","IS_FOREIGN_EXCH_LOSS","FQ2 2012","FQ2 2012","Currency=USD","Period=FQ","BEST_FPERIOD_OVERRIDE=FQ","FILING_STATUS=OR","SCALING_FORMAT=MLN","FA_ADJUSTED=Adjusted","Sort=A","Dates=H","DateFormat=P","Fill=—","Direction=H","UseDPDF=Y")</f>
        <v>—</v>
      </c>
      <c r="S21" s="13" t="str">
        <f>_xll.BDH("XOM US Equity","IS_FOREIGN_EXCH_LOSS","FQ3 2012","FQ3 2012","Currency=USD","Period=FQ","BEST_FPERIOD_OVERRIDE=FQ","FILING_STATUS=OR","SCALING_FORMAT=MLN","FA_ADJUSTED=Adjusted","Sort=A","Dates=H","DateFormat=P","Fill=—","Direction=H","UseDPDF=Y")</f>
        <v>—</v>
      </c>
      <c r="T21" s="13" t="str">
        <f>_xll.BDH("XOM US Equity","IS_FOREIGN_EXCH_LOSS","FQ4 2012","FQ4 2012","Currency=USD","Period=FQ","BEST_FPERIOD_OVERRIDE=FQ","FILING_STATUS=OR","SCALING_FORMAT=MLN","FA_ADJUSTED=Adjusted","Sort=A","Dates=H","DateFormat=P","Fill=—","Direction=H","UseDPDF=Y")</f>
        <v>—</v>
      </c>
      <c r="U21" s="13" t="str">
        <f>_xll.BDH("XOM US Equity","IS_FOREIGN_EXCH_LOSS","FQ1 2013","FQ1 2013","Currency=USD","Period=FQ","BEST_FPERIOD_OVERRIDE=FQ","FILING_STATUS=OR","SCALING_FORMAT=MLN","FA_ADJUSTED=Adjusted","Sort=A","Dates=H","DateFormat=P","Fill=—","Direction=H","UseDPDF=Y")</f>
        <v>—</v>
      </c>
      <c r="V21" s="13" t="str">
        <f>_xll.BDH("XOM US Equity","IS_FOREIGN_EXCH_LOSS","FQ2 2013","FQ2 2013","Currency=USD","Period=FQ","BEST_FPERIOD_OVERRIDE=FQ","FILING_STATUS=OR","SCALING_FORMAT=MLN","FA_ADJUSTED=Adjusted","Sort=A","Dates=H","DateFormat=P","Fill=—","Direction=H","UseDPDF=Y")</f>
        <v>—</v>
      </c>
      <c r="W21" s="13" t="str">
        <f>_xll.BDH("XOM US Equity","IS_FOREIGN_EXCH_LOSS","FQ3 2013","FQ3 2013","Currency=USD","Period=FQ","BEST_FPERIOD_OVERRIDE=FQ","FILING_STATUS=OR","SCALING_FORMAT=MLN","FA_ADJUSTED=Adjusted","Sort=A","Dates=H","DateFormat=P","Fill=—","Direction=H","UseDPDF=Y")</f>
        <v>—</v>
      </c>
      <c r="X21" s="13" t="str">
        <f>_xll.BDH("XOM US Equity","IS_FOREIGN_EXCH_LOSS","FQ4 2013","FQ4 2013","Currency=USD","Period=FQ","BEST_FPERIOD_OVERRIDE=FQ","FILING_STATUS=OR","SCALING_FORMAT=MLN","FA_ADJUSTED=Adjusted","Sort=A","Dates=H","DateFormat=P","Fill=—","Direction=H","UseDPDF=Y")</f>
        <v>—</v>
      </c>
      <c r="Y21" s="13" t="str">
        <f>_xll.BDH("XOM US Equity","IS_FOREIGN_EXCH_LOSS","FQ1 2014","FQ1 2014","Currency=USD","Period=FQ","BEST_FPERIOD_OVERRIDE=FQ","FILING_STATUS=OR","SCALING_FORMAT=MLN","FA_ADJUSTED=Adjusted","Sort=A","Dates=H","DateFormat=P","Fill=—","Direction=H","UseDPDF=Y")</f>
        <v>—</v>
      </c>
      <c r="Z21" s="13" t="str">
        <f>_xll.BDH("XOM US Equity","IS_FOREIGN_EXCH_LOSS","FQ2 2014","FQ2 2014","Currency=USD","Period=FQ","BEST_FPERIOD_OVERRIDE=FQ","FILING_STATUS=OR","SCALING_FORMAT=MLN","FA_ADJUSTED=Adjusted","Sort=A","Dates=H","DateFormat=P","Fill=—","Direction=H","UseDPDF=Y")</f>
        <v>—</v>
      </c>
      <c r="AA21" s="13" t="str">
        <f>_xll.BDH("XOM US Equity","IS_FOREIGN_EXCH_LOSS","FQ3 2014","FQ3 2014","Currency=USD","Period=FQ","BEST_FPERIOD_OVERRIDE=FQ","FILING_STATUS=OR","SCALING_FORMAT=MLN","FA_ADJUSTED=Adjusted","Sort=A","Dates=H","DateFormat=P","Fill=—","Direction=H","UseDPDF=Y")</f>
        <v>—</v>
      </c>
      <c r="AB21" s="13" t="str">
        <f>_xll.BDH("XOM US Equity","IS_FOREIGN_EXCH_LOSS","FQ4 2014","FQ4 2014","Currency=USD","Period=FQ","BEST_FPERIOD_OVERRIDE=FQ","FILING_STATUS=OR","SCALING_FORMAT=MLN","FA_ADJUSTED=Adjusted","Sort=A","Dates=H","DateFormat=P","Fill=—","Direction=H","UseDPDF=Y")</f>
        <v>—</v>
      </c>
      <c r="AC21" s="13" t="str">
        <f>_xll.BDH("XOM US Equity","IS_FOREIGN_EXCH_LOSS","FQ1 2015","FQ1 2015","Currency=USD","Period=FQ","BEST_FPERIOD_OVERRIDE=FQ","FILING_STATUS=OR","SCALING_FORMAT=MLN","FA_ADJUSTED=Adjusted","Sort=A","Dates=H","DateFormat=P","Fill=—","Direction=H","UseDPDF=Y")</f>
        <v>—</v>
      </c>
      <c r="AD21" s="13" t="str">
        <f>_xll.BDH("XOM US Equity","IS_FOREIGN_EXCH_LOSS","FQ2 2015","FQ2 2015","Currency=USD","Period=FQ","BEST_FPERIOD_OVERRIDE=FQ","FILING_STATUS=OR","SCALING_FORMAT=MLN","FA_ADJUSTED=Adjusted","Sort=A","Dates=H","DateFormat=P","Fill=—","Direction=H","UseDPDF=Y")</f>
        <v>—</v>
      </c>
      <c r="AE21" s="13" t="str">
        <f>_xll.BDH("XOM US Equity","IS_FOREIGN_EXCH_LOSS","FQ3 2015","FQ3 2015","Currency=USD","Period=FQ","BEST_FPERIOD_OVERRIDE=FQ","FILING_STATUS=OR","SCALING_FORMAT=MLN","FA_ADJUSTED=Adjusted","Sort=A","Dates=H","DateFormat=P","Fill=—","Direction=H","UseDPDF=Y")</f>
        <v>—</v>
      </c>
      <c r="AF21" s="13" t="str">
        <f>_xll.BDH("XOM US Equity","IS_FOREIGN_EXCH_LOSS","FQ4 2015","FQ4 2015","Currency=USD","Period=FQ","BEST_FPERIOD_OVERRIDE=FQ","FILING_STATUS=OR","SCALING_FORMAT=MLN","FA_ADJUSTED=Adjusted","Sort=A","Dates=H","DateFormat=P","Fill=—","Direction=H","UseDPDF=Y")</f>
        <v>—</v>
      </c>
      <c r="AG21" s="13" t="str">
        <f>_xll.BDH("XOM US Equity","IS_FOREIGN_EXCH_LOSS","FQ1 2016","FQ1 2016","Currency=USD","Period=FQ","BEST_FPERIOD_OVERRIDE=FQ","FILING_STATUS=OR","SCALING_FORMAT=MLN","FA_ADJUSTED=Adjusted","Sort=A","Dates=H","DateFormat=P","Fill=—","Direction=H","UseDPDF=Y")</f>
        <v>—</v>
      </c>
      <c r="AH21" s="13" t="str">
        <f>_xll.BDH("XOM US Equity","IS_FOREIGN_EXCH_LOSS","FQ2 2016","FQ2 2016","Currency=USD","Period=FQ","BEST_FPERIOD_OVERRIDE=FQ","FILING_STATUS=OR","SCALING_FORMAT=MLN","FA_ADJUSTED=Adjusted","Sort=A","Dates=H","DateFormat=P","Fill=—","Direction=H","UseDPDF=Y")</f>
        <v>—</v>
      </c>
      <c r="AI21" s="13" t="str">
        <f>_xll.BDH("XOM US Equity","IS_FOREIGN_EXCH_LOSS","FQ3 2016","FQ3 2016","Currency=USD","Period=FQ","BEST_FPERIOD_OVERRIDE=FQ","FILING_STATUS=OR","SCALING_FORMAT=MLN","FA_ADJUSTED=Adjusted","Sort=A","Dates=H","DateFormat=P","Fill=—","Direction=H","UseDPDF=Y")</f>
        <v>—</v>
      </c>
      <c r="AJ21" s="13" t="str">
        <f>_xll.BDH("XOM US Equity","IS_FOREIGN_EXCH_LOSS","FQ4 2016","FQ4 2016","Currency=USD","Period=FQ","BEST_FPERIOD_OVERRIDE=FQ","FILING_STATUS=OR","SCALING_FORMAT=MLN","FA_ADJUSTED=Adjusted","Sort=A","Dates=H","DateFormat=P","Fill=—","Direction=H","UseDPDF=Y")</f>
        <v>—</v>
      </c>
      <c r="AK21" s="13" t="str">
        <f>_xll.BDH("XOM US Equity","IS_FOREIGN_EXCH_LOSS","FQ1 2017","FQ1 2017","Currency=USD","Period=FQ","BEST_FPERIOD_OVERRIDE=FQ","FILING_STATUS=OR","SCALING_FORMAT=MLN","FA_ADJUSTED=Adjusted","Sort=A","Dates=H","DateFormat=P","Fill=—","Direction=H","UseDPDF=Y")</f>
        <v>—</v>
      </c>
      <c r="AL21" s="13" t="str">
        <f>_xll.BDH("XOM US Equity","IS_FOREIGN_EXCH_LOSS","FQ2 2017","FQ2 2017","Currency=USD","Period=FQ","BEST_FPERIOD_OVERRIDE=FQ","FILING_STATUS=OR","SCALING_FORMAT=MLN","FA_ADJUSTED=Adjusted","Sort=A","Dates=H","DateFormat=P","Fill=—","Direction=H","UseDPDF=Y")</f>
        <v>—</v>
      </c>
      <c r="AM21" s="13" t="str">
        <f>_xll.BDH("XOM US Equity","IS_FOREIGN_EXCH_LOSS","FQ3 2017","FQ3 2017","Currency=USD","Period=FQ","BEST_FPERIOD_OVERRIDE=FQ","FILING_STATUS=OR","SCALING_FORMAT=MLN","FA_ADJUSTED=Adjusted","Sort=A","Dates=H","DateFormat=P","Fill=—","Direction=H","UseDPDF=Y")</f>
        <v>—</v>
      </c>
      <c r="AN21" s="13" t="str">
        <f>_xll.BDH("XOM US Equity","IS_FOREIGN_EXCH_LOSS","FQ4 2017","FQ4 2017","Currency=USD","Period=FQ","BEST_FPERIOD_OVERRIDE=FQ","FILING_STATUS=OR","SCALING_FORMAT=MLN","FA_ADJUSTED=Adjusted","Sort=A","Dates=H","DateFormat=P","Fill=—","Direction=H","UseDPDF=Y")</f>
        <v>—</v>
      </c>
      <c r="AO21" s="13" t="str">
        <f>_xll.BDH("XOM US Equity","IS_FOREIGN_EXCH_LOSS","FQ1 2018","FQ1 2018","Currency=USD","Period=FQ","BEST_FPERIOD_OVERRIDE=FQ","FILING_STATUS=OR","SCALING_FORMAT=MLN","FA_ADJUSTED=Adjusted","Sort=A","Dates=H","DateFormat=P","Fill=—","Direction=H","UseDPDF=Y")</f>
        <v>—</v>
      </c>
      <c r="AP21" s="13" t="str">
        <f>_xll.BDH("XOM US Equity","IS_FOREIGN_EXCH_LOSS","FQ2 2018","FQ2 2018","Currency=USD","Period=FQ","BEST_FPERIOD_OVERRIDE=FQ","FILING_STATUS=OR","SCALING_FORMAT=MLN","FA_ADJUSTED=Adjusted","Sort=A","Dates=H","DateFormat=P","Fill=—","Direction=H","UseDPDF=Y")</f>
        <v>—</v>
      </c>
    </row>
    <row r="22" spans="1:42" x14ac:dyDescent="0.25">
      <c r="A22" s="10" t="s">
        <v>118</v>
      </c>
      <c r="B22" s="10" t="s">
        <v>119</v>
      </c>
      <c r="C22" s="13" t="str">
        <f>_xll.BDH("XOM US Equity","INCOME_LOSS_FROM_AFFILIATES","FQ3 2008","FQ3 2008","Currency=USD","Period=FQ","BEST_FPERIOD_OVERRIDE=FQ","FILING_STATUS=OR","SCALING_FORMAT=MLN","FA_ADJUSTED=Adjusted","Sort=A","Dates=H","DateFormat=P","Fill=—","Direction=H","UseDPDF=Y")</f>
        <v>—</v>
      </c>
      <c r="D22" s="13" t="str">
        <f>_xll.BDH("XOM US Equity","INCOME_LOSS_FROM_AFFILIATES","FQ4 2008","FQ4 2008","Currency=USD","Period=FQ","BEST_FPERIOD_OVERRIDE=FQ","FILING_STATUS=OR","SCALING_FORMAT=MLN","FA_ADJUSTED=Adjusted","Sort=A","Dates=H","DateFormat=P","Fill=—","Direction=H","UseDPDF=Y")</f>
        <v>—</v>
      </c>
      <c r="E22" s="13">
        <f>_xll.BDH("XOM US Equity","INCOME_LOSS_FROM_AFFILIATES","FQ1 2009","FQ1 2009","Currency=USD","Period=FQ","BEST_FPERIOD_OVERRIDE=FQ","FILING_STATUS=OR","SCALING_FORMAT=MLN","FA_ADJUSTED=Adjusted","Sort=A","Dates=H","DateFormat=P","Fill=—","Direction=H","UseDPDF=Y")</f>
        <v>-1470</v>
      </c>
      <c r="F22" s="13">
        <f>_xll.BDH("XOM US Equity","INCOME_LOSS_FROM_AFFILIATES","FQ2 2009","FQ2 2009","Currency=USD","Period=FQ","BEST_FPERIOD_OVERRIDE=FQ","FILING_STATUS=OR","SCALING_FORMAT=MLN","FA_ADJUSTED=Adjusted","Sort=A","Dates=H","DateFormat=P","Fill=—","Direction=H","UseDPDF=Y")</f>
        <v>-1583</v>
      </c>
      <c r="G22" s="13">
        <f>_xll.BDH("XOM US Equity","INCOME_LOSS_FROM_AFFILIATES","FQ3 2009","FQ3 2009","Currency=USD","Period=FQ","BEST_FPERIOD_OVERRIDE=FQ","FILING_STATUS=OR","SCALING_FORMAT=MLN","FA_ADJUSTED=Adjusted","Sort=A","Dates=H","DateFormat=P","Fill=—","Direction=H","UseDPDF=Y")</f>
        <v>-1675</v>
      </c>
      <c r="H22" s="13">
        <f>_xll.BDH("XOM US Equity","INCOME_LOSS_FROM_AFFILIATES","FQ4 2009","FQ4 2009","Currency=USD","Period=FQ","BEST_FPERIOD_OVERRIDE=FQ","FILING_STATUS=OR","SCALING_FORMAT=MLN","FA_ADJUSTED=Adjusted","Sort=A","Dates=H","DateFormat=P","Fill=—","Direction=H","UseDPDF=Y")</f>
        <v>-2415</v>
      </c>
      <c r="I22" s="13">
        <f>_xll.BDH("XOM US Equity","INCOME_LOSS_FROM_AFFILIATES","FQ1 2010","FQ1 2010","Currency=USD","Period=FQ","BEST_FPERIOD_OVERRIDE=FQ","FILING_STATUS=OR","SCALING_FORMAT=MLN","FA_ADJUSTED=Adjusted","Sort=A","Dates=H","DateFormat=P","Fill=—","Direction=H","UseDPDF=Y")</f>
        <v>-2537</v>
      </c>
      <c r="J22" s="13">
        <f>_xll.BDH("XOM US Equity","INCOME_LOSS_FROM_AFFILIATES","FQ2 2010","FQ2 2010","Currency=USD","Period=FQ","BEST_FPERIOD_OVERRIDE=FQ","FILING_STATUS=OR","SCALING_FORMAT=MLN","FA_ADJUSTED=Adjusted","Sort=A","Dates=H","DateFormat=P","Fill=—","Direction=H","UseDPDF=Y")</f>
        <v>-2244</v>
      </c>
      <c r="K22" s="13">
        <f>_xll.BDH("XOM US Equity","INCOME_LOSS_FROM_AFFILIATES","FQ3 2010","FQ3 2010","Currency=USD","Period=FQ","BEST_FPERIOD_OVERRIDE=FQ","FILING_STATUS=OR","SCALING_FORMAT=MLN","FA_ADJUSTED=Adjusted","Sort=A","Dates=H","DateFormat=P","Fill=—","Direction=H","UseDPDF=Y")</f>
        <v>-2443</v>
      </c>
      <c r="L22" s="13">
        <f>_xll.BDH("XOM US Equity","INCOME_LOSS_FROM_AFFILIATES","FQ4 2010","FQ4 2010","Currency=USD","Period=FQ","BEST_FPERIOD_OVERRIDE=FQ","FILING_STATUS=OR","SCALING_FORMAT=MLN","FA_ADJUSTED=Adjusted","Sort=A","Dates=H","DateFormat=P","Fill=—","Direction=H","UseDPDF=Y")</f>
        <v>-3453</v>
      </c>
      <c r="M22" s="13">
        <f>_xll.BDH("XOM US Equity","INCOME_LOSS_FROM_AFFILIATES","FQ1 2011","FQ1 2011","Currency=USD","Period=FQ","BEST_FPERIOD_OVERRIDE=FQ","FILING_STATUS=OR","SCALING_FORMAT=MLN","FA_ADJUSTED=Adjusted","Sort=A","Dates=H","DateFormat=P","Fill=—","Direction=H","UseDPDF=Y")</f>
        <v>-3827</v>
      </c>
      <c r="N22" s="13">
        <f>_xll.BDH("XOM US Equity","INCOME_LOSS_FROM_AFFILIATES","FQ2 2011","FQ2 2011","Currency=USD","Period=FQ","BEST_FPERIOD_OVERRIDE=FQ","FILING_STATUS=OR","SCALING_FORMAT=MLN","FA_ADJUSTED=Adjusted","Sort=A","Dates=H","DateFormat=P","Fill=—","Direction=H","UseDPDF=Y")</f>
        <v>-3720</v>
      </c>
      <c r="O22" s="13">
        <f>_xll.BDH("XOM US Equity","INCOME_LOSS_FROM_AFFILIATES","FQ3 2011","FQ3 2011","Currency=USD","Period=FQ","BEST_FPERIOD_OVERRIDE=FQ","FILING_STATUS=OR","SCALING_FORMAT=MLN","FA_ADJUSTED=Adjusted","Sort=A","Dates=H","DateFormat=P","Fill=—","Direction=H","UseDPDF=Y")</f>
        <v>-3915</v>
      </c>
      <c r="P22" s="13">
        <f>_xll.BDH("XOM US Equity","INCOME_LOSS_FROM_AFFILIATES","FQ4 2011","FQ4 2011","Currency=USD","Period=FQ","BEST_FPERIOD_OVERRIDE=FQ","FILING_STATUS=OR","SCALING_FORMAT=MLN","FA_ADJUSTED=Adjusted","Sort=A","Dates=H","DateFormat=P","Fill=—","Direction=H","UseDPDF=Y")</f>
        <v>-3827</v>
      </c>
      <c r="Q22" s="13">
        <f>_xll.BDH("XOM US Equity","INCOME_LOSS_FROM_AFFILIATES","FQ1 2012","FQ1 2012","Currency=USD","Period=FQ","BEST_FPERIOD_OVERRIDE=FQ","FILING_STATUS=OR","SCALING_FORMAT=MLN","FA_ADJUSTED=Adjusted","Sort=A","Dates=H","DateFormat=P","Fill=—","Direction=H","UseDPDF=Y")</f>
        <v>-4210</v>
      </c>
      <c r="R22" s="13">
        <f>_xll.BDH("XOM US Equity","INCOME_LOSS_FROM_AFFILIATES","FQ2 2012","FQ2 2012","Currency=USD","Period=FQ","BEST_FPERIOD_OVERRIDE=FQ","FILING_STATUS=OR","SCALING_FORMAT=MLN","FA_ADJUSTED=Adjusted","Sort=A","Dates=H","DateFormat=P","Fill=—","Direction=H","UseDPDF=Y")</f>
        <v>-3651</v>
      </c>
      <c r="S22" s="13">
        <f>_xll.BDH("XOM US Equity","INCOME_LOSS_FROM_AFFILIATES","FQ3 2012","FQ3 2012","Currency=USD","Period=FQ","BEST_FPERIOD_OVERRIDE=FQ","FILING_STATUS=OR","SCALING_FORMAT=MLN","FA_ADJUSTED=Adjusted","Sort=A","Dates=H","DateFormat=P","Fill=—","Direction=H","UseDPDF=Y")</f>
        <v>-3386</v>
      </c>
      <c r="T22" s="13">
        <f>_xll.BDH("XOM US Equity","INCOME_LOSS_FROM_AFFILIATES","FQ4 2012","FQ4 2012","Currency=USD","Period=FQ","BEST_FPERIOD_OVERRIDE=FQ","FILING_STATUS=OR","SCALING_FORMAT=MLN","FA_ADJUSTED=Adjusted","Sort=A","Dates=H","DateFormat=P","Fill=—","Direction=H","UseDPDF=Y")</f>
        <v>-3763</v>
      </c>
      <c r="U22" s="13">
        <f>_xll.BDH("XOM US Equity","INCOME_LOSS_FROM_AFFILIATES","FQ1 2013","FQ1 2013","Currency=USD","Period=FQ","BEST_FPERIOD_OVERRIDE=FQ","FILING_STATUS=OR","SCALING_FORMAT=MLN","FA_ADJUSTED=Adjusted","Sort=A","Dates=H","DateFormat=P","Fill=—","Direction=H","UseDPDF=Y")</f>
        <v>-4418</v>
      </c>
      <c r="V22" s="13">
        <f>_xll.BDH("XOM US Equity","INCOME_LOSS_FROM_AFFILIATES","FQ2 2013","FQ2 2013","Currency=USD","Period=FQ","BEST_FPERIOD_OVERRIDE=FQ","FILING_STATUS=OR","SCALING_FORMAT=MLN","FA_ADJUSTED=Adjusted","Sort=A","Dates=H","DateFormat=P","Fill=—","Direction=H","UseDPDF=Y")</f>
        <v>-3098</v>
      </c>
      <c r="W22" s="13">
        <f>_xll.BDH("XOM US Equity","INCOME_LOSS_FROM_AFFILIATES","FQ3 2013","FQ3 2013","Currency=USD","Period=FQ","BEST_FPERIOD_OVERRIDE=FQ","FILING_STATUS=OR","SCALING_FORMAT=MLN","FA_ADJUSTED=Adjusted","Sort=A","Dates=H","DateFormat=P","Fill=—","Direction=H","UseDPDF=Y")</f>
        <v>-3444</v>
      </c>
      <c r="X22" s="13">
        <f>_xll.BDH("XOM US Equity","INCOME_LOSS_FROM_AFFILIATES","FQ4 2013","FQ4 2013","Currency=USD","Period=FQ","BEST_FPERIOD_OVERRIDE=FQ","FILING_STATUS=OR","SCALING_FORMAT=MLN","FA_ADJUSTED=Adjusted","Sort=A","Dates=H","DateFormat=P","Fill=—","Direction=H","UseDPDF=Y")</f>
        <v>-2967</v>
      </c>
      <c r="Y22" s="13">
        <f>_xll.BDH("XOM US Equity","INCOME_LOSS_FROM_AFFILIATES","FQ1 2014","FQ1 2014","Currency=USD","Period=FQ","BEST_FPERIOD_OVERRIDE=FQ","FILING_STATUS=OR","SCALING_FORMAT=MLN","FA_ADJUSTED=Adjusted","Sort=A","Dates=H","DateFormat=P","Fill=—","Direction=H","UseDPDF=Y")</f>
        <v>-4108</v>
      </c>
      <c r="Z22" s="13">
        <f>_xll.BDH("XOM US Equity","INCOME_LOSS_FROM_AFFILIATES","FQ2 2014","FQ2 2014","Currency=USD","Period=FQ","BEST_FPERIOD_OVERRIDE=FQ","FILING_STATUS=OR","SCALING_FORMAT=MLN","FA_ADJUSTED=Adjusted","Sort=A","Dates=H","DateFormat=P","Fill=—","Direction=H","UseDPDF=Y")</f>
        <v>-3312</v>
      </c>
      <c r="AA22" s="13">
        <f>_xll.BDH("XOM US Equity","INCOME_LOSS_FROM_AFFILIATES","FQ3 2014","FQ3 2014","Currency=USD","Period=FQ","BEST_FPERIOD_OVERRIDE=FQ","FILING_STATUS=OR","SCALING_FORMAT=MLN","FA_ADJUSTED=Adjusted","Sort=A","Dates=H","DateFormat=P","Fill=—","Direction=H","UseDPDF=Y")</f>
        <v>-3211</v>
      </c>
      <c r="AB22" s="13">
        <f>_xll.BDH("XOM US Equity","INCOME_LOSS_FROM_AFFILIATES","FQ4 2014","FQ4 2014","Currency=USD","Period=FQ","BEST_FPERIOD_OVERRIDE=FQ","FILING_STATUS=OR","SCALING_FORMAT=MLN","FA_ADJUSTED=Adjusted","Sort=A","Dates=H","DateFormat=P","Fill=—","Direction=H","UseDPDF=Y")</f>
        <v>-2692</v>
      </c>
      <c r="AC22" s="13">
        <f>_xll.BDH("XOM US Equity","INCOME_LOSS_FROM_AFFILIATES","FQ1 2015","FQ1 2015","Currency=USD","Period=FQ","BEST_FPERIOD_OVERRIDE=FQ","FILING_STATUS=OR","SCALING_FORMAT=MLN","FA_ADJUSTED=Adjusted","Sort=A","Dates=H","DateFormat=P","Fill=—","Direction=H","UseDPDF=Y")</f>
        <v>-2261</v>
      </c>
      <c r="AD22" s="13">
        <f>_xll.BDH("XOM US Equity","INCOME_LOSS_FROM_AFFILIATES","FQ2 2015","FQ2 2015","Currency=USD","Period=FQ","BEST_FPERIOD_OVERRIDE=FQ","FILING_STATUS=OR","SCALING_FORMAT=MLN","FA_ADJUSTED=Adjusted","Sort=A","Dates=H","DateFormat=P","Fill=—","Direction=H","UseDPDF=Y")</f>
        <v>-2081</v>
      </c>
      <c r="AE22" s="13">
        <f>_xll.BDH("XOM US Equity","INCOME_LOSS_FROM_AFFILIATES","FQ3 2015","FQ3 2015","Currency=USD","Period=FQ","BEST_FPERIOD_OVERRIDE=FQ","FILING_STATUS=OR","SCALING_FORMAT=MLN","FA_ADJUSTED=Adjusted","Sort=A","Dates=H","DateFormat=P","Fill=—","Direction=H","UseDPDF=Y")</f>
        <v>-1783</v>
      </c>
      <c r="AF22" s="13">
        <f>_xll.BDH("XOM US Equity","INCOME_LOSS_FROM_AFFILIATES","FQ4 2015","FQ4 2015","Currency=USD","Period=FQ","BEST_FPERIOD_OVERRIDE=FQ","FILING_STATUS=OR","SCALING_FORMAT=MLN","FA_ADJUSTED=Adjusted","Sort=A","Dates=H","DateFormat=P","Fill=—","Direction=H","UseDPDF=Y")</f>
        <v>-1519</v>
      </c>
      <c r="AG22" s="13">
        <f>_xll.BDH("XOM US Equity","INCOME_LOSS_FROM_AFFILIATES","FQ1 2016","FQ1 2016","Currency=USD","Period=FQ","BEST_FPERIOD_OVERRIDE=FQ","FILING_STATUS=OR","SCALING_FORMAT=MLN","FA_ADJUSTED=Adjusted","Sort=A","Dates=H","DateFormat=P","Fill=—","Direction=H","UseDPDF=Y")</f>
        <v>-1251</v>
      </c>
      <c r="AH22" s="13">
        <f>_xll.BDH("XOM US Equity","INCOME_LOSS_FROM_AFFILIATES","FQ2 2016","FQ2 2016","Currency=USD","Period=FQ","BEST_FPERIOD_OVERRIDE=FQ","FILING_STATUS=OR","SCALING_FORMAT=MLN","FA_ADJUSTED=Adjusted","Sort=A","Dates=H","DateFormat=P","Fill=—","Direction=H","UseDPDF=Y")</f>
        <v>-1124</v>
      </c>
      <c r="AI22" s="13">
        <f>_xll.BDH("XOM US Equity","INCOME_LOSS_FROM_AFFILIATES","FQ3 2016","FQ3 2016","Currency=USD","Period=FQ","BEST_FPERIOD_OVERRIDE=FQ","FILING_STATUS=OR","SCALING_FORMAT=MLN","FA_ADJUSTED=Adjusted","Sort=A","Dates=H","DateFormat=P","Fill=—","Direction=H","UseDPDF=Y")</f>
        <v>-1103</v>
      </c>
      <c r="AJ22" s="13">
        <f>_xll.BDH("XOM US Equity","INCOME_LOSS_FROM_AFFILIATES","FQ4 2016","FQ4 2016","Currency=USD","Period=FQ","BEST_FPERIOD_OVERRIDE=FQ","FILING_STATUS=OR","SCALING_FORMAT=MLN","FA_ADJUSTED=Adjusted","Sort=A","Dates=H","DateFormat=P","Fill=—","Direction=H","UseDPDF=Y")</f>
        <v>-1328</v>
      </c>
      <c r="AK22" s="13">
        <f>_xll.BDH("XOM US Equity","INCOME_LOSS_FROM_AFFILIATES","FQ1 2017","FQ1 2017","Currency=USD","Period=FQ","BEST_FPERIOD_OVERRIDE=FQ","FILING_STATUS=OR","SCALING_FORMAT=MLN","FA_ADJUSTED=Adjusted","Sort=A","Dates=H","DateFormat=P","Fill=—","Direction=H","UseDPDF=Y")</f>
        <v>-1710</v>
      </c>
      <c r="AL22" s="13">
        <f>_xll.BDH("XOM US Equity","INCOME_LOSS_FROM_AFFILIATES","FQ2 2017","FQ2 2017","Currency=USD","Period=FQ","BEST_FPERIOD_OVERRIDE=FQ","FILING_STATUS=OR","SCALING_FORMAT=MLN","FA_ADJUSTED=Adjusted","Sort=A","Dates=H","DateFormat=P","Fill=—","Direction=H","UseDPDF=Y")</f>
        <v>-1525</v>
      </c>
      <c r="AM22" s="13">
        <f>_xll.BDH("XOM US Equity","INCOME_LOSS_FROM_AFFILIATES","FQ3 2017","FQ3 2017","Currency=USD","Period=FQ","BEST_FPERIOD_OVERRIDE=FQ","FILING_STATUS=OR","SCALING_FORMAT=MLN","FA_ADJUSTED=Adjusted","Sort=A","Dates=H","DateFormat=P","Fill=—","Direction=H","UseDPDF=Y")</f>
        <v>-1472</v>
      </c>
      <c r="AN22" s="13">
        <f>_xll.BDH("XOM US Equity","INCOME_LOSS_FROM_AFFILIATES","FQ4 2017","FQ4 2017","Currency=USD","Period=FQ","BEST_FPERIOD_OVERRIDE=FQ","FILING_STATUS=OR","SCALING_FORMAT=MLN","FA_ADJUSTED=Adjusted","Sort=A","Dates=H","DateFormat=P","Fill=—","Direction=H","UseDPDF=Y")</f>
        <v>-673</v>
      </c>
      <c r="AO22" s="13">
        <f>_xll.BDH("XOM US Equity","INCOME_LOSS_FROM_AFFILIATES","FQ1 2018","FQ1 2018","Currency=USD","Period=FQ","BEST_FPERIOD_OVERRIDE=FQ","FILING_STATUS=OR","SCALING_FORMAT=MLN","FA_ADJUSTED=Adjusted","Sort=A","Dates=H","DateFormat=P","Fill=—","Direction=H","UseDPDF=Y")</f>
        <v>-1910</v>
      </c>
      <c r="AP22" s="13">
        <f>_xll.BDH("XOM US Equity","INCOME_LOSS_FROM_AFFILIATES","FQ2 2018","FQ2 2018","Currency=USD","Period=FQ","BEST_FPERIOD_OVERRIDE=FQ","FILING_STATUS=OR","SCALING_FORMAT=MLN","FA_ADJUSTED=Adjusted","Sort=A","Dates=H","DateFormat=P","Fill=—","Direction=H","UseDPDF=Y")</f>
        <v>-1729</v>
      </c>
    </row>
    <row r="23" spans="1:42" x14ac:dyDescent="0.25">
      <c r="A23" s="10" t="s">
        <v>120</v>
      </c>
      <c r="B23" s="10" t="s">
        <v>121</v>
      </c>
      <c r="C23" s="13" t="str">
        <f>_xll.BDH("XOM US Equity","IS_OTHER_NON_OPERATING_INC_LOSS","FQ3 2008","FQ3 2008","Currency=USD","Period=FQ","BEST_FPERIOD_OVERRIDE=FQ","FILING_STATUS=OR","SCALING_FORMAT=MLN","FA_ADJUSTED=Adjusted","Sort=A","Dates=H","DateFormat=P","Fill=—","Direction=H","UseDPDF=Y")</f>
        <v>—</v>
      </c>
      <c r="D23" s="13" t="str">
        <f>_xll.BDH("XOM US Equity","IS_OTHER_NON_OPERATING_INC_LOSS","FQ4 2008","FQ4 2008","Currency=USD","Period=FQ","BEST_FPERIOD_OVERRIDE=FQ","FILING_STATUS=OR","SCALING_FORMAT=MLN","FA_ADJUSTED=Adjusted","Sort=A","Dates=H","DateFormat=P","Fill=—","Direction=H","UseDPDF=Y")</f>
        <v>—</v>
      </c>
      <c r="E23" s="13">
        <f>_xll.BDH("XOM US Equity","IS_OTHER_NON_OPERATING_INC_LOSS","FQ1 2009","FQ1 2009","Currency=USD","Period=FQ","BEST_FPERIOD_OVERRIDE=FQ","FILING_STATUS=OR","SCALING_FORMAT=MLN","FA_ADJUSTED=Adjusted","Sort=A","Dates=H","DateFormat=P","Fill=—","Direction=H","UseDPDF=Y")</f>
        <v>-430</v>
      </c>
      <c r="F23" s="13">
        <f>_xll.BDH("XOM US Equity","IS_OTHER_NON_OPERATING_INC_LOSS","FQ2 2009","FQ2 2009","Currency=USD","Period=FQ","BEST_FPERIOD_OVERRIDE=FQ","FILING_STATUS=OR","SCALING_FORMAT=MLN","FA_ADJUSTED=Adjusted","Sort=A","Dates=H","DateFormat=P","Fill=—","Direction=H","UseDPDF=Y")</f>
        <v>-707</v>
      </c>
      <c r="G23" s="13">
        <f>_xll.BDH("XOM US Equity","IS_OTHER_NON_OPERATING_INC_LOSS","FQ3 2009","FQ3 2009","Currency=USD","Period=FQ","BEST_FPERIOD_OVERRIDE=FQ","FILING_STATUS=OR","SCALING_FORMAT=MLN","FA_ADJUSTED=Adjusted","Sort=A","Dates=H","DateFormat=P","Fill=—","Direction=H","UseDPDF=Y")</f>
        <v>-495</v>
      </c>
      <c r="H23" s="13">
        <f>_xll.BDH("XOM US Equity","IS_OTHER_NON_OPERATING_INC_LOSS","FQ4 2009","FQ4 2009","Currency=USD","Period=FQ","BEST_FPERIOD_OVERRIDE=FQ","FILING_STATUS=OR","SCALING_FORMAT=MLN","FA_ADJUSTED=Adjusted","Sort=A","Dates=H","DateFormat=P","Fill=—","Direction=H","UseDPDF=Y")</f>
        <v>-311</v>
      </c>
      <c r="I23" s="13">
        <f>_xll.BDH("XOM US Equity","IS_OTHER_NON_OPERATING_INC_LOSS","FQ1 2010","FQ1 2010","Currency=USD","Period=FQ","BEST_FPERIOD_OVERRIDE=FQ","FILING_STATUS=OR","SCALING_FORMAT=MLN","FA_ADJUSTED=Adjusted","Sort=A","Dates=H","DateFormat=P","Fill=—","Direction=H","UseDPDF=Y")</f>
        <v>-677</v>
      </c>
      <c r="J23" s="13">
        <f>_xll.BDH("XOM US Equity","IS_OTHER_NON_OPERATING_INC_LOSS","FQ2 2010","FQ2 2010","Currency=USD","Period=FQ","BEST_FPERIOD_OVERRIDE=FQ","FILING_STATUS=OR","SCALING_FORMAT=MLN","FA_ADJUSTED=Adjusted","Sort=A","Dates=H","DateFormat=P","Fill=—","Direction=H","UseDPDF=Y")</f>
        <v>-549</v>
      </c>
      <c r="K23" s="13">
        <f>_xll.BDH("XOM US Equity","IS_OTHER_NON_OPERATING_INC_LOSS","FQ3 2010","FQ3 2010","Currency=USD","Period=FQ","BEST_FPERIOD_OVERRIDE=FQ","FILING_STATUS=OR","SCALING_FORMAT=MLN","FA_ADJUSTED=Adjusted","Sort=A","Dates=H","DateFormat=P","Fill=—","Direction=H","UseDPDF=Y")</f>
        <v>-502</v>
      </c>
      <c r="L23" s="13">
        <f>_xll.BDH("XOM US Equity","IS_OTHER_NON_OPERATING_INC_LOSS","FQ4 2010","FQ4 2010","Currency=USD","Period=FQ","BEST_FPERIOD_OVERRIDE=FQ","FILING_STATUS=OR","SCALING_FORMAT=MLN","FA_ADJUSTED=Adjusted","Sort=A","Dates=H","DateFormat=P","Fill=—","Direction=H","UseDPDF=Y")</f>
        <v>-691</v>
      </c>
      <c r="M23" s="13">
        <f>_xll.BDH("XOM US Equity","IS_OTHER_NON_OPERATING_INC_LOSS","FQ1 2011","FQ1 2011","Currency=USD","Period=FQ","BEST_FPERIOD_OVERRIDE=FQ","FILING_STATUS=OR","SCALING_FORMAT=MLN","FA_ADJUSTED=Adjusted","Sort=A","Dates=H","DateFormat=P","Fill=—","Direction=H","UseDPDF=Y")</f>
        <v>-926</v>
      </c>
      <c r="N23" s="13">
        <f>_xll.BDH("XOM US Equity","IS_OTHER_NON_OPERATING_INC_LOSS","FQ2 2011","FQ2 2011","Currency=USD","Period=FQ","BEST_FPERIOD_OVERRIDE=FQ","FILING_STATUS=OR","SCALING_FORMAT=MLN","FA_ADJUSTED=Adjusted","Sort=A","Dates=H","DateFormat=P","Fill=—","Direction=H","UseDPDF=Y")</f>
        <v>-372</v>
      </c>
      <c r="O23" s="13">
        <f>_xll.BDH("XOM US Equity","IS_OTHER_NON_OPERATING_INC_LOSS","FQ3 2011","FQ3 2011","Currency=USD","Period=FQ","BEST_FPERIOD_OVERRIDE=FQ","FILING_STATUS=OR","SCALING_FORMAT=MLN","FA_ADJUSTED=Adjusted","Sort=A","Dates=H","DateFormat=P","Fill=—","Direction=H","UseDPDF=Y")</f>
        <v>-940</v>
      </c>
      <c r="P23" s="13">
        <f>_xll.BDH("XOM US Equity","IS_OTHER_NON_OPERATING_INC_LOSS","FQ4 2011","FQ4 2011","Currency=USD","Period=FQ","BEST_FPERIOD_OVERRIDE=FQ","FILING_STATUS=OR","SCALING_FORMAT=MLN","FA_ADJUSTED=Adjusted","Sort=A","Dates=H","DateFormat=P","Fill=—","Direction=H","UseDPDF=Y")</f>
        <v>-1873</v>
      </c>
      <c r="Q23" s="13">
        <f>_xll.BDH("XOM US Equity","IS_OTHER_NON_OPERATING_INC_LOSS","FQ1 2012","FQ1 2012","Currency=USD","Period=FQ","BEST_FPERIOD_OVERRIDE=FQ","FILING_STATUS=OR","SCALING_FORMAT=MLN","FA_ADJUSTED=Adjusted","Sort=A","Dates=H","DateFormat=P","Fill=—","Direction=H","UseDPDF=Y")</f>
        <v>-654</v>
      </c>
      <c r="R23" s="13">
        <f>_xll.BDH("XOM US Equity","IS_OTHER_NON_OPERATING_INC_LOSS","FQ2 2012","FQ2 2012","Currency=USD","Period=FQ","BEST_FPERIOD_OVERRIDE=FQ","FILING_STATUS=OR","SCALING_FORMAT=MLN","FA_ADJUSTED=Adjusted","Sort=A","Dates=H","DateFormat=P","Fill=—","Direction=H","UseDPDF=Y")</f>
        <v>-10967</v>
      </c>
      <c r="S23" s="13">
        <f>_xll.BDH("XOM US Equity","IS_OTHER_NON_OPERATING_INC_LOSS","FQ3 2012","FQ3 2012","Currency=USD","Period=FQ","BEST_FPERIOD_OVERRIDE=FQ","FILING_STATUS=OR","SCALING_FORMAT=MLN","FA_ADJUSTED=Adjusted","Sort=A","Dates=H","DateFormat=P","Fill=—","Direction=H","UseDPDF=Y")</f>
        <v>-766</v>
      </c>
      <c r="T23" s="13">
        <f>_xll.BDH("XOM US Equity","IS_OTHER_NON_OPERATING_INC_LOSS","FQ4 2012","FQ4 2012","Currency=USD","Period=FQ","BEST_FPERIOD_OVERRIDE=FQ","FILING_STATUS=OR","SCALING_FORMAT=MLN","FA_ADJUSTED=Adjusted","Sort=A","Dates=H","DateFormat=P","Fill=—","Direction=H","UseDPDF=Y")</f>
        <v>-1775</v>
      </c>
      <c r="U23" s="13">
        <f>_xll.BDH("XOM US Equity","IS_OTHER_NON_OPERATING_INC_LOSS","FQ1 2013","FQ1 2013","Currency=USD","Period=FQ","BEST_FPERIOD_OVERRIDE=FQ","FILING_STATUS=OR","SCALING_FORMAT=MLN","FA_ADJUSTED=Adjusted","Sort=A","Dates=H","DateFormat=P","Fill=—","Direction=H","UseDPDF=Y")</f>
        <v>-561</v>
      </c>
      <c r="V23" s="13">
        <f>_xll.BDH("XOM US Equity","IS_OTHER_NON_OPERATING_INC_LOSS","FQ2 2013","FQ2 2013","Currency=USD","Period=FQ","BEST_FPERIOD_OVERRIDE=FQ","FILING_STATUS=OR","SCALING_FORMAT=MLN","FA_ADJUSTED=Adjusted","Sort=A","Dates=H","DateFormat=P","Fill=—","Direction=H","UseDPDF=Y")</f>
        <v>-518</v>
      </c>
      <c r="W23" s="13">
        <f>_xll.BDH("XOM US Equity","IS_OTHER_NON_OPERATING_INC_LOSS","FQ3 2013","FQ3 2013","Currency=USD","Period=FQ","BEST_FPERIOD_OVERRIDE=FQ","FILING_STATUS=OR","SCALING_FORMAT=MLN","FA_ADJUSTED=Adjusted","Sort=A","Dates=H","DateFormat=P","Fill=—","Direction=H","UseDPDF=Y")</f>
        <v>-538</v>
      </c>
      <c r="X23" s="13">
        <f>_xll.BDH("XOM US Equity","IS_OTHER_NON_OPERATING_INC_LOSS","FQ4 2013","FQ4 2013","Currency=USD","Period=FQ","BEST_FPERIOD_OVERRIDE=FQ","FILING_STATUS=OR","SCALING_FORMAT=MLN","FA_ADJUSTED=Adjusted","Sort=A","Dates=H","DateFormat=P","Fill=—","Direction=H","UseDPDF=Y")</f>
        <v>-1875</v>
      </c>
      <c r="Y23" s="13">
        <f>_xll.BDH("XOM US Equity","IS_OTHER_NON_OPERATING_INC_LOSS","FQ1 2014","FQ1 2014","Currency=USD","Period=FQ","BEST_FPERIOD_OVERRIDE=FQ","FILING_STATUS=OR","SCALING_FORMAT=MLN","FA_ADJUSTED=Adjusted","Sort=A","Dates=H","DateFormat=P","Fill=—","Direction=H","UseDPDF=Y")</f>
        <v>-905</v>
      </c>
      <c r="Z23" s="13">
        <f>_xll.BDH("XOM US Equity","IS_OTHER_NON_OPERATING_INC_LOSS","FQ2 2014","FQ2 2014","Currency=USD","Period=FQ","BEST_FPERIOD_OVERRIDE=FQ","FILING_STATUS=OR","SCALING_FORMAT=MLN","FA_ADJUSTED=Adjusted","Sort=A","Dates=H","DateFormat=P","Fill=—","Direction=H","UseDPDF=Y")</f>
        <v>-2177</v>
      </c>
      <c r="AA23" s="13">
        <f>_xll.BDH("XOM US Equity","IS_OTHER_NON_OPERATING_INC_LOSS","FQ3 2014","FQ3 2014","Currency=USD","Period=FQ","BEST_FPERIOD_OVERRIDE=FQ","FILING_STATUS=OR","SCALING_FORMAT=MLN","FA_ADJUSTED=Adjusted","Sort=A","Dates=H","DateFormat=P","Fill=—","Direction=H","UseDPDF=Y")</f>
        <v>-713</v>
      </c>
      <c r="AB23" s="13">
        <f>_xll.BDH("XOM US Equity","IS_OTHER_NON_OPERATING_INC_LOSS","FQ4 2014","FQ4 2014","Currency=USD","Period=FQ","BEST_FPERIOD_OVERRIDE=FQ","FILING_STATUS=OR","SCALING_FORMAT=MLN","FA_ADJUSTED=Adjusted","Sort=A","Dates=H","DateFormat=P","Fill=—","Direction=H","UseDPDF=Y")</f>
        <v>-716</v>
      </c>
      <c r="AC23" s="13">
        <f>_xll.BDH("XOM US Equity","IS_OTHER_NON_OPERATING_INC_LOSS","FQ1 2015","FQ1 2015","Currency=USD","Period=FQ","BEST_FPERIOD_OVERRIDE=FQ","FILING_STATUS=OR","SCALING_FORMAT=MLN","FA_ADJUSTED=Adjusted","Sort=A","Dates=H","DateFormat=P","Fill=—","Direction=H","UseDPDF=Y")</f>
        <v>-599</v>
      </c>
      <c r="AD23" s="13">
        <f>_xll.BDH("XOM US Equity","IS_OTHER_NON_OPERATING_INC_LOSS","FQ2 2015","FQ2 2015","Currency=USD","Period=FQ","BEST_FPERIOD_OVERRIDE=FQ","FILING_STATUS=OR","SCALING_FORMAT=MLN","FA_ADJUSTED=Adjusted","Sort=A","Dates=H","DateFormat=P","Fill=—","Direction=H","UseDPDF=Y")</f>
        <v>-672</v>
      </c>
      <c r="AE23" s="13">
        <f>_xll.BDH("XOM US Equity","IS_OTHER_NON_OPERATING_INC_LOSS","FQ3 2015","FQ3 2015","Currency=USD","Period=FQ","BEST_FPERIOD_OVERRIDE=FQ","FILING_STATUS=OR","SCALING_FORMAT=MLN","FA_ADJUSTED=Adjusted","Sort=A","Dates=H","DateFormat=P","Fill=—","Direction=H","UseDPDF=Y")</f>
        <v>118</v>
      </c>
      <c r="AF23" s="13">
        <f>_xll.BDH("XOM US Equity","IS_OTHER_NON_OPERATING_INC_LOSS","FQ4 2015","FQ4 2015","Currency=USD","Period=FQ","BEST_FPERIOD_OVERRIDE=FQ","FILING_STATUS=OR","SCALING_FORMAT=MLN","FA_ADJUSTED=Adjusted","Sort=A","Dates=H","DateFormat=P","Fill=—","Direction=H","UseDPDF=Y")</f>
        <v>-597</v>
      </c>
      <c r="AG23" s="13">
        <f>_xll.BDH("XOM US Equity","IS_OTHER_NON_OPERATING_INC_LOSS","FQ1 2016","FQ1 2016","Currency=USD","Period=FQ","BEST_FPERIOD_OVERRIDE=FQ","FILING_STATUS=OR","SCALING_FORMAT=MLN","FA_ADJUSTED=Adjusted","Sort=A","Dates=H","DateFormat=P","Fill=—","Direction=H","UseDPDF=Y")</f>
        <v>-351</v>
      </c>
      <c r="AH23" s="13">
        <f>_xll.BDH("XOM US Equity","IS_OTHER_NON_OPERATING_INC_LOSS","FQ2 2016","FQ2 2016","Currency=USD","Period=FQ","BEST_FPERIOD_OVERRIDE=FQ","FILING_STATUS=OR","SCALING_FORMAT=MLN","FA_ADJUSTED=Adjusted","Sort=A","Dates=H","DateFormat=P","Fill=—","Direction=H","UseDPDF=Y")</f>
        <v>-210</v>
      </c>
      <c r="AI23" s="13">
        <f>_xll.BDH("XOM US Equity","IS_OTHER_NON_OPERATING_INC_LOSS","FQ3 2016","FQ3 2016","Currency=USD","Period=FQ","BEST_FPERIOD_OVERRIDE=FQ","FILING_STATUS=OR","SCALING_FORMAT=MLN","FA_ADJUSTED=Adjusted","Sort=A","Dates=H","DateFormat=P","Fill=—","Direction=H","UseDPDF=Y")</f>
        <v>-807</v>
      </c>
      <c r="AJ23" s="13">
        <f>_xll.BDH("XOM US Equity","IS_OTHER_NON_OPERATING_INC_LOSS","FQ4 2016","FQ4 2016","Currency=USD","Period=FQ","BEST_FPERIOD_OVERRIDE=FQ","FILING_STATUS=OR","SCALING_FORMAT=MLN","FA_ADJUSTED=Adjusted","Sort=A","Dates=H","DateFormat=P","Fill=—","Direction=H","UseDPDF=Y")</f>
        <v>-1312</v>
      </c>
      <c r="AK23" s="13">
        <f>_xll.BDH("XOM US Equity","IS_OTHER_NON_OPERATING_INC_LOSS","FQ1 2017","FQ1 2017","Currency=USD","Period=FQ","BEST_FPERIOD_OVERRIDE=FQ","FILING_STATUS=OR","SCALING_FORMAT=MLN","FA_ADJUSTED=Adjusted","Sort=A","Dates=H","DateFormat=P","Fill=—","Direction=H","UseDPDF=Y")</f>
        <v>-487</v>
      </c>
      <c r="AL23" s="13">
        <f>_xll.BDH("XOM US Equity","IS_OTHER_NON_OPERATING_INC_LOSS","FQ2 2017","FQ2 2017","Currency=USD","Period=FQ","BEST_FPERIOD_OVERRIDE=FQ","FILING_STATUS=OR","SCALING_FORMAT=MLN","FA_ADJUSTED=Adjusted","Sort=A","Dates=H","DateFormat=P","Fill=—","Direction=H","UseDPDF=Y")</f>
        <v>-526</v>
      </c>
      <c r="AM23" s="13">
        <f>_xll.BDH("XOM US Equity","IS_OTHER_NON_OPERATING_INC_LOSS","FQ3 2017","FQ3 2017","Currency=USD","Period=FQ","BEST_FPERIOD_OVERRIDE=FQ","FILING_STATUS=OR","SCALING_FORMAT=MLN","FA_ADJUSTED=Adjusted","Sort=A","Dates=H","DateFormat=P","Fill=—","Direction=H","UseDPDF=Y")</f>
        <v>-278</v>
      </c>
      <c r="AN23" s="13">
        <f>_xll.BDH("XOM US Equity","IS_OTHER_NON_OPERATING_INC_LOSS","FQ4 2017","FQ4 2017","Currency=USD","Period=FQ","BEST_FPERIOD_OVERRIDE=FQ","FILING_STATUS=OR","SCALING_FORMAT=MLN","FA_ADJUSTED=Adjusted","Sort=A","Dates=H","DateFormat=P","Fill=—","Direction=H","UseDPDF=Y")</f>
        <v>-530</v>
      </c>
      <c r="AO23" s="13">
        <f>_xll.BDH("XOM US Equity","IS_OTHER_NON_OPERATING_INC_LOSS","FQ1 2018","FQ1 2018","Currency=USD","Period=FQ","BEST_FPERIOD_OVERRIDE=FQ","FILING_STATUS=OR","SCALING_FORMAT=MLN","FA_ADJUSTED=Adjusted","Sort=A","Dates=H","DateFormat=P","Fill=—","Direction=H","UseDPDF=Y")</f>
        <v>-528</v>
      </c>
      <c r="AP23" s="13">
        <f>_xll.BDH("XOM US Equity","IS_OTHER_NON_OPERATING_INC_LOSS","FQ2 2018","FQ2 2018","Currency=USD","Period=FQ","BEST_FPERIOD_OVERRIDE=FQ","FILING_STATUS=OR","SCALING_FORMAT=MLN","FA_ADJUSTED=Adjusted","Sort=A","Dates=H","DateFormat=P","Fill=—","Direction=H","UseDPDF=Y")</f>
        <v>-316</v>
      </c>
    </row>
    <row r="24" spans="1:42" x14ac:dyDescent="0.25">
      <c r="A24" s="6" t="s">
        <v>122</v>
      </c>
      <c r="B24" s="6" t="s">
        <v>123</v>
      </c>
      <c r="C24" s="16">
        <f>_xll.BDH("XOM US Equity","PRETAX_INC","FQ3 2008","FQ3 2008","Currency=USD","Period=FQ","BEST_FPERIOD_OVERRIDE=FQ","FILING_STATUS=OR","SCALING_FORMAT=MLN","FA_ADJUSTED=Adjusted","Sort=A","Dates=H","DateFormat=P","Fill=—","Direction=H","UseDPDF=Y")</f>
        <v>26693</v>
      </c>
      <c r="D24" s="16">
        <f>_xll.BDH("XOM US Equity","PRETAX_INC","FQ4 2008","FQ4 2008","Currency=USD","Period=FQ","BEST_FPERIOD_OVERRIDE=FQ","FILING_STATUS=OR","SCALING_FORMAT=MLN","FA_ADJUSTED=Adjusted","Sort=A","Dates=H","DateFormat=P","Fill=—","Direction=H","UseDPDF=Y")</f>
        <v>13799</v>
      </c>
      <c r="E24" s="16">
        <f>_xll.BDH("XOM US Equity","PRETAX_INC","FQ1 2009","FQ1 2009","Currency=USD","Period=FQ","BEST_FPERIOD_OVERRIDE=FQ","FILING_STATUS=OR","SCALING_FORMAT=MLN","FA_ADJUSTED=Adjusted","Sort=A","Dates=H","DateFormat=P","Fill=—","Direction=H","UseDPDF=Y")</f>
        <v>7850</v>
      </c>
      <c r="F24" s="16">
        <f>_xll.BDH("XOM US Equity","PRETAX_INC","FQ2 2009","FQ2 2009","Currency=USD","Period=FQ","BEST_FPERIOD_OVERRIDE=FQ","FILING_STATUS=OR","SCALING_FORMAT=MLN","FA_ADJUSTED=Adjusted","Sort=A","Dates=H","DateFormat=P","Fill=—","Direction=H","UseDPDF=Y")</f>
        <v>7732.3846000000003</v>
      </c>
      <c r="G24" s="16">
        <f>_xll.BDH("XOM US Equity","PRETAX_INC","FQ3 2009","FQ3 2009","Currency=USD","Period=FQ","BEST_FPERIOD_OVERRIDE=FQ","FILING_STATUS=OR","SCALING_FORMAT=MLN","FA_ADJUSTED=Adjusted","Sort=A","Dates=H","DateFormat=P","Fill=—","Direction=H","UseDPDF=Y")</f>
        <v>9204</v>
      </c>
      <c r="H24" s="16">
        <f>_xll.BDH("XOM US Equity","PRETAX_INC","FQ4 2009","FQ4 2009","Currency=USD","Period=FQ","BEST_FPERIOD_OVERRIDE=FQ","FILING_STATUS=OR","SCALING_FORMAT=MLN","FA_ADJUSTED=Adjusted","Sort=A","Dates=H","DateFormat=P","Fill=—","Direction=H","UseDPDF=Y")</f>
        <v>10206</v>
      </c>
      <c r="I24" s="16">
        <f>_xll.BDH("XOM US Equity","PRETAX_INC","FQ1 2010","FQ1 2010","Currency=USD","Period=FQ","BEST_FPERIOD_OVERRIDE=FQ","FILING_STATUS=OR","SCALING_FORMAT=MLN","FA_ADJUSTED=Adjusted","Sort=A","Dates=H","DateFormat=P","Fill=—","Direction=H","UseDPDF=Y")</f>
        <v>12068</v>
      </c>
      <c r="J24" s="16">
        <f>_xll.BDH("XOM US Equity","PRETAX_INC","FQ2 2010","FQ2 2010","Currency=USD","Period=FQ","BEST_FPERIOD_OVERRIDE=FQ","FILING_STATUS=OR","SCALING_FORMAT=MLN","FA_ADJUSTED=Adjusted","Sort=A","Dates=H","DateFormat=P","Fill=—","Direction=H","UseDPDF=Y")</f>
        <v>12721</v>
      </c>
      <c r="K24" s="16">
        <f>_xll.BDH("XOM US Equity","PRETAX_INC","FQ3 2010","FQ3 2010","Currency=USD","Period=FQ","BEST_FPERIOD_OVERRIDE=FQ","FILING_STATUS=OR","SCALING_FORMAT=MLN","FA_ADJUSTED=Adjusted","Sort=A","Dates=H","DateFormat=P","Fill=—","Direction=H","UseDPDF=Y")</f>
        <v>12860</v>
      </c>
      <c r="L24" s="16">
        <f>_xll.BDH("XOM US Equity","PRETAX_INC","FQ4 2010","FQ4 2010","Currency=USD","Period=FQ","BEST_FPERIOD_OVERRIDE=FQ","FILING_STATUS=OR","SCALING_FORMAT=MLN","FA_ADJUSTED=Adjusted","Sort=A","Dates=H","DateFormat=P","Fill=—","Direction=H","UseDPDF=Y")</f>
        <v>15328</v>
      </c>
      <c r="M24" s="16">
        <f>_xll.BDH("XOM US Equity","PRETAX_INC","FQ1 2011","FQ1 2011","Currency=USD","Period=FQ","BEST_FPERIOD_OVERRIDE=FQ","FILING_STATUS=OR","SCALING_FORMAT=MLN","FA_ADJUSTED=Adjusted","Sort=A","Dates=H","DateFormat=P","Fill=—","Direction=H","UseDPDF=Y")</f>
        <v>18917</v>
      </c>
      <c r="N24" s="16">
        <f>_xll.BDH("XOM US Equity","PRETAX_INC","FQ2 2011","FQ2 2011","Currency=USD","Period=FQ","BEST_FPERIOD_OVERRIDE=FQ","FILING_STATUS=OR","SCALING_FORMAT=MLN","FA_ADJUSTED=Adjusted","Sort=A","Dates=H","DateFormat=P","Fill=—","Direction=H","UseDPDF=Y")</f>
        <v>18619</v>
      </c>
      <c r="O24" s="16">
        <f>_xll.BDH("XOM US Equity","PRETAX_INC","FQ3 2011","FQ3 2011","Currency=USD","Period=FQ","BEST_FPERIOD_OVERRIDE=FQ","FILING_STATUS=OR","SCALING_FORMAT=MLN","FA_ADJUSTED=Adjusted","Sort=A","Dates=H","DateFormat=P","Fill=—","Direction=H","UseDPDF=Y")</f>
        <v>18680</v>
      </c>
      <c r="P24" s="16">
        <f>_xll.BDH("XOM US Equity","PRETAX_INC","FQ4 2011","FQ4 2011","Currency=USD","Period=FQ","BEST_FPERIOD_OVERRIDE=FQ","FILING_STATUS=OR","SCALING_FORMAT=MLN","FA_ADJUSTED=Adjusted","Sort=A","Dates=H","DateFormat=P","Fill=—","Direction=H","UseDPDF=Y")</f>
        <v>17041</v>
      </c>
      <c r="Q24" s="16">
        <f>_xll.BDH("XOM US Equity","PRETAX_INC","FQ1 2012","FQ1 2012","Currency=USD","Period=FQ","BEST_FPERIOD_OVERRIDE=FQ","FILING_STATUS=OR","SCALING_FORMAT=MLN","FA_ADJUSTED=Adjusted","Sort=A","Dates=H","DateFormat=P","Fill=—","Direction=H","UseDPDF=Y")</f>
        <v>17515</v>
      </c>
      <c r="R24" s="16">
        <f>_xll.BDH("XOM US Equity","PRETAX_INC","FQ2 2012","FQ2 2012","Currency=USD","Period=FQ","BEST_FPERIOD_OVERRIDE=FQ","FILING_STATUS=OR","SCALING_FORMAT=MLN","FA_ADJUSTED=Adjusted","Sort=A","Dates=H","DateFormat=P","Fill=—","Direction=H","UseDPDF=Y")</f>
        <v>16191</v>
      </c>
      <c r="S24" s="16">
        <f>_xll.BDH("XOM US Equity","PRETAX_INC","FQ3 2012","FQ3 2012","Currency=USD","Period=FQ","BEST_FPERIOD_OVERRIDE=FQ","FILING_STATUS=OR","SCALING_FORMAT=MLN","FA_ADJUSTED=Adjusted","Sort=A","Dates=H","DateFormat=P","Fill=—","Direction=H","UseDPDF=Y")</f>
        <v>17320</v>
      </c>
      <c r="T24" s="16">
        <f>_xll.BDH("XOM US Equity","PRETAX_INC","FQ4 2012","FQ4 2012","Currency=USD","Period=FQ","BEST_FPERIOD_OVERRIDE=FQ","FILING_STATUS=OR","SCALING_FORMAT=MLN","FA_ADJUSTED=Adjusted","Sort=A","Dates=H","DateFormat=P","Fill=—","Direction=H","UseDPDF=Y")</f>
        <v>16776.9231</v>
      </c>
      <c r="U24" s="16">
        <f>_xll.BDH("XOM US Equity","PRETAX_INC","FQ1 2013","FQ1 2013","Currency=USD","Period=FQ","BEST_FPERIOD_OVERRIDE=FQ","FILING_STATUS=OR","SCALING_FORMAT=MLN","FA_ADJUSTED=Adjusted","Sort=A","Dates=H","DateFormat=P","Fill=—","Direction=H","UseDPDF=Y")</f>
        <v>16038</v>
      </c>
      <c r="V24" s="16">
        <f>_xll.BDH("XOM US Equity","PRETAX_INC","FQ2 2013","FQ2 2013","Currency=USD","Period=FQ","BEST_FPERIOD_OVERRIDE=FQ","FILING_STATUS=OR","SCALING_FORMAT=MLN","FA_ADJUSTED=Adjusted","Sort=A","Dates=H","DateFormat=P","Fill=—","Direction=H","UseDPDF=Y")</f>
        <v>12768</v>
      </c>
      <c r="W24" s="16">
        <f>_xll.BDH("XOM US Equity","PRETAX_INC","FQ3 2013","FQ3 2013","Currency=USD","Period=FQ","BEST_FPERIOD_OVERRIDE=FQ","FILING_STATUS=OR","SCALING_FORMAT=MLN","FA_ADJUSTED=Adjusted","Sort=A","Dates=H","DateFormat=P","Fill=—","Direction=H","UseDPDF=Y")</f>
        <v>14189</v>
      </c>
      <c r="X24" s="16">
        <f>_xll.BDH("XOM US Equity","PRETAX_INC","FQ4 2013","FQ4 2013","Currency=USD","Period=FQ","BEST_FPERIOD_OVERRIDE=FQ","FILING_STATUS=OR","SCALING_FORMAT=MLN","FA_ADJUSTED=Adjusted","Sort=A","Dates=H","DateFormat=P","Fill=—","Direction=H","UseDPDF=Y")</f>
        <v>14716</v>
      </c>
      <c r="Y24" s="16">
        <f>_xll.BDH("XOM US Equity","PRETAX_INC","FQ1 2014","FQ1 2014","Currency=USD","Period=FQ","BEST_FPERIOD_OVERRIDE=FQ","FILING_STATUS=OR","SCALING_FORMAT=MLN","FA_ADJUSTED=Adjusted","Sort=A","Dates=H","DateFormat=P","Fill=—","Direction=H","UseDPDF=Y")</f>
        <v>15227</v>
      </c>
      <c r="Z24" s="16">
        <f>_xll.BDH("XOM US Equity","PRETAX_INC","FQ2 2014","FQ2 2014","Currency=USD","Period=FQ","BEST_FPERIOD_OVERRIDE=FQ","FILING_STATUS=OR","SCALING_FORMAT=MLN","FA_ADJUSTED=Adjusted","Sort=A","Dates=H","DateFormat=P","Fill=—","Direction=H","UseDPDF=Y")</f>
        <v>14151</v>
      </c>
      <c r="AA24" s="16">
        <f>_xll.BDH("XOM US Equity","PRETAX_INC","FQ3 2014","FQ3 2014","Currency=USD","Period=FQ","BEST_FPERIOD_OVERRIDE=FQ","FILING_STATUS=OR","SCALING_FORMAT=MLN","FA_ADJUSTED=Adjusted","Sort=A","Dates=H","DateFormat=P","Fill=—","Direction=H","UseDPDF=Y")</f>
        <v>13410</v>
      </c>
      <c r="AB24" s="16">
        <f>_xll.BDH("XOM US Equity","PRETAX_INC","FQ4 2014","FQ4 2014","Currency=USD","Period=FQ","BEST_FPERIOD_OVERRIDE=FQ","FILING_STATUS=OR","SCALING_FORMAT=MLN","FA_ADJUSTED=Adjusted","Sort=A","Dates=H","DateFormat=P","Fill=—","Direction=H","UseDPDF=Y")</f>
        <v>8428.1538</v>
      </c>
      <c r="AC24" s="16">
        <f>_xll.BDH("XOM US Equity","PRETAX_INC","FQ1 2015","FQ1 2015","Currency=USD","Period=FQ","BEST_FPERIOD_OVERRIDE=FQ","FILING_STATUS=OR","SCALING_FORMAT=MLN","FA_ADJUSTED=Adjusted","Sort=A","Dates=H","DateFormat=P","Fill=—","Direction=H","UseDPDF=Y")</f>
        <v>6635</v>
      </c>
      <c r="AD24" s="16">
        <f>_xll.BDH("XOM US Equity","PRETAX_INC","FQ2 2015","FQ2 2015","Currency=USD","Period=FQ","BEST_FPERIOD_OVERRIDE=FQ","FILING_STATUS=OR","SCALING_FORMAT=MLN","FA_ADJUSTED=Adjusted","Sort=A","Dates=H","DateFormat=P","Fill=—","Direction=H","UseDPDF=Y")</f>
        <v>6954</v>
      </c>
      <c r="AE24" s="16">
        <f>_xll.BDH("XOM US Equity","PRETAX_INC","FQ3 2015","FQ3 2015","Currency=USD","Period=FQ","BEST_FPERIOD_OVERRIDE=FQ","FILING_STATUS=OR","SCALING_FORMAT=MLN","FA_ADJUSTED=Adjusted","Sort=A","Dates=H","DateFormat=P","Fill=—","Direction=H","UseDPDF=Y")</f>
        <v>5749</v>
      </c>
      <c r="AF24" s="16">
        <f>_xll.BDH("XOM US Equity","PRETAX_INC","FQ4 2015","FQ4 2015","Currency=USD","Period=FQ","BEST_FPERIOD_OVERRIDE=FQ","FILING_STATUS=OR","SCALING_FORMAT=MLN","FA_ADJUSTED=Adjusted","Sort=A","Dates=H","DateFormat=P","Fill=—","Direction=H","UseDPDF=Y")</f>
        <v>2628</v>
      </c>
      <c r="AG24" s="16">
        <f>_xll.BDH("XOM US Equity","PRETAX_INC","FQ1 2016","FQ1 2016","Currency=USD","Period=FQ","BEST_FPERIOD_OVERRIDE=FQ","FILING_STATUS=OR","SCALING_FORMAT=MLN","FA_ADJUSTED=Adjusted","Sort=A","Dates=H","DateFormat=P","Fill=—","Direction=H","UseDPDF=Y")</f>
        <v>1730</v>
      </c>
      <c r="AH24" s="16">
        <f>_xll.BDH("XOM US Equity","PRETAX_INC","FQ2 2016","FQ2 2016","Currency=USD","Period=FQ","BEST_FPERIOD_OVERRIDE=FQ","FILING_STATUS=OR","SCALING_FORMAT=MLN","FA_ADJUSTED=Adjusted","Sort=A","Dates=H","DateFormat=P","Fill=—","Direction=H","UseDPDF=Y")</f>
        <v>2396</v>
      </c>
      <c r="AI24" s="16">
        <f>_xll.BDH("XOM US Equity","PRETAX_INC","FQ3 2016","FQ3 2016","Currency=USD","Period=FQ","BEST_FPERIOD_OVERRIDE=FQ","FILING_STATUS=OR","SCALING_FORMAT=MLN","FA_ADJUSTED=Adjusted","Sort=A","Dates=H","DateFormat=P","Fill=—","Direction=H","UseDPDF=Y")</f>
        <v>3226</v>
      </c>
      <c r="AJ24" s="16">
        <f>_xll.BDH("XOM US Equity","PRETAX_INC","FQ4 2016","FQ4 2016","Currency=USD","Period=FQ","BEST_FPERIOD_OVERRIDE=FQ","FILING_STATUS=OR","SCALING_FORMAT=MLN","FA_ADJUSTED=Adjusted","Sort=A","Dates=H","DateFormat=P","Fill=—","Direction=H","UseDPDF=Y")</f>
        <v>2644</v>
      </c>
      <c r="AK24" s="16">
        <f>_xll.BDH("XOM US Equity","PRETAX_INC","FQ1 2017","FQ1 2017","Currency=USD","Period=FQ","BEST_FPERIOD_OVERRIDE=FQ","FILING_STATUS=OR","SCALING_FORMAT=MLN","FA_ADJUSTED=Adjusted","Sort=A","Dates=H","DateFormat=P","Fill=—","Direction=H","UseDPDF=Y")</f>
        <v>5918</v>
      </c>
      <c r="AL24" s="16">
        <f>_xll.BDH("XOM US Equity","PRETAX_INC","FQ2 2017","FQ2 2017","Currency=USD","Period=FQ","BEST_FPERIOD_OVERRIDE=FQ","FILING_STATUS=OR","SCALING_FORMAT=MLN","FA_ADJUSTED=Adjusted","Sort=A","Dates=H","DateFormat=P","Fill=—","Direction=H","UseDPDF=Y")</f>
        <v>4156</v>
      </c>
      <c r="AM24" s="16">
        <f>_xll.BDH("XOM US Equity","PRETAX_INC","FQ3 2017","FQ3 2017","Currency=USD","Period=FQ","BEST_FPERIOD_OVERRIDE=FQ","FILING_STATUS=OR","SCALING_FORMAT=MLN","FA_ADJUSTED=Adjusted","Sort=A","Dates=H","DateFormat=P","Fill=—","Direction=H","UseDPDF=Y")</f>
        <v>5583</v>
      </c>
      <c r="AN24" s="16">
        <f>_xll.BDH("XOM US Equity","PRETAX_INC","FQ4 2017","FQ4 2017","Currency=USD","Period=FQ","BEST_FPERIOD_OVERRIDE=FQ","FILING_STATUS=OR","SCALING_FORMAT=MLN","FA_ADJUSTED=Adjusted","Sort=A","Dates=H","DateFormat=P","Fill=—","Direction=H","UseDPDF=Y")</f>
        <v>5007.7691999999997</v>
      </c>
      <c r="AO24" s="16">
        <f>_xll.BDH("XOM US Equity","PRETAX_INC","FQ1 2018","FQ1 2018","Currency=USD","Period=FQ","BEST_FPERIOD_OVERRIDE=FQ","FILING_STATUS=OR","SCALING_FORMAT=MLN","FA_ADJUSTED=Adjusted","Sort=A","Dates=H","DateFormat=P","Fill=—","Direction=H","UseDPDF=Y")</f>
        <v>7240</v>
      </c>
      <c r="AP24" s="16">
        <f>_xll.BDH("XOM US Equity","PRETAX_INC","FQ2 2018","FQ2 2018","Currency=USD","Period=FQ","BEST_FPERIOD_OVERRIDE=FQ","FILING_STATUS=OR","SCALING_FORMAT=MLN","FA_ADJUSTED=Adjusted","Sort=A","Dates=H","DateFormat=P","Fill=—","Direction=H","UseDPDF=Y")</f>
        <v>6512</v>
      </c>
    </row>
    <row r="25" spans="1:42" x14ac:dyDescent="0.25">
      <c r="A25" s="10" t="s">
        <v>124</v>
      </c>
      <c r="B25" s="10" t="s">
        <v>125</v>
      </c>
      <c r="C25" s="13">
        <f>_xll.BDH("XOM US Equity","IS_ABNORMAL_ITEM","FQ3 2008","FQ3 2008","Currency=USD","Period=FQ","BEST_FPERIOD_OVERRIDE=FQ","FILING_STATUS=OR","SCALING_FORMAT=MLN","Sort=A","Dates=H","DateFormat=P","Fill=—","Direction=H","UseDPDF=Y")</f>
        <v>-1450</v>
      </c>
      <c r="D25" s="13" t="str">
        <f>_xll.BDH("XOM US Equity","IS_ABNORMAL_ITEM","FQ4 2008","FQ4 2008","Currency=USD","Period=FQ","BEST_FPERIOD_OVERRIDE=FQ","FILING_STATUS=OR","SCALING_FORMAT=MLN","Sort=A","Dates=H","DateFormat=P","Fill=—","Direction=H","UseDPDF=Y")</f>
        <v>—</v>
      </c>
      <c r="E25" s="13">
        <f>_xll.BDH("XOM US Equity","IS_ABNORMAL_ITEM","FQ1 2009","FQ1 2009","Currency=USD","Period=FQ","BEST_FPERIOD_OVERRIDE=FQ","FILING_STATUS=OR","SCALING_FORMAT=MLN","Sort=A","Dates=H","DateFormat=P","Fill=—","Direction=H","UseDPDF=Y")</f>
        <v>0</v>
      </c>
      <c r="F25" s="13">
        <f>_xll.BDH("XOM US Equity","IS_ABNORMAL_ITEM","FQ2 2009","FQ2 2009","Currency=USD","Period=FQ","BEST_FPERIOD_OVERRIDE=FQ","FILING_STATUS=OR","SCALING_FORMAT=MLN","Sort=A","Dates=H","DateFormat=P","Fill=—","Direction=H","UseDPDF=Y")</f>
        <v>215.38460000000001</v>
      </c>
      <c r="G25" s="13">
        <f>_xll.BDH("XOM US Equity","IS_ABNORMAL_ITEM","FQ3 2009","FQ3 2009","Currency=USD","Period=FQ","BEST_FPERIOD_OVERRIDE=FQ","FILING_STATUS=OR","SCALING_FORMAT=MLN","Sort=A","Dates=H","DateFormat=P","Fill=—","Direction=H","UseDPDF=Y")</f>
        <v>0</v>
      </c>
      <c r="H25" s="13">
        <f>_xll.BDH("XOM US Equity","IS_ABNORMAL_ITEM","FQ4 2009","FQ4 2009","Currency=USD","Period=FQ","BEST_FPERIOD_OVERRIDE=FQ","FILING_STATUS=OR","SCALING_FORMAT=MLN","Sort=A","Dates=H","DateFormat=P","Fill=—","Direction=H","UseDPDF=Y")</f>
        <v>0</v>
      </c>
      <c r="I25" s="13">
        <f>_xll.BDH("XOM US Equity","IS_ABNORMAL_ITEM","FQ1 2010","FQ1 2010","Currency=USD","Period=FQ","BEST_FPERIOD_OVERRIDE=FQ","FILING_STATUS=OR","SCALING_FORMAT=MLN","Sort=A","Dates=H","DateFormat=P","Fill=—","Direction=H","UseDPDF=Y")</f>
        <v>0</v>
      </c>
      <c r="J25" s="13">
        <f>_xll.BDH("XOM US Equity","IS_ABNORMAL_ITEM","FQ2 2010","FQ2 2010","Currency=USD","Period=FQ","BEST_FPERIOD_OVERRIDE=FQ","FILING_STATUS=OR","SCALING_FORMAT=MLN","Sort=A","Dates=H","DateFormat=P","Fill=—","Direction=H","UseDPDF=Y")</f>
        <v>15</v>
      </c>
      <c r="K25" s="13">
        <f>_xll.BDH("XOM US Equity","IS_ABNORMAL_ITEM","FQ3 2010","FQ3 2010","Currency=USD","Period=FQ","BEST_FPERIOD_OVERRIDE=FQ","FILING_STATUS=OR","SCALING_FORMAT=MLN","Sort=A","Dates=H","DateFormat=P","Fill=—","Direction=H","UseDPDF=Y")</f>
        <v>2</v>
      </c>
      <c r="L25" s="13">
        <f>_xll.BDH("XOM US Equity","IS_ABNORMAL_ITEM","FQ4 2010","FQ4 2010","Currency=USD","Period=FQ","BEST_FPERIOD_OVERRIDE=FQ","FILING_STATUS=OR","SCALING_FORMAT=MLN","Sort=A","Dates=H","DateFormat=P","Fill=—","Direction=H","UseDPDF=Y")</f>
        <v>1</v>
      </c>
      <c r="M25" s="13">
        <f>_xll.BDH("XOM US Equity","IS_ABNORMAL_ITEM","FQ1 2011","FQ1 2011","Currency=USD","Period=FQ","BEST_FPERIOD_OVERRIDE=FQ","FILING_STATUS=OR","SCALING_FORMAT=MLN","Sort=A","Dates=H","DateFormat=P","Fill=—","Direction=H","UseDPDF=Y")</f>
        <v>0</v>
      </c>
      <c r="N25" s="13">
        <f>_xll.BDH("XOM US Equity","IS_ABNORMAL_ITEM","FQ2 2011","FQ2 2011","Currency=USD","Period=FQ","BEST_FPERIOD_OVERRIDE=FQ","FILING_STATUS=OR","SCALING_FORMAT=MLN","Sort=A","Dates=H","DateFormat=P","Fill=—","Direction=H","UseDPDF=Y")</f>
        <v>0</v>
      </c>
      <c r="O25" s="13">
        <f>_xll.BDH("XOM US Equity","IS_ABNORMAL_ITEM","FQ3 2011","FQ3 2011","Currency=USD","Period=FQ","BEST_FPERIOD_OVERRIDE=FQ","FILING_STATUS=OR","SCALING_FORMAT=MLN","Sort=A","Dates=H","DateFormat=P","Fill=—","Direction=H","UseDPDF=Y")</f>
        <v>0</v>
      </c>
      <c r="P25" s="13">
        <f>_xll.BDH("XOM US Equity","IS_ABNORMAL_ITEM","FQ4 2011","FQ4 2011","Currency=USD","Period=FQ","BEST_FPERIOD_OVERRIDE=FQ","FILING_STATUS=OR","SCALING_FORMAT=MLN","Sort=A","Dates=H","DateFormat=P","Fill=—","Direction=H","UseDPDF=Y")</f>
        <v>0</v>
      </c>
      <c r="Q25" s="13">
        <f>_xll.BDH("XOM US Equity","IS_ABNORMAL_ITEM","FQ1 2012","FQ1 2012","Currency=USD","Period=FQ","BEST_FPERIOD_OVERRIDE=FQ","FILING_STATUS=OR","SCALING_FORMAT=MLN","Sort=A","Dates=H","DateFormat=P","Fill=—","Direction=H","UseDPDF=Y")</f>
        <v>0</v>
      </c>
      <c r="R25" s="13">
        <f>_xll.BDH("XOM US Equity","IS_ABNORMAL_ITEM","FQ2 2012","FQ2 2012","Currency=USD","Period=FQ","BEST_FPERIOD_OVERRIDE=FQ","FILING_STATUS=OR","SCALING_FORMAT=MLN","Sort=A","Dates=H","DateFormat=P","Fill=—","Direction=H","UseDPDF=Y")</f>
        <v>-10000</v>
      </c>
      <c r="S25" s="13">
        <f>_xll.BDH("XOM US Equity","IS_ABNORMAL_ITEM","FQ3 2012","FQ3 2012","Currency=USD","Period=FQ","BEST_FPERIOD_OVERRIDE=FQ","FILING_STATUS=OR","SCALING_FORMAT=MLN","Sort=A","Dates=H","DateFormat=P","Fill=—","Direction=H","UseDPDF=Y")</f>
        <v>0</v>
      </c>
      <c r="T25" s="13">
        <f>_xll.BDH("XOM US Equity","IS_ABNORMAL_ITEM","FQ4 2012","FQ4 2012","Currency=USD","Period=FQ","BEST_FPERIOD_OVERRIDE=FQ","FILING_STATUS=OR","SCALING_FORMAT=MLN","Sort=A","Dates=H","DateFormat=P","Fill=—","Direction=H","UseDPDF=Y")</f>
        <v>-923.07690000000002</v>
      </c>
      <c r="U25" s="13">
        <f>_xll.BDH("XOM US Equity","IS_ABNORMAL_ITEM","FQ1 2013","FQ1 2013","Currency=USD","Period=FQ","BEST_FPERIOD_OVERRIDE=FQ","FILING_STATUS=OR","SCALING_FORMAT=MLN","Sort=A","Dates=H","DateFormat=P","Fill=—","Direction=H","UseDPDF=Y")</f>
        <v>0</v>
      </c>
      <c r="V25" s="13">
        <f>_xll.BDH("XOM US Equity","IS_ABNORMAL_ITEM","FQ2 2013","FQ2 2013","Currency=USD","Period=FQ","BEST_FPERIOD_OVERRIDE=FQ","FILING_STATUS=OR","SCALING_FORMAT=MLN","Sort=A","Dates=H","DateFormat=P","Fill=—","Direction=H","UseDPDF=Y")</f>
        <v>0</v>
      </c>
      <c r="W25" s="13">
        <f>_xll.BDH("XOM US Equity","IS_ABNORMAL_ITEM","FQ3 2013","FQ3 2013","Currency=USD","Period=FQ","BEST_FPERIOD_OVERRIDE=FQ","FILING_STATUS=OR","SCALING_FORMAT=MLN","Sort=A","Dates=H","DateFormat=P","Fill=—","Direction=H","UseDPDF=Y")</f>
        <v>0</v>
      </c>
      <c r="X25" s="13">
        <f>_xll.BDH("XOM US Equity","IS_ABNORMAL_ITEM","FQ4 2013","FQ4 2013","Currency=USD","Period=FQ","BEST_FPERIOD_OVERRIDE=FQ","FILING_STATUS=OR","SCALING_FORMAT=MLN","Sort=A","Dates=H","DateFormat=P","Fill=—","Direction=H","UseDPDF=Y")</f>
        <v>0</v>
      </c>
      <c r="Y25" s="13">
        <f>_xll.BDH("XOM US Equity","IS_ABNORMAL_ITEM","FQ1 2014","FQ1 2014","Currency=USD","Period=FQ","BEST_FPERIOD_OVERRIDE=FQ","FILING_STATUS=OR","SCALING_FORMAT=MLN","Sort=A","Dates=H","DateFormat=P","Fill=—","Direction=H","UseDPDF=Y")</f>
        <v>0</v>
      </c>
      <c r="Z25" s="13">
        <f>_xll.BDH("XOM US Equity","IS_ABNORMAL_ITEM","FQ2 2014","FQ2 2014","Currency=USD","Period=FQ","BEST_FPERIOD_OVERRIDE=FQ","FILING_STATUS=OR","SCALING_FORMAT=MLN","Sort=A","Dates=H","DateFormat=P","Fill=—","Direction=H","UseDPDF=Y")</f>
        <v>0</v>
      </c>
      <c r="AA25" s="13">
        <f>_xll.BDH("XOM US Equity","IS_ABNORMAL_ITEM","FQ3 2014","FQ3 2014","Currency=USD","Period=FQ","BEST_FPERIOD_OVERRIDE=FQ","FILING_STATUS=OR","SCALING_FORMAT=MLN","Sort=A","Dates=H","DateFormat=P","Fill=—","Direction=H","UseDPDF=Y")</f>
        <v>0</v>
      </c>
      <c r="AB25" s="13">
        <f>_xll.BDH("XOM US Equity","IS_ABNORMAL_ITEM","FQ4 2014","FQ4 2014","Currency=USD","Period=FQ","BEST_FPERIOD_OVERRIDE=FQ","FILING_STATUS=OR","SCALING_FORMAT=MLN","Sort=A","Dates=H","DateFormat=P","Fill=—","Direction=H","UseDPDF=Y")</f>
        <v>-413.84620000000001</v>
      </c>
      <c r="AC25" s="13">
        <f>_xll.BDH("XOM US Equity","IS_ABNORMAL_ITEM","FQ1 2015","FQ1 2015","Currency=USD","Period=FQ","BEST_FPERIOD_OVERRIDE=FQ","FILING_STATUS=OR","SCALING_FORMAT=MLN","Sort=A","Dates=H","DateFormat=P","Fill=—","Direction=H","UseDPDF=Y")</f>
        <v>0</v>
      </c>
      <c r="AD25" s="13">
        <f>_xll.BDH("XOM US Equity","IS_ABNORMAL_ITEM","FQ2 2015","FQ2 2015","Currency=USD","Period=FQ","BEST_FPERIOD_OVERRIDE=FQ","FILING_STATUS=OR","SCALING_FORMAT=MLN","Sort=A","Dates=H","DateFormat=P","Fill=—","Direction=H","UseDPDF=Y")</f>
        <v>0</v>
      </c>
      <c r="AE25" s="13">
        <f>_xll.BDH("XOM US Equity","IS_ABNORMAL_ITEM","FQ3 2015","FQ3 2015","Currency=USD","Period=FQ","BEST_FPERIOD_OVERRIDE=FQ","FILING_STATUS=OR","SCALING_FORMAT=MLN","Sort=A","Dates=H","DateFormat=P","Fill=—","Direction=H","UseDPDF=Y")</f>
        <v>0</v>
      </c>
      <c r="AF25" s="13">
        <f>_xll.BDH("XOM US Equity","IS_ABNORMAL_ITEM","FQ4 2015","FQ4 2015","Currency=USD","Period=FQ","BEST_FPERIOD_OVERRIDE=FQ","FILING_STATUS=OR","SCALING_FORMAT=MLN","Sort=A","Dates=H","DateFormat=P","Fill=—","Direction=H","UseDPDF=Y")</f>
        <v>0</v>
      </c>
      <c r="AG25" s="13">
        <f>_xll.BDH("XOM US Equity","IS_ABNORMAL_ITEM","FQ1 2016","FQ1 2016","Currency=USD","Period=FQ","BEST_FPERIOD_OVERRIDE=FQ","FILING_STATUS=OR","SCALING_FORMAT=MLN","Sort=A","Dates=H","DateFormat=P","Fill=—","Direction=H","UseDPDF=Y")</f>
        <v>0</v>
      </c>
      <c r="AH25" s="13">
        <f>_xll.BDH("XOM US Equity","IS_ABNORMAL_ITEM","FQ2 2016","FQ2 2016","Currency=USD","Period=FQ","BEST_FPERIOD_OVERRIDE=FQ","FILING_STATUS=OR","SCALING_FORMAT=MLN","Sort=A","Dates=H","DateFormat=P","Fill=—","Direction=H","UseDPDF=Y")</f>
        <v>0</v>
      </c>
      <c r="AI25" s="13">
        <f>_xll.BDH("XOM US Equity","IS_ABNORMAL_ITEM","FQ3 2016","FQ3 2016","Currency=USD","Period=FQ","BEST_FPERIOD_OVERRIDE=FQ","FILING_STATUS=OR","SCALING_FORMAT=MLN","Sort=A","Dates=H","DateFormat=P","Fill=—","Direction=H","UseDPDF=Y")</f>
        <v>0</v>
      </c>
      <c r="AJ25" s="13">
        <f>_xll.BDH("XOM US Equity","IS_ABNORMAL_ITEM","FQ4 2016","FQ4 2016","Currency=USD","Period=FQ","BEST_FPERIOD_OVERRIDE=FQ","FILING_STATUS=OR","SCALING_FORMAT=MLN","Sort=A","Dates=H","DateFormat=P","Fill=—","Direction=H","UseDPDF=Y")</f>
        <v>2027</v>
      </c>
      <c r="AK25" s="13">
        <f>_xll.BDH("XOM US Equity","IS_ABNORMAL_ITEM","FQ1 2017","FQ1 2017","Currency=USD","Period=FQ","BEST_FPERIOD_OVERRIDE=FQ","FILING_STATUS=OR","SCALING_FORMAT=MLN","Sort=A","Dates=H","DateFormat=P","Fill=—","Direction=H","UseDPDF=Y")</f>
        <v>0</v>
      </c>
      <c r="AL25" s="13">
        <f>_xll.BDH("XOM US Equity","IS_ABNORMAL_ITEM","FQ2 2017","FQ2 2017","Currency=USD","Period=FQ","BEST_FPERIOD_OVERRIDE=FQ","FILING_STATUS=OR","SCALING_FORMAT=MLN","Sort=A","Dates=H","DateFormat=P","Fill=—","Direction=H","UseDPDF=Y")</f>
        <v>0</v>
      </c>
      <c r="AM25" s="13">
        <f>_xll.BDH("XOM US Equity","IS_ABNORMAL_ITEM","FQ3 2017","FQ3 2017","Currency=USD","Period=FQ","BEST_FPERIOD_OVERRIDE=FQ","FILING_STATUS=OR","SCALING_FORMAT=MLN","Sort=A","Dates=H","DateFormat=P","Fill=—","Direction=H","UseDPDF=Y")</f>
        <v>0</v>
      </c>
      <c r="AN25" s="13">
        <f>_xll.BDH("XOM US Equity","IS_ABNORMAL_ITEM","FQ4 2017","FQ4 2017","Currency=USD","Period=FQ","BEST_FPERIOD_OVERRIDE=FQ","FILING_STATUS=OR","SCALING_FORMAT=MLN","Sort=A","Dates=H","DateFormat=P","Fill=—","Direction=H","UseDPDF=Y")</f>
        <v>1990.7692</v>
      </c>
      <c r="AO25" s="13">
        <f>_xll.BDH("XOM US Equity","IS_ABNORMAL_ITEM","FQ1 2018","FQ1 2018","Currency=USD","Period=FQ","BEST_FPERIOD_OVERRIDE=FQ","FILING_STATUS=OR","SCALING_FORMAT=MLN","Sort=A","Dates=H","DateFormat=P","Fill=—","Direction=H","UseDPDF=Y")</f>
        <v>0</v>
      </c>
      <c r="AP25" s="13">
        <f>_xll.BDH("XOM US Equity","IS_ABNORMAL_ITEM","FQ2 2018","FQ2 2018","Currency=USD","Period=FQ","BEST_FPERIOD_OVERRIDE=FQ","FILING_STATUS=OR","SCALING_FORMAT=MLN","Sort=A","Dates=H","DateFormat=P","Fill=—","Direction=H","UseDPDF=Y")</f>
        <v>0</v>
      </c>
    </row>
    <row r="26" spans="1:42" x14ac:dyDescent="0.25">
      <c r="A26" s="10" t="s">
        <v>126</v>
      </c>
      <c r="B26" s="10" t="s">
        <v>127</v>
      </c>
      <c r="C26" s="13" t="str">
        <f>_xll.BDH("XOM US Equity","IS_MERGER_ACQUISITION_EXPENSE","FQ3 2008","FQ3 2008","Currency=USD","Period=FQ","BEST_FPERIOD_OVERRIDE=FQ","FILING_STATUS=OR","SCALING_FORMAT=MLN","Sort=A","Dates=H","DateFormat=P","Fill=—","Direction=H","UseDPDF=Y")</f>
        <v>—</v>
      </c>
      <c r="D26" s="13" t="str">
        <f>_xll.BDH("XOM US Equity","IS_MERGER_ACQUISITION_EXPENSE","FQ4 2008","FQ4 2008","Currency=USD","Period=FQ","BEST_FPERIOD_OVERRIDE=FQ","FILING_STATUS=OR","SCALING_FORMAT=MLN","Sort=A","Dates=H","DateFormat=P","Fill=—","Direction=H","UseDPDF=Y")</f>
        <v>—</v>
      </c>
      <c r="E26" s="13" t="str">
        <f>_xll.BDH("XOM US Equity","IS_MERGER_ACQUISITION_EXPENSE","FQ1 2009","FQ1 2009","Currency=USD","Period=FQ","BEST_FPERIOD_OVERRIDE=FQ","FILING_STATUS=OR","SCALING_FORMAT=MLN","Sort=A","Dates=H","DateFormat=P","Fill=—","Direction=H","UseDPDF=Y")</f>
        <v>—</v>
      </c>
      <c r="F26" s="13" t="str">
        <f>_xll.BDH("XOM US Equity","IS_MERGER_ACQUISITION_EXPENSE","FQ2 2009","FQ2 2009","Currency=USD","Period=FQ","BEST_FPERIOD_OVERRIDE=FQ","FILING_STATUS=OR","SCALING_FORMAT=MLN","Sort=A","Dates=H","DateFormat=P","Fill=—","Direction=H","UseDPDF=Y")</f>
        <v>—</v>
      </c>
      <c r="G26" s="13" t="str">
        <f>_xll.BDH("XOM US Equity","IS_MERGER_ACQUISITION_EXPENSE","FQ3 2009","FQ3 2009","Currency=USD","Period=FQ","BEST_FPERIOD_OVERRIDE=FQ","FILING_STATUS=OR","SCALING_FORMAT=MLN","Sort=A","Dates=H","DateFormat=P","Fill=—","Direction=H","UseDPDF=Y")</f>
        <v>—</v>
      </c>
      <c r="H26" s="13" t="str">
        <f>_xll.BDH("XOM US Equity","IS_MERGER_ACQUISITION_EXPENSE","FQ4 2009","FQ4 2009","Currency=USD","Period=FQ","BEST_FPERIOD_OVERRIDE=FQ","FILING_STATUS=OR","SCALING_FORMAT=MLN","Sort=A","Dates=H","DateFormat=P","Fill=—","Direction=H","UseDPDF=Y")</f>
        <v>—</v>
      </c>
      <c r="I26" s="13" t="str">
        <f>_xll.BDH("XOM US Equity","IS_MERGER_ACQUISITION_EXPENSE","FQ1 2010","FQ1 2010","Currency=USD","Period=FQ","BEST_FPERIOD_OVERRIDE=FQ","FILING_STATUS=OR","SCALING_FORMAT=MLN","Sort=A","Dates=H","DateFormat=P","Fill=—","Direction=H","UseDPDF=Y")</f>
        <v>—</v>
      </c>
      <c r="J26" s="13">
        <f>_xll.BDH("XOM US Equity","IS_MERGER_ACQUISITION_EXPENSE","FQ2 2010","FQ2 2010","Currency=USD","Period=FQ","BEST_FPERIOD_OVERRIDE=FQ","FILING_STATUS=OR","SCALING_FORMAT=MLN","Sort=A","Dates=H","DateFormat=P","Fill=—","Direction=H","UseDPDF=Y")</f>
        <v>15</v>
      </c>
      <c r="K26" s="13">
        <f>_xll.BDH("XOM US Equity","IS_MERGER_ACQUISITION_EXPENSE","FQ3 2010","FQ3 2010","Currency=USD","Period=FQ","BEST_FPERIOD_OVERRIDE=FQ","FILING_STATUS=OR","SCALING_FORMAT=MLN","Sort=A","Dates=H","DateFormat=P","Fill=—","Direction=H","UseDPDF=Y")</f>
        <v>2</v>
      </c>
      <c r="L26" s="13">
        <f>_xll.BDH("XOM US Equity","IS_MERGER_ACQUISITION_EXPENSE","FQ4 2010","FQ4 2010","Currency=USD","Period=FQ","BEST_FPERIOD_OVERRIDE=FQ","FILING_STATUS=OR","SCALING_FORMAT=MLN","Sort=A","Dates=H","DateFormat=P","Fill=—","Direction=H","UseDPDF=Y")</f>
        <v>1</v>
      </c>
      <c r="M26" s="13" t="str">
        <f>_xll.BDH("XOM US Equity","IS_MERGER_ACQUISITION_EXPENSE","FQ1 2011","FQ1 2011","Currency=USD","Period=FQ","BEST_FPERIOD_OVERRIDE=FQ","FILING_STATUS=OR","SCALING_FORMAT=MLN","Sort=A","Dates=H","DateFormat=P","Fill=—","Direction=H","UseDPDF=Y")</f>
        <v>—</v>
      </c>
      <c r="N26" s="13" t="str">
        <f>_xll.BDH("XOM US Equity","IS_MERGER_ACQUISITION_EXPENSE","FQ2 2011","FQ2 2011","Currency=USD","Period=FQ","BEST_FPERIOD_OVERRIDE=FQ","FILING_STATUS=OR","SCALING_FORMAT=MLN","Sort=A","Dates=H","DateFormat=P","Fill=—","Direction=H","UseDPDF=Y")</f>
        <v>—</v>
      </c>
      <c r="O26" s="13" t="str">
        <f>_xll.BDH("XOM US Equity","IS_MERGER_ACQUISITION_EXPENSE","FQ3 2011","FQ3 2011","Currency=USD","Period=FQ","BEST_FPERIOD_OVERRIDE=FQ","FILING_STATUS=OR","SCALING_FORMAT=MLN","Sort=A","Dates=H","DateFormat=P","Fill=—","Direction=H","UseDPDF=Y")</f>
        <v>—</v>
      </c>
      <c r="P26" s="13" t="str">
        <f>_xll.BDH("XOM US Equity","IS_MERGER_ACQUISITION_EXPENSE","FQ4 2011","FQ4 2011","Currency=USD","Period=FQ","BEST_FPERIOD_OVERRIDE=FQ","FILING_STATUS=OR","SCALING_FORMAT=MLN","Sort=A","Dates=H","DateFormat=P","Fill=—","Direction=H","UseDPDF=Y")</f>
        <v>—</v>
      </c>
      <c r="Q26" s="13" t="str">
        <f>_xll.BDH("XOM US Equity","IS_MERGER_ACQUISITION_EXPENSE","FQ1 2012","FQ1 2012","Currency=USD","Period=FQ","BEST_FPERIOD_OVERRIDE=FQ","FILING_STATUS=OR","SCALING_FORMAT=MLN","Sort=A","Dates=H","DateFormat=P","Fill=—","Direction=H","UseDPDF=Y")</f>
        <v>—</v>
      </c>
      <c r="R26" s="13" t="str">
        <f>_xll.BDH("XOM US Equity","IS_MERGER_ACQUISITION_EXPENSE","FQ2 2012","FQ2 2012","Currency=USD","Period=FQ","BEST_FPERIOD_OVERRIDE=FQ","FILING_STATUS=OR","SCALING_FORMAT=MLN","Sort=A","Dates=H","DateFormat=P","Fill=—","Direction=H","UseDPDF=Y")</f>
        <v>—</v>
      </c>
      <c r="S26" s="13" t="str">
        <f>_xll.BDH("XOM US Equity","IS_MERGER_ACQUISITION_EXPENSE","FQ3 2012","FQ3 2012","Currency=USD","Period=FQ","BEST_FPERIOD_OVERRIDE=FQ","FILING_STATUS=OR","SCALING_FORMAT=MLN","Sort=A","Dates=H","DateFormat=P","Fill=—","Direction=H","UseDPDF=Y")</f>
        <v>—</v>
      </c>
      <c r="T26" s="13" t="str">
        <f>_xll.BDH("XOM US Equity","IS_MERGER_ACQUISITION_EXPENSE","FQ4 2012","FQ4 2012","Currency=USD","Period=FQ","BEST_FPERIOD_OVERRIDE=FQ","FILING_STATUS=OR","SCALING_FORMAT=MLN","Sort=A","Dates=H","DateFormat=P","Fill=—","Direction=H","UseDPDF=Y")</f>
        <v>—</v>
      </c>
      <c r="U26" s="13" t="str">
        <f>_xll.BDH("XOM US Equity","IS_MERGER_ACQUISITION_EXPENSE","FQ1 2013","FQ1 2013","Currency=USD","Period=FQ","BEST_FPERIOD_OVERRIDE=FQ","FILING_STATUS=OR","SCALING_FORMAT=MLN","Sort=A","Dates=H","DateFormat=P","Fill=—","Direction=H","UseDPDF=Y")</f>
        <v>—</v>
      </c>
      <c r="V26" s="13" t="str">
        <f>_xll.BDH("XOM US Equity","IS_MERGER_ACQUISITION_EXPENSE","FQ2 2013","FQ2 2013","Currency=USD","Period=FQ","BEST_FPERIOD_OVERRIDE=FQ","FILING_STATUS=OR","SCALING_FORMAT=MLN","Sort=A","Dates=H","DateFormat=P","Fill=—","Direction=H","UseDPDF=Y")</f>
        <v>—</v>
      </c>
      <c r="W26" s="13" t="str">
        <f>_xll.BDH("XOM US Equity","IS_MERGER_ACQUISITION_EXPENSE","FQ3 2013","FQ3 2013","Currency=USD","Period=FQ","BEST_FPERIOD_OVERRIDE=FQ","FILING_STATUS=OR","SCALING_FORMAT=MLN","Sort=A","Dates=H","DateFormat=P","Fill=—","Direction=H","UseDPDF=Y")</f>
        <v>—</v>
      </c>
      <c r="X26" s="13" t="str">
        <f>_xll.BDH("XOM US Equity","IS_MERGER_ACQUISITION_EXPENSE","FQ4 2013","FQ4 2013","Currency=USD","Period=FQ","BEST_FPERIOD_OVERRIDE=FQ","FILING_STATUS=OR","SCALING_FORMAT=MLN","Sort=A","Dates=H","DateFormat=P","Fill=—","Direction=H","UseDPDF=Y")</f>
        <v>—</v>
      </c>
      <c r="Y26" s="13" t="str">
        <f>_xll.BDH("XOM US Equity","IS_MERGER_ACQUISITION_EXPENSE","FQ1 2014","FQ1 2014","Currency=USD","Period=FQ","BEST_FPERIOD_OVERRIDE=FQ","FILING_STATUS=OR","SCALING_FORMAT=MLN","Sort=A","Dates=H","DateFormat=P","Fill=—","Direction=H","UseDPDF=Y")</f>
        <v>—</v>
      </c>
      <c r="Z26" s="13" t="str">
        <f>_xll.BDH("XOM US Equity","IS_MERGER_ACQUISITION_EXPENSE","FQ2 2014","FQ2 2014","Currency=USD","Period=FQ","BEST_FPERIOD_OVERRIDE=FQ","FILING_STATUS=OR","SCALING_FORMAT=MLN","Sort=A","Dates=H","DateFormat=P","Fill=—","Direction=H","UseDPDF=Y")</f>
        <v>—</v>
      </c>
      <c r="AA26" s="13" t="str">
        <f>_xll.BDH("XOM US Equity","IS_MERGER_ACQUISITION_EXPENSE","FQ3 2014","FQ3 2014","Currency=USD","Period=FQ","BEST_FPERIOD_OVERRIDE=FQ","FILING_STATUS=OR","SCALING_FORMAT=MLN","Sort=A","Dates=H","DateFormat=P","Fill=—","Direction=H","UseDPDF=Y")</f>
        <v>—</v>
      </c>
      <c r="AB26" s="13" t="str">
        <f>_xll.BDH("XOM US Equity","IS_MERGER_ACQUISITION_EXPENSE","FQ4 2014","FQ4 2014","Currency=USD","Period=FQ","BEST_FPERIOD_OVERRIDE=FQ","FILING_STATUS=OR","SCALING_FORMAT=MLN","Sort=A","Dates=H","DateFormat=P","Fill=—","Direction=H","UseDPDF=Y")</f>
        <v>—</v>
      </c>
      <c r="AC26" s="13" t="str">
        <f>_xll.BDH("XOM US Equity","IS_MERGER_ACQUISITION_EXPENSE","FQ1 2015","FQ1 2015","Currency=USD","Period=FQ","BEST_FPERIOD_OVERRIDE=FQ","FILING_STATUS=OR","SCALING_FORMAT=MLN","Sort=A","Dates=H","DateFormat=P","Fill=—","Direction=H","UseDPDF=Y")</f>
        <v>—</v>
      </c>
      <c r="AD26" s="13" t="str">
        <f>_xll.BDH("XOM US Equity","IS_MERGER_ACQUISITION_EXPENSE","FQ2 2015","FQ2 2015","Currency=USD","Period=FQ","BEST_FPERIOD_OVERRIDE=FQ","FILING_STATUS=OR","SCALING_FORMAT=MLN","Sort=A","Dates=H","DateFormat=P","Fill=—","Direction=H","UseDPDF=Y")</f>
        <v>—</v>
      </c>
      <c r="AE26" s="13" t="str">
        <f>_xll.BDH("XOM US Equity","IS_MERGER_ACQUISITION_EXPENSE","FQ3 2015","FQ3 2015","Currency=USD","Period=FQ","BEST_FPERIOD_OVERRIDE=FQ","FILING_STATUS=OR","SCALING_FORMAT=MLN","Sort=A","Dates=H","DateFormat=P","Fill=—","Direction=H","UseDPDF=Y")</f>
        <v>—</v>
      </c>
      <c r="AF26" s="13" t="str">
        <f>_xll.BDH("XOM US Equity","IS_MERGER_ACQUISITION_EXPENSE","FQ4 2015","FQ4 2015","Currency=USD","Period=FQ","BEST_FPERIOD_OVERRIDE=FQ","FILING_STATUS=OR","SCALING_FORMAT=MLN","Sort=A","Dates=H","DateFormat=P","Fill=—","Direction=H","UseDPDF=Y")</f>
        <v>—</v>
      </c>
      <c r="AG26" s="13" t="str">
        <f>_xll.BDH("XOM US Equity","IS_MERGER_ACQUISITION_EXPENSE","FQ1 2016","FQ1 2016","Currency=USD","Period=FQ","BEST_FPERIOD_OVERRIDE=FQ","FILING_STATUS=OR","SCALING_FORMAT=MLN","Sort=A","Dates=H","DateFormat=P","Fill=—","Direction=H","UseDPDF=Y")</f>
        <v>—</v>
      </c>
      <c r="AH26" s="13" t="str">
        <f>_xll.BDH("XOM US Equity","IS_MERGER_ACQUISITION_EXPENSE","FQ2 2016","FQ2 2016","Currency=USD","Period=FQ","BEST_FPERIOD_OVERRIDE=FQ","FILING_STATUS=OR","SCALING_FORMAT=MLN","Sort=A","Dates=H","DateFormat=P","Fill=—","Direction=H","UseDPDF=Y")</f>
        <v>—</v>
      </c>
      <c r="AI26" s="13" t="str">
        <f>_xll.BDH("XOM US Equity","IS_MERGER_ACQUISITION_EXPENSE","FQ3 2016","FQ3 2016","Currency=USD","Period=FQ","BEST_FPERIOD_OVERRIDE=FQ","FILING_STATUS=OR","SCALING_FORMAT=MLN","Sort=A","Dates=H","DateFormat=P","Fill=—","Direction=H","UseDPDF=Y")</f>
        <v>—</v>
      </c>
      <c r="AJ26" s="13" t="str">
        <f>_xll.BDH("XOM US Equity","IS_MERGER_ACQUISITION_EXPENSE","FQ4 2016","FQ4 2016","Currency=USD","Period=FQ","BEST_FPERIOD_OVERRIDE=FQ","FILING_STATUS=OR","SCALING_FORMAT=MLN","Sort=A","Dates=H","DateFormat=P","Fill=—","Direction=H","UseDPDF=Y")</f>
        <v>—</v>
      </c>
      <c r="AK26" s="13" t="str">
        <f>_xll.BDH("XOM US Equity","IS_MERGER_ACQUISITION_EXPENSE","FQ1 2017","FQ1 2017","Currency=USD","Period=FQ","BEST_FPERIOD_OVERRIDE=FQ","FILING_STATUS=OR","SCALING_FORMAT=MLN","Sort=A","Dates=H","DateFormat=P","Fill=—","Direction=H","UseDPDF=Y")</f>
        <v>—</v>
      </c>
      <c r="AL26" s="13" t="str">
        <f>_xll.BDH("XOM US Equity","IS_MERGER_ACQUISITION_EXPENSE","FQ2 2017","FQ2 2017","Currency=USD","Period=FQ","BEST_FPERIOD_OVERRIDE=FQ","FILING_STATUS=OR","SCALING_FORMAT=MLN","Sort=A","Dates=H","DateFormat=P","Fill=—","Direction=H","UseDPDF=Y")</f>
        <v>—</v>
      </c>
      <c r="AM26" s="13" t="str">
        <f>_xll.BDH("XOM US Equity","IS_MERGER_ACQUISITION_EXPENSE","FQ3 2017","FQ3 2017","Currency=USD","Period=FQ","BEST_FPERIOD_OVERRIDE=FQ","FILING_STATUS=OR","SCALING_FORMAT=MLN","Sort=A","Dates=H","DateFormat=P","Fill=—","Direction=H","UseDPDF=Y")</f>
        <v>—</v>
      </c>
      <c r="AN26" s="13" t="str">
        <f>_xll.BDH("XOM US Equity","IS_MERGER_ACQUISITION_EXPENSE","FQ4 2017","FQ4 2017","Currency=USD","Period=FQ","BEST_FPERIOD_OVERRIDE=FQ","FILING_STATUS=OR","SCALING_FORMAT=MLN","Sort=A","Dates=H","DateFormat=P","Fill=—","Direction=H","UseDPDF=Y")</f>
        <v>—</v>
      </c>
      <c r="AO26" s="13" t="str">
        <f>_xll.BDH("XOM US Equity","IS_MERGER_ACQUISITION_EXPENSE","FQ1 2018","FQ1 2018","Currency=USD","Period=FQ","BEST_FPERIOD_OVERRIDE=FQ","FILING_STATUS=OR","SCALING_FORMAT=MLN","Sort=A","Dates=H","DateFormat=P","Fill=—","Direction=H","UseDPDF=Y")</f>
        <v>—</v>
      </c>
      <c r="AP26" s="13" t="str">
        <f>_xll.BDH("XOM US Equity","IS_MERGER_ACQUISITION_EXPENSE","FQ2 2018","FQ2 2018","Currency=USD","Period=FQ","BEST_FPERIOD_OVERRIDE=FQ","FILING_STATUS=OR","SCALING_FORMAT=MLN","Sort=A","Dates=H","DateFormat=P","Fill=—","Direction=H","UseDPDF=Y")</f>
        <v>—</v>
      </c>
    </row>
    <row r="27" spans="1:42" x14ac:dyDescent="0.25">
      <c r="A27" s="10" t="s">
        <v>128</v>
      </c>
      <c r="B27" s="10" t="s">
        <v>129</v>
      </c>
      <c r="C27" s="13" t="str">
        <f>_xll.BDH("XOM US Equity","IS_GAIN_LOSS_DISPOSAL_ASSETS","FQ3 2008","FQ3 2008","Currency=USD","Period=FQ","BEST_FPERIOD_OVERRIDE=FQ","FILING_STATUS=OR","SCALING_FORMAT=MLN","Sort=A","Dates=H","DateFormat=P","Fill=—","Direction=H","UseDPDF=Y")</f>
        <v>—</v>
      </c>
      <c r="D27" s="13" t="str">
        <f>_xll.BDH("XOM US Equity","IS_GAIN_LOSS_DISPOSAL_ASSETS","FQ4 2008","FQ4 2008","Currency=USD","Period=FQ","BEST_FPERIOD_OVERRIDE=FQ","FILING_STATUS=OR","SCALING_FORMAT=MLN","Sort=A","Dates=H","DateFormat=P","Fill=—","Direction=H","UseDPDF=Y")</f>
        <v>—</v>
      </c>
      <c r="E27" s="13" t="str">
        <f>_xll.BDH("XOM US Equity","IS_GAIN_LOSS_DISPOSAL_ASSETS","FQ1 2009","FQ1 2009","Currency=USD","Period=FQ","BEST_FPERIOD_OVERRIDE=FQ","FILING_STATUS=OR","SCALING_FORMAT=MLN","Sort=A","Dates=H","DateFormat=P","Fill=—","Direction=H","UseDPDF=Y")</f>
        <v>—</v>
      </c>
      <c r="F27" s="13" t="str">
        <f>_xll.BDH("XOM US Equity","IS_GAIN_LOSS_DISPOSAL_ASSETS","FQ2 2009","FQ2 2009","Currency=USD","Period=FQ","BEST_FPERIOD_OVERRIDE=FQ","FILING_STATUS=OR","SCALING_FORMAT=MLN","Sort=A","Dates=H","DateFormat=P","Fill=—","Direction=H","UseDPDF=Y")</f>
        <v>—</v>
      </c>
      <c r="G27" s="13" t="str">
        <f>_xll.BDH("XOM US Equity","IS_GAIN_LOSS_DISPOSAL_ASSETS","FQ3 2009","FQ3 2009","Currency=USD","Period=FQ","BEST_FPERIOD_OVERRIDE=FQ","FILING_STATUS=OR","SCALING_FORMAT=MLN","Sort=A","Dates=H","DateFormat=P","Fill=—","Direction=H","UseDPDF=Y")</f>
        <v>—</v>
      </c>
      <c r="H27" s="13" t="str">
        <f>_xll.BDH("XOM US Equity","IS_GAIN_LOSS_DISPOSAL_ASSETS","FQ4 2009","FQ4 2009","Currency=USD","Period=FQ","BEST_FPERIOD_OVERRIDE=FQ","FILING_STATUS=OR","SCALING_FORMAT=MLN","Sort=A","Dates=H","DateFormat=P","Fill=—","Direction=H","UseDPDF=Y")</f>
        <v>—</v>
      </c>
      <c r="I27" s="13" t="str">
        <f>_xll.BDH("XOM US Equity","IS_GAIN_LOSS_DISPOSAL_ASSETS","FQ1 2010","FQ1 2010","Currency=USD","Period=FQ","BEST_FPERIOD_OVERRIDE=FQ","FILING_STATUS=OR","SCALING_FORMAT=MLN","Sort=A","Dates=H","DateFormat=P","Fill=—","Direction=H","UseDPDF=Y")</f>
        <v>—</v>
      </c>
      <c r="J27" s="13" t="str">
        <f>_xll.BDH("XOM US Equity","IS_GAIN_LOSS_DISPOSAL_ASSETS","FQ2 2010","FQ2 2010","Currency=USD","Period=FQ","BEST_FPERIOD_OVERRIDE=FQ","FILING_STATUS=OR","SCALING_FORMAT=MLN","Sort=A","Dates=H","DateFormat=P","Fill=—","Direction=H","UseDPDF=Y")</f>
        <v>—</v>
      </c>
      <c r="K27" s="13" t="str">
        <f>_xll.BDH("XOM US Equity","IS_GAIN_LOSS_DISPOSAL_ASSETS","FQ3 2010","FQ3 2010","Currency=USD","Period=FQ","BEST_FPERIOD_OVERRIDE=FQ","FILING_STATUS=OR","SCALING_FORMAT=MLN","Sort=A","Dates=H","DateFormat=P","Fill=—","Direction=H","UseDPDF=Y")</f>
        <v>—</v>
      </c>
      <c r="L27" s="13" t="str">
        <f>_xll.BDH("XOM US Equity","IS_GAIN_LOSS_DISPOSAL_ASSETS","FQ4 2010","FQ4 2010","Currency=USD","Period=FQ","BEST_FPERIOD_OVERRIDE=FQ","FILING_STATUS=OR","SCALING_FORMAT=MLN","Sort=A","Dates=H","DateFormat=P","Fill=—","Direction=H","UseDPDF=Y")</f>
        <v>—</v>
      </c>
      <c r="M27" s="13" t="str">
        <f>_xll.BDH("XOM US Equity","IS_GAIN_LOSS_DISPOSAL_ASSETS","FQ1 2011","FQ1 2011","Currency=USD","Period=FQ","BEST_FPERIOD_OVERRIDE=FQ","FILING_STATUS=OR","SCALING_FORMAT=MLN","Sort=A","Dates=H","DateFormat=P","Fill=—","Direction=H","UseDPDF=Y")</f>
        <v>—</v>
      </c>
      <c r="N27" s="13" t="str">
        <f>_xll.BDH("XOM US Equity","IS_GAIN_LOSS_DISPOSAL_ASSETS","FQ2 2011","FQ2 2011","Currency=USD","Period=FQ","BEST_FPERIOD_OVERRIDE=FQ","FILING_STATUS=OR","SCALING_FORMAT=MLN","Sort=A","Dates=H","DateFormat=P","Fill=—","Direction=H","UseDPDF=Y")</f>
        <v>—</v>
      </c>
      <c r="O27" s="13" t="str">
        <f>_xll.BDH("XOM US Equity","IS_GAIN_LOSS_DISPOSAL_ASSETS","FQ3 2011","FQ3 2011","Currency=USD","Period=FQ","BEST_FPERIOD_OVERRIDE=FQ","FILING_STATUS=OR","SCALING_FORMAT=MLN","Sort=A","Dates=H","DateFormat=P","Fill=—","Direction=H","UseDPDF=Y")</f>
        <v>—</v>
      </c>
      <c r="P27" s="13" t="str">
        <f>_xll.BDH("XOM US Equity","IS_GAIN_LOSS_DISPOSAL_ASSETS","FQ4 2011","FQ4 2011","Currency=USD","Period=FQ","BEST_FPERIOD_OVERRIDE=FQ","FILING_STATUS=OR","SCALING_FORMAT=MLN","Sort=A","Dates=H","DateFormat=P","Fill=—","Direction=H","UseDPDF=Y")</f>
        <v>—</v>
      </c>
      <c r="Q27" s="13" t="str">
        <f>_xll.BDH("XOM US Equity","IS_GAIN_LOSS_DISPOSAL_ASSETS","FQ1 2012","FQ1 2012","Currency=USD","Period=FQ","BEST_FPERIOD_OVERRIDE=FQ","FILING_STATUS=OR","SCALING_FORMAT=MLN","Sort=A","Dates=H","DateFormat=P","Fill=—","Direction=H","UseDPDF=Y")</f>
        <v>—</v>
      </c>
      <c r="R27" s="13" t="str">
        <f>_xll.BDH("XOM US Equity","IS_GAIN_LOSS_DISPOSAL_ASSETS","FQ2 2012","FQ2 2012","Currency=USD","Period=FQ","BEST_FPERIOD_OVERRIDE=FQ","FILING_STATUS=OR","SCALING_FORMAT=MLN","Sort=A","Dates=H","DateFormat=P","Fill=—","Direction=H","UseDPDF=Y")</f>
        <v>—</v>
      </c>
      <c r="S27" s="13" t="str">
        <f>_xll.BDH("XOM US Equity","IS_GAIN_LOSS_DISPOSAL_ASSETS","FQ3 2012","FQ3 2012","Currency=USD","Period=FQ","BEST_FPERIOD_OVERRIDE=FQ","FILING_STATUS=OR","SCALING_FORMAT=MLN","Sort=A","Dates=H","DateFormat=P","Fill=—","Direction=H","UseDPDF=Y")</f>
        <v>—</v>
      </c>
      <c r="T27" s="13">
        <f>_xll.BDH("XOM US Equity","IS_GAIN_LOSS_DISPOSAL_ASSETS","FQ4 2012","FQ4 2012","Currency=USD","Period=FQ","BEST_FPERIOD_OVERRIDE=FQ","FILING_STATUS=OR","SCALING_FORMAT=MLN","Sort=A","Dates=H","DateFormat=P","Fill=—","Direction=H","UseDPDF=Y")</f>
        <v>-923.07690000000002</v>
      </c>
      <c r="U27" s="13" t="str">
        <f>_xll.BDH("XOM US Equity","IS_GAIN_LOSS_DISPOSAL_ASSETS","FQ1 2013","FQ1 2013","Currency=USD","Period=FQ","BEST_FPERIOD_OVERRIDE=FQ","FILING_STATUS=OR","SCALING_FORMAT=MLN","Sort=A","Dates=H","DateFormat=P","Fill=—","Direction=H","UseDPDF=Y")</f>
        <v>—</v>
      </c>
      <c r="V27" s="13" t="str">
        <f>_xll.BDH("XOM US Equity","IS_GAIN_LOSS_DISPOSAL_ASSETS","FQ2 2013","FQ2 2013","Currency=USD","Period=FQ","BEST_FPERIOD_OVERRIDE=FQ","FILING_STATUS=OR","SCALING_FORMAT=MLN","Sort=A","Dates=H","DateFormat=P","Fill=—","Direction=H","UseDPDF=Y")</f>
        <v>—</v>
      </c>
      <c r="W27" s="13" t="str">
        <f>_xll.BDH("XOM US Equity","IS_GAIN_LOSS_DISPOSAL_ASSETS","FQ3 2013","FQ3 2013","Currency=USD","Period=FQ","BEST_FPERIOD_OVERRIDE=FQ","FILING_STATUS=OR","SCALING_FORMAT=MLN","Sort=A","Dates=H","DateFormat=P","Fill=—","Direction=H","UseDPDF=Y")</f>
        <v>—</v>
      </c>
      <c r="X27" s="13" t="str">
        <f>_xll.BDH("XOM US Equity","IS_GAIN_LOSS_DISPOSAL_ASSETS","FQ4 2013","FQ4 2013","Currency=USD","Period=FQ","BEST_FPERIOD_OVERRIDE=FQ","FILING_STATUS=OR","SCALING_FORMAT=MLN","Sort=A","Dates=H","DateFormat=P","Fill=—","Direction=H","UseDPDF=Y")</f>
        <v>—</v>
      </c>
      <c r="Y27" s="13" t="str">
        <f>_xll.BDH("XOM US Equity","IS_GAIN_LOSS_DISPOSAL_ASSETS","FQ1 2014","FQ1 2014","Currency=USD","Period=FQ","BEST_FPERIOD_OVERRIDE=FQ","FILING_STATUS=OR","SCALING_FORMAT=MLN","Sort=A","Dates=H","DateFormat=P","Fill=—","Direction=H","UseDPDF=Y")</f>
        <v>—</v>
      </c>
      <c r="Z27" s="13" t="str">
        <f>_xll.BDH("XOM US Equity","IS_GAIN_LOSS_DISPOSAL_ASSETS","FQ2 2014","FQ2 2014","Currency=USD","Period=FQ","BEST_FPERIOD_OVERRIDE=FQ","FILING_STATUS=OR","SCALING_FORMAT=MLN","Sort=A","Dates=H","DateFormat=P","Fill=—","Direction=H","UseDPDF=Y")</f>
        <v>—</v>
      </c>
      <c r="AA27" s="13" t="str">
        <f>_xll.BDH("XOM US Equity","IS_GAIN_LOSS_DISPOSAL_ASSETS","FQ3 2014","FQ3 2014","Currency=USD","Period=FQ","BEST_FPERIOD_OVERRIDE=FQ","FILING_STATUS=OR","SCALING_FORMAT=MLN","Sort=A","Dates=H","DateFormat=P","Fill=—","Direction=H","UseDPDF=Y")</f>
        <v>—</v>
      </c>
      <c r="AB27" s="13" t="str">
        <f>_xll.BDH("XOM US Equity","IS_GAIN_LOSS_DISPOSAL_ASSETS","FQ4 2014","FQ4 2014","Currency=USD","Period=FQ","BEST_FPERIOD_OVERRIDE=FQ","FILING_STATUS=OR","SCALING_FORMAT=MLN","Sort=A","Dates=H","DateFormat=P","Fill=—","Direction=H","UseDPDF=Y")</f>
        <v>—</v>
      </c>
      <c r="AC27" s="13" t="str">
        <f>_xll.BDH("XOM US Equity","IS_GAIN_LOSS_DISPOSAL_ASSETS","FQ1 2015","FQ1 2015","Currency=USD","Period=FQ","BEST_FPERIOD_OVERRIDE=FQ","FILING_STATUS=OR","SCALING_FORMAT=MLN","Sort=A","Dates=H","DateFormat=P","Fill=—","Direction=H","UseDPDF=Y")</f>
        <v>—</v>
      </c>
      <c r="AD27" s="13" t="str">
        <f>_xll.BDH("XOM US Equity","IS_GAIN_LOSS_DISPOSAL_ASSETS","FQ2 2015","FQ2 2015","Currency=USD","Period=FQ","BEST_FPERIOD_OVERRIDE=FQ","FILING_STATUS=OR","SCALING_FORMAT=MLN","Sort=A","Dates=H","DateFormat=P","Fill=—","Direction=H","UseDPDF=Y")</f>
        <v>—</v>
      </c>
      <c r="AE27" s="13" t="str">
        <f>_xll.BDH("XOM US Equity","IS_GAIN_LOSS_DISPOSAL_ASSETS","FQ3 2015","FQ3 2015","Currency=USD","Period=FQ","BEST_FPERIOD_OVERRIDE=FQ","FILING_STATUS=OR","SCALING_FORMAT=MLN","Sort=A","Dates=H","DateFormat=P","Fill=—","Direction=H","UseDPDF=Y")</f>
        <v>—</v>
      </c>
      <c r="AF27" s="13" t="str">
        <f>_xll.BDH("XOM US Equity","IS_GAIN_LOSS_DISPOSAL_ASSETS","FQ4 2015","FQ4 2015","Currency=USD","Period=FQ","BEST_FPERIOD_OVERRIDE=FQ","FILING_STATUS=OR","SCALING_FORMAT=MLN","Sort=A","Dates=H","DateFormat=P","Fill=—","Direction=H","UseDPDF=Y")</f>
        <v>—</v>
      </c>
      <c r="AG27" s="13" t="str">
        <f>_xll.BDH("XOM US Equity","IS_GAIN_LOSS_DISPOSAL_ASSETS","FQ1 2016","FQ1 2016","Currency=USD","Period=FQ","BEST_FPERIOD_OVERRIDE=FQ","FILING_STATUS=OR","SCALING_FORMAT=MLN","Sort=A","Dates=H","DateFormat=P","Fill=—","Direction=H","UseDPDF=Y")</f>
        <v>—</v>
      </c>
      <c r="AH27" s="13" t="str">
        <f>_xll.BDH("XOM US Equity","IS_GAIN_LOSS_DISPOSAL_ASSETS","FQ2 2016","FQ2 2016","Currency=USD","Period=FQ","BEST_FPERIOD_OVERRIDE=FQ","FILING_STATUS=OR","SCALING_FORMAT=MLN","Sort=A","Dates=H","DateFormat=P","Fill=—","Direction=H","UseDPDF=Y")</f>
        <v>—</v>
      </c>
      <c r="AI27" s="13" t="str">
        <f>_xll.BDH("XOM US Equity","IS_GAIN_LOSS_DISPOSAL_ASSETS","FQ3 2016","FQ3 2016","Currency=USD","Period=FQ","BEST_FPERIOD_OVERRIDE=FQ","FILING_STATUS=OR","SCALING_FORMAT=MLN","Sort=A","Dates=H","DateFormat=P","Fill=—","Direction=H","UseDPDF=Y")</f>
        <v>—</v>
      </c>
      <c r="AJ27" s="13" t="str">
        <f>_xll.BDH("XOM US Equity","IS_GAIN_LOSS_DISPOSAL_ASSETS","FQ4 2016","FQ4 2016","Currency=USD","Period=FQ","BEST_FPERIOD_OVERRIDE=FQ","FILING_STATUS=OR","SCALING_FORMAT=MLN","Sort=A","Dates=H","DateFormat=P","Fill=—","Direction=H","UseDPDF=Y")</f>
        <v>—</v>
      </c>
      <c r="AK27" s="13" t="str">
        <f>_xll.BDH("XOM US Equity","IS_GAIN_LOSS_DISPOSAL_ASSETS","FQ1 2017","FQ1 2017","Currency=USD","Period=FQ","BEST_FPERIOD_OVERRIDE=FQ","FILING_STATUS=OR","SCALING_FORMAT=MLN","Sort=A","Dates=H","DateFormat=P","Fill=—","Direction=H","UseDPDF=Y")</f>
        <v>—</v>
      </c>
      <c r="AL27" s="13" t="str">
        <f>_xll.BDH("XOM US Equity","IS_GAIN_LOSS_DISPOSAL_ASSETS","FQ2 2017","FQ2 2017","Currency=USD","Period=FQ","BEST_FPERIOD_OVERRIDE=FQ","FILING_STATUS=OR","SCALING_FORMAT=MLN","Sort=A","Dates=H","DateFormat=P","Fill=—","Direction=H","UseDPDF=Y")</f>
        <v>—</v>
      </c>
      <c r="AM27" s="13" t="str">
        <f>_xll.BDH("XOM US Equity","IS_GAIN_LOSS_DISPOSAL_ASSETS","FQ3 2017","FQ3 2017","Currency=USD","Period=FQ","BEST_FPERIOD_OVERRIDE=FQ","FILING_STATUS=OR","SCALING_FORMAT=MLN","Sort=A","Dates=H","DateFormat=P","Fill=—","Direction=H","UseDPDF=Y")</f>
        <v>—</v>
      </c>
      <c r="AN27" s="13" t="str">
        <f>_xll.BDH("XOM US Equity","IS_GAIN_LOSS_DISPOSAL_ASSETS","FQ4 2017","FQ4 2017","Currency=USD","Period=FQ","BEST_FPERIOD_OVERRIDE=FQ","FILING_STATUS=OR","SCALING_FORMAT=MLN","Sort=A","Dates=H","DateFormat=P","Fill=—","Direction=H","UseDPDF=Y")</f>
        <v>—</v>
      </c>
      <c r="AO27" s="13" t="str">
        <f>_xll.BDH("XOM US Equity","IS_GAIN_LOSS_DISPOSAL_ASSETS","FQ1 2018","FQ1 2018","Currency=USD","Period=FQ","BEST_FPERIOD_OVERRIDE=FQ","FILING_STATUS=OR","SCALING_FORMAT=MLN","Sort=A","Dates=H","DateFormat=P","Fill=—","Direction=H","UseDPDF=Y")</f>
        <v>—</v>
      </c>
      <c r="AP27" s="13" t="str">
        <f>_xll.BDH("XOM US Equity","IS_GAIN_LOSS_DISPOSAL_ASSETS","FQ2 2018","FQ2 2018","Currency=USD","Period=FQ","BEST_FPERIOD_OVERRIDE=FQ","FILING_STATUS=OR","SCALING_FORMAT=MLN","Sort=A","Dates=H","DateFormat=P","Fill=—","Direction=H","UseDPDF=Y")</f>
        <v>—</v>
      </c>
    </row>
    <row r="28" spans="1:42" x14ac:dyDescent="0.25">
      <c r="A28" s="10" t="s">
        <v>130</v>
      </c>
      <c r="B28" s="10" t="s">
        <v>131</v>
      </c>
      <c r="C28" s="13" t="str">
        <f>_xll.BDH("XOM US Equity","IS_IMPAIRMENT_ASSETS","FQ3 2008","FQ3 2008","Currency=USD","Period=FQ","BEST_FPERIOD_OVERRIDE=FQ","FILING_STATUS=OR","SCALING_FORMAT=MLN","Sort=A","Dates=H","DateFormat=P","Fill=—","Direction=H","UseDPDF=Y")</f>
        <v>—</v>
      </c>
      <c r="D28" s="13" t="str">
        <f>_xll.BDH("XOM US Equity","IS_IMPAIRMENT_ASSETS","FQ4 2008","FQ4 2008","Currency=USD","Period=FQ","BEST_FPERIOD_OVERRIDE=FQ","FILING_STATUS=OR","SCALING_FORMAT=MLN","Sort=A","Dates=H","DateFormat=P","Fill=—","Direction=H","UseDPDF=Y")</f>
        <v>—</v>
      </c>
      <c r="E28" s="13" t="str">
        <f>_xll.BDH("XOM US Equity","IS_IMPAIRMENT_ASSETS","FQ1 2009","FQ1 2009","Currency=USD","Period=FQ","BEST_FPERIOD_OVERRIDE=FQ","FILING_STATUS=OR","SCALING_FORMAT=MLN","Sort=A","Dates=H","DateFormat=P","Fill=—","Direction=H","UseDPDF=Y")</f>
        <v>—</v>
      </c>
      <c r="F28" s="13" t="str">
        <f>_xll.BDH("XOM US Equity","IS_IMPAIRMENT_ASSETS","FQ2 2009","FQ2 2009","Currency=USD","Period=FQ","BEST_FPERIOD_OVERRIDE=FQ","FILING_STATUS=OR","SCALING_FORMAT=MLN","Sort=A","Dates=H","DateFormat=P","Fill=—","Direction=H","UseDPDF=Y")</f>
        <v>—</v>
      </c>
      <c r="G28" s="13" t="str">
        <f>_xll.BDH("XOM US Equity","IS_IMPAIRMENT_ASSETS","FQ3 2009","FQ3 2009","Currency=USD","Period=FQ","BEST_FPERIOD_OVERRIDE=FQ","FILING_STATUS=OR","SCALING_FORMAT=MLN","Sort=A","Dates=H","DateFormat=P","Fill=—","Direction=H","UseDPDF=Y")</f>
        <v>—</v>
      </c>
      <c r="H28" s="13" t="str">
        <f>_xll.BDH("XOM US Equity","IS_IMPAIRMENT_ASSETS","FQ4 2009","FQ4 2009","Currency=USD","Period=FQ","BEST_FPERIOD_OVERRIDE=FQ","FILING_STATUS=OR","SCALING_FORMAT=MLN","Sort=A","Dates=H","DateFormat=P","Fill=—","Direction=H","UseDPDF=Y")</f>
        <v>—</v>
      </c>
      <c r="I28" s="13" t="str">
        <f>_xll.BDH("XOM US Equity","IS_IMPAIRMENT_ASSETS","FQ1 2010","FQ1 2010","Currency=USD","Period=FQ","BEST_FPERIOD_OVERRIDE=FQ","FILING_STATUS=OR","SCALING_FORMAT=MLN","Sort=A","Dates=H","DateFormat=P","Fill=—","Direction=H","UseDPDF=Y")</f>
        <v>—</v>
      </c>
      <c r="J28" s="13" t="str">
        <f>_xll.BDH("XOM US Equity","IS_IMPAIRMENT_ASSETS","FQ2 2010","FQ2 2010","Currency=USD","Period=FQ","BEST_FPERIOD_OVERRIDE=FQ","FILING_STATUS=OR","SCALING_FORMAT=MLN","Sort=A","Dates=H","DateFormat=P","Fill=—","Direction=H","UseDPDF=Y")</f>
        <v>—</v>
      </c>
      <c r="K28" s="13" t="str">
        <f>_xll.BDH("XOM US Equity","IS_IMPAIRMENT_ASSETS","FQ3 2010","FQ3 2010","Currency=USD","Period=FQ","BEST_FPERIOD_OVERRIDE=FQ","FILING_STATUS=OR","SCALING_FORMAT=MLN","Sort=A","Dates=H","DateFormat=P","Fill=—","Direction=H","UseDPDF=Y")</f>
        <v>—</v>
      </c>
      <c r="L28" s="13" t="str">
        <f>_xll.BDH("XOM US Equity","IS_IMPAIRMENT_ASSETS","FQ4 2010","FQ4 2010","Currency=USD","Period=FQ","BEST_FPERIOD_OVERRIDE=FQ","FILING_STATUS=OR","SCALING_FORMAT=MLN","Sort=A","Dates=H","DateFormat=P","Fill=—","Direction=H","UseDPDF=Y")</f>
        <v>—</v>
      </c>
      <c r="M28" s="13" t="str">
        <f>_xll.BDH("XOM US Equity","IS_IMPAIRMENT_ASSETS","FQ1 2011","FQ1 2011","Currency=USD","Period=FQ","BEST_FPERIOD_OVERRIDE=FQ","FILING_STATUS=OR","SCALING_FORMAT=MLN","Sort=A","Dates=H","DateFormat=P","Fill=—","Direction=H","UseDPDF=Y")</f>
        <v>—</v>
      </c>
      <c r="N28" s="13" t="str">
        <f>_xll.BDH("XOM US Equity","IS_IMPAIRMENT_ASSETS","FQ2 2011","FQ2 2011","Currency=USD","Period=FQ","BEST_FPERIOD_OVERRIDE=FQ","FILING_STATUS=OR","SCALING_FORMAT=MLN","Sort=A","Dates=H","DateFormat=P","Fill=—","Direction=H","UseDPDF=Y")</f>
        <v>—</v>
      </c>
      <c r="O28" s="13" t="str">
        <f>_xll.BDH("XOM US Equity","IS_IMPAIRMENT_ASSETS","FQ3 2011","FQ3 2011","Currency=USD","Period=FQ","BEST_FPERIOD_OVERRIDE=FQ","FILING_STATUS=OR","SCALING_FORMAT=MLN","Sort=A","Dates=H","DateFormat=P","Fill=—","Direction=H","UseDPDF=Y")</f>
        <v>—</v>
      </c>
      <c r="P28" s="13" t="str">
        <f>_xll.BDH("XOM US Equity","IS_IMPAIRMENT_ASSETS","FQ4 2011","FQ4 2011","Currency=USD","Period=FQ","BEST_FPERIOD_OVERRIDE=FQ","FILING_STATUS=OR","SCALING_FORMAT=MLN","Sort=A","Dates=H","DateFormat=P","Fill=—","Direction=H","UseDPDF=Y")</f>
        <v>—</v>
      </c>
      <c r="Q28" s="13" t="str">
        <f>_xll.BDH("XOM US Equity","IS_IMPAIRMENT_ASSETS","FQ1 2012","FQ1 2012","Currency=USD","Period=FQ","BEST_FPERIOD_OVERRIDE=FQ","FILING_STATUS=OR","SCALING_FORMAT=MLN","Sort=A","Dates=H","DateFormat=P","Fill=—","Direction=H","UseDPDF=Y")</f>
        <v>—</v>
      </c>
      <c r="R28" s="13" t="str">
        <f>_xll.BDH("XOM US Equity","IS_IMPAIRMENT_ASSETS","FQ2 2012","FQ2 2012","Currency=USD","Period=FQ","BEST_FPERIOD_OVERRIDE=FQ","FILING_STATUS=OR","SCALING_FORMAT=MLN","Sort=A","Dates=H","DateFormat=P","Fill=—","Direction=H","UseDPDF=Y")</f>
        <v>—</v>
      </c>
      <c r="S28" s="13" t="str">
        <f>_xll.BDH("XOM US Equity","IS_IMPAIRMENT_ASSETS","FQ3 2012","FQ3 2012","Currency=USD","Period=FQ","BEST_FPERIOD_OVERRIDE=FQ","FILING_STATUS=OR","SCALING_FORMAT=MLN","Sort=A","Dates=H","DateFormat=P","Fill=—","Direction=H","UseDPDF=Y")</f>
        <v>—</v>
      </c>
      <c r="T28" s="13" t="str">
        <f>_xll.BDH("XOM US Equity","IS_IMPAIRMENT_ASSETS","FQ4 2012","FQ4 2012","Currency=USD","Period=FQ","BEST_FPERIOD_OVERRIDE=FQ","FILING_STATUS=OR","SCALING_FORMAT=MLN","Sort=A","Dates=H","DateFormat=P","Fill=—","Direction=H","UseDPDF=Y")</f>
        <v>—</v>
      </c>
      <c r="U28" s="13" t="str">
        <f>_xll.BDH("XOM US Equity","IS_IMPAIRMENT_ASSETS","FQ1 2013","FQ1 2013","Currency=USD","Period=FQ","BEST_FPERIOD_OVERRIDE=FQ","FILING_STATUS=OR","SCALING_FORMAT=MLN","Sort=A","Dates=H","DateFormat=P","Fill=—","Direction=H","UseDPDF=Y")</f>
        <v>—</v>
      </c>
      <c r="V28" s="13" t="str">
        <f>_xll.BDH("XOM US Equity","IS_IMPAIRMENT_ASSETS","FQ2 2013","FQ2 2013","Currency=USD","Period=FQ","BEST_FPERIOD_OVERRIDE=FQ","FILING_STATUS=OR","SCALING_FORMAT=MLN","Sort=A","Dates=H","DateFormat=P","Fill=—","Direction=H","UseDPDF=Y")</f>
        <v>—</v>
      </c>
      <c r="W28" s="13" t="str">
        <f>_xll.BDH("XOM US Equity","IS_IMPAIRMENT_ASSETS","FQ3 2013","FQ3 2013","Currency=USD","Period=FQ","BEST_FPERIOD_OVERRIDE=FQ","FILING_STATUS=OR","SCALING_FORMAT=MLN","Sort=A","Dates=H","DateFormat=P","Fill=—","Direction=H","UseDPDF=Y")</f>
        <v>—</v>
      </c>
      <c r="X28" s="13" t="str">
        <f>_xll.BDH("XOM US Equity","IS_IMPAIRMENT_ASSETS","FQ4 2013","FQ4 2013","Currency=USD","Period=FQ","BEST_FPERIOD_OVERRIDE=FQ","FILING_STATUS=OR","SCALING_FORMAT=MLN","Sort=A","Dates=H","DateFormat=P","Fill=—","Direction=H","UseDPDF=Y")</f>
        <v>—</v>
      </c>
      <c r="Y28" s="13" t="str">
        <f>_xll.BDH("XOM US Equity","IS_IMPAIRMENT_ASSETS","FQ1 2014","FQ1 2014","Currency=USD","Period=FQ","BEST_FPERIOD_OVERRIDE=FQ","FILING_STATUS=OR","SCALING_FORMAT=MLN","Sort=A","Dates=H","DateFormat=P","Fill=—","Direction=H","UseDPDF=Y")</f>
        <v>—</v>
      </c>
      <c r="Z28" s="13" t="str">
        <f>_xll.BDH("XOM US Equity","IS_IMPAIRMENT_ASSETS","FQ2 2014","FQ2 2014","Currency=USD","Period=FQ","BEST_FPERIOD_OVERRIDE=FQ","FILING_STATUS=OR","SCALING_FORMAT=MLN","Sort=A","Dates=H","DateFormat=P","Fill=—","Direction=H","UseDPDF=Y")</f>
        <v>—</v>
      </c>
      <c r="AA28" s="13" t="str">
        <f>_xll.BDH("XOM US Equity","IS_IMPAIRMENT_ASSETS","FQ3 2014","FQ3 2014","Currency=USD","Period=FQ","BEST_FPERIOD_OVERRIDE=FQ","FILING_STATUS=OR","SCALING_FORMAT=MLN","Sort=A","Dates=H","DateFormat=P","Fill=—","Direction=H","UseDPDF=Y")</f>
        <v>—</v>
      </c>
      <c r="AB28" s="13" t="str">
        <f>_xll.BDH("XOM US Equity","IS_IMPAIRMENT_ASSETS","FQ4 2014","FQ4 2014","Currency=USD","Period=FQ","BEST_FPERIOD_OVERRIDE=FQ","FILING_STATUS=OR","SCALING_FORMAT=MLN","Sort=A","Dates=H","DateFormat=P","Fill=—","Direction=H","UseDPDF=Y")</f>
        <v>—</v>
      </c>
      <c r="AC28" s="13" t="str">
        <f>_xll.BDH("XOM US Equity","IS_IMPAIRMENT_ASSETS","FQ1 2015","FQ1 2015","Currency=USD","Period=FQ","BEST_FPERIOD_OVERRIDE=FQ","FILING_STATUS=OR","SCALING_FORMAT=MLN","Sort=A","Dates=H","DateFormat=P","Fill=—","Direction=H","UseDPDF=Y")</f>
        <v>—</v>
      </c>
      <c r="AD28" s="13" t="str">
        <f>_xll.BDH("XOM US Equity","IS_IMPAIRMENT_ASSETS","FQ2 2015","FQ2 2015","Currency=USD","Period=FQ","BEST_FPERIOD_OVERRIDE=FQ","FILING_STATUS=OR","SCALING_FORMAT=MLN","Sort=A","Dates=H","DateFormat=P","Fill=—","Direction=H","UseDPDF=Y")</f>
        <v>—</v>
      </c>
      <c r="AE28" s="13" t="str">
        <f>_xll.BDH("XOM US Equity","IS_IMPAIRMENT_ASSETS","FQ3 2015","FQ3 2015","Currency=USD","Period=FQ","BEST_FPERIOD_OVERRIDE=FQ","FILING_STATUS=OR","SCALING_FORMAT=MLN","Sort=A","Dates=H","DateFormat=P","Fill=—","Direction=H","UseDPDF=Y")</f>
        <v>—</v>
      </c>
      <c r="AF28" s="13" t="str">
        <f>_xll.BDH("XOM US Equity","IS_IMPAIRMENT_ASSETS","FQ4 2015","FQ4 2015","Currency=USD","Period=FQ","BEST_FPERIOD_OVERRIDE=FQ","FILING_STATUS=OR","SCALING_FORMAT=MLN","Sort=A","Dates=H","DateFormat=P","Fill=—","Direction=H","UseDPDF=Y")</f>
        <v>—</v>
      </c>
      <c r="AG28" s="13" t="str">
        <f>_xll.BDH("XOM US Equity","IS_IMPAIRMENT_ASSETS","FQ1 2016","FQ1 2016","Currency=USD","Period=FQ","BEST_FPERIOD_OVERRIDE=FQ","FILING_STATUS=OR","SCALING_FORMAT=MLN","Sort=A","Dates=H","DateFormat=P","Fill=—","Direction=H","UseDPDF=Y")</f>
        <v>—</v>
      </c>
      <c r="AH28" s="13" t="str">
        <f>_xll.BDH("XOM US Equity","IS_IMPAIRMENT_ASSETS","FQ2 2016","FQ2 2016","Currency=USD","Period=FQ","BEST_FPERIOD_OVERRIDE=FQ","FILING_STATUS=OR","SCALING_FORMAT=MLN","Sort=A","Dates=H","DateFormat=P","Fill=—","Direction=H","UseDPDF=Y")</f>
        <v>—</v>
      </c>
      <c r="AI28" s="13" t="str">
        <f>_xll.BDH("XOM US Equity","IS_IMPAIRMENT_ASSETS","FQ3 2016","FQ3 2016","Currency=USD","Period=FQ","BEST_FPERIOD_OVERRIDE=FQ","FILING_STATUS=OR","SCALING_FORMAT=MLN","Sort=A","Dates=H","DateFormat=P","Fill=—","Direction=H","UseDPDF=Y")</f>
        <v>—</v>
      </c>
      <c r="AJ28" s="13">
        <f>_xll.BDH("XOM US Equity","IS_IMPAIRMENT_ASSETS","FQ4 2016","FQ4 2016","Currency=USD","Period=FQ","BEST_FPERIOD_OVERRIDE=FQ","FILING_STATUS=OR","SCALING_FORMAT=MLN","Sort=A","Dates=H","DateFormat=P","Fill=—","Direction=H","UseDPDF=Y")</f>
        <v>2027</v>
      </c>
      <c r="AK28" s="13" t="str">
        <f>_xll.BDH("XOM US Equity","IS_IMPAIRMENT_ASSETS","FQ1 2017","FQ1 2017","Currency=USD","Period=FQ","BEST_FPERIOD_OVERRIDE=FQ","FILING_STATUS=OR","SCALING_FORMAT=MLN","Sort=A","Dates=H","DateFormat=P","Fill=—","Direction=H","UseDPDF=Y")</f>
        <v>—</v>
      </c>
      <c r="AL28" s="13" t="str">
        <f>_xll.BDH("XOM US Equity","IS_IMPAIRMENT_ASSETS","FQ2 2017","FQ2 2017","Currency=USD","Period=FQ","BEST_FPERIOD_OVERRIDE=FQ","FILING_STATUS=OR","SCALING_FORMAT=MLN","Sort=A","Dates=H","DateFormat=P","Fill=—","Direction=H","UseDPDF=Y")</f>
        <v>—</v>
      </c>
      <c r="AM28" s="13" t="str">
        <f>_xll.BDH("XOM US Equity","IS_IMPAIRMENT_ASSETS","FQ3 2017","FQ3 2017","Currency=USD","Period=FQ","BEST_FPERIOD_OVERRIDE=FQ","FILING_STATUS=OR","SCALING_FORMAT=MLN","Sort=A","Dates=H","DateFormat=P","Fill=—","Direction=H","UseDPDF=Y")</f>
        <v>—</v>
      </c>
      <c r="AN28" s="13">
        <f>_xll.BDH("XOM US Equity","IS_IMPAIRMENT_ASSETS","FQ4 2017","FQ4 2017","Currency=USD","Period=FQ","BEST_FPERIOD_OVERRIDE=FQ","FILING_STATUS=OR","SCALING_FORMAT=MLN","Sort=A","Dates=H","DateFormat=P","Fill=—","Direction=H","UseDPDF=Y")</f>
        <v>1990.7692</v>
      </c>
      <c r="AO28" s="13" t="str">
        <f>_xll.BDH("XOM US Equity","IS_IMPAIRMENT_ASSETS","FQ1 2018","FQ1 2018","Currency=USD","Period=FQ","BEST_FPERIOD_OVERRIDE=FQ","FILING_STATUS=OR","SCALING_FORMAT=MLN","Sort=A","Dates=H","DateFormat=P","Fill=—","Direction=H","UseDPDF=Y")</f>
        <v>—</v>
      </c>
      <c r="AP28" s="13" t="str">
        <f>_xll.BDH("XOM US Equity","IS_IMPAIRMENT_ASSETS","FQ2 2018","FQ2 2018","Currency=USD","Period=FQ","BEST_FPERIOD_OVERRIDE=FQ","FILING_STATUS=OR","SCALING_FORMAT=MLN","Sort=A","Dates=H","DateFormat=P","Fill=—","Direction=H","UseDPDF=Y")</f>
        <v>—</v>
      </c>
    </row>
    <row r="29" spans="1:42" x14ac:dyDescent="0.25">
      <c r="A29" s="10" t="s">
        <v>132</v>
      </c>
      <c r="B29" s="10" t="s">
        <v>133</v>
      </c>
      <c r="C29" s="13" t="str">
        <f>_xll.BDH("XOM US Equity","IS_SALE_OF_BUSINESS","FQ3 2008","FQ3 2008","Currency=USD","Period=FQ","BEST_FPERIOD_OVERRIDE=FQ","FILING_STATUS=OR","SCALING_FORMAT=MLN","Sort=A","Dates=H","DateFormat=P","Fill=—","Direction=H","UseDPDF=Y")</f>
        <v>—</v>
      </c>
      <c r="D29" s="13" t="str">
        <f>_xll.BDH("XOM US Equity","IS_SALE_OF_BUSINESS","FQ4 2008","FQ4 2008","Currency=USD","Period=FQ","BEST_FPERIOD_OVERRIDE=FQ","FILING_STATUS=OR","SCALING_FORMAT=MLN","Sort=A","Dates=H","DateFormat=P","Fill=—","Direction=H","UseDPDF=Y")</f>
        <v>—</v>
      </c>
      <c r="E29" s="13" t="str">
        <f>_xll.BDH("XOM US Equity","IS_SALE_OF_BUSINESS","FQ1 2009","FQ1 2009","Currency=USD","Period=FQ","BEST_FPERIOD_OVERRIDE=FQ","FILING_STATUS=OR","SCALING_FORMAT=MLN","Sort=A","Dates=H","DateFormat=P","Fill=—","Direction=H","UseDPDF=Y")</f>
        <v>—</v>
      </c>
      <c r="F29" s="13" t="str">
        <f>_xll.BDH("XOM US Equity","IS_SALE_OF_BUSINESS","FQ2 2009","FQ2 2009","Currency=USD","Period=FQ","BEST_FPERIOD_OVERRIDE=FQ","FILING_STATUS=OR","SCALING_FORMAT=MLN","Sort=A","Dates=H","DateFormat=P","Fill=—","Direction=H","UseDPDF=Y")</f>
        <v>—</v>
      </c>
      <c r="G29" s="13" t="str">
        <f>_xll.BDH("XOM US Equity","IS_SALE_OF_BUSINESS","FQ3 2009","FQ3 2009","Currency=USD","Period=FQ","BEST_FPERIOD_OVERRIDE=FQ","FILING_STATUS=OR","SCALING_FORMAT=MLN","Sort=A","Dates=H","DateFormat=P","Fill=—","Direction=H","UseDPDF=Y")</f>
        <v>—</v>
      </c>
      <c r="H29" s="13" t="str">
        <f>_xll.BDH("XOM US Equity","IS_SALE_OF_BUSINESS","FQ4 2009","FQ4 2009","Currency=USD","Period=FQ","BEST_FPERIOD_OVERRIDE=FQ","FILING_STATUS=OR","SCALING_FORMAT=MLN","Sort=A","Dates=H","DateFormat=P","Fill=—","Direction=H","UseDPDF=Y")</f>
        <v>—</v>
      </c>
      <c r="I29" s="13" t="str">
        <f>_xll.BDH("XOM US Equity","IS_SALE_OF_BUSINESS","FQ1 2010","FQ1 2010","Currency=USD","Period=FQ","BEST_FPERIOD_OVERRIDE=FQ","FILING_STATUS=OR","SCALING_FORMAT=MLN","Sort=A","Dates=H","DateFormat=P","Fill=—","Direction=H","UseDPDF=Y")</f>
        <v>—</v>
      </c>
      <c r="J29" s="13" t="str">
        <f>_xll.BDH("XOM US Equity","IS_SALE_OF_BUSINESS","FQ2 2010","FQ2 2010","Currency=USD","Period=FQ","BEST_FPERIOD_OVERRIDE=FQ","FILING_STATUS=OR","SCALING_FORMAT=MLN","Sort=A","Dates=H","DateFormat=P","Fill=—","Direction=H","UseDPDF=Y")</f>
        <v>—</v>
      </c>
      <c r="K29" s="13" t="str">
        <f>_xll.BDH("XOM US Equity","IS_SALE_OF_BUSINESS","FQ3 2010","FQ3 2010","Currency=USD","Period=FQ","BEST_FPERIOD_OVERRIDE=FQ","FILING_STATUS=OR","SCALING_FORMAT=MLN","Sort=A","Dates=H","DateFormat=P","Fill=—","Direction=H","UseDPDF=Y")</f>
        <v>—</v>
      </c>
      <c r="L29" s="13" t="str">
        <f>_xll.BDH("XOM US Equity","IS_SALE_OF_BUSINESS","FQ4 2010","FQ4 2010","Currency=USD","Period=FQ","BEST_FPERIOD_OVERRIDE=FQ","FILING_STATUS=OR","SCALING_FORMAT=MLN","Sort=A","Dates=H","DateFormat=P","Fill=—","Direction=H","UseDPDF=Y")</f>
        <v>—</v>
      </c>
      <c r="M29" s="13" t="str">
        <f>_xll.BDH("XOM US Equity","IS_SALE_OF_BUSINESS","FQ1 2011","FQ1 2011","Currency=USD","Period=FQ","BEST_FPERIOD_OVERRIDE=FQ","FILING_STATUS=OR","SCALING_FORMAT=MLN","Sort=A","Dates=H","DateFormat=P","Fill=—","Direction=H","UseDPDF=Y")</f>
        <v>—</v>
      </c>
      <c r="N29" s="13" t="str">
        <f>_xll.BDH("XOM US Equity","IS_SALE_OF_BUSINESS","FQ2 2011","FQ2 2011","Currency=USD","Period=FQ","BEST_FPERIOD_OVERRIDE=FQ","FILING_STATUS=OR","SCALING_FORMAT=MLN","Sort=A","Dates=H","DateFormat=P","Fill=—","Direction=H","UseDPDF=Y")</f>
        <v>—</v>
      </c>
      <c r="O29" s="13" t="str">
        <f>_xll.BDH("XOM US Equity","IS_SALE_OF_BUSINESS","FQ3 2011","FQ3 2011","Currency=USD","Period=FQ","BEST_FPERIOD_OVERRIDE=FQ","FILING_STATUS=OR","SCALING_FORMAT=MLN","Sort=A","Dates=H","DateFormat=P","Fill=—","Direction=H","UseDPDF=Y")</f>
        <v>—</v>
      </c>
      <c r="P29" s="13" t="str">
        <f>_xll.BDH("XOM US Equity","IS_SALE_OF_BUSINESS","FQ4 2011","FQ4 2011","Currency=USD","Period=FQ","BEST_FPERIOD_OVERRIDE=FQ","FILING_STATUS=OR","SCALING_FORMAT=MLN","Sort=A","Dates=H","DateFormat=P","Fill=—","Direction=H","UseDPDF=Y")</f>
        <v>—</v>
      </c>
      <c r="Q29" s="13" t="str">
        <f>_xll.BDH("XOM US Equity","IS_SALE_OF_BUSINESS","FQ1 2012","FQ1 2012","Currency=USD","Period=FQ","BEST_FPERIOD_OVERRIDE=FQ","FILING_STATUS=OR","SCALING_FORMAT=MLN","Sort=A","Dates=H","DateFormat=P","Fill=—","Direction=H","UseDPDF=Y")</f>
        <v>—</v>
      </c>
      <c r="R29" s="13">
        <f>_xll.BDH("XOM US Equity","IS_SALE_OF_BUSINESS","FQ2 2012","FQ2 2012","Currency=USD","Period=FQ","BEST_FPERIOD_OVERRIDE=FQ","FILING_STATUS=OR","SCALING_FORMAT=MLN","Sort=A","Dates=H","DateFormat=P","Fill=—","Direction=H","UseDPDF=Y")</f>
        <v>-10000</v>
      </c>
      <c r="S29" s="13" t="str">
        <f>_xll.BDH("XOM US Equity","IS_SALE_OF_BUSINESS","FQ3 2012","FQ3 2012","Currency=USD","Period=FQ","BEST_FPERIOD_OVERRIDE=FQ","FILING_STATUS=OR","SCALING_FORMAT=MLN","Sort=A","Dates=H","DateFormat=P","Fill=—","Direction=H","UseDPDF=Y")</f>
        <v>—</v>
      </c>
      <c r="T29" s="13" t="str">
        <f>_xll.BDH("XOM US Equity","IS_SALE_OF_BUSINESS","FQ4 2012","FQ4 2012","Currency=USD","Period=FQ","BEST_FPERIOD_OVERRIDE=FQ","FILING_STATUS=OR","SCALING_FORMAT=MLN","Sort=A","Dates=H","DateFormat=P","Fill=—","Direction=H","UseDPDF=Y")</f>
        <v>—</v>
      </c>
      <c r="U29" s="13" t="str">
        <f>_xll.BDH("XOM US Equity","IS_SALE_OF_BUSINESS","FQ1 2013","FQ1 2013","Currency=USD","Period=FQ","BEST_FPERIOD_OVERRIDE=FQ","FILING_STATUS=OR","SCALING_FORMAT=MLN","Sort=A","Dates=H","DateFormat=P","Fill=—","Direction=H","UseDPDF=Y")</f>
        <v>—</v>
      </c>
      <c r="V29" s="13" t="str">
        <f>_xll.BDH("XOM US Equity","IS_SALE_OF_BUSINESS","FQ2 2013","FQ2 2013","Currency=USD","Period=FQ","BEST_FPERIOD_OVERRIDE=FQ","FILING_STATUS=OR","SCALING_FORMAT=MLN","Sort=A","Dates=H","DateFormat=P","Fill=—","Direction=H","UseDPDF=Y")</f>
        <v>—</v>
      </c>
      <c r="W29" s="13" t="str">
        <f>_xll.BDH("XOM US Equity","IS_SALE_OF_BUSINESS","FQ3 2013","FQ3 2013","Currency=USD","Period=FQ","BEST_FPERIOD_OVERRIDE=FQ","FILING_STATUS=OR","SCALING_FORMAT=MLN","Sort=A","Dates=H","DateFormat=P","Fill=—","Direction=H","UseDPDF=Y")</f>
        <v>—</v>
      </c>
      <c r="X29" s="13" t="str">
        <f>_xll.BDH("XOM US Equity","IS_SALE_OF_BUSINESS","FQ4 2013","FQ4 2013","Currency=USD","Period=FQ","BEST_FPERIOD_OVERRIDE=FQ","FILING_STATUS=OR","SCALING_FORMAT=MLN","Sort=A","Dates=H","DateFormat=P","Fill=—","Direction=H","UseDPDF=Y")</f>
        <v>—</v>
      </c>
      <c r="Y29" s="13" t="str">
        <f>_xll.BDH("XOM US Equity","IS_SALE_OF_BUSINESS","FQ1 2014","FQ1 2014","Currency=USD","Period=FQ","BEST_FPERIOD_OVERRIDE=FQ","FILING_STATUS=OR","SCALING_FORMAT=MLN","Sort=A","Dates=H","DateFormat=P","Fill=—","Direction=H","UseDPDF=Y")</f>
        <v>—</v>
      </c>
      <c r="Z29" s="13" t="str">
        <f>_xll.BDH("XOM US Equity","IS_SALE_OF_BUSINESS","FQ2 2014","FQ2 2014","Currency=USD","Period=FQ","BEST_FPERIOD_OVERRIDE=FQ","FILING_STATUS=OR","SCALING_FORMAT=MLN","Sort=A","Dates=H","DateFormat=P","Fill=—","Direction=H","UseDPDF=Y")</f>
        <v>—</v>
      </c>
      <c r="AA29" s="13" t="str">
        <f>_xll.BDH("XOM US Equity","IS_SALE_OF_BUSINESS","FQ3 2014","FQ3 2014","Currency=USD","Period=FQ","BEST_FPERIOD_OVERRIDE=FQ","FILING_STATUS=OR","SCALING_FORMAT=MLN","Sort=A","Dates=H","DateFormat=P","Fill=—","Direction=H","UseDPDF=Y")</f>
        <v>—</v>
      </c>
      <c r="AB29" s="13" t="str">
        <f>_xll.BDH("XOM US Equity","IS_SALE_OF_BUSINESS","FQ4 2014","FQ4 2014","Currency=USD","Period=FQ","BEST_FPERIOD_OVERRIDE=FQ","FILING_STATUS=OR","SCALING_FORMAT=MLN","Sort=A","Dates=H","DateFormat=P","Fill=—","Direction=H","UseDPDF=Y")</f>
        <v>—</v>
      </c>
      <c r="AC29" s="13" t="str">
        <f>_xll.BDH("XOM US Equity","IS_SALE_OF_BUSINESS","FQ1 2015","FQ1 2015","Currency=USD","Period=FQ","BEST_FPERIOD_OVERRIDE=FQ","FILING_STATUS=OR","SCALING_FORMAT=MLN","Sort=A","Dates=H","DateFormat=P","Fill=—","Direction=H","UseDPDF=Y")</f>
        <v>—</v>
      </c>
      <c r="AD29" s="13" t="str">
        <f>_xll.BDH("XOM US Equity","IS_SALE_OF_BUSINESS","FQ2 2015","FQ2 2015","Currency=USD","Period=FQ","BEST_FPERIOD_OVERRIDE=FQ","FILING_STATUS=OR","SCALING_FORMAT=MLN","Sort=A","Dates=H","DateFormat=P","Fill=—","Direction=H","UseDPDF=Y")</f>
        <v>—</v>
      </c>
      <c r="AE29" s="13" t="str">
        <f>_xll.BDH("XOM US Equity","IS_SALE_OF_BUSINESS","FQ3 2015","FQ3 2015","Currency=USD","Period=FQ","BEST_FPERIOD_OVERRIDE=FQ","FILING_STATUS=OR","SCALING_FORMAT=MLN","Sort=A","Dates=H","DateFormat=P","Fill=—","Direction=H","UseDPDF=Y")</f>
        <v>—</v>
      </c>
      <c r="AF29" s="13" t="str">
        <f>_xll.BDH("XOM US Equity","IS_SALE_OF_BUSINESS","FQ4 2015","FQ4 2015","Currency=USD","Period=FQ","BEST_FPERIOD_OVERRIDE=FQ","FILING_STATUS=OR","SCALING_FORMAT=MLN","Sort=A","Dates=H","DateFormat=P","Fill=—","Direction=H","UseDPDF=Y")</f>
        <v>—</v>
      </c>
      <c r="AG29" s="13" t="str">
        <f>_xll.BDH("XOM US Equity","IS_SALE_OF_BUSINESS","FQ1 2016","FQ1 2016","Currency=USD","Period=FQ","BEST_FPERIOD_OVERRIDE=FQ","FILING_STATUS=OR","SCALING_FORMAT=MLN","Sort=A","Dates=H","DateFormat=P","Fill=—","Direction=H","UseDPDF=Y")</f>
        <v>—</v>
      </c>
      <c r="AH29" s="13" t="str">
        <f>_xll.BDH("XOM US Equity","IS_SALE_OF_BUSINESS","FQ2 2016","FQ2 2016","Currency=USD","Period=FQ","BEST_FPERIOD_OVERRIDE=FQ","FILING_STATUS=OR","SCALING_FORMAT=MLN","Sort=A","Dates=H","DateFormat=P","Fill=—","Direction=H","UseDPDF=Y")</f>
        <v>—</v>
      </c>
      <c r="AI29" s="13" t="str">
        <f>_xll.BDH("XOM US Equity","IS_SALE_OF_BUSINESS","FQ3 2016","FQ3 2016","Currency=USD","Period=FQ","BEST_FPERIOD_OVERRIDE=FQ","FILING_STATUS=OR","SCALING_FORMAT=MLN","Sort=A","Dates=H","DateFormat=P","Fill=—","Direction=H","UseDPDF=Y")</f>
        <v>—</v>
      </c>
      <c r="AJ29" s="13" t="str">
        <f>_xll.BDH("XOM US Equity","IS_SALE_OF_BUSINESS","FQ4 2016","FQ4 2016","Currency=USD","Period=FQ","BEST_FPERIOD_OVERRIDE=FQ","FILING_STATUS=OR","SCALING_FORMAT=MLN","Sort=A","Dates=H","DateFormat=P","Fill=—","Direction=H","UseDPDF=Y")</f>
        <v>—</v>
      </c>
      <c r="AK29" s="13" t="str">
        <f>_xll.BDH("XOM US Equity","IS_SALE_OF_BUSINESS","FQ1 2017","FQ1 2017","Currency=USD","Period=FQ","BEST_FPERIOD_OVERRIDE=FQ","FILING_STATUS=OR","SCALING_FORMAT=MLN","Sort=A","Dates=H","DateFormat=P","Fill=—","Direction=H","UseDPDF=Y")</f>
        <v>—</v>
      </c>
      <c r="AL29" s="13" t="str">
        <f>_xll.BDH("XOM US Equity","IS_SALE_OF_BUSINESS","FQ2 2017","FQ2 2017","Currency=USD","Period=FQ","BEST_FPERIOD_OVERRIDE=FQ","FILING_STATUS=OR","SCALING_FORMAT=MLN","Sort=A","Dates=H","DateFormat=P","Fill=—","Direction=H","UseDPDF=Y")</f>
        <v>—</v>
      </c>
      <c r="AM29" s="13" t="str">
        <f>_xll.BDH("XOM US Equity","IS_SALE_OF_BUSINESS","FQ3 2017","FQ3 2017","Currency=USD","Period=FQ","BEST_FPERIOD_OVERRIDE=FQ","FILING_STATUS=OR","SCALING_FORMAT=MLN","Sort=A","Dates=H","DateFormat=P","Fill=—","Direction=H","UseDPDF=Y")</f>
        <v>—</v>
      </c>
      <c r="AN29" s="13" t="str">
        <f>_xll.BDH("XOM US Equity","IS_SALE_OF_BUSINESS","FQ4 2017","FQ4 2017","Currency=USD","Period=FQ","BEST_FPERIOD_OVERRIDE=FQ","FILING_STATUS=OR","SCALING_FORMAT=MLN","Sort=A","Dates=H","DateFormat=P","Fill=—","Direction=H","UseDPDF=Y")</f>
        <v>—</v>
      </c>
      <c r="AO29" s="13" t="str">
        <f>_xll.BDH("XOM US Equity","IS_SALE_OF_BUSINESS","FQ1 2018","FQ1 2018","Currency=USD","Period=FQ","BEST_FPERIOD_OVERRIDE=FQ","FILING_STATUS=OR","SCALING_FORMAT=MLN","Sort=A","Dates=H","DateFormat=P","Fill=—","Direction=H","UseDPDF=Y")</f>
        <v>—</v>
      </c>
      <c r="AP29" s="13" t="str">
        <f>_xll.BDH("XOM US Equity","IS_SALE_OF_BUSINESS","FQ2 2018","FQ2 2018","Currency=USD","Period=FQ","BEST_FPERIOD_OVERRIDE=FQ","FILING_STATUS=OR","SCALING_FORMAT=MLN","Sort=A","Dates=H","DateFormat=P","Fill=—","Direction=H","UseDPDF=Y")</f>
        <v>—</v>
      </c>
    </row>
    <row r="30" spans="1:42" x14ac:dyDescent="0.25">
      <c r="A30" s="10" t="s">
        <v>134</v>
      </c>
      <c r="B30" s="10" t="s">
        <v>135</v>
      </c>
      <c r="C30" s="13" t="str">
        <f>_xll.BDH("XOM US Equity","IS_LEGAL_LITIGATION_SETTLEMENT","FQ3 2008","FQ3 2008","Currency=USD","Period=FQ","BEST_FPERIOD_OVERRIDE=FQ","FILING_STATUS=OR","SCALING_FORMAT=MLN","Sort=A","Dates=H","DateFormat=P","Fill=—","Direction=H","UseDPDF=Y")</f>
        <v>—</v>
      </c>
      <c r="D30" s="13" t="str">
        <f>_xll.BDH("XOM US Equity","IS_LEGAL_LITIGATION_SETTLEMENT","FQ4 2008","FQ4 2008","Currency=USD","Period=FQ","BEST_FPERIOD_OVERRIDE=FQ","FILING_STATUS=OR","SCALING_FORMAT=MLN","Sort=A","Dates=H","DateFormat=P","Fill=—","Direction=H","UseDPDF=Y")</f>
        <v>—</v>
      </c>
      <c r="E30" s="13" t="str">
        <f>_xll.BDH("XOM US Equity","IS_LEGAL_LITIGATION_SETTLEMENT","FQ1 2009","FQ1 2009","Currency=USD","Period=FQ","BEST_FPERIOD_OVERRIDE=FQ","FILING_STATUS=OR","SCALING_FORMAT=MLN","Sort=A","Dates=H","DateFormat=P","Fill=—","Direction=H","UseDPDF=Y")</f>
        <v>—</v>
      </c>
      <c r="F30" s="13" t="str">
        <f>_xll.BDH("XOM US Equity","IS_LEGAL_LITIGATION_SETTLEMENT","FQ2 2009","FQ2 2009","Currency=USD","Period=FQ","BEST_FPERIOD_OVERRIDE=FQ","FILING_STATUS=OR","SCALING_FORMAT=MLN","Sort=A","Dates=H","DateFormat=P","Fill=—","Direction=H","UseDPDF=Y")</f>
        <v>—</v>
      </c>
      <c r="G30" s="13" t="str">
        <f>_xll.BDH("XOM US Equity","IS_LEGAL_LITIGATION_SETTLEMENT","FQ3 2009","FQ3 2009","Currency=USD","Period=FQ","BEST_FPERIOD_OVERRIDE=FQ","FILING_STATUS=OR","SCALING_FORMAT=MLN","Sort=A","Dates=H","DateFormat=P","Fill=—","Direction=H","UseDPDF=Y")</f>
        <v>—</v>
      </c>
      <c r="H30" s="13" t="str">
        <f>_xll.BDH("XOM US Equity","IS_LEGAL_LITIGATION_SETTLEMENT","FQ4 2009","FQ4 2009","Currency=USD","Period=FQ","BEST_FPERIOD_OVERRIDE=FQ","FILING_STATUS=OR","SCALING_FORMAT=MLN","Sort=A","Dates=H","DateFormat=P","Fill=—","Direction=H","UseDPDF=Y")</f>
        <v>—</v>
      </c>
      <c r="I30" s="13" t="str">
        <f>_xll.BDH("XOM US Equity","IS_LEGAL_LITIGATION_SETTLEMENT","FQ1 2010","FQ1 2010","Currency=USD","Period=FQ","BEST_FPERIOD_OVERRIDE=FQ","FILING_STATUS=OR","SCALING_FORMAT=MLN","Sort=A","Dates=H","DateFormat=P","Fill=—","Direction=H","UseDPDF=Y")</f>
        <v>—</v>
      </c>
      <c r="J30" s="13" t="str">
        <f>_xll.BDH("XOM US Equity","IS_LEGAL_LITIGATION_SETTLEMENT","FQ2 2010","FQ2 2010","Currency=USD","Period=FQ","BEST_FPERIOD_OVERRIDE=FQ","FILING_STATUS=OR","SCALING_FORMAT=MLN","Sort=A","Dates=H","DateFormat=P","Fill=—","Direction=H","UseDPDF=Y")</f>
        <v>—</v>
      </c>
      <c r="K30" s="13" t="str">
        <f>_xll.BDH("XOM US Equity","IS_LEGAL_LITIGATION_SETTLEMENT","FQ3 2010","FQ3 2010","Currency=USD","Period=FQ","BEST_FPERIOD_OVERRIDE=FQ","FILING_STATUS=OR","SCALING_FORMAT=MLN","Sort=A","Dates=H","DateFormat=P","Fill=—","Direction=H","UseDPDF=Y")</f>
        <v>—</v>
      </c>
      <c r="L30" s="13" t="str">
        <f>_xll.BDH("XOM US Equity","IS_LEGAL_LITIGATION_SETTLEMENT","FQ4 2010","FQ4 2010","Currency=USD","Period=FQ","BEST_FPERIOD_OVERRIDE=FQ","FILING_STATUS=OR","SCALING_FORMAT=MLN","Sort=A","Dates=H","DateFormat=P","Fill=—","Direction=H","UseDPDF=Y")</f>
        <v>—</v>
      </c>
      <c r="M30" s="13" t="str">
        <f>_xll.BDH("XOM US Equity","IS_LEGAL_LITIGATION_SETTLEMENT","FQ1 2011","FQ1 2011","Currency=USD","Period=FQ","BEST_FPERIOD_OVERRIDE=FQ","FILING_STATUS=OR","SCALING_FORMAT=MLN","Sort=A","Dates=H","DateFormat=P","Fill=—","Direction=H","UseDPDF=Y")</f>
        <v>—</v>
      </c>
      <c r="N30" s="13" t="str">
        <f>_xll.BDH("XOM US Equity","IS_LEGAL_LITIGATION_SETTLEMENT","FQ2 2011","FQ2 2011","Currency=USD","Period=FQ","BEST_FPERIOD_OVERRIDE=FQ","FILING_STATUS=OR","SCALING_FORMAT=MLN","Sort=A","Dates=H","DateFormat=P","Fill=—","Direction=H","UseDPDF=Y")</f>
        <v>—</v>
      </c>
      <c r="O30" s="13" t="str">
        <f>_xll.BDH("XOM US Equity","IS_LEGAL_LITIGATION_SETTLEMENT","FQ3 2011","FQ3 2011","Currency=USD","Period=FQ","BEST_FPERIOD_OVERRIDE=FQ","FILING_STATUS=OR","SCALING_FORMAT=MLN","Sort=A","Dates=H","DateFormat=P","Fill=—","Direction=H","UseDPDF=Y")</f>
        <v>—</v>
      </c>
      <c r="P30" s="13" t="str">
        <f>_xll.BDH("XOM US Equity","IS_LEGAL_LITIGATION_SETTLEMENT","FQ4 2011","FQ4 2011","Currency=USD","Period=FQ","BEST_FPERIOD_OVERRIDE=FQ","FILING_STATUS=OR","SCALING_FORMAT=MLN","Sort=A","Dates=H","DateFormat=P","Fill=—","Direction=H","UseDPDF=Y")</f>
        <v>—</v>
      </c>
      <c r="Q30" s="13" t="str">
        <f>_xll.BDH("XOM US Equity","IS_LEGAL_LITIGATION_SETTLEMENT","FQ1 2012","FQ1 2012","Currency=USD","Period=FQ","BEST_FPERIOD_OVERRIDE=FQ","FILING_STATUS=OR","SCALING_FORMAT=MLN","Sort=A","Dates=H","DateFormat=P","Fill=—","Direction=H","UseDPDF=Y")</f>
        <v>—</v>
      </c>
      <c r="R30" s="13" t="str">
        <f>_xll.BDH("XOM US Equity","IS_LEGAL_LITIGATION_SETTLEMENT","FQ2 2012","FQ2 2012","Currency=USD","Period=FQ","BEST_FPERIOD_OVERRIDE=FQ","FILING_STATUS=OR","SCALING_FORMAT=MLN","Sort=A","Dates=H","DateFormat=P","Fill=—","Direction=H","UseDPDF=Y")</f>
        <v>—</v>
      </c>
      <c r="S30" s="13" t="str">
        <f>_xll.BDH("XOM US Equity","IS_LEGAL_LITIGATION_SETTLEMENT","FQ3 2012","FQ3 2012","Currency=USD","Period=FQ","BEST_FPERIOD_OVERRIDE=FQ","FILING_STATUS=OR","SCALING_FORMAT=MLN","Sort=A","Dates=H","DateFormat=P","Fill=—","Direction=H","UseDPDF=Y")</f>
        <v>—</v>
      </c>
      <c r="T30" s="13" t="str">
        <f>_xll.BDH("XOM US Equity","IS_LEGAL_LITIGATION_SETTLEMENT","FQ4 2012","FQ4 2012","Currency=USD","Period=FQ","BEST_FPERIOD_OVERRIDE=FQ","FILING_STATUS=OR","SCALING_FORMAT=MLN","Sort=A","Dates=H","DateFormat=P","Fill=—","Direction=H","UseDPDF=Y")</f>
        <v>—</v>
      </c>
      <c r="U30" s="13" t="str">
        <f>_xll.BDH("XOM US Equity","IS_LEGAL_LITIGATION_SETTLEMENT","FQ1 2013","FQ1 2013","Currency=USD","Period=FQ","BEST_FPERIOD_OVERRIDE=FQ","FILING_STATUS=OR","SCALING_FORMAT=MLN","Sort=A","Dates=H","DateFormat=P","Fill=—","Direction=H","UseDPDF=Y")</f>
        <v>—</v>
      </c>
      <c r="V30" s="13" t="str">
        <f>_xll.BDH("XOM US Equity","IS_LEGAL_LITIGATION_SETTLEMENT","FQ2 2013","FQ2 2013","Currency=USD","Period=FQ","BEST_FPERIOD_OVERRIDE=FQ","FILING_STATUS=OR","SCALING_FORMAT=MLN","Sort=A","Dates=H","DateFormat=P","Fill=—","Direction=H","UseDPDF=Y")</f>
        <v>—</v>
      </c>
      <c r="W30" s="13" t="str">
        <f>_xll.BDH("XOM US Equity","IS_LEGAL_LITIGATION_SETTLEMENT","FQ3 2013","FQ3 2013","Currency=USD","Period=FQ","BEST_FPERIOD_OVERRIDE=FQ","FILING_STATUS=OR","SCALING_FORMAT=MLN","Sort=A","Dates=H","DateFormat=P","Fill=—","Direction=H","UseDPDF=Y")</f>
        <v>—</v>
      </c>
      <c r="X30" s="13" t="str">
        <f>_xll.BDH("XOM US Equity","IS_LEGAL_LITIGATION_SETTLEMENT","FQ4 2013","FQ4 2013","Currency=USD","Period=FQ","BEST_FPERIOD_OVERRIDE=FQ","FILING_STATUS=OR","SCALING_FORMAT=MLN","Sort=A","Dates=H","DateFormat=P","Fill=—","Direction=H","UseDPDF=Y")</f>
        <v>—</v>
      </c>
      <c r="Y30" s="13" t="str">
        <f>_xll.BDH("XOM US Equity","IS_LEGAL_LITIGATION_SETTLEMENT","FQ1 2014","FQ1 2014","Currency=USD","Period=FQ","BEST_FPERIOD_OVERRIDE=FQ","FILING_STATUS=OR","SCALING_FORMAT=MLN","Sort=A","Dates=H","DateFormat=P","Fill=—","Direction=H","UseDPDF=Y")</f>
        <v>—</v>
      </c>
      <c r="Z30" s="13" t="str">
        <f>_xll.BDH("XOM US Equity","IS_LEGAL_LITIGATION_SETTLEMENT","FQ2 2014","FQ2 2014","Currency=USD","Period=FQ","BEST_FPERIOD_OVERRIDE=FQ","FILING_STATUS=OR","SCALING_FORMAT=MLN","Sort=A","Dates=H","DateFormat=P","Fill=—","Direction=H","UseDPDF=Y")</f>
        <v>—</v>
      </c>
      <c r="AA30" s="13" t="str">
        <f>_xll.BDH("XOM US Equity","IS_LEGAL_LITIGATION_SETTLEMENT","FQ3 2014","FQ3 2014","Currency=USD","Period=FQ","BEST_FPERIOD_OVERRIDE=FQ","FILING_STATUS=OR","SCALING_FORMAT=MLN","Sort=A","Dates=H","DateFormat=P","Fill=—","Direction=H","UseDPDF=Y")</f>
        <v>—</v>
      </c>
      <c r="AB30" s="13">
        <f>_xll.BDH("XOM US Equity","IS_LEGAL_LITIGATION_SETTLEMENT","FQ4 2014","FQ4 2014","Currency=USD","Period=FQ","BEST_FPERIOD_OVERRIDE=FQ","FILING_STATUS=OR","SCALING_FORMAT=MLN","Sort=A","Dates=H","DateFormat=P","Fill=—","Direction=H","UseDPDF=Y")</f>
        <v>-413.84620000000001</v>
      </c>
      <c r="AC30" s="13" t="str">
        <f>_xll.BDH("XOM US Equity","IS_LEGAL_LITIGATION_SETTLEMENT","FQ1 2015","FQ1 2015","Currency=USD","Period=FQ","BEST_FPERIOD_OVERRIDE=FQ","FILING_STATUS=OR","SCALING_FORMAT=MLN","Sort=A","Dates=H","DateFormat=P","Fill=—","Direction=H","UseDPDF=Y")</f>
        <v>—</v>
      </c>
      <c r="AD30" s="13" t="str">
        <f>_xll.BDH("XOM US Equity","IS_LEGAL_LITIGATION_SETTLEMENT","FQ2 2015","FQ2 2015","Currency=USD","Period=FQ","BEST_FPERIOD_OVERRIDE=FQ","FILING_STATUS=OR","SCALING_FORMAT=MLN","Sort=A","Dates=H","DateFormat=P","Fill=—","Direction=H","UseDPDF=Y")</f>
        <v>—</v>
      </c>
      <c r="AE30" s="13" t="str">
        <f>_xll.BDH("XOM US Equity","IS_LEGAL_LITIGATION_SETTLEMENT","FQ3 2015","FQ3 2015","Currency=USD","Period=FQ","BEST_FPERIOD_OVERRIDE=FQ","FILING_STATUS=OR","SCALING_FORMAT=MLN","Sort=A","Dates=H","DateFormat=P","Fill=—","Direction=H","UseDPDF=Y")</f>
        <v>—</v>
      </c>
      <c r="AF30" s="13" t="str">
        <f>_xll.BDH("XOM US Equity","IS_LEGAL_LITIGATION_SETTLEMENT","FQ4 2015","FQ4 2015","Currency=USD","Period=FQ","BEST_FPERIOD_OVERRIDE=FQ","FILING_STATUS=OR","SCALING_FORMAT=MLN","Sort=A","Dates=H","DateFormat=P","Fill=—","Direction=H","UseDPDF=Y")</f>
        <v>—</v>
      </c>
      <c r="AG30" s="13" t="str">
        <f>_xll.BDH("XOM US Equity","IS_LEGAL_LITIGATION_SETTLEMENT","FQ1 2016","FQ1 2016","Currency=USD","Period=FQ","BEST_FPERIOD_OVERRIDE=FQ","FILING_STATUS=OR","SCALING_FORMAT=MLN","Sort=A","Dates=H","DateFormat=P","Fill=—","Direction=H","UseDPDF=Y")</f>
        <v>—</v>
      </c>
      <c r="AH30" s="13" t="str">
        <f>_xll.BDH("XOM US Equity","IS_LEGAL_LITIGATION_SETTLEMENT","FQ2 2016","FQ2 2016","Currency=USD","Period=FQ","BEST_FPERIOD_OVERRIDE=FQ","FILING_STATUS=OR","SCALING_FORMAT=MLN","Sort=A","Dates=H","DateFormat=P","Fill=—","Direction=H","UseDPDF=Y")</f>
        <v>—</v>
      </c>
      <c r="AI30" s="13" t="str">
        <f>_xll.BDH("XOM US Equity","IS_LEGAL_LITIGATION_SETTLEMENT","FQ3 2016","FQ3 2016","Currency=USD","Period=FQ","BEST_FPERIOD_OVERRIDE=FQ","FILING_STATUS=OR","SCALING_FORMAT=MLN","Sort=A","Dates=H","DateFormat=P","Fill=—","Direction=H","UseDPDF=Y")</f>
        <v>—</v>
      </c>
      <c r="AJ30" s="13" t="str">
        <f>_xll.BDH("XOM US Equity","IS_LEGAL_LITIGATION_SETTLEMENT","FQ4 2016","FQ4 2016","Currency=USD","Period=FQ","BEST_FPERIOD_OVERRIDE=FQ","FILING_STATUS=OR","SCALING_FORMAT=MLN","Sort=A","Dates=H","DateFormat=P","Fill=—","Direction=H","UseDPDF=Y")</f>
        <v>—</v>
      </c>
      <c r="AK30" s="13" t="str">
        <f>_xll.BDH("XOM US Equity","IS_LEGAL_LITIGATION_SETTLEMENT","FQ1 2017","FQ1 2017","Currency=USD","Period=FQ","BEST_FPERIOD_OVERRIDE=FQ","FILING_STATUS=OR","SCALING_FORMAT=MLN","Sort=A","Dates=H","DateFormat=P","Fill=—","Direction=H","UseDPDF=Y")</f>
        <v>—</v>
      </c>
      <c r="AL30" s="13" t="str">
        <f>_xll.BDH("XOM US Equity","IS_LEGAL_LITIGATION_SETTLEMENT","FQ2 2017","FQ2 2017","Currency=USD","Period=FQ","BEST_FPERIOD_OVERRIDE=FQ","FILING_STATUS=OR","SCALING_FORMAT=MLN","Sort=A","Dates=H","DateFormat=P","Fill=—","Direction=H","UseDPDF=Y")</f>
        <v>—</v>
      </c>
      <c r="AM30" s="13" t="str">
        <f>_xll.BDH("XOM US Equity","IS_LEGAL_LITIGATION_SETTLEMENT","FQ3 2017","FQ3 2017","Currency=USD","Period=FQ","BEST_FPERIOD_OVERRIDE=FQ","FILING_STATUS=OR","SCALING_FORMAT=MLN","Sort=A","Dates=H","DateFormat=P","Fill=—","Direction=H","UseDPDF=Y")</f>
        <v>—</v>
      </c>
      <c r="AN30" s="13" t="str">
        <f>_xll.BDH("XOM US Equity","IS_LEGAL_LITIGATION_SETTLEMENT","FQ4 2017","FQ4 2017","Currency=USD","Period=FQ","BEST_FPERIOD_OVERRIDE=FQ","FILING_STATUS=OR","SCALING_FORMAT=MLN","Sort=A","Dates=H","DateFormat=P","Fill=—","Direction=H","UseDPDF=Y")</f>
        <v>—</v>
      </c>
      <c r="AO30" s="13" t="str">
        <f>_xll.BDH("XOM US Equity","IS_LEGAL_LITIGATION_SETTLEMENT","FQ1 2018","FQ1 2018","Currency=USD","Period=FQ","BEST_FPERIOD_OVERRIDE=FQ","FILING_STATUS=OR","SCALING_FORMAT=MLN","Sort=A","Dates=H","DateFormat=P","Fill=—","Direction=H","UseDPDF=Y")</f>
        <v>—</v>
      </c>
      <c r="AP30" s="13" t="str">
        <f>_xll.BDH("XOM US Equity","IS_LEGAL_LITIGATION_SETTLEMENT","FQ2 2018","FQ2 2018","Currency=USD","Period=FQ","BEST_FPERIOD_OVERRIDE=FQ","FILING_STATUS=OR","SCALING_FORMAT=MLN","Sort=A","Dates=H","DateFormat=P","Fill=—","Direction=H","UseDPDF=Y")</f>
        <v>—</v>
      </c>
    </row>
    <row r="31" spans="1:42" x14ac:dyDescent="0.25">
      <c r="A31" s="10" t="s">
        <v>136</v>
      </c>
      <c r="B31" s="10" t="s">
        <v>137</v>
      </c>
      <c r="C31" s="13" t="str">
        <f>_xll.BDH("XOM US Equity","IS_OTHER_ONE_TIME_ITEMS","FQ3 2008","FQ3 2008","Currency=USD","Period=FQ","BEST_FPERIOD_OVERRIDE=FQ","FILING_STATUS=OR","SCALING_FORMAT=MLN","Sort=A","Dates=H","DateFormat=P","Fill=—","Direction=H","UseDPDF=Y")</f>
        <v>—</v>
      </c>
      <c r="D31" s="13" t="str">
        <f>_xll.BDH("XOM US Equity","IS_OTHER_ONE_TIME_ITEMS","FQ4 2008","FQ4 2008","Currency=USD","Period=FQ","BEST_FPERIOD_OVERRIDE=FQ","FILING_STATUS=OR","SCALING_FORMAT=MLN","Sort=A","Dates=H","DateFormat=P","Fill=—","Direction=H","UseDPDF=Y")</f>
        <v>—</v>
      </c>
      <c r="E31" s="13" t="str">
        <f>_xll.BDH("XOM US Equity","IS_OTHER_ONE_TIME_ITEMS","FQ1 2009","FQ1 2009","Currency=USD","Period=FQ","BEST_FPERIOD_OVERRIDE=FQ","FILING_STATUS=OR","SCALING_FORMAT=MLN","Sort=A","Dates=H","DateFormat=P","Fill=—","Direction=H","UseDPDF=Y")</f>
        <v>—</v>
      </c>
      <c r="F31" s="13">
        <f>_xll.BDH("XOM US Equity","IS_OTHER_ONE_TIME_ITEMS","FQ2 2009","FQ2 2009","Currency=USD","Period=FQ","BEST_FPERIOD_OVERRIDE=FQ","FILING_STATUS=OR","SCALING_FORMAT=MLN","Sort=A","Dates=H","DateFormat=P","Fill=—","Direction=H","UseDPDF=Y")</f>
        <v>215.38460000000001</v>
      </c>
      <c r="G31" s="13" t="str">
        <f>_xll.BDH("XOM US Equity","IS_OTHER_ONE_TIME_ITEMS","FQ3 2009","FQ3 2009","Currency=USD","Period=FQ","BEST_FPERIOD_OVERRIDE=FQ","FILING_STATUS=OR","SCALING_FORMAT=MLN","Sort=A","Dates=H","DateFormat=P","Fill=—","Direction=H","UseDPDF=Y")</f>
        <v>—</v>
      </c>
      <c r="H31" s="13" t="str">
        <f>_xll.BDH("XOM US Equity","IS_OTHER_ONE_TIME_ITEMS","FQ4 2009","FQ4 2009","Currency=USD","Period=FQ","BEST_FPERIOD_OVERRIDE=FQ","FILING_STATUS=OR","SCALING_FORMAT=MLN","Sort=A","Dates=H","DateFormat=P","Fill=—","Direction=H","UseDPDF=Y")</f>
        <v>—</v>
      </c>
      <c r="I31" s="13" t="str">
        <f>_xll.BDH("XOM US Equity","IS_OTHER_ONE_TIME_ITEMS","FQ1 2010","FQ1 2010","Currency=USD","Period=FQ","BEST_FPERIOD_OVERRIDE=FQ","FILING_STATUS=OR","SCALING_FORMAT=MLN","Sort=A","Dates=H","DateFormat=P","Fill=—","Direction=H","UseDPDF=Y")</f>
        <v>—</v>
      </c>
      <c r="J31" s="13" t="str">
        <f>_xll.BDH("XOM US Equity","IS_OTHER_ONE_TIME_ITEMS","FQ2 2010","FQ2 2010","Currency=USD","Period=FQ","BEST_FPERIOD_OVERRIDE=FQ","FILING_STATUS=OR","SCALING_FORMAT=MLN","Sort=A","Dates=H","DateFormat=P","Fill=—","Direction=H","UseDPDF=Y")</f>
        <v>—</v>
      </c>
      <c r="K31" s="13" t="str">
        <f>_xll.BDH("XOM US Equity","IS_OTHER_ONE_TIME_ITEMS","FQ3 2010","FQ3 2010","Currency=USD","Period=FQ","BEST_FPERIOD_OVERRIDE=FQ","FILING_STATUS=OR","SCALING_FORMAT=MLN","Sort=A","Dates=H","DateFormat=P","Fill=—","Direction=H","UseDPDF=Y")</f>
        <v>—</v>
      </c>
      <c r="L31" s="13" t="str">
        <f>_xll.BDH("XOM US Equity","IS_OTHER_ONE_TIME_ITEMS","FQ4 2010","FQ4 2010","Currency=USD","Period=FQ","BEST_FPERIOD_OVERRIDE=FQ","FILING_STATUS=OR","SCALING_FORMAT=MLN","Sort=A","Dates=H","DateFormat=P","Fill=—","Direction=H","UseDPDF=Y")</f>
        <v>—</v>
      </c>
      <c r="M31" s="13" t="str">
        <f>_xll.BDH("XOM US Equity","IS_OTHER_ONE_TIME_ITEMS","FQ1 2011","FQ1 2011","Currency=USD","Period=FQ","BEST_FPERIOD_OVERRIDE=FQ","FILING_STATUS=OR","SCALING_FORMAT=MLN","Sort=A","Dates=H","DateFormat=P","Fill=—","Direction=H","UseDPDF=Y")</f>
        <v>—</v>
      </c>
      <c r="N31" s="13" t="str">
        <f>_xll.BDH("XOM US Equity","IS_OTHER_ONE_TIME_ITEMS","FQ2 2011","FQ2 2011","Currency=USD","Period=FQ","BEST_FPERIOD_OVERRIDE=FQ","FILING_STATUS=OR","SCALING_FORMAT=MLN","Sort=A","Dates=H","DateFormat=P","Fill=—","Direction=H","UseDPDF=Y")</f>
        <v>—</v>
      </c>
      <c r="O31" s="13" t="str">
        <f>_xll.BDH("XOM US Equity","IS_OTHER_ONE_TIME_ITEMS","FQ3 2011","FQ3 2011","Currency=USD","Period=FQ","BEST_FPERIOD_OVERRIDE=FQ","FILING_STATUS=OR","SCALING_FORMAT=MLN","Sort=A","Dates=H","DateFormat=P","Fill=—","Direction=H","UseDPDF=Y")</f>
        <v>—</v>
      </c>
      <c r="P31" s="13" t="str">
        <f>_xll.BDH("XOM US Equity","IS_OTHER_ONE_TIME_ITEMS","FQ4 2011","FQ4 2011","Currency=USD","Period=FQ","BEST_FPERIOD_OVERRIDE=FQ","FILING_STATUS=OR","SCALING_FORMAT=MLN","Sort=A","Dates=H","DateFormat=P","Fill=—","Direction=H","UseDPDF=Y")</f>
        <v>—</v>
      </c>
      <c r="Q31" s="13" t="str">
        <f>_xll.BDH("XOM US Equity","IS_OTHER_ONE_TIME_ITEMS","FQ1 2012","FQ1 2012","Currency=USD","Period=FQ","BEST_FPERIOD_OVERRIDE=FQ","FILING_STATUS=OR","SCALING_FORMAT=MLN","Sort=A","Dates=H","DateFormat=P","Fill=—","Direction=H","UseDPDF=Y")</f>
        <v>—</v>
      </c>
      <c r="R31" s="13" t="str">
        <f>_xll.BDH("XOM US Equity","IS_OTHER_ONE_TIME_ITEMS","FQ2 2012","FQ2 2012","Currency=USD","Period=FQ","BEST_FPERIOD_OVERRIDE=FQ","FILING_STATUS=OR","SCALING_FORMAT=MLN","Sort=A","Dates=H","DateFormat=P","Fill=—","Direction=H","UseDPDF=Y")</f>
        <v>—</v>
      </c>
      <c r="S31" s="13" t="str">
        <f>_xll.BDH("XOM US Equity","IS_OTHER_ONE_TIME_ITEMS","FQ3 2012","FQ3 2012","Currency=USD","Period=FQ","BEST_FPERIOD_OVERRIDE=FQ","FILING_STATUS=OR","SCALING_FORMAT=MLN","Sort=A","Dates=H","DateFormat=P","Fill=—","Direction=H","UseDPDF=Y")</f>
        <v>—</v>
      </c>
      <c r="T31" s="13" t="str">
        <f>_xll.BDH("XOM US Equity","IS_OTHER_ONE_TIME_ITEMS","FQ4 2012","FQ4 2012","Currency=USD","Period=FQ","BEST_FPERIOD_OVERRIDE=FQ","FILING_STATUS=OR","SCALING_FORMAT=MLN","Sort=A","Dates=H","DateFormat=P","Fill=—","Direction=H","UseDPDF=Y")</f>
        <v>—</v>
      </c>
      <c r="U31" s="13" t="str">
        <f>_xll.BDH("XOM US Equity","IS_OTHER_ONE_TIME_ITEMS","FQ1 2013","FQ1 2013","Currency=USD","Period=FQ","BEST_FPERIOD_OVERRIDE=FQ","FILING_STATUS=OR","SCALING_FORMAT=MLN","Sort=A","Dates=H","DateFormat=P","Fill=—","Direction=H","UseDPDF=Y")</f>
        <v>—</v>
      </c>
      <c r="V31" s="13" t="str">
        <f>_xll.BDH("XOM US Equity","IS_OTHER_ONE_TIME_ITEMS","FQ2 2013","FQ2 2013","Currency=USD","Period=FQ","BEST_FPERIOD_OVERRIDE=FQ","FILING_STATUS=OR","SCALING_FORMAT=MLN","Sort=A","Dates=H","DateFormat=P","Fill=—","Direction=H","UseDPDF=Y")</f>
        <v>—</v>
      </c>
      <c r="W31" s="13" t="str">
        <f>_xll.BDH("XOM US Equity","IS_OTHER_ONE_TIME_ITEMS","FQ3 2013","FQ3 2013","Currency=USD","Period=FQ","BEST_FPERIOD_OVERRIDE=FQ","FILING_STATUS=OR","SCALING_FORMAT=MLN","Sort=A","Dates=H","DateFormat=P","Fill=—","Direction=H","UseDPDF=Y")</f>
        <v>—</v>
      </c>
      <c r="X31" s="13" t="str">
        <f>_xll.BDH("XOM US Equity","IS_OTHER_ONE_TIME_ITEMS","FQ4 2013","FQ4 2013","Currency=USD","Period=FQ","BEST_FPERIOD_OVERRIDE=FQ","FILING_STATUS=OR","SCALING_FORMAT=MLN","Sort=A","Dates=H","DateFormat=P","Fill=—","Direction=H","UseDPDF=Y")</f>
        <v>—</v>
      </c>
      <c r="Y31" s="13" t="str">
        <f>_xll.BDH("XOM US Equity","IS_OTHER_ONE_TIME_ITEMS","FQ1 2014","FQ1 2014","Currency=USD","Period=FQ","BEST_FPERIOD_OVERRIDE=FQ","FILING_STATUS=OR","SCALING_FORMAT=MLN","Sort=A","Dates=H","DateFormat=P","Fill=—","Direction=H","UseDPDF=Y")</f>
        <v>—</v>
      </c>
      <c r="Z31" s="13" t="str">
        <f>_xll.BDH("XOM US Equity","IS_OTHER_ONE_TIME_ITEMS","FQ2 2014","FQ2 2014","Currency=USD","Period=FQ","BEST_FPERIOD_OVERRIDE=FQ","FILING_STATUS=OR","SCALING_FORMAT=MLN","Sort=A","Dates=H","DateFormat=P","Fill=—","Direction=H","UseDPDF=Y")</f>
        <v>—</v>
      </c>
      <c r="AA31" s="13" t="str">
        <f>_xll.BDH("XOM US Equity","IS_OTHER_ONE_TIME_ITEMS","FQ3 2014","FQ3 2014","Currency=USD","Period=FQ","BEST_FPERIOD_OVERRIDE=FQ","FILING_STATUS=OR","SCALING_FORMAT=MLN","Sort=A","Dates=H","DateFormat=P","Fill=—","Direction=H","UseDPDF=Y")</f>
        <v>—</v>
      </c>
      <c r="AB31" s="13" t="str">
        <f>_xll.BDH("XOM US Equity","IS_OTHER_ONE_TIME_ITEMS","FQ4 2014","FQ4 2014","Currency=USD","Period=FQ","BEST_FPERIOD_OVERRIDE=FQ","FILING_STATUS=OR","SCALING_FORMAT=MLN","Sort=A","Dates=H","DateFormat=P","Fill=—","Direction=H","UseDPDF=Y")</f>
        <v>—</v>
      </c>
      <c r="AC31" s="13" t="str">
        <f>_xll.BDH("XOM US Equity","IS_OTHER_ONE_TIME_ITEMS","FQ1 2015","FQ1 2015","Currency=USD","Period=FQ","BEST_FPERIOD_OVERRIDE=FQ","FILING_STATUS=OR","SCALING_FORMAT=MLN","Sort=A","Dates=H","DateFormat=P","Fill=—","Direction=H","UseDPDF=Y")</f>
        <v>—</v>
      </c>
      <c r="AD31" s="13" t="str">
        <f>_xll.BDH("XOM US Equity","IS_OTHER_ONE_TIME_ITEMS","FQ2 2015","FQ2 2015","Currency=USD","Period=FQ","BEST_FPERIOD_OVERRIDE=FQ","FILING_STATUS=OR","SCALING_FORMAT=MLN","Sort=A","Dates=H","DateFormat=P","Fill=—","Direction=H","UseDPDF=Y")</f>
        <v>—</v>
      </c>
      <c r="AE31" s="13" t="str">
        <f>_xll.BDH("XOM US Equity","IS_OTHER_ONE_TIME_ITEMS","FQ3 2015","FQ3 2015","Currency=USD","Period=FQ","BEST_FPERIOD_OVERRIDE=FQ","FILING_STATUS=OR","SCALING_FORMAT=MLN","Sort=A","Dates=H","DateFormat=P","Fill=—","Direction=H","UseDPDF=Y")</f>
        <v>—</v>
      </c>
      <c r="AF31" s="13" t="str">
        <f>_xll.BDH("XOM US Equity","IS_OTHER_ONE_TIME_ITEMS","FQ4 2015","FQ4 2015","Currency=USD","Period=FQ","BEST_FPERIOD_OVERRIDE=FQ","FILING_STATUS=OR","SCALING_FORMAT=MLN","Sort=A","Dates=H","DateFormat=P","Fill=—","Direction=H","UseDPDF=Y")</f>
        <v>—</v>
      </c>
      <c r="AG31" s="13" t="str">
        <f>_xll.BDH("XOM US Equity","IS_OTHER_ONE_TIME_ITEMS","FQ1 2016","FQ1 2016","Currency=USD","Period=FQ","BEST_FPERIOD_OVERRIDE=FQ","FILING_STATUS=OR","SCALING_FORMAT=MLN","Sort=A","Dates=H","DateFormat=P","Fill=—","Direction=H","UseDPDF=Y")</f>
        <v>—</v>
      </c>
      <c r="AH31" s="13" t="str">
        <f>_xll.BDH("XOM US Equity","IS_OTHER_ONE_TIME_ITEMS","FQ2 2016","FQ2 2016","Currency=USD","Period=FQ","BEST_FPERIOD_OVERRIDE=FQ","FILING_STATUS=OR","SCALING_FORMAT=MLN","Sort=A","Dates=H","DateFormat=P","Fill=—","Direction=H","UseDPDF=Y")</f>
        <v>—</v>
      </c>
      <c r="AI31" s="13" t="str">
        <f>_xll.BDH("XOM US Equity","IS_OTHER_ONE_TIME_ITEMS","FQ3 2016","FQ3 2016","Currency=USD","Period=FQ","BEST_FPERIOD_OVERRIDE=FQ","FILING_STATUS=OR","SCALING_FORMAT=MLN","Sort=A","Dates=H","DateFormat=P","Fill=—","Direction=H","UseDPDF=Y")</f>
        <v>—</v>
      </c>
      <c r="AJ31" s="13" t="str">
        <f>_xll.BDH("XOM US Equity","IS_OTHER_ONE_TIME_ITEMS","FQ4 2016","FQ4 2016","Currency=USD","Period=FQ","BEST_FPERIOD_OVERRIDE=FQ","FILING_STATUS=OR","SCALING_FORMAT=MLN","Sort=A","Dates=H","DateFormat=P","Fill=—","Direction=H","UseDPDF=Y")</f>
        <v>—</v>
      </c>
      <c r="AK31" s="13" t="str">
        <f>_xll.BDH("XOM US Equity","IS_OTHER_ONE_TIME_ITEMS","FQ1 2017","FQ1 2017","Currency=USD","Period=FQ","BEST_FPERIOD_OVERRIDE=FQ","FILING_STATUS=OR","SCALING_FORMAT=MLN","Sort=A","Dates=H","DateFormat=P","Fill=—","Direction=H","UseDPDF=Y")</f>
        <v>—</v>
      </c>
      <c r="AL31" s="13" t="str">
        <f>_xll.BDH("XOM US Equity","IS_OTHER_ONE_TIME_ITEMS","FQ2 2017","FQ2 2017","Currency=USD","Period=FQ","BEST_FPERIOD_OVERRIDE=FQ","FILING_STATUS=OR","SCALING_FORMAT=MLN","Sort=A","Dates=H","DateFormat=P","Fill=—","Direction=H","UseDPDF=Y")</f>
        <v>—</v>
      </c>
      <c r="AM31" s="13" t="str">
        <f>_xll.BDH("XOM US Equity","IS_OTHER_ONE_TIME_ITEMS","FQ3 2017","FQ3 2017","Currency=USD","Period=FQ","BEST_FPERIOD_OVERRIDE=FQ","FILING_STATUS=OR","SCALING_FORMAT=MLN","Sort=A","Dates=H","DateFormat=P","Fill=—","Direction=H","UseDPDF=Y")</f>
        <v>—</v>
      </c>
      <c r="AN31" s="13" t="str">
        <f>_xll.BDH("XOM US Equity","IS_OTHER_ONE_TIME_ITEMS","FQ4 2017","FQ4 2017","Currency=USD","Period=FQ","BEST_FPERIOD_OVERRIDE=FQ","FILING_STATUS=OR","SCALING_FORMAT=MLN","Sort=A","Dates=H","DateFormat=P","Fill=—","Direction=H","UseDPDF=Y")</f>
        <v>—</v>
      </c>
      <c r="AO31" s="13" t="str">
        <f>_xll.BDH("XOM US Equity","IS_OTHER_ONE_TIME_ITEMS","FQ1 2018","FQ1 2018","Currency=USD","Period=FQ","BEST_FPERIOD_OVERRIDE=FQ","FILING_STATUS=OR","SCALING_FORMAT=MLN","Sort=A","Dates=H","DateFormat=P","Fill=—","Direction=H","UseDPDF=Y")</f>
        <v>—</v>
      </c>
      <c r="AP31" s="13" t="str">
        <f>_xll.BDH("XOM US Equity","IS_OTHER_ONE_TIME_ITEMS","FQ2 2018","FQ2 2018","Currency=USD","Period=FQ","BEST_FPERIOD_OVERRIDE=FQ","FILING_STATUS=OR","SCALING_FORMAT=MLN","Sort=A","Dates=H","DateFormat=P","Fill=—","Direction=H","UseDPDF=Y")</f>
        <v>—</v>
      </c>
    </row>
    <row r="32" spans="1:42" x14ac:dyDescent="0.25">
      <c r="A32" s="6" t="s">
        <v>138</v>
      </c>
      <c r="B32" s="6" t="s">
        <v>123</v>
      </c>
      <c r="C32" s="16">
        <f>_xll.BDH("XOM US Equity","PRETAX_INC","FQ3 2008","FQ3 2008","Currency=USD","Period=FQ","BEST_FPERIOD_OVERRIDE=FQ","FILING_STATUS=OR","SCALING_FORMAT=MLN","FA_ADJUSTED=GAAP","Sort=A","Dates=H","DateFormat=P","Fill=—","Direction=H","UseDPDF=Y")</f>
        <v>26693</v>
      </c>
      <c r="D32" s="16">
        <f>_xll.BDH("XOM US Equity","PRETAX_INC","FQ4 2008","FQ4 2008","Currency=USD","Period=FQ","BEST_FPERIOD_OVERRIDE=FQ","FILING_STATUS=OR","SCALING_FORMAT=MLN","FA_ADJUSTED=GAAP","Sort=A","Dates=H","DateFormat=P","Fill=—","Direction=H","UseDPDF=Y")</f>
        <v>13799</v>
      </c>
      <c r="E32" s="16">
        <f>_xll.BDH("XOM US Equity","PRETAX_INC","FQ1 2009","FQ1 2009","Currency=USD","Period=FQ","BEST_FPERIOD_OVERRIDE=FQ","FILING_STATUS=OR","SCALING_FORMAT=MLN","FA_ADJUSTED=GAAP","Sort=A","Dates=H","DateFormat=P","Fill=—","Direction=H","UseDPDF=Y")</f>
        <v>7850</v>
      </c>
      <c r="F32" s="16">
        <f>_xll.BDH("XOM US Equity","PRETAX_INC","FQ2 2009","FQ2 2009","Currency=USD","Period=FQ","BEST_FPERIOD_OVERRIDE=FQ","FILING_STATUS=OR","SCALING_FORMAT=MLN","FA_ADJUSTED=GAAP","Sort=A","Dates=H","DateFormat=P","Fill=—","Direction=H","UseDPDF=Y")</f>
        <v>7517</v>
      </c>
      <c r="G32" s="16">
        <f>_xll.BDH("XOM US Equity","PRETAX_INC","FQ3 2009","FQ3 2009","Currency=USD","Period=FQ","BEST_FPERIOD_OVERRIDE=FQ","FILING_STATUS=OR","SCALING_FORMAT=MLN","FA_ADJUSTED=GAAP","Sort=A","Dates=H","DateFormat=P","Fill=—","Direction=H","UseDPDF=Y")</f>
        <v>9204</v>
      </c>
      <c r="H32" s="16">
        <f>_xll.BDH("XOM US Equity","PRETAX_INC","FQ4 2009","FQ4 2009","Currency=USD","Period=FQ","BEST_FPERIOD_OVERRIDE=FQ","FILING_STATUS=OR","SCALING_FORMAT=MLN","FA_ADJUSTED=GAAP","Sort=A","Dates=H","DateFormat=P","Fill=—","Direction=H","UseDPDF=Y")</f>
        <v>10206</v>
      </c>
      <c r="I32" s="16">
        <f>_xll.BDH("XOM US Equity","PRETAX_INC","FQ1 2010","FQ1 2010","Currency=USD","Period=FQ","BEST_FPERIOD_OVERRIDE=FQ","FILING_STATUS=OR","SCALING_FORMAT=MLN","FA_ADJUSTED=GAAP","Sort=A","Dates=H","DateFormat=P","Fill=—","Direction=H","UseDPDF=Y")</f>
        <v>12068</v>
      </c>
      <c r="J32" s="16">
        <f>_xll.BDH("XOM US Equity","PRETAX_INC","FQ2 2010","FQ2 2010","Currency=USD","Period=FQ","BEST_FPERIOD_OVERRIDE=FQ","FILING_STATUS=OR","SCALING_FORMAT=MLN","FA_ADJUSTED=GAAP","Sort=A","Dates=H","DateFormat=P","Fill=—","Direction=H","UseDPDF=Y")</f>
        <v>12706</v>
      </c>
      <c r="K32" s="16">
        <f>_xll.BDH("XOM US Equity","PRETAX_INC","FQ3 2010","FQ3 2010","Currency=USD","Period=FQ","BEST_FPERIOD_OVERRIDE=FQ","FILING_STATUS=OR","SCALING_FORMAT=MLN","FA_ADJUSTED=GAAP","Sort=A","Dates=H","DateFormat=P","Fill=—","Direction=H","UseDPDF=Y")</f>
        <v>12858</v>
      </c>
      <c r="L32" s="16">
        <f>_xll.BDH("XOM US Equity","PRETAX_INC","FQ4 2010","FQ4 2010","Currency=USD","Period=FQ","BEST_FPERIOD_OVERRIDE=FQ","FILING_STATUS=OR","SCALING_FORMAT=MLN","FA_ADJUSTED=GAAP","Sort=A","Dates=H","DateFormat=P","Fill=—","Direction=H","UseDPDF=Y")</f>
        <v>15327</v>
      </c>
      <c r="M32" s="16">
        <f>_xll.BDH("XOM US Equity","PRETAX_INC","FQ1 2011","FQ1 2011","Currency=USD","Period=FQ","BEST_FPERIOD_OVERRIDE=FQ","FILING_STATUS=OR","SCALING_FORMAT=MLN","FA_ADJUSTED=GAAP","Sort=A","Dates=H","DateFormat=P","Fill=—","Direction=H","UseDPDF=Y")</f>
        <v>18917</v>
      </c>
      <c r="N32" s="16">
        <f>_xll.BDH("XOM US Equity","PRETAX_INC","FQ2 2011","FQ2 2011","Currency=USD","Period=FQ","BEST_FPERIOD_OVERRIDE=FQ","FILING_STATUS=OR","SCALING_FORMAT=MLN","FA_ADJUSTED=GAAP","Sort=A","Dates=H","DateFormat=P","Fill=—","Direction=H","UseDPDF=Y")</f>
        <v>18619</v>
      </c>
      <c r="O32" s="16">
        <f>_xll.BDH("XOM US Equity","PRETAX_INC","FQ3 2011","FQ3 2011","Currency=USD","Period=FQ","BEST_FPERIOD_OVERRIDE=FQ","FILING_STATUS=OR","SCALING_FORMAT=MLN","FA_ADJUSTED=GAAP","Sort=A","Dates=H","DateFormat=P","Fill=—","Direction=H","UseDPDF=Y")</f>
        <v>18680</v>
      </c>
      <c r="P32" s="16">
        <f>_xll.BDH("XOM US Equity","PRETAX_INC","FQ4 2011","FQ4 2011","Currency=USD","Period=FQ","BEST_FPERIOD_OVERRIDE=FQ","FILING_STATUS=OR","SCALING_FORMAT=MLN","FA_ADJUSTED=GAAP","Sort=A","Dates=H","DateFormat=P","Fill=—","Direction=H","UseDPDF=Y")</f>
        <v>17041</v>
      </c>
      <c r="Q32" s="16">
        <f>_xll.BDH("XOM US Equity","PRETAX_INC","FQ1 2012","FQ1 2012","Currency=USD","Period=FQ","BEST_FPERIOD_OVERRIDE=FQ","FILING_STATUS=OR","SCALING_FORMAT=MLN","FA_ADJUSTED=GAAP","Sort=A","Dates=H","DateFormat=P","Fill=—","Direction=H","UseDPDF=Y")</f>
        <v>17515</v>
      </c>
      <c r="R32" s="16">
        <f>_xll.BDH("XOM US Equity","PRETAX_INC","FQ2 2012","FQ2 2012","Currency=USD","Period=FQ","BEST_FPERIOD_OVERRIDE=FQ","FILING_STATUS=OR","SCALING_FORMAT=MLN","FA_ADJUSTED=GAAP","Sort=A","Dates=H","DateFormat=P","Fill=—","Direction=H","UseDPDF=Y")</f>
        <v>26191</v>
      </c>
      <c r="S32" s="16">
        <f>_xll.BDH("XOM US Equity","PRETAX_INC","FQ3 2012","FQ3 2012","Currency=USD","Period=FQ","BEST_FPERIOD_OVERRIDE=FQ","FILING_STATUS=OR","SCALING_FORMAT=MLN","FA_ADJUSTED=GAAP","Sort=A","Dates=H","DateFormat=P","Fill=—","Direction=H","UseDPDF=Y")</f>
        <v>17320</v>
      </c>
      <c r="T32" s="16">
        <f>_xll.BDH("XOM US Equity","PRETAX_INC","FQ4 2012","FQ4 2012","Currency=USD","Period=FQ","BEST_FPERIOD_OVERRIDE=FQ","FILING_STATUS=OR","SCALING_FORMAT=MLN","FA_ADJUSTED=GAAP","Sort=A","Dates=H","DateFormat=P","Fill=—","Direction=H","UseDPDF=Y")</f>
        <v>17700</v>
      </c>
      <c r="U32" s="16">
        <f>_xll.BDH("XOM US Equity","PRETAX_INC","FQ1 2013","FQ1 2013","Currency=USD","Period=FQ","BEST_FPERIOD_OVERRIDE=FQ","FILING_STATUS=OR","SCALING_FORMAT=MLN","FA_ADJUSTED=GAAP","Sort=A","Dates=H","DateFormat=P","Fill=—","Direction=H","UseDPDF=Y")</f>
        <v>16038</v>
      </c>
      <c r="V32" s="16">
        <f>_xll.BDH("XOM US Equity","PRETAX_INC","FQ2 2013","FQ2 2013","Currency=USD","Period=FQ","BEST_FPERIOD_OVERRIDE=FQ","FILING_STATUS=OR","SCALING_FORMAT=MLN","FA_ADJUSTED=GAAP","Sort=A","Dates=H","DateFormat=P","Fill=—","Direction=H","UseDPDF=Y")</f>
        <v>12768</v>
      </c>
      <c r="W32" s="16">
        <f>_xll.BDH("XOM US Equity","PRETAX_INC","FQ3 2013","FQ3 2013","Currency=USD","Period=FQ","BEST_FPERIOD_OVERRIDE=FQ","FILING_STATUS=OR","SCALING_FORMAT=MLN","FA_ADJUSTED=GAAP","Sort=A","Dates=H","DateFormat=P","Fill=—","Direction=H","UseDPDF=Y")</f>
        <v>14189</v>
      </c>
      <c r="X32" s="16">
        <f>_xll.BDH("XOM US Equity","PRETAX_INC","FQ4 2013","FQ4 2013","Currency=USD","Period=FQ","BEST_FPERIOD_OVERRIDE=FQ","FILING_STATUS=OR","SCALING_FORMAT=MLN","FA_ADJUSTED=GAAP","Sort=A","Dates=H","DateFormat=P","Fill=—","Direction=H","UseDPDF=Y")</f>
        <v>14716</v>
      </c>
      <c r="Y32" s="16">
        <f>_xll.BDH("XOM US Equity","PRETAX_INC","FQ1 2014","FQ1 2014","Currency=USD","Period=FQ","BEST_FPERIOD_OVERRIDE=FQ","FILING_STATUS=OR","SCALING_FORMAT=MLN","FA_ADJUSTED=GAAP","Sort=A","Dates=H","DateFormat=P","Fill=—","Direction=H","UseDPDF=Y")</f>
        <v>15227</v>
      </c>
      <c r="Z32" s="16">
        <f>_xll.BDH("XOM US Equity","PRETAX_INC","FQ2 2014","FQ2 2014","Currency=USD","Period=FQ","BEST_FPERIOD_OVERRIDE=FQ","FILING_STATUS=OR","SCALING_FORMAT=MLN","FA_ADJUSTED=GAAP","Sort=A","Dates=H","DateFormat=P","Fill=—","Direction=H","UseDPDF=Y")</f>
        <v>14151</v>
      </c>
      <c r="AA32" s="16">
        <f>_xll.BDH("XOM US Equity","PRETAX_INC","FQ3 2014","FQ3 2014","Currency=USD","Period=FQ","BEST_FPERIOD_OVERRIDE=FQ","FILING_STATUS=OR","SCALING_FORMAT=MLN","FA_ADJUSTED=GAAP","Sort=A","Dates=H","DateFormat=P","Fill=—","Direction=H","UseDPDF=Y")</f>
        <v>13410</v>
      </c>
      <c r="AB32" s="16">
        <f>_xll.BDH("XOM US Equity","PRETAX_INC","FQ4 2014","FQ4 2014","Currency=USD","Period=FQ","BEST_FPERIOD_OVERRIDE=FQ","FILING_STATUS=OR","SCALING_FORMAT=MLN","FA_ADJUSTED=GAAP","Sort=A","Dates=H","DateFormat=P","Fill=—","Direction=H","UseDPDF=Y")</f>
        <v>8842</v>
      </c>
      <c r="AC32" s="16">
        <f>_xll.BDH("XOM US Equity","PRETAX_INC","FQ1 2015","FQ1 2015","Currency=USD","Period=FQ","BEST_FPERIOD_OVERRIDE=FQ","FILING_STATUS=OR","SCALING_FORMAT=MLN","FA_ADJUSTED=GAAP","Sort=A","Dates=H","DateFormat=P","Fill=—","Direction=H","UseDPDF=Y")</f>
        <v>6635</v>
      </c>
      <c r="AD32" s="16">
        <f>_xll.BDH("XOM US Equity","PRETAX_INC","FQ2 2015","FQ2 2015","Currency=USD","Period=FQ","BEST_FPERIOD_OVERRIDE=FQ","FILING_STATUS=OR","SCALING_FORMAT=MLN","FA_ADJUSTED=GAAP","Sort=A","Dates=H","DateFormat=P","Fill=—","Direction=H","UseDPDF=Y")</f>
        <v>6954</v>
      </c>
      <c r="AE32" s="16">
        <f>_xll.BDH("XOM US Equity","PRETAX_INC","FQ3 2015","FQ3 2015","Currency=USD","Period=FQ","BEST_FPERIOD_OVERRIDE=FQ","FILING_STATUS=OR","SCALING_FORMAT=MLN","FA_ADJUSTED=GAAP","Sort=A","Dates=H","DateFormat=P","Fill=—","Direction=H","UseDPDF=Y")</f>
        <v>5749</v>
      </c>
      <c r="AF32" s="16">
        <f>_xll.BDH("XOM US Equity","PRETAX_INC","FQ4 2015","FQ4 2015","Currency=USD","Period=FQ","BEST_FPERIOD_OVERRIDE=FQ","FILING_STATUS=OR","SCALING_FORMAT=MLN","FA_ADJUSTED=GAAP","Sort=A","Dates=H","DateFormat=P","Fill=—","Direction=H","UseDPDF=Y")</f>
        <v>2628</v>
      </c>
      <c r="AG32" s="16">
        <f>_xll.BDH("XOM US Equity","PRETAX_INC","FQ1 2016","FQ1 2016","Currency=USD","Period=FQ","BEST_FPERIOD_OVERRIDE=FQ","FILING_STATUS=OR","SCALING_FORMAT=MLN","FA_ADJUSTED=GAAP","Sort=A","Dates=H","DateFormat=P","Fill=—","Direction=H","UseDPDF=Y")</f>
        <v>1730</v>
      </c>
      <c r="AH32" s="16">
        <f>_xll.BDH("XOM US Equity","PRETAX_INC","FQ2 2016","FQ2 2016","Currency=USD","Period=FQ","BEST_FPERIOD_OVERRIDE=FQ","FILING_STATUS=OR","SCALING_FORMAT=MLN","FA_ADJUSTED=GAAP","Sort=A","Dates=H","DateFormat=P","Fill=—","Direction=H","UseDPDF=Y")</f>
        <v>2396</v>
      </c>
      <c r="AI32" s="16">
        <f>_xll.BDH("XOM US Equity","PRETAX_INC","FQ3 2016","FQ3 2016","Currency=USD","Period=FQ","BEST_FPERIOD_OVERRIDE=FQ","FILING_STATUS=OR","SCALING_FORMAT=MLN","FA_ADJUSTED=GAAP","Sort=A","Dates=H","DateFormat=P","Fill=—","Direction=H","UseDPDF=Y")</f>
        <v>3226</v>
      </c>
      <c r="AJ32" s="16">
        <f>_xll.BDH("XOM US Equity","PRETAX_INC","FQ4 2016","FQ4 2016","Currency=USD","Period=FQ","BEST_FPERIOD_OVERRIDE=FQ","FILING_STATUS=OR","SCALING_FORMAT=MLN","FA_ADJUSTED=GAAP","Sort=A","Dates=H","DateFormat=P","Fill=—","Direction=H","UseDPDF=Y")</f>
        <v>617</v>
      </c>
      <c r="AK32" s="16">
        <f>_xll.BDH("XOM US Equity","PRETAX_INC","FQ1 2017","FQ1 2017","Currency=USD","Period=FQ","BEST_FPERIOD_OVERRIDE=FQ","FILING_STATUS=OR","SCALING_FORMAT=MLN","FA_ADJUSTED=GAAP","Sort=A","Dates=H","DateFormat=P","Fill=—","Direction=H","UseDPDF=Y")</f>
        <v>5918</v>
      </c>
      <c r="AL32" s="16">
        <f>_xll.BDH("XOM US Equity","PRETAX_INC","FQ2 2017","FQ2 2017","Currency=USD","Period=FQ","BEST_FPERIOD_OVERRIDE=FQ","FILING_STATUS=OR","SCALING_FORMAT=MLN","FA_ADJUSTED=GAAP","Sort=A","Dates=H","DateFormat=P","Fill=—","Direction=H","UseDPDF=Y")</f>
        <v>4156</v>
      </c>
      <c r="AM32" s="16">
        <f>_xll.BDH("XOM US Equity","PRETAX_INC","FQ3 2017","FQ3 2017","Currency=USD","Period=FQ","BEST_FPERIOD_OVERRIDE=FQ","FILING_STATUS=OR","SCALING_FORMAT=MLN","FA_ADJUSTED=GAAP","Sort=A","Dates=H","DateFormat=P","Fill=—","Direction=H","UseDPDF=Y")</f>
        <v>5583</v>
      </c>
      <c r="AN32" s="16">
        <f>_xll.BDH("XOM US Equity","PRETAX_INC","FQ4 2017","FQ4 2017","Currency=USD","Period=FQ","BEST_FPERIOD_OVERRIDE=FQ","FILING_STATUS=OR","SCALING_FORMAT=MLN","FA_ADJUSTED=GAAP","Sort=A","Dates=H","DateFormat=P","Fill=—","Direction=H","UseDPDF=Y")</f>
        <v>3017</v>
      </c>
      <c r="AO32" s="16">
        <f>_xll.BDH("XOM US Equity","PRETAX_INC","FQ1 2018","FQ1 2018","Currency=USD","Period=FQ","BEST_FPERIOD_OVERRIDE=FQ","FILING_STATUS=OR","SCALING_FORMAT=MLN","FA_ADJUSTED=GAAP","Sort=A","Dates=H","DateFormat=P","Fill=—","Direction=H","UseDPDF=Y")</f>
        <v>7240</v>
      </c>
      <c r="AP32" s="16">
        <f>_xll.BDH("XOM US Equity","PRETAX_INC","FQ2 2018","FQ2 2018","Currency=USD","Period=FQ","BEST_FPERIOD_OVERRIDE=FQ","FILING_STATUS=OR","SCALING_FORMAT=MLN","FA_ADJUSTED=GAAP","Sort=A","Dates=H","DateFormat=P","Fill=—","Direction=H","UseDPDF=Y")</f>
        <v>6512</v>
      </c>
    </row>
    <row r="33" spans="1:42" x14ac:dyDescent="0.25">
      <c r="A33" s="10" t="s">
        <v>139</v>
      </c>
      <c r="B33" s="10" t="s">
        <v>140</v>
      </c>
      <c r="C33" s="13">
        <f>_xll.BDH("XOM US Equity","IS_INC_TAX_EXP","FQ3 2008","FQ3 2008","Currency=USD","Period=FQ","BEST_FPERIOD_OVERRIDE=FQ","FILING_STATUS=OR","SCALING_FORMAT=MLN","FA_ADJUSTED=GAAP","Sort=A","Dates=H","DateFormat=P","Fill=—","Direction=H","UseDPDF=Y")</f>
        <v>11327</v>
      </c>
      <c r="D33" s="13">
        <f>_xll.BDH("XOM US Equity","IS_INC_TAX_EXP","FQ4 2008","FQ4 2008","Currency=USD","Period=FQ","BEST_FPERIOD_OVERRIDE=FQ","FILING_STATUS=OR","SCALING_FORMAT=MLN","FA_ADJUSTED=GAAP","Sort=A","Dates=H","DateFormat=P","Fill=—","Direction=H","UseDPDF=Y")</f>
        <v>5375</v>
      </c>
      <c r="E33" s="13">
        <f>_xll.BDH("XOM US Equity","IS_INC_TAX_EXP","FQ1 2009","FQ1 2009","Currency=USD","Period=FQ","BEST_FPERIOD_OVERRIDE=FQ","FILING_STATUS=OR","SCALING_FORMAT=MLN","FA_ADJUSTED=GAAP","Sort=A","Dates=H","DateFormat=P","Fill=—","Direction=H","UseDPDF=Y")</f>
        <v>3148</v>
      </c>
      <c r="F33" s="13">
        <f>_xll.BDH("XOM US Equity","IS_INC_TAX_EXP","FQ2 2009","FQ2 2009","Currency=USD","Period=FQ","BEST_FPERIOD_OVERRIDE=FQ","FILING_STATUS=OR","SCALING_FORMAT=MLN","FA_ADJUSTED=GAAP","Sort=A","Dates=H","DateFormat=P","Fill=—","Direction=H","UseDPDF=Y")</f>
        <v>3571</v>
      </c>
      <c r="G33" s="13">
        <f>_xll.BDH("XOM US Equity","IS_INC_TAX_EXP","FQ3 2009","FQ3 2009","Currency=USD","Period=FQ","BEST_FPERIOD_OVERRIDE=FQ","FILING_STATUS=OR","SCALING_FORMAT=MLN","FA_ADJUSTED=GAAP","Sort=A","Dates=H","DateFormat=P","Fill=—","Direction=H","UseDPDF=Y")</f>
        <v>4333</v>
      </c>
      <c r="H33" s="13">
        <f>_xll.BDH("XOM US Equity","IS_INC_TAX_EXP","FQ4 2009","FQ4 2009","Currency=USD","Period=FQ","BEST_FPERIOD_OVERRIDE=FQ","FILING_STATUS=OR","SCALING_FORMAT=MLN","FA_ADJUSTED=GAAP","Sort=A","Dates=H","DateFormat=P","Fill=—","Direction=H","UseDPDF=Y")</f>
        <v>4067</v>
      </c>
      <c r="I33" s="13">
        <f>_xll.BDH("XOM US Equity","IS_INC_TAX_EXP","FQ1 2010","FQ1 2010","Currency=USD","Period=FQ","BEST_FPERIOD_OVERRIDE=FQ","FILING_STATUS=OR","SCALING_FORMAT=MLN","FA_ADJUSTED=GAAP","Sort=A","Dates=H","DateFormat=P","Fill=—","Direction=H","UseDPDF=Y")</f>
        <v>5493</v>
      </c>
      <c r="J33" s="13">
        <f>_xll.BDH("XOM US Equity","IS_INC_TAX_EXP","FQ2 2010","FQ2 2010","Currency=USD","Period=FQ","BEST_FPERIOD_OVERRIDE=FQ","FILING_STATUS=OR","SCALING_FORMAT=MLN","FA_ADJUSTED=GAAP","Sort=A","Dates=H","DateFormat=P","Fill=—","Direction=H","UseDPDF=Y")</f>
        <v>4960</v>
      </c>
      <c r="K33" s="13">
        <f>_xll.BDH("XOM US Equity","IS_INC_TAX_EXP","FQ3 2010","FQ3 2010","Currency=USD","Period=FQ","BEST_FPERIOD_OVERRIDE=FQ","FILING_STATUS=OR","SCALING_FORMAT=MLN","FA_ADJUSTED=GAAP","Sort=A","Dates=H","DateFormat=P","Fill=—","Direction=H","UseDPDF=Y")</f>
        <v>5297</v>
      </c>
      <c r="L33" s="13">
        <f>_xll.BDH("XOM US Equity","IS_INC_TAX_EXP","FQ4 2010","FQ4 2010","Currency=USD","Period=FQ","BEST_FPERIOD_OVERRIDE=FQ","FILING_STATUS=OR","SCALING_FORMAT=MLN","FA_ADJUSTED=GAAP","Sort=A","Dates=H","DateFormat=P","Fill=—","Direction=H","UseDPDF=Y")</f>
        <v>5811</v>
      </c>
      <c r="M33" s="13">
        <f>_xll.BDH("XOM US Equity","IS_INC_TAX_EXP","FQ1 2011","FQ1 2011","Currency=USD","Period=FQ","BEST_FPERIOD_OVERRIDE=FQ","FILING_STATUS=OR","SCALING_FORMAT=MLN","FA_ADJUSTED=GAAP","Sort=A","Dates=H","DateFormat=P","Fill=—","Direction=H","UseDPDF=Y")</f>
        <v>8004</v>
      </c>
      <c r="N33" s="13">
        <f>_xll.BDH("XOM US Equity","IS_INC_TAX_EXP","FQ2 2011","FQ2 2011","Currency=USD","Period=FQ","BEST_FPERIOD_OVERRIDE=FQ","FILING_STATUS=OR","SCALING_FORMAT=MLN","FA_ADJUSTED=GAAP","Sort=A","Dates=H","DateFormat=P","Fill=—","Direction=H","UseDPDF=Y")</f>
        <v>7721</v>
      </c>
      <c r="O33" s="13">
        <f>_xll.BDH("XOM US Equity","IS_INC_TAX_EXP","FQ3 2011","FQ3 2011","Currency=USD","Period=FQ","BEST_FPERIOD_OVERRIDE=FQ","FILING_STATUS=OR","SCALING_FORMAT=MLN","FA_ADJUSTED=GAAP","Sort=A","Dates=H","DateFormat=P","Fill=—","Direction=H","UseDPDF=Y")</f>
        <v>8009</v>
      </c>
      <c r="P33" s="13">
        <f>_xll.BDH("XOM US Equity","IS_INC_TAX_EXP","FQ4 2011","FQ4 2011","Currency=USD","Period=FQ","BEST_FPERIOD_OVERRIDE=FQ","FILING_STATUS=OR","SCALING_FORMAT=MLN","FA_ADJUSTED=GAAP","Sort=A","Dates=H","DateFormat=P","Fill=—","Direction=H","UseDPDF=Y")</f>
        <v>7317</v>
      </c>
      <c r="Q33" s="13">
        <f>_xll.BDH("XOM US Equity","IS_INC_TAX_EXP","FQ1 2012","FQ1 2012","Currency=USD","Period=FQ","BEST_FPERIOD_OVERRIDE=FQ","FILING_STATUS=OR","SCALING_FORMAT=MLN","FA_ADJUSTED=GAAP","Sort=A","Dates=H","DateFormat=P","Fill=—","Direction=H","UseDPDF=Y")</f>
        <v>7716</v>
      </c>
      <c r="R33" s="13">
        <f>_xll.BDH("XOM US Equity","IS_INC_TAX_EXP","FQ2 2012","FQ2 2012","Currency=USD","Period=FQ","BEST_FPERIOD_OVERRIDE=FQ","FILING_STATUS=OR","SCALING_FORMAT=MLN","FA_ADJUSTED=GAAP","Sort=A","Dates=H","DateFormat=P","Fill=—","Direction=H","UseDPDF=Y")</f>
        <v>8537</v>
      </c>
      <c r="S33" s="13">
        <f>_xll.BDH("XOM US Equity","IS_INC_TAX_EXP","FQ3 2012","FQ3 2012","Currency=USD","Period=FQ","BEST_FPERIOD_OVERRIDE=FQ","FILING_STATUS=OR","SCALING_FORMAT=MLN","FA_ADJUSTED=GAAP","Sort=A","Dates=H","DateFormat=P","Fill=—","Direction=H","UseDPDF=Y")</f>
        <v>7394</v>
      </c>
      <c r="T33" s="13">
        <f>_xll.BDH("XOM US Equity","IS_INC_TAX_EXP","FQ4 2012","FQ4 2012","Currency=USD","Period=FQ","BEST_FPERIOD_OVERRIDE=FQ","FILING_STATUS=OR","SCALING_FORMAT=MLN","FA_ADJUSTED=GAAP","Sort=A","Dates=H","DateFormat=P","Fill=—","Direction=H","UseDPDF=Y")</f>
        <v>7398</v>
      </c>
      <c r="U33" s="13">
        <f>_xll.BDH("XOM US Equity","IS_INC_TAX_EXP","FQ1 2013","FQ1 2013","Currency=USD","Period=FQ","BEST_FPERIOD_OVERRIDE=FQ","FILING_STATUS=OR","SCALING_FORMAT=MLN","FA_ADJUSTED=GAAP","Sort=A","Dates=H","DateFormat=P","Fill=—","Direction=H","UseDPDF=Y")</f>
        <v>6277</v>
      </c>
      <c r="V33" s="13">
        <f>_xll.BDH("XOM US Equity","IS_INC_TAX_EXP","FQ2 2013","FQ2 2013","Currency=USD","Period=FQ","BEST_FPERIOD_OVERRIDE=FQ","FILING_STATUS=OR","SCALING_FORMAT=MLN","FA_ADJUSTED=GAAP","Sort=A","Dates=H","DateFormat=P","Fill=—","Direction=H","UseDPDF=Y")</f>
        <v>5793</v>
      </c>
      <c r="W33" s="13">
        <f>_xll.BDH("XOM US Equity","IS_INC_TAX_EXP","FQ3 2013","FQ3 2013","Currency=USD","Period=FQ","BEST_FPERIOD_OVERRIDE=FQ","FILING_STATUS=OR","SCALING_FORMAT=MLN","FA_ADJUSTED=GAAP","Sort=A","Dates=H","DateFormat=P","Fill=—","Direction=H","UseDPDF=Y")</f>
        <v>6120</v>
      </c>
      <c r="X33" s="13">
        <f>_xll.BDH("XOM US Equity","IS_INC_TAX_EXP","FQ4 2013","FQ4 2013","Currency=USD","Period=FQ","BEST_FPERIOD_OVERRIDE=FQ","FILING_STATUS=OR","SCALING_FORMAT=MLN","FA_ADJUSTED=GAAP","Sort=A","Dates=H","DateFormat=P","Fill=—","Direction=H","UseDPDF=Y")</f>
        <v>6073</v>
      </c>
      <c r="Y33" s="13">
        <f>_xll.BDH("XOM US Equity","IS_INC_TAX_EXP","FQ1 2014","FQ1 2014","Currency=USD","Period=FQ","BEST_FPERIOD_OVERRIDE=FQ","FILING_STATUS=OR","SCALING_FORMAT=MLN","FA_ADJUSTED=GAAP","Sort=A","Dates=H","DateFormat=P","Fill=—","Direction=H","UseDPDF=Y")</f>
        <v>5857</v>
      </c>
      <c r="Z33" s="13">
        <f>_xll.BDH("XOM US Equity","IS_INC_TAX_EXP","FQ2 2014","FQ2 2014","Currency=USD","Period=FQ","BEST_FPERIOD_OVERRIDE=FQ","FILING_STATUS=OR","SCALING_FORMAT=MLN","FA_ADJUSTED=GAAP","Sort=A","Dates=H","DateFormat=P","Fill=—","Direction=H","UseDPDF=Y")</f>
        <v>5034</v>
      </c>
      <c r="AA33" s="13">
        <f>_xll.BDH("XOM US Equity","IS_INC_TAX_EXP","FQ3 2014","FQ3 2014","Currency=USD","Period=FQ","BEST_FPERIOD_OVERRIDE=FQ","FILING_STATUS=OR","SCALING_FORMAT=MLN","FA_ADJUSTED=GAAP","Sort=A","Dates=H","DateFormat=P","Fill=—","Direction=H","UseDPDF=Y")</f>
        <v>5064</v>
      </c>
      <c r="AB33" s="13">
        <f>_xll.BDH("XOM US Equity","IS_INC_TAX_EXP","FQ4 2014","FQ4 2014","Currency=USD","Period=FQ","BEST_FPERIOD_OVERRIDE=FQ","FILING_STATUS=OR","SCALING_FORMAT=MLN","FA_ADJUSTED=GAAP","Sort=A","Dates=H","DateFormat=P","Fill=—","Direction=H","UseDPDF=Y")</f>
        <v>2060</v>
      </c>
      <c r="AC33" s="13">
        <f>_xll.BDH("XOM US Equity","IS_INC_TAX_EXP","FQ1 2015","FQ1 2015","Currency=USD","Period=FQ","BEST_FPERIOD_OVERRIDE=FQ","FILING_STATUS=OR","SCALING_FORMAT=MLN","FA_ADJUSTED=GAAP","Sort=A","Dates=H","DateFormat=P","Fill=—","Direction=H","UseDPDF=Y")</f>
        <v>1560</v>
      </c>
      <c r="AD33" s="13">
        <f>_xll.BDH("XOM US Equity","IS_INC_TAX_EXP","FQ2 2015","FQ2 2015","Currency=USD","Period=FQ","BEST_FPERIOD_OVERRIDE=FQ","FILING_STATUS=OR","SCALING_FORMAT=MLN","FA_ADJUSTED=GAAP","Sort=A","Dates=H","DateFormat=P","Fill=—","Direction=H","UseDPDF=Y")</f>
        <v>2692</v>
      </c>
      <c r="AE33" s="13">
        <f>_xll.BDH("XOM US Equity","IS_INC_TAX_EXP","FQ3 2015","FQ3 2015","Currency=USD","Period=FQ","BEST_FPERIOD_OVERRIDE=FQ","FILING_STATUS=OR","SCALING_FORMAT=MLN","FA_ADJUSTED=GAAP","Sort=A","Dates=H","DateFormat=P","Fill=—","Direction=H","UseDPDF=Y")</f>
        <v>1365</v>
      </c>
      <c r="AF33" s="13">
        <f>_xll.BDH("XOM US Equity","IS_INC_TAX_EXP","FQ4 2015","FQ4 2015","Currency=USD","Period=FQ","BEST_FPERIOD_OVERRIDE=FQ","FILING_STATUS=OR","SCALING_FORMAT=MLN","FA_ADJUSTED=GAAP","Sort=A","Dates=H","DateFormat=P","Fill=—","Direction=H","UseDPDF=Y")</f>
        <v>-202</v>
      </c>
      <c r="AG33" s="13">
        <f>_xll.BDH("XOM US Equity","IS_INC_TAX_EXP","FQ1 2016","FQ1 2016","Currency=USD","Period=FQ","BEST_FPERIOD_OVERRIDE=FQ","FILING_STATUS=OR","SCALING_FORMAT=MLN","FA_ADJUSTED=GAAP","Sort=A","Dates=H","DateFormat=P","Fill=—","Direction=H","UseDPDF=Y")</f>
        <v>-51</v>
      </c>
      <c r="AH33" s="13">
        <f>_xll.BDH("XOM US Equity","IS_INC_TAX_EXP","FQ2 2016","FQ2 2016","Currency=USD","Period=FQ","BEST_FPERIOD_OVERRIDE=FQ","FILING_STATUS=OR","SCALING_FORMAT=MLN","FA_ADJUSTED=GAAP","Sort=A","Dates=H","DateFormat=P","Fill=—","Direction=H","UseDPDF=Y")</f>
        <v>715</v>
      </c>
      <c r="AI33" s="13">
        <f>_xll.BDH("XOM US Equity","IS_INC_TAX_EXP","FQ3 2016","FQ3 2016","Currency=USD","Period=FQ","BEST_FPERIOD_OVERRIDE=FQ","FILING_STATUS=OR","SCALING_FORMAT=MLN","FA_ADJUSTED=GAAP","Sort=A","Dates=H","DateFormat=P","Fill=—","Direction=H","UseDPDF=Y")</f>
        <v>337</v>
      </c>
      <c r="AJ33" s="13">
        <f>_xll.BDH("XOM US Equity","IS_INC_TAX_EXP","FQ4 2016","FQ4 2016","Currency=USD","Period=FQ","BEST_FPERIOD_OVERRIDE=FQ","FILING_STATUS=OR","SCALING_FORMAT=MLN","FA_ADJUSTED=GAAP","Sort=A","Dates=H","DateFormat=P","Fill=—","Direction=H","UseDPDF=Y")</f>
        <v>-1407</v>
      </c>
      <c r="AK33" s="13">
        <f>_xll.BDH("XOM US Equity","IS_INC_TAX_EXP","FQ1 2017","FQ1 2017","Currency=USD","Period=FQ","BEST_FPERIOD_OVERRIDE=FQ","FILING_STATUS=OR","SCALING_FORMAT=MLN","FA_ADJUSTED=GAAP","Sort=A","Dates=H","DateFormat=P","Fill=—","Direction=H","UseDPDF=Y")</f>
        <v>1828</v>
      </c>
      <c r="AL33" s="13">
        <f>_xll.BDH("XOM US Equity","IS_INC_TAX_EXP","FQ2 2017","FQ2 2017","Currency=USD","Period=FQ","BEST_FPERIOD_OVERRIDE=FQ","FILING_STATUS=OR","SCALING_FORMAT=MLN","FA_ADJUSTED=GAAP","Sort=A","Dates=H","DateFormat=P","Fill=—","Direction=H","UseDPDF=Y")</f>
        <v>892</v>
      </c>
      <c r="AM33" s="13">
        <f>_xll.BDH("XOM US Equity","IS_INC_TAX_EXP","FQ3 2017","FQ3 2017","Currency=USD","Period=FQ","BEST_FPERIOD_OVERRIDE=FQ","FILING_STATUS=OR","SCALING_FORMAT=MLN","FA_ADJUSTED=GAAP","Sort=A","Dates=H","DateFormat=P","Fill=—","Direction=H","UseDPDF=Y")</f>
        <v>1498</v>
      </c>
      <c r="AN33" s="13">
        <f>_xll.BDH("XOM US Equity","IS_INC_TAX_EXP","FQ4 2017","FQ4 2017","Currency=USD","Period=FQ","BEST_FPERIOD_OVERRIDE=FQ","FILING_STATUS=OR","SCALING_FORMAT=MLN","FA_ADJUSTED=GAAP","Sort=A","Dates=H","DateFormat=P","Fill=—","Direction=H","UseDPDF=Y")</f>
        <v>-5392</v>
      </c>
      <c r="AO33" s="13">
        <f>_xll.BDH("XOM US Equity","IS_INC_TAX_EXP","FQ1 2018","FQ1 2018","Currency=USD","Period=FQ","BEST_FPERIOD_OVERRIDE=FQ","FILING_STATUS=OR","SCALING_FORMAT=MLN","FA_ADJUSTED=GAAP","Sort=A","Dates=H","DateFormat=P","Fill=—","Direction=H","UseDPDF=Y")</f>
        <v>2457</v>
      </c>
      <c r="AP33" s="13">
        <f>_xll.BDH("XOM US Equity","IS_INC_TAX_EXP","FQ2 2018","FQ2 2018","Currency=USD","Period=FQ","BEST_FPERIOD_OVERRIDE=FQ","FILING_STATUS=OR","SCALING_FORMAT=MLN","FA_ADJUSTED=GAAP","Sort=A","Dates=H","DateFormat=P","Fill=—","Direction=H","UseDPDF=Y")</f>
        <v>2526</v>
      </c>
    </row>
    <row r="34" spans="1:42" x14ac:dyDescent="0.25">
      <c r="A34" s="6" t="s">
        <v>141</v>
      </c>
      <c r="B34" s="6" t="s">
        <v>142</v>
      </c>
      <c r="C34" s="16">
        <f>_xll.BDH("XOM US Equity","IS_INC_BEF_XO_ITEM","FQ3 2008","FQ3 2008","Currency=USD","Period=FQ","BEST_FPERIOD_OVERRIDE=FQ","FILING_STATUS=OR","SCALING_FORMAT=MLN","Sort=A","Dates=H","DateFormat=P","Fill=—","Direction=H","UseDPDF=Y")</f>
        <v>15366</v>
      </c>
      <c r="D34" s="16">
        <f>_xll.BDH("XOM US Equity","IS_INC_BEF_XO_ITEM","FQ4 2008","FQ4 2008","Currency=USD","Period=FQ","BEST_FPERIOD_OVERRIDE=FQ","FILING_STATUS=OR","SCALING_FORMAT=MLN","Sort=A","Dates=H","DateFormat=P","Fill=—","Direction=H","UseDPDF=Y")</f>
        <v>8424</v>
      </c>
      <c r="E34" s="16">
        <f>_xll.BDH("XOM US Equity","IS_INC_BEF_XO_ITEM","FQ1 2009","FQ1 2009","Currency=USD","Period=FQ","BEST_FPERIOD_OVERRIDE=FQ","FILING_STATUS=OR","SCALING_FORMAT=MLN","Sort=A","Dates=H","DateFormat=P","Fill=—","Direction=H","UseDPDF=Y")</f>
        <v>4702</v>
      </c>
      <c r="F34" s="16">
        <f>_xll.BDH("XOM US Equity","IS_INC_BEF_XO_ITEM","FQ2 2009","FQ2 2009","Currency=USD","Period=FQ","BEST_FPERIOD_OVERRIDE=FQ","FILING_STATUS=OR","SCALING_FORMAT=MLN","Sort=A","Dates=H","DateFormat=P","Fill=—","Direction=H","UseDPDF=Y")</f>
        <v>3946</v>
      </c>
      <c r="G34" s="16">
        <f>_xll.BDH("XOM US Equity","IS_INC_BEF_XO_ITEM","FQ3 2009","FQ3 2009","Currency=USD","Period=FQ","BEST_FPERIOD_OVERRIDE=FQ","FILING_STATUS=OR","SCALING_FORMAT=MLN","Sort=A","Dates=H","DateFormat=P","Fill=—","Direction=H","UseDPDF=Y")</f>
        <v>4871</v>
      </c>
      <c r="H34" s="16">
        <f>_xll.BDH("XOM US Equity","IS_INC_BEF_XO_ITEM","FQ4 2009","FQ4 2009","Currency=USD","Period=FQ","BEST_FPERIOD_OVERRIDE=FQ","FILING_STATUS=OR","SCALING_FORMAT=MLN","Sort=A","Dates=H","DateFormat=P","Fill=—","Direction=H","UseDPDF=Y")</f>
        <v>6139</v>
      </c>
      <c r="I34" s="16">
        <f>_xll.BDH("XOM US Equity","IS_INC_BEF_XO_ITEM","FQ1 2010","FQ1 2010","Currency=USD","Period=FQ","BEST_FPERIOD_OVERRIDE=FQ","FILING_STATUS=OR","SCALING_FORMAT=MLN","Sort=A","Dates=H","DateFormat=P","Fill=—","Direction=H","UseDPDF=Y")</f>
        <v>6575</v>
      </c>
      <c r="J34" s="16">
        <f>_xll.BDH("XOM US Equity","IS_INC_BEF_XO_ITEM","FQ2 2010","FQ2 2010","Currency=USD","Period=FQ","BEST_FPERIOD_OVERRIDE=FQ","FILING_STATUS=OR","SCALING_FORMAT=MLN","Sort=A","Dates=H","DateFormat=P","Fill=—","Direction=H","UseDPDF=Y")</f>
        <v>7746</v>
      </c>
      <c r="K34" s="16">
        <f>_xll.BDH("XOM US Equity","IS_INC_BEF_XO_ITEM","FQ3 2010","FQ3 2010","Currency=USD","Period=FQ","BEST_FPERIOD_OVERRIDE=FQ","FILING_STATUS=OR","SCALING_FORMAT=MLN","Sort=A","Dates=H","DateFormat=P","Fill=—","Direction=H","UseDPDF=Y")</f>
        <v>7561</v>
      </c>
      <c r="L34" s="16">
        <f>_xll.BDH("XOM US Equity","IS_INC_BEF_XO_ITEM","FQ4 2010","FQ4 2010","Currency=USD","Period=FQ","BEST_FPERIOD_OVERRIDE=FQ","FILING_STATUS=OR","SCALING_FORMAT=MLN","Sort=A","Dates=H","DateFormat=P","Fill=—","Direction=H","UseDPDF=Y")</f>
        <v>9516</v>
      </c>
      <c r="M34" s="16">
        <f>_xll.BDH("XOM US Equity","IS_INC_BEF_XO_ITEM","FQ1 2011","FQ1 2011","Currency=USD","Period=FQ","BEST_FPERIOD_OVERRIDE=FQ","FILING_STATUS=OR","SCALING_FORMAT=MLN","Sort=A","Dates=H","DateFormat=P","Fill=—","Direction=H","UseDPDF=Y")</f>
        <v>10913</v>
      </c>
      <c r="N34" s="16">
        <f>_xll.BDH("XOM US Equity","IS_INC_BEF_XO_ITEM","FQ2 2011","FQ2 2011","Currency=USD","Period=FQ","BEST_FPERIOD_OVERRIDE=FQ","FILING_STATUS=OR","SCALING_FORMAT=MLN","Sort=A","Dates=H","DateFormat=P","Fill=—","Direction=H","UseDPDF=Y")</f>
        <v>10898</v>
      </c>
      <c r="O34" s="16">
        <f>_xll.BDH("XOM US Equity","IS_INC_BEF_XO_ITEM","FQ3 2011","FQ3 2011","Currency=USD","Period=FQ","BEST_FPERIOD_OVERRIDE=FQ","FILING_STATUS=OR","SCALING_FORMAT=MLN","Sort=A","Dates=H","DateFormat=P","Fill=—","Direction=H","UseDPDF=Y")</f>
        <v>10671</v>
      </c>
      <c r="P34" s="16">
        <f>_xll.BDH("XOM US Equity","IS_INC_BEF_XO_ITEM","FQ4 2011","FQ4 2011","Currency=USD","Period=FQ","BEST_FPERIOD_OVERRIDE=FQ","FILING_STATUS=OR","SCALING_FORMAT=MLN","Sort=A","Dates=H","DateFormat=P","Fill=—","Direction=H","UseDPDF=Y")</f>
        <v>9724</v>
      </c>
      <c r="Q34" s="16">
        <f>_xll.BDH("XOM US Equity","IS_INC_BEF_XO_ITEM","FQ1 2012","FQ1 2012","Currency=USD","Period=FQ","BEST_FPERIOD_OVERRIDE=FQ","FILING_STATUS=OR","SCALING_FORMAT=MLN","Sort=A","Dates=H","DateFormat=P","Fill=—","Direction=H","UseDPDF=Y")</f>
        <v>9799</v>
      </c>
      <c r="R34" s="16">
        <f>_xll.BDH("XOM US Equity","IS_INC_BEF_XO_ITEM","FQ2 2012","FQ2 2012","Currency=USD","Period=FQ","BEST_FPERIOD_OVERRIDE=FQ","FILING_STATUS=OR","SCALING_FORMAT=MLN","Sort=A","Dates=H","DateFormat=P","Fill=—","Direction=H","UseDPDF=Y")</f>
        <v>17654</v>
      </c>
      <c r="S34" s="16">
        <f>_xll.BDH("XOM US Equity","IS_INC_BEF_XO_ITEM","FQ3 2012","FQ3 2012","Currency=USD","Period=FQ","BEST_FPERIOD_OVERRIDE=FQ","FILING_STATUS=OR","SCALING_FORMAT=MLN","Sort=A","Dates=H","DateFormat=P","Fill=—","Direction=H","UseDPDF=Y")</f>
        <v>9926</v>
      </c>
      <c r="T34" s="16">
        <f>_xll.BDH("XOM US Equity","IS_INC_BEF_XO_ITEM","FQ4 2012","FQ4 2012","Currency=USD","Period=FQ","BEST_FPERIOD_OVERRIDE=FQ","FILING_STATUS=OR","SCALING_FORMAT=MLN","Sort=A","Dates=H","DateFormat=P","Fill=—","Direction=H","UseDPDF=Y")</f>
        <v>10302</v>
      </c>
      <c r="U34" s="16">
        <f>_xll.BDH("XOM US Equity","IS_INC_BEF_XO_ITEM","FQ1 2013","FQ1 2013","Currency=USD","Period=FQ","BEST_FPERIOD_OVERRIDE=FQ","FILING_STATUS=OR","SCALING_FORMAT=MLN","Sort=A","Dates=H","DateFormat=P","Fill=—","Direction=H","UseDPDF=Y")</f>
        <v>9761</v>
      </c>
      <c r="V34" s="16">
        <f>_xll.BDH("XOM US Equity","IS_INC_BEF_XO_ITEM","FQ2 2013","FQ2 2013","Currency=USD","Period=FQ","BEST_FPERIOD_OVERRIDE=FQ","FILING_STATUS=OR","SCALING_FORMAT=MLN","Sort=A","Dates=H","DateFormat=P","Fill=—","Direction=H","UseDPDF=Y")</f>
        <v>6975</v>
      </c>
      <c r="W34" s="16">
        <f>_xll.BDH("XOM US Equity","IS_INC_BEF_XO_ITEM","FQ3 2013","FQ3 2013","Currency=USD","Period=FQ","BEST_FPERIOD_OVERRIDE=FQ","FILING_STATUS=OR","SCALING_FORMAT=MLN","Sort=A","Dates=H","DateFormat=P","Fill=—","Direction=H","UseDPDF=Y")</f>
        <v>8069</v>
      </c>
      <c r="X34" s="16">
        <f>_xll.BDH("XOM US Equity","IS_INC_BEF_XO_ITEM","FQ4 2013","FQ4 2013","Currency=USD","Period=FQ","BEST_FPERIOD_OVERRIDE=FQ","FILING_STATUS=OR","SCALING_FORMAT=MLN","Sort=A","Dates=H","DateFormat=P","Fill=—","Direction=H","UseDPDF=Y")</f>
        <v>8643</v>
      </c>
      <c r="Y34" s="16">
        <f>_xll.BDH("XOM US Equity","IS_INC_BEF_XO_ITEM","FQ1 2014","FQ1 2014","Currency=USD","Period=FQ","BEST_FPERIOD_OVERRIDE=FQ","FILING_STATUS=OR","SCALING_FORMAT=MLN","Sort=A","Dates=H","DateFormat=P","Fill=—","Direction=H","UseDPDF=Y")</f>
        <v>9370</v>
      </c>
      <c r="Z34" s="16">
        <f>_xll.BDH("XOM US Equity","IS_INC_BEF_XO_ITEM","FQ2 2014","FQ2 2014","Currency=USD","Period=FQ","BEST_FPERIOD_OVERRIDE=FQ","FILING_STATUS=OR","SCALING_FORMAT=MLN","Sort=A","Dates=H","DateFormat=P","Fill=—","Direction=H","UseDPDF=Y")</f>
        <v>9117</v>
      </c>
      <c r="AA34" s="16">
        <f>_xll.BDH("XOM US Equity","IS_INC_BEF_XO_ITEM","FQ3 2014","FQ3 2014","Currency=USD","Period=FQ","BEST_FPERIOD_OVERRIDE=FQ","FILING_STATUS=OR","SCALING_FORMAT=MLN","Sort=A","Dates=H","DateFormat=P","Fill=—","Direction=H","UseDPDF=Y")</f>
        <v>8346</v>
      </c>
      <c r="AB34" s="16">
        <f>_xll.BDH("XOM US Equity","IS_INC_BEF_XO_ITEM","FQ4 2014","FQ4 2014","Currency=USD","Period=FQ","BEST_FPERIOD_OVERRIDE=FQ","FILING_STATUS=OR","SCALING_FORMAT=MLN","Sort=A","Dates=H","DateFormat=P","Fill=—","Direction=H","UseDPDF=Y")</f>
        <v>6782</v>
      </c>
      <c r="AC34" s="16">
        <f>_xll.BDH("XOM US Equity","IS_INC_BEF_XO_ITEM","FQ1 2015","FQ1 2015","Currency=USD","Period=FQ","BEST_FPERIOD_OVERRIDE=FQ","FILING_STATUS=OR","SCALING_FORMAT=MLN","Sort=A","Dates=H","DateFormat=P","Fill=—","Direction=H","UseDPDF=Y")</f>
        <v>5075</v>
      </c>
      <c r="AD34" s="16">
        <f>_xll.BDH("XOM US Equity","IS_INC_BEF_XO_ITEM","FQ2 2015","FQ2 2015","Currency=USD","Period=FQ","BEST_FPERIOD_OVERRIDE=FQ","FILING_STATUS=OR","SCALING_FORMAT=MLN","Sort=A","Dates=H","DateFormat=P","Fill=—","Direction=H","UseDPDF=Y")</f>
        <v>4262</v>
      </c>
      <c r="AE34" s="16">
        <f>_xll.BDH("XOM US Equity","IS_INC_BEF_XO_ITEM","FQ3 2015","FQ3 2015","Currency=USD","Period=FQ","BEST_FPERIOD_OVERRIDE=FQ","FILING_STATUS=OR","SCALING_FORMAT=MLN","Sort=A","Dates=H","DateFormat=P","Fill=—","Direction=H","UseDPDF=Y")</f>
        <v>4384</v>
      </c>
      <c r="AF34" s="16">
        <f>_xll.BDH("XOM US Equity","IS_INC_BEF_XO_ITEM","FQ4 2015","FQ4 2015","Currency=USD","Period=FQ","BEST_FPERIOD_OVERRIDE=FQ","FILING_STATUS=OR","SCALING_FORMAT=MLN","Sort=A","Dates=H","DateFormat=P","Fill=—","Direction=H","UseDPDF=Y")</f>
        <v>2830</v>
      </c>
      <c r="AG34" s="16">
        <f>_xll.BDH("XOM US Equity","IS_INC_BEF_XO_ITEM","FQ1 2016","FQ1 2016","Currency=USD","Period=FQ","BEST_FPERIOD_OVERRIDE=FQ","FILING_STATUS=OR","SCALING_FORMAT=MLN","Sort=A","Dates=H","DateFormat=P","Fill=—","Direction=H","UseDPDF=Y")</f>
        <v>1781</v>
      </c>
      <c r="AH34" s="16">
        <f>_xll.BDH("XOM US Equity","IS_INC_BEF_XO_ITEM","FQ2 2016","FQ2 2016","Currency=USD","Period=FQ","BEST_FPERIOD_OVERRIDE=FQ","FILING_STATUS=OR","SCALING_FORMAT=MLN","Sort=A","Dates=H","DateFormat=P","Fill=—","Direction=H","UseDPDF=Y")</f>
        <v>1681</v>
      </c>
      <c r="AI34" s="16">
        <f>_xll.BDH("XOM US Equity","IS_INC_BEF_XO_ITEM","FQ3 2016","FQ3 2016","Currency=USD","Period=FQ","BEST_FPERIOD_OVERRIDE=FQ","FILING_STATUS=OR","SCALING_FORMAT=MLN","Sort=A","Dates=H","DateFormat=P","Fill=—","Direction=H","UseDPDF=Y")</f>
        <v>2889</v>
      </c>
      <c r="AJ34" s="16">
        <f>_xll.BDH("XOM US Equity","IS_INC_BEF_XO_ITEM","FQ4 2016","FQ4 2016","Currency=USD","Period=FQ","BEST_FPERIOD_OVERRIDE=FQ","FILING_STATUS=OR","SCALING_FORMAT=MLN","Sort=A","Dates=H","DateFormat=P","Fill=—","Direction=H","UseDPDF=Y")</f>
        <v>2024</v>
      </c>
      <c r="AK34" s="16">
        <f>_xll.BDH("XOM US Equity","IS_INC_BEF_XO_ITEM","FQ1 2017","FQ1 2017","Currency=USD","Period=FQ","BEST_FPERIOD_OVERRIDE=FQ","FILING_STATUS=OR","SCALING_FORMAT=MLN","Sort=A","Dates=H","DateFormat=P","Fill=—","Direction=H","UseDPDF=Y")</f>
        <v>4090</v>
      </c>
      <c r="AL34" s="16">
        <f>_xll.BDH("XOM US Equity","IS_INC_BEF_XO_ITEM","FQ2 2017","FQ2 2017","Currency=USD","Period=FQ","BEST_FPERIOD_OVERRIDE=FQ","FILING_STATUS=OR","SCALING_FORMAT=MLN","Sort=A","Dates=H","DateFormat=P","Fill=—","Direction=H","UseDPDF=Y")</f>
        <v>3264</v>
      </c>
      <c r="AM34" s="16">
        <f>_xll.BDH("XOM US Equity","IS_INC_BEF_XO_ITEM","FQ3 2017","FQ3 2017","Currency=USD","Period=FQ","BEST_FPERIOD_OVERRIDE=FQ","FILING_STATUS=OR","SCALING_FORMAT=MLN","Sort=A","Dates=H","DateFormat=P","Fill=—","Direction=H","UseDPDF=Y")</f>
        <v>4085</v>
      </c>
      <c r="AN34" s="16">
        <f>_xll.BDH("XOM US Equity","IS_INC_BEF_XO_ITEM","FQ4 2017","FQ4 2017","Currency=USD","Period=FQ","BEST_FPERIOD_OVERRIDE=FQ","FILING_STATUS=OR","SCALING_FORMAT=MLN","Sort=A","Dates=H","DateFormat=P","Fill=—","Direction=H","UseDPDF=Y")</f>
        <v>8409</v>
      </c>
      <c r="AO34" s="16">
        <f>_xll.BDH("XOM US Equity","IS_INC_BEF_XO_ITEM","FQ1 2018","FQ1 2018","Currency=USD","Period=FQ","BEST_FPERIOD_OVERRIDE=FQ","FILING_STATUS=OR","SCALING_FORMAT=MLN","Sort=A","Dates=H","DateFormat=P","Fill=—","Direction=H","UseDPDF=Y")</f>
        <v>4783</v>
      </c>
      <c r="AP34" s="16">
        <f>_xll.BDH("XOM US Equity","IS_INC_BEF_XO_ITEM","FQ2 2018","FQ2 2018","Currency=USD","Period=FQ","BEST_FPERIOD_OVERRIDE=FQ","FILING_STATUS=OR","SCALING_FORMAT=MLN","Sort=A","Dates=H","DateFormat=P","Fill=—","Direction=H","UseDPDF=Y")</f>
        <v>3986</v>
      </c>
    </row>
    <row r="35" spans="1:42" x14ac:dyDescent="0.25">
      <c r="A35" s="10" t="s">
        <v>143</v>
      </c>
      <c r="B35" s="10" t="s">
        <v>144</v>
      </c>
      <c r="C35" s="13">
        <f>_xll.BDH("XOM US Equity","XO_GL_NET_OF_TAX","FQ3 2008","FQ3 2008","Currency=USD","Period=FQ","BEST_FPERIOD_OVERRIDE=FQ","FILING_STATUS=OR","SCALING_FORMAT=MLN","Sort=A","Dates=H","DateFormat=P","Fill=—","Direction=H","UseDPDF=Y")</f>
        <v>0</v>
      </c>
      <c r="D35" s="13">
        <f>_xll.BDH("XOM US Equity","XO_GL_NET_OF_TAX","FQ4 2008","FQ4 2008","Currency=USD","Period=FQ","BEST_FPERIOD_OVERRIDE=FQ","FILING_STATUS=OR","SCALING_FORMAT=MLN","Sort=A","Dates=H","DateFormat=P","Fill=—","Direction=H","UseDPDF=Y")</f>
        <v>0</v>
      </c>
      <c r="E35" s="13">
        <f>_xll.BDH("XOM US Equity","XO_GL_NET_OF_TAX","FQ1 2009","FQ1 2009","Currency=USD","Period=FQ","BEST_FPERIOD_OVERRIDE=FQ","FILING_STATUS=OR","SCALING_FORMAT=MLN","Sort=A","Dates=H","DateFormat=P","Fill=—","Direction=H","UseDPDF=Y")</f>
        <v>0</v>
      </c>
      <c r="F35" s="13">
        <f>_xll.BDH("XOM US Equity","XO_GL_NET_OF_TAX","FQ2 2009","FQ2 2009","Currency=USD","Period=FQ","BEST_FPERIOD_OVERRIDE=FQ","FILING_STATUS=OR","SCALING_FORMAT=MLN","Sort=A","Dates=H","DateFormat=P","Fill=—","Direction=H","UseDPDF=Y")</f>
        <v>0</v>
      </c>
      <c r="G35" s="13">
        <f>_xll.BDH("XOM US Equity","XO_GL_NET_OF_TAX","FQ3 2009","FQ3 2009","Currency=USD","Period=FQ","BEST_FPERIOD_OVERRIDE=FQ","FILING_STATUS=OR","SCALING_FORMAT=MLN","Sort=A","Dates=H","DateFormat=P","Fill=—","Direction=H","UseDPDF=Y")</f>
        <v>0</v>
      </c>
      <c r="H35" s="13">
        <f>_xll.BDH("XOM US Equity","XO_GL_NET_OF_TAX","FQ4 2009","FQ4 2009","Currency=USD","Period=FQ","BEST_FPERIOD_OVERRIDE=FQ","FILING_STATUS=OR","SCALING_FORMAT=MLN","Sort=A","Dates=H","DateFormat=P","Fill=—","Direction=H","UseDPDF=Y")</f>
        <v>0</v>
      </c>
      <c r="I35" s="13">
        <f>_xll.BDH("XOM US Equity","XO_GL_NET_OF_TAX","FQ1 2010","FQ1 2010","Currency=USD","Period=FQ","BEST_FPERIOD_OVERRIDE=FQ","FILING_STATUS=OR","SCALING_FORMAT=MLN","Sort=A","Dates=H","DateFormat=P","Fill=—","Direction=H","UseDPDF=Y")</f>
        <v>0</v>
      </c>
      <c r="J35" s="13">
        <f>_xll.BDH("XOM US Equity","XO_GL_NET_OF_TAX","FQ2 2010","FQ2 2010","Currency=USD","Period=FQ","BEST_FPERIOD_OVERRIDE=FQ","FILING_STATUS=OR","SCALING_FORMAT=MLN","Sort=A","Dates=H","DateFormat=P","Fill=—","Direction=H","UseDPDF=Y")</f>
        <v>0</v>
      </c>
      <c r="K35" s="13">
        <f>_xll.BDH("XOM US Equity","XO_GL_NET_OF_TAX","FQ3 2010","FQ3 2010","Currency=USD","Period=FQ","BEST_FPERIOD_OVERRIDE=FQ","FILING_STATUS=OR","SCALING_FORMAT=MLN","Sort=A","Dates=H","DateFormat=P","Fill=—","Direction=H","UseDPDF=Y")</f>
        <v>0</v>
      </c>
      <c r="L35" s="13">
        <f>_xll.BDH("XOM US Equity","XO_GL_NET_OF_TAX","FQ4 2010","FQ4 2010","Currency=USD","Period=FQ","BEST_FPERIOD_OVERRIDE=FQ","FILING_STATUS=OR","SCALING_FORMAT=MLN","Sort=A","Dates=H","DateFormat=P","Fill=—","Direction=H","UseDPDF=Y")</f>
        <v>0</v>
      </c>
      <c r="M35" s="13">
        <f>_xll.BDH("XOM US Equity","XO_GL_NET_OF_TAX","FQ1 2011","FQ1 2011","Currency=USD","Period=FQ","BEST_FPERIOD_OVERRIDE=FQ","FILING_STATUS=OR","SCALING_FORMAT=MLN","Sort=A","Dates=H","DateFormat=P","Fill=—","Direction=H","UseDPDF=Y")</f>
        <v>0</v>
      </c>
      <c r="N35" s="13">
        <f>_xll.BDH("XOM US Equity","XO_GL_NET_OF_TAX","FQ2 2011","FQ2 2011","Currency=USD","Period=FQ","BEST_FPERIOD_OVERRIDE=FQ","FILING_STATUS=OR","SCALING_FORMAT=MLN","Sort=A","Dates=H","DateFormat=P","Fill=—","Direction=H","UseDPDF=Y")</f>
        <v>0</v>
      </c>
      <c r="O35" s="13">
        <f>_xll.BDH("XOM US Equity","XO_GL_NET_OF_TAX","FQ3 2011","FQ3 2011","Currency=USD","Period=FQ","BEST_FPERIOD_OVERRIDE=FQ","FILING_STATUS=OR","SCALING_FORMAT=MLN","Sort=A","Dates=H","DateFormat=P","Fill=—","Direction=H","UseDPDF=Y")</f>
        <v>0</v>
      </c>
      <c r="P35" s="13">
        <f>_xll.BDH("XOM US Equity","XO_GL_NET_OF_TAX","FQ4 2011","FQ4 2011","Currency=USD","Period=FQ","BEST_FPERIOD_OVERRIDE=FQ","FILING_STATUS=OR","SCALING_FORMAT=MLN","Sort=A","Dates=H","DateFormat=P","Fill=—","Direction=H","UseDPDF=Y")</f>
        <v>0</v>
      </c>
      <c r="Q35" s="13">
        <f>_xll.BDH("XOM US Equity","XO_GL_NET_OF_TAX","FQ1 2012","FQ1 2012","Currency=USD","Period=FQ","BEST_FPERIOD_OVERRIDE=FQ","FILING_STATUS=OR","SCALING_FORMAT=MLN","Sort=A","Dates=H","DateFormat=P","Fill=—","Direction=H","UseDPDF=Y")</f>
        <v>0</v>
      </c>
      <c r="R35" s="13">
        <f>_xll.BDH("XOM US Equity","XO_GL_NET_OF_TAX","FQ2 2012","FQ2 2012","Currency=USD","Period=FQ","BEST_FPERIOD_OVERRIDE=FQ","FILING_STATUS=OR","SCALING_FORMAT=MLN","Sort=A","Dates=H","DateFormat=P","Fill=—","Direction=H","UseDPDF=Y")</f>
        <v>0</v>
      </c>
      <c r="S35" s="13">
        <f>_xll.BDH("XOM US Equity","XO_GL_NET_OF_TAX","FQ3 2012","FQ3 2012","Currency=USD","Period=FQ","BEST_FPERIOD_OVERRIDE=FQ","FILING_STATUS=OR","SCALING_FORMAT=MLN","Sort=A","Dates=H","DateFormat=P","Fill=—","Direction=H","UseDPDF=Y")</f>
        <v>0</v>
      </c>
      <c r="T35" s="13">
        <f>_xll.BDH("XOM US Equity","XO_GL_NET_OF_TAX","FQ4 2012","FQ4 2012","Currency=USD","Period=FQ","BEST_FPERIOD_OVERRIDE=FQ","FILING_STATUS=OR","SCALING_FORMAT=MLN","Sort=A","Dates=H","DateFormat=P","Fill=—","Direction=H","UseDPDF=Y")</f>
        <v>0</v>
      </c>
      <c r="U35" s="13">
        <f>_xll.BDH("XOM US Equity","XO_GL_NET_OF_TAX","FQ1 2013","FQ1 2013","Currency=USD","Period=FQ","BEST_FPERIOD_OVERRIDE=FQ","FILING_STATUS=OR","SCALING_FORMAT=MLN","Sort=A","Dates=H","DateFormat=P","Fill=—","Direction=H","UseDPDF=Y")</f>
        <v>0</v>
      </c>
      <c r="V35" s="13">
        <f>_xll.BDH("XOM US Equity","XO_GL_NET_OF_TAX","FQ2 2013","FQ2 2013","Currency=USD","Period=FQ","BEST_FPERIOD_OVERRIDE=FQ","FILING_STATUS=OR","SCALING_FORMAT=MLN","Sort=A","Dates=H","DateFormat=P","Fill=—","Direction=H","UseDPDF=Y")</f>
        <v>0</v>
      </c>
      <c r="W35" s="13">
        <f>_xll.BDH("XOM US Equity","XO_GL_NET_OF_TAX","FQ3 2013","FQ3 2013","Currency=USD","Period=FQ","BEST_FPERIOD_OVERRIDE=FQ","FILING_STATUS=OR","SCALING_FORMAT=MLN","Sort=A","Dates=H","DateFormat=P","Fill=—","Direction=H","UseDPDF=Y")</f>
        <v>0</v>
      </c>
      <c r="X35" s="13">
        <f>_xll.BDH("XOM US Equity","XO_GL_NET_OF_TAX","FQ4 2013","FQ4 2013","Currency=USD","Period=FQ","BEST_FPERIOD_OVERRIDE=FQ","FILING_STATUS=OR","SCALING_FORMAT=MLN","Sort=A","Dates=H","DateFormat=P","Fill=—","Direction=H","UseDPDF=Y")</f>
        <v>0</v>
      </c>
      <c r="Y35" s="13">
        <f>_xll.BDH("XOM US Equity","XO_GL_NET_OF_TAX","FQ1 2014","FQ1 2014","Currency=USD","Period=FQ","BEST_FPERIOD_OVERRIDE=FQ","FILING_STATUS=OR","SCALING_FORMAT=MLN","Sort=A","Dates=H","DateFormat=P","Fill=—","Direction=H","UseDPDF=Y")</f>
        <v>0</v>
      </c>
      <c r="Z35" s="13">
        <f>_xll.BDH("XOM US Equity","XO_GL_NET_OF_TAX","FQ2 2014","FQ2 2014","Currency=USD","Period=FQ","BEST_FPERIOD_OVERRIDE=FQ","FILING_STATUS=OR","SCALING_FORMAT=MLN","Sort=A","Dates=H","DateFormat=P","Fill=—","Direction=H","UseDPDF=Y")</f>
        <v>0</v>
      </c>
      <c r="AA35" s="13">
        <f>_xll.BDH("XOM US Equity","XO_GL_NET_OF_TAX","FQ3 2014","FQ3 2014","Currency=USD","Period=FQ","BEST_FPERIOD_OVERRIDE=FQ","FILING_STATUS=OR","SCALING_FORMAT=MLN","Sort=A","Dates=H","DateFormat=P","Fill=—","Direction=H","UseDPDF=Y")</f>
        <v>0</v>
      </c>
      <c r="AB35" s="13">
        <f>_xll.BDH("XOM US Equity","XO_GL_NET_OF_TAX","FQ4 2014","FQ4 2014","Currency=USD","Period=FQ","BEST_FPERIOD_OVERRIDE=FQ","FILING_STATUS=OR","SCALING_FORMAT=MLN","Sort=A","Dates=H","DateFormat=P","Fill=—","Direction=H","UseDPDF=Y")</f>
        <v>0</v>
      </c>
      <c r="AC35" s="13">
        <f>_xll.BDH("XOM US Equity","XO_GL_NET_OF_TAX","FQ1 2015","FQ1 2015","Currency=USD","Period=FQ","BEST_FPERIOD_OVERRIDE=FQ","FILING_STATUS=OR","SCALING_FORMAT=MLN","Sort=A","Dates=H","DateFormat=P","Fill=—","Direction=H","UseDPDF=Y")</f>
        <v>0</v>
      </c>
      <c r="AD35" s="13">
        <f>_xll.BDH("XOM US Equity","XO_GL_NET_OF_TAX","FQ2 2015","FQ2 2015","Currency=USD","Period=FQ","BEST_FPERIOD_OVERRIDE=FQ","FILING_STATUS=OR","SCALING_FORMAT=MLN","Sort=A","Dates=H","DateFormat=P","Fill=—","Direction=H","UseDPDF=Y")</f>
        <v>0</v>
      </c>
      <c r="AE35" s="13">
        <f>_xll.BDH("XOM US Equity","XO_GL_NET_OF_TAX","FQ3 2015","FQ3 2015","Currency=USD","Period=FQ","BEST_FPERIOD_OVERRIDE=FQ","FILING_STATUS=OR","SCALING_FORMAT=MLN","Sort=A","Dates=H","DateFormat=P","Fill=—","Direction=H","UseDPDF=Y")</f>
        <v>0</v>
      </c>
      <c r="AF35" s="13">
        <f>_xll.BDH("XOM US Equity","XO_GL_NET_OF_TAX","FQ4 2015","FQ4 2015","Currency=USD","Period=FQ","BEST_FPERIOD_OVERRIDE=FQ","FILING_STATUS=OR","SCALING_FORMAT=MLN","Sort=A","Dates=H","DateFormat=P","Fill=—","Direction=H","UseDPDF=Y")</f>
        <v>0</v>
      </c>
      <c r="AG35" s="13">
        <f>_xll.BDH("XOM US Equity","XO_GL_NET_OF_TAX","FQ1 2016","FQ1 2016","Currency=USD","Period=FQ","BEST_FPERIOD_OVERRIDE=FQ","FILING_STATUS=OR","SCALING_FORMAT=MLN","Sort=A","Dates=H","DateFormat=P","Fill=—","Direction=H","UseDPDF=Y")</f>
        <v>0</v>
      </c>
      <c r="AH35" s="13">
        <f>_xll.BDH("XOM US Equity","XO_GL_NET_OF_TAX","FQ2 2016","FQ2 2016","Currency=USD","Period=FQ","BEST_FPERIOD_OVERRIDE=FQ","FILING_STATUS=OR","SCALING_FORMAT=MLN","Sort=A","Dates=H","DateFormat=P","Fill=—","Direction=H","UseDPDF=Y")</f>
        <v>0</v>
      </c>
      <c r="AI35" s="13">
        <f>_xll.BDH("XOM US Equity","XO_GL_NET_OF_TAX","FQ3 2016","FQ3 2016","Currency=USD","Period=FQ","BEST_FPERIOD_OVERRIDE=FQ","FILING_STATUS=OR","SCALING_FORMAT=MLN","Sort=A","Dates=H","DateFormat=P","Fill=—","Direction=H","UseDPDF=Y")</f>
        <v>0</v>
      </c>
      <c r="AJ35" s="13">
        <f>_xll.BDH("XOM US Equity","XO_GL_NET_OF_TAX","FQ4 2016","FQ4 2016","Currency=USD","Period=FQ","BEST_FPERIOD_OVERRIDE=FQ","FILING_STATUS=OR","SCALING_FORMAT=MLN","Sort=A","Dates=H","DateFormat=P","Fill=—","Direction=H","UseDPDF=Y")</f>
        <v>0</v>
      </c>
      <c r="AK35" s="13">
        <f>_xll.BDH("XOM US Equity","XO_GL_NET_OF_TAX","FQ1 2017","FQ1 2017","Currency=USD","Period=FQ","BEST_FPERIOD_OVERRIDE=FQ","FILING_STATUS=OR","SCALING_FORMAT=MLN","Sort=A","Dates=H","DateFormat=P","Fill=—","Direction=H","UseDPDF=Y")</f>
        <v>0</v>
      </c>
      <c r="AL35" s="13">
        <f>_xll.BDH("XOM US Equity","XO_GL_NET_OF_TAX","FQ2 2017","FQ2 2017","Currency=USD","Period=FQ","BEST_FPERIOD_OVERRIDE=FQ","FILING_STATUS=OR","SCALING_FORMAT=MLN","Sort=A","Dates=H","DateFormat=P","Fill=—","Direction=H","UseDPDF=Y")</f>
        <v>0</v>
      </c>
      <c r="AM35" s="13">
        <f>_xll.BDH("XOM US Equity","XO_GL_NET_OF_TAX","FQ3 2017","FQ3 2017","Currency=USD","Period=FQ","BEST_FPERIOD_OVERRIDE=FQ","FILING_STATUS=OR","SCALING_FORMAT=MLN","Sort=A","Dates=H","DateFormat=P","Fill=—","Direction=H","UseDPDF=Y")</f>
        <v>0</v>
      </c>
      <c r="AN35" s="13">
        <f>_xll.BDH("XOM US Equity","XO_GL_NET_OF_TAX","FQ4 2017","FQ4 2017","Currency=USD","Period=FQ","BEST_FPERIOD_OVERRIDE=FQ","FILING_STATUS=OR","SCALING_FORMAT=MLN","Sort=A","Dates=H","DateFormat=P","Fill=—","Direction=H","UseDPDF=Y")</f>
        <v>0</v>
      </c>
      <c r="AO35" s="13">
        <f>_xll.BDH("XOM US Equity","XO_GL_NET_OF_TAX","FQ1 2018","FQ1 2018","Currency=USD","Period=FQ","BEST_FPERIOD_OVERRIDE=FQ","FILING_STATUS=OR","SCALING_FORMAT=MLN","Sort=A","Dates=H","DateFormat=P","Fill=—","Direction=H","UseDPDF=Y")</f>
        <v>0</v>
      </c>
      <c r="AP35" s="13">
        <f>_xll.BDH("XOM US Equity","XO_GL_NET_OF_TAX","FQ2 2018","FQ2 2018","Currency=USD","Period=FQ","BEST_FPERIOD_OVERRIDE=FQ","FILING_STATUS=OR","SCALING_FORMAT=MLN","Sort=A","Dates=H","DateFormat=P","Fill=—","Direction=H","UseDPDF=Y")</f>
        <v>0</v>
      </c>
    </row>
    <row r="36" spans="1:42" x14ac:dyDescent="0.25">
      <c r="A36" s="10" t="s">
        <v>145</v>
      </c>
      <c r="B36" s="10" t="s">
        <v>146</v>
      </c>
      <c r="C36" s="13" t="str">
        <f>_xll.BDH("XOM US Equity","IS_DISCONTINUED_OPERATIONS","FQ3 2008","FQ3 2008","Currency=USD","Period=FQ","BEST_FPERIOD_OVERRIDE=FQ","FILING_STATUS=OR","SCALING_FORMAT=MLN","Sort=A","Dates=H","DateFormat=P","Fill=—","Direction=H","UseDPDF=Y")</f>
        <v>—</v>
      </c>
      <c r="D36" s="13" t="str">
        <f>_xll.BDH("XOM US Equity","IS_DISCONTINUED_OPERATIONS","FQ4 2008","FQ4 2008","Currency=USD","Period=FQ","BEST_FPERIOD_OVERRIDE=FQ","FILING_STATUS=OR","SCALING_FORMAT=MLN","Sort=A","Dates=H","DateFormat=P","Fill=—","Direction=H","UseDPDF=Y")</f>
        <v>—</v>
      </c>
      <c r="E36" s="13">
        <f>_xll.BDH("XOM US Equity","IS_DISCONTINUED_OPERATIONS","FQ1 2009","FQ1 2009","Currency=USD","Period=FQ","BEST_FPERIOD_OVERRIDE=FQ","FILING_STATUS=OR","SCALING_FORMAT=MLN","Sort=A","Dates=H","DateFormat=P","Fill=—","Direction=H","UseDPDF=Y")</f>
        <v>0</v>
      </c>
      <c r="F36" s="13">
        <f>_xll.BDH("XOM US Equity","IS_DISCONTINUED_OPERATIONS","FQ2 2009","FQ2 2009","Currency=USD","Period=FQ","BEST_FPERIOD_OVERRIDE=FQ","FILING_STATUS=OR","SCALING_FORMAT=MLN","Sort=A","Dates=H","DateFormat=P","Fill=—","Direction=H","UseDPDF=Y")</f>
        <v>0</v>
      </c>
      <c r="G36" s="13">
        <f>_xll.BDH("XOM US Equity","IS_DISCONTINUED_OPERATIONS","FQ3 2009","FQ3 2009","Currency=USD","Period=FQ","BEST_FPERIOD_OVERRIDE=FQ","FILING_STATUS=OR","SCALING_FORMAT=MLN","Sort=A","Dates=H","DateFormat=P","Fill=—","Direction=H","UseDPDF=Y")</f>
        <v>0</v>
      </c>
      <c r="H36" s="13">
        <f>_xll.BDH("XOM US Equity","IS_DISCONTINUED_OPERATIONS","FQ4 2009","FQ4 2009","Currency=USD","Period=FQ","BEST_FPERIOD_OVERRIDE=FQ","FILING_STATUS=OR","SCALING_FORMAT=MLN","Sort=A","Dates=H","DateFormat=P","Fill=—","Direction=H","UseDPDF=Y")</f>
        <v>0</v>
      </c>
      <c r="I36" s="13">
        <f>_xll.BDH("XOM US Equity","IS_DISCONTINUED_OPERATIONS","FQ1 2010","FQ1 2010","Currency=USD","Period=FQ","BEST_FPERIOD_OVERRIDE=FQ","FILING_STATUS=OR","SCALING_FORMAT=MLN","Sort=A","Dates=H","DateFormat=P","Fill=—","Direction=H","UseDPDF=Y")</f>
        <v>0</v>
      </c>
      <c r="J36" s="13">
        <f>_xll.BDH("XOM US Equity","IS_DISCONTINUED_OPERATIONS","FQ2 2010","FQ2 2010","Currency=USD","Period=FQ","BEST_FPERIOD_OVERRIDE=FQ","FILING_STATUS=OR","SCALING_FORMAT=MLN","Sort=A","Dates=H","DateFormat=P","Fill=—","Direction=H","UseDPDF=Y")</f>
        <v>0</v>
      </c>
      <c r="K36" s="13">
        <f>_xll.BDH("XOM US Equity","IS_DISCONTINUED_OPERATIONS","FQ3 2010","FQ3 2010","Currency=USD","Period=FQ","BEST_FPERIOD_OVERRIDE=FQ","FILING_STATUS=OR","SCALING_FORMAT=MLN","Sort=A","Dates=H","DateFormat=P","Fill=—","Direction=H","UseDPDF=Y")</f>
        <v>0</v>
      </c>
      <c r="L36" s="13">
        <f>_xll.BDH("XOM US Equity","IS_DISCONTINUED_OPERATIONS","FQ4 2010","FQ4 2010","Currency=USD","Period=FQ","BEST_FPERIOD_OVERRIDE=FQ","FILING_STATUS=OR","SCALING_FORMAT=MLN","Sort=A","Dates=H","DateFormat=P","Fill=—","Direction=H","UseDPDF=Y")</f>
        <v>0</v>
      </c>
      <c r="M36" s="13">
        <f>_xll.BDH("XOM US Equity","IS_DISCONTINUED_OPERATIONS","FQ1 2011","FQ1 2011","Currency=USD","Period=FQ","BEST_FPERIOD_OVERRIDE=FQ","FILING_STATUS=OR","SCALING_FORMAT=MLN","Sort=A","Dates=H","DateFormat=P","Fill=—","Direction=H","UseDPDF=Y")</f>
        <v>0</v>
      </c>
      <c r="N36" s="13">
        <f>_xll.BDH("XOM US Equity","IS_DISCONTINUED_OPERATIONS","FQ2 2011","FQ2 2011","Currency=USD","Period=FQ","BEST_FPERIOD_OVERRIDE=FQ","FILING_STATUS=OR","SCALING_FORMAT=MLN","Sort=A","Dates=H","DateFormat=P","Fill=—","Direction=H","UseDPDF=Y")</f>
        <v>0</v>
      </c>
      <c r="O36" s="13">
        <f>_xll.BDH("XOM US Equity","IS_DISCONTINUED_OPERATIONS","FQ3 2011","FQ3 2011","Currency=USD","Period=FQ","BEST_FPERIOD_OVERRIDE=FQ","FILING_STATUS=OR","SCALING_FORMAT=MLN","Sort=A","Dates=H","DateFormat=P","Fill=—","Direction=H","UseDPDF=Y")</f>
        <v>0</v>
      </c>
      <c r="P36" s="13">
        <f>_xll.BDH("XOM US Equity","IS_DISCONTINUED_OPERATIONS","FQ4 2011","FQ4 2011","Currency=USD","Period=FQ","BEST_FPERIOD_OVERRIDE=FQ","FILING_STATUS=OR","SCALING_FORMAT=MLN","Sort=A","Dates=H","DateFormat=P","Fill=—","Direction=H","UseDPDF=Y")</f>
        <v>0</v>
      </c>
      <c r="Q36" s="13">
        <f>_xll.BDH("XOM US Equity","IS_DISCONTINUED_OPERATIONS","FQ1 2012","FQ1 2012","Currency=USD","Period=FQ","BEST_FPERIOD_OVERRIDE=FQ","FILING_STATUS=OR","SCALING_FORMAT=MLN","Sort=A","Dates=H","DateFormat=P","Fill=—","Direction=H","UseDPDF=Y")</f>
        <v>0</v>
      </c>
      <c r="R36" s="13">
        <f>_xll.BDH("XOM US Equity","IS_DISCONTINUED_OPERATIONS","FQ2 2012","FQ2 2012","Currency=USD","Period=FQ","BEST_FPERIOD_OVERRIDE=FQ","FILING_STATUS=OR","SCALING_FORMAT=MLN","Sort=A","Dates=H","DateFormat=P","Fill=—","Direction=H","UseDPDF=Y")</f>
        <v>0</v>
      </c>
      <c r="S36" s="13">
        <f>_xll.BDH("XOM US Equity","IS_DISCONTINUED_OPERATIONS","FQ3 2012","FQ3 2012","Currency=USD","Period=FQ","BEST_FPERIOD_OVERRIDE=FQ","FILING_STATUS=OR","SCALING_FORMAT=MLN","Sort=A","Dates=H","DateFormat=P","Fill=—","Direction=H","UseDPDF=Y")</f>
        <v>0</v>
      </c>
      <c r="T36" s="13">
        <f>_xll.BDH("XOM US Equity","IS_DISCONTINUED_OPERATIONS","FQ4 2012","FQ4 2012","Currency=USD","Period=FQ","BEST_FPERIOD_OVERRIDE=FQ","FILING_STATUS=OR","SCALING_FORMAT=MLN","Sort=A","Dates=H","DateFormat=P","Fill=—","Direction=H","UseDPDF=Y")</f>
        <v>0</v>
      </c>
      <c r="U36" s="13">
        <f>_xll.BDH("XOM US Equity","IS_DISCONTINUED_OPERATIONS","FQ1 2013","FQ1 2013","Currency=USD","Period=FQ","BEST_FPERIOD_OVERRIDE=FQ","FILING_STATUS=OR","SCALING_FORMAT=MLN","Sort=A","Dates=H","DateFormat=P","Fill=—","Direction=H","UseDPDF=Y")</f>
        <v>0</v>
      </c>
      <c r="V36" s="13">
        <f>_xll.BDH("XOM US Equity","IS_DISCONTINUED_OPERATIONS","FQ2 2013","FQ2 2013","Currency=USD","Period=FQ","BEST_FPERIOD_OVERRIDE=FQ","FILING_STATUS=OR","SCALING_FORMAT=MLN","Sort=A","Dates=H","DateFormat=P","Fill=—","Direction=H","UseDPDF=Y")</f>
        <v>0</v>
      </c>
      <c r="W36" s="13">
        <f>_xll.BDH("XOM US Equity","IS_DISCONTINUED_OPERATIONS","FQ3 2013","FQ3 2013","Currency=USD","Period=FQ","BEST_FPERIOD_OVERRIDE=FQ","FILING_STATUS=OR","SCALING_FORMAT=MLN","Sort=A","Dates=H","DateFormat=P","Fill=—","Direction=H","UseDPDF=Y")</f>
        <v>0</v>
      </c>
      <c r="X36" s="13">
        <f>_xll.BDH("XOM US Equity","IS_DISCONTINUED_OPERATIONS","FQ4 2013","FQ4 2013","Currency=USD","Period=FQ","BEST_FPERIOD_OVERRIDE=FQ","FILING_STATUS=OR","SCALING_FORMAT=MLN","Sort=A","Dates=H","DateFormat=P","Fill=—","Direction=H","UseDPDF=Y")</f>
        <v>0</v>
      </c>
      <c r="Y36" s="13">
        <f>_xll.BDH("XOM US Equity","IS_DISCONTINUED_OPERATIONS","FQ1 2014","FQ1 2014","Currency=USD","Period=FQ","BEST_FPERIOD_OVERRIDE=FQ","FILING_STATUS=OR","SCALING_FORMAT=MLN","Sort=A","Dates=H","DateFormat=P","Fill=—","Direction=H","UseDPDF=Y")</f>
        <v>0</v>
      </c>
      <c r="Z36" s="13">
        <f>_xll.BDH("XOM US Equity","IS_DISCONTINUED_OPERATIONS","FQ2 2014","FQ2 2014","Currency=USD","Period=FQ","BEST_FPERIOD_OVERRIDE=FQ","FILING_STATUS=OR","SCALING_FORMAT=MLN","Sort=A","Dates=H","DateFormat=P","Fill=—","Direction=H","UseDPDF=Y")</f>
        <v>0</v>
      </c>
      <c r="AA36" s="13">
        <f>_xll.BDH("XOM US Equity","IS_DISCONTINUED_OPERATIONS","FQ3 2014","FQ3 2014","Currency=USD","Period=FQ","BEST_FPERIOD_OVERRIDE=FQ","FILING_STATUS=OR","SCALING_FORMAT=MLN","Sort=A","Dates=H","DateFormat=P","Fill=—","Direction=H","UseDPDF=Y")</f>
        <v>0</v>
      </c>
      <c r="AB36" s="13">
        <f>_xll.BDH("XOM US Equity","IS_DISCONTINUED_OPERATIONS","FQ4 2014","FQ4 2014","Currency=USD","Period=FQ","BEST_FPERIOD_OVERRIDE=FQ","FILING_STATUS=OR","SCALING_FORMAT=MLN","Sort=A","Dates=H","DateFormat=P","Fill=—","Direction=H","UseDPDF=Y")</f>
        <v>0</v>
      </c>
      <c r="AC36" s="13">
        <f>_xll.BDH("XOM US Equity","IS_DISCONTINUED_OPERATIONS","FQ1 2015","FQ1 2015","Currency=USD","Period=FQ","BEST_FPERIOD_OVERRIDE=FQ","FILING_STATUS=OR","SCALING_FORMAT=MLN","Sort=A","Dates=H","DateFormat=P","Fill=—","Direction=H","UseDPDF=Y")</f>
        <v>0</v>
      </c>
      <c r="AD36" s="13">
        <f>_xll.BDH("XOM US Equity","IS_DISCONTINUED_OPERATIONS","FQ2 2015","FQ2 2015","Currency=USD","Period=FQ","BEST_FPERIOD_OVERRIDE=FQ","FILING_STATUS=OR","SCALING_FORMAT=MLN","Sort=A","Dates=H","DateFormat=P","Fill=—","Direction=H","UseDPDF=Y")</f>
        <v>0</v>
      </c>
      <c r="AE36" s="13">
        <f>_xll.BDH("XOM US Equity","IS_DISCONTINUED_OPERATIONS","FQ3 2015","FQ3 2015","Currency=USD","Period=FQ","BEST_FPERIOD_OVERRIDE=FQ","FILING_STATUS=OR","SCALING_FORMAT=MLN","Sort=A","Dates=H","DateFormat=P","Fill=—","Direction=H","UseDPDF=Y")</f>
        <v>0</v>
      </c>
      <c r="AF36" s="13">
        <f>_xll.BDH("XOM US Equity","IS_DISCONTINUED_OPERATIONS","FQ4 2015","FQ4 2015","Currency=USD","Period=FQ","BEST_FPERIOD_OVERRIDE=FQ","FILING_STATUS=OR","SCALING_FORMAT=MLN","Sort=A","Dates=H","DateFormat=P","Fill=—","Direction=H","UseDPDF=Y")</f>
        <v>0</v>
      </c>
      <c r="AG36" s="13">
        <f>_xll.BDH("XOM US Equity","IS_DISCONTINUED_OPERATIONS","FQ1 2016","FQ1 2016","Currency=USD","Period=FQ","BEST_FPERIOD_OVERRIDE=FQ","FILING_STATUS=OR","SCALING_FORMAT=MLN","Sort=A","Dates=H","DateFormat=P","Fill=—","Direction=H","UseDPDF=Y")</f>
        <v>0</v>
      </c>
      <c r="AH36" s="13">
        <f>_xll.BDH("XOM US Equity","IS_DISCONTINUED_OPERATIONS","FQ2 2016","FQ2 2016","Currency=USD","Period=FQ","BEST_FPERIOD_OVERRIDE=FQ","FILING_STATUS=OR","SCALING_FORMAT=MLN","Sort=A","Dates=H","DateFormat=P","Fill=—","Direction=H","UseDPDF=Y")</f>
        <v>0</v>
      </c>
      <c r="AI36" s="13">
        <f>_xll.BDH("XOM US Equity","IS_DISCONTINUED_OPERATIONS","FQ3 2016","FQ3 2016","Currency=USD","Period=FQ","BEST_FPERIOD_OVERRIDE=FQ","FILING_STATUS=OR","SCALING_FORMAT=MLN","Sort=A","Dates=H","DateFormat=P","Fill=—","Direction=H","UseDPDF=Y")</f>
        <v>0</v>
      </c>
      <c r="AJ36" s="13">
        <f>_xll.BDH("XOM US Equity","IS_DISCONTINUED_OPERATIONS","FQ4 2016","FQ4 2016","Currency=USD","Period=FQ","BEST_FPERIOD_OVERRIDE=FQ","FILING_STATUS=OR","SCALING_FORMAT=MLN","Sort=A","Dates=H","DateFormat=P","Fill=—","Direction=H","UseDPDF=Y")</f>
        <v>0</v>
      </c>
      <c r="AK36" s="13">
        <f>_xll.BDH("XOM US Equity","IS_DISCONTINUED_OPERATIONS","FQ1 2017","FQ1 2017","Currency=USD","Period=FQ","BEST_FPERIOD_OVERRIDE=FQ","FILING_STATUS=OR","SCALING_FORMAT=MLN","Sort=A","Dates=H","DateFormat=P","Fill=—","Direction=H","UseDPDF=Y")</f>
        <v>0</v>
      </c>
      <c r="AL36" s="13">
        <f>_xll.BDH("XOM US Equity","IS_DISCONTINUED_OPERATIONS","FQ2 2017","FQ2 2017","Currency=USD","Period=FQ","BEST_FPERIOD_OVERRIDE=FQ","FILING_STATUS=OR","SCALING_FORMAT=MLN","Sort=A","Dates=H","DateFormat=P","Fill=—","Direction=H","UseDPDF=Y")</f>
        <v>0</v>
      </c>
      <c r="AM36" s="13">
        <f>_xll.BDH("XOM US Equity","IS_DISCONTINUED_OPERATIONS","FQ3 2017","FQ3 2017","Currency=USD","Period=FQ","BEST_FPERIOD_OVERRIDE=FQ","FILING_STATUS=OR","SCALING_FORMAT=MLN","Sort=A","Dates=H","DateFormat=P","Fill=—","Direction=H","UseDPDF=Y")</f>
        <v>0</v>
      </c>
      <c r="AN36" s="13">
        <f>_xll.BDH("XOM US Equity","IS_DISCONTINUED_OPERATIONS","FQ4 2017","FQ4 2017","Currency=USD","Period=FQ","BEST_FPERIOD_OVERRIDE=FQ","FILING_STATUS=OR","SCALING_FORMAT=MLN","Sort=A","Dates=H","DateFormat=P","Fill=—","Direction=H","UseDPDF=Y")</f>
        <v>0</v>
      </c>
      <c r="AO36" s="13">
        <f>_xll.BDH("XOM US Equity","IS_DISCONTINUED_OPERATIONS","FQ1 2018","FQ1 2018","Currency=USD","Period=FQ","BEST_FPERIOD_OVERRIDE=FQ","FILING_STATUS=OR","SCALING_FORMAT=MLN","Sort=A","Dates=H","DateFormat=P","Fill=—","Direction=H","UseDPDF=Y")</f>
        <v>0</v>
      </c>
      <c r="AP36" s="13">
        <f>_xll.BDH("XOM US Equity","IS_DISCONTINUED_OPERATIONS","FQ2 2018","FQ2 2018","Currency=USD","Period=FQ","BEST_FPERIOD_OVERRIDE=FQ","FILING_STATUS=OR","SCALING_FORMAT=MLN","Sort=A","Dates=H","DateFormat=P","Fill=—","Direction=H","UseDPDF=Y")</f>
        <v>0</v>
      </c>
    </row>
    <row r="37" spans="1:42" x14ac:dyDescent="0.25">
      <c r="A37" s="10" t="s">
        <v>147</v>
      </c>
      <c r="B37" s="10" t="s">
        <v>148</v>
      </c>
      <c r="C37" s="13" t="str">
        <f>_xll.BDH("XOM US Equity","IS_EXTRAORD_ITEMS_&amp;_ACCTG_CHNG","FQ3 2008","FQ3 2008","Currency=USD","Period=FQ","BEST_FPERIOD_OVERRIDE=FQ","FILING_STATUS=OR","SCALING_FORMAT=MLN","Sort=A","Dates=H","DateFormat=P","Fill=—","Direction=H","UseDPDF=Y")</f>
        <v>—</v>
      </c>
      <c r="D37" s="13" t="str">
        <f>_xll.BDH("XOM US Equity","IS_EXTRAORD_ITEMS_&amp;_ACCTG_CHNG","FQ4 2008","FQ4 2008","Currency=USD","Period=FQ","BEST_FPERIOD_OVERRIDE=FQ","FILING_STATUS=OR","SCALING_FORMAT=MLN","Sort=A","Dates=H","DateFormat=P","Fill=—","Direction=H","UseDPDF=Y")</f>
        <v>—</v>
      </c>
      <c r="E37" s="13">
        <f>_xll.BDH("XOM US Equity","IS_EXTRAORD_ITEMS_&amp;_ACCTG_CHNG","FQ1 2009","FQ1 2009","Currency=USD","Period=FQ","BEST_FPERIOD_OVERRIDE=FQ","FILING_STATUS=OR","SCALING_FORMAT=MLN","Sort=A","Dates=H","DateFormat=P","Fill=—","Direction=H","UseDPDF=Y")</f>
        <v>0</v>
      </c>
      <c r="F37" s="13">
        <f>_xll.BDH("XOM US Equity","IS_EXTRAORD_ITEMS_&amp;_ACCTG_CHNG","FQ2 2009","FQ2 2009","Currency=USD","Period=FQ","BEST_FPERIOD_OVERRIDE=FQ","FILING_STATUS=OR","SCALING_FORMAT=MLN","Sort=A","Dates=H","DateFormat=P","Fill=—","Direction=H","UseDPDF=Y")</f>
        <v>0</v>
      </c>
      <c r="G37" s="13">
        <f>_xll.BDH("XOM US Equity","IS_EXTRAORD_ITEMS_&amp;_ACCTG_CHNG","FQ3 2009","FQ3 2009","Currency=USD","Period=FQ","BEST_FPERIOD_OVERRIDE=FQ","FILING_STATUS=OR","SCALING_FORMAT=MLN","Sort=A","Dates=H","DateFormat=P","Fill=—","Direction=H","UseDPDF=Y")</f>
        <v>0</v>
      </c>
      <c r="H37" s="13">
        <f>_xll.BDH("XOM US Equity","IS_EXTRAORD_ITEMS_&amp;_ACCTG_CHNG","FQ4 2009","FQ4 2009","Currency=USD","Period=FQ","BEST_FPERIOD_OVERRIDE=FQ","FILING_STATUS=OR","SCALING_FORMAT=MLN","Sort=A","Dates=H","DateFormat=P","Fill=—","Direction=H","UseDPDF=Y")</f>
        <v>0</v>
      </c>
      <c r="I37" s="13">
        <f>_xll.BDH("XOM US Equity","IS_EXTRAORD_ITEMS_&amp;_ACCTG_CHNG","FQ1 2010","FQ1 2010","Currency=USD","Period=FQ","BEST_FPERIOD_OVERRIDE=FQ","FILING_STATUS=OR","SCALING_FORMAT=MLN","Sort=A","Dates=H","DateFormat=P","Fill=—","Direction=H","UseDPDF=Y")</f>
        <v>0</v>
      </c>
      <c r="J37" s="13">
        <f>_xll.BDH("XOM US Equity","IS_EXTRAORD_ITEMS_&amp;_ACCTG_CHNG","FQ2 2010","FQ2 2010","Currency=USD","Period=FQ","BEST_FPERIOD_OVERRIDE=FQ","FILING_STATUS=OR","SCALING_FORMAT=MLN","Sort=A","Dates=H","DateFormat=P","Fill=—","Direction=H","UseDPDF=Y")</f>
        <v>0</v>
      </c>
      <c r="K37" s="13">
        <f>_xll.BDH("XOM US Equity","IS_EXTRAORD_ITEMS_&amp;_ACCTG_CHNG","FQ3 2010","FQ3 2010","Currency=USD","Period=FQ","BEST_FPERIOD_OVERRIDE=FQ","FILING_STATUS=OR","SCALING_FORMAT=MLN","Sort=A","Dates=H","DateFormat=P","Fill=—","Direction=H","UseDPDF=Y")</f>
        <v>0</v>
      </c>
      <c r="L37" s="13">
        <f>_xll.BDH("XOM US Equity","IS_EXTRAORD_ITEMS_&amp;_ACCTG_CHNG","FQ4 2010","FQ4 2010","Currency=USD","Period=FQ","BEST_FPERIOD_OVERRIDE=FQ","FILING_STATUS=OR","SCALING_FORMAT=MLN","Sort=A","Dates=H","DateFormat=P","Fill=—","Direction=H","UseDPDF=Y")</f>
        <v>0</v>
      </c>
      <c r="M37" s="13">
        <f>_xll.BDH("XOM US Equity","IS_EXTRAORD_ITEMS_&amp;_ACCTG_CHNG","FQ1 2011","FQ1 2011","Currency=USD","Period=FQ","BEST_FPERIOD_OVERRIDE=FQ","FILING_STATUS=OR","SCALING_FORMAT=MLN","Sort=A","Dates=H","DateFormat=P","Fill=—","Direction=H","UseDPDF=Y")</f>
        <v>0</v>
      </c>
      <c r="N37" s="13">
        <f>_xll.BDH("XOM US Equity","IS_EXTRAORD_ITEMS_&amp;_ACCTG_CHNG","FQ2 2011","FQ2 2011","Currency=USD","Period=FQ","BEST_FPERIOD_OVERRIDE=FQ","FILING_STATUS=OR","SCALING_FORMAT=MLN","Sort=A","Dates=H","DateFormat=P","Fill=—","Direction=H","UseDPDF=Y")</f>
        <v>0</v>
      </c>
      <c r="O37" s="13">
        <f>_xll.BDH("XOM US Equity","IS_EXTRAORD_ITEMS_&amp;_ACCTG_CHNG","FQ3 2011","FQ3 2011","Currency=USD","Period=FQ","BEST_FPERIOD_OVERRIDE=FQ","FILING_STATUS=OR","SCALING_FORMAT=MLN","Sort=A","Dates=H","DateFormat=P","Fill=—","Direction=H","UseDPDF=Y")</f>
        <v>0</v>
      </c>
      <c r="P37" s="13">
        <f>_xll.BDH("XOM US Equity","IS_EXTRAORD_ITEMS_&amp;_ACCTG_CHNG","FQ4 2011","FQ4 2011","Currency=USD","Period=FQ","BEST_FPERIOD_OVERRIDE=FQ","FILING_STATUS=OR","SCALING_FORMAT=MLN","Sort=A","Dates=H","DateFormat=P","Fill=—","Direction=H","UseDPDF=Y")</f>
        <v>0</v>
      </c>
      <c r="Q37" s="13">
        <f>_xll.BDH("XOM US Equity","IS_EXTRAORD_ITEMS_&amp;_ACCTG_CHNG","FQ1 2012","FQ1 2012","Currency=USD","Period=FQ","BEST_FPERIOD_OVERRIDE=FQ","FILING_STATUS=OR","SCALING_FORMAT=MLN","Sort=A","Dates=H","DateFormat=P","Fill=—","Direction=H","UseDPDF=Y")</f>
        <v>0</v>
      </c>
      <c r="R37" s="13">
        <f>_xll.BDH("XOM US Equity","IS_EXTRAORD_ITEMS_&amp;_ACCTG_CHNG","FQ2 2012","FQ2 2012","Currency=USD","Period=FQ","BEST_FPERIOD_OVERRIDE=FQ","FILING_STATUS=OR","SCALING_FORMAT=MLN","Sort=A","Dates=H","DateFormat=P","Fill=—","Direction=H","UseDPDF=Y")</f>
        <v>0</v>
      </c>
      <c r="S37" s="13">
        <f>_xll.BDH("XOM US Equity","IS_EXTRAORD_ITEMS_&amp;_ACCTG_CHNG","FQ3 2012","FQ3 2012","Currency=USD","Period=FQ","BEST_FPERIOD_OVERRIDE=FQ","FILING_STATUS=OR","SCALING_FORMAT=MLN","Sort=A","Dates=H","DateFormat=P","Fill=—","Direction=H","UseDPDF=Y")</f>
        <v>0</v>
      </c>
      <c r="T37" s="13">
        <f>_xll.BDH("XOM US Equity","IS_EXTRAORD_ITEMS_&amp;_ACCTG_CHNG","FQ4 2012","FQ4 2012","Currency=USD","Period=FQ","BEST_FPERIOD_OVERRIDE=FQ","FILING_STATUS=OR","SCALING_FORMAT=MLN","Sort=A","Dates=H","DateFormat=P","Fill=—","Direction=H","UseDPDF=Y")</f>
        <v>0</v>
      </c>
      <c r="U37" s="13">
        <f>_xll.BDH("XOM US Equity","IS_EXTRAORD_ITEMS_&amp;_ACCTG_CHNG","FQ1 2013","FQ1 2013","Currency=USD","Period=FQ","BEST_FPERIOD_OVERRIDE=FQ","FILING_STATUS=OR","SCALING_FORMAT=MLN","Sort=A","Dates=H","DateFormat=P","Fill=—","Direction=H","UseDPDF=Y")</f>
        <v>0</v>
      </c>
      <c r="V37" s="13">
        <f>_xll.BDH("XOM US Equity","IS_EXTRAORD_ITEMS_&amp;_ACCTG_CHNG","FQ2 2013","FQ2 2013","Currency=USD","Period=FQ","BEST_FPERIOD_OVERRIDE=FQ","FILING_STATUS=OR","SCALING_FORMAT=MLN","Sort=A","Dates=H","DateFormat=P","Fill=—","Direction=H","UseDPDF=Y")</f>
        <v>0</v>
      </c>
      <c r="W37" s="13">
        <f>_xll.BDH("XOM US Equity","IS_EXTRAORD_ITEMS_&amp;_ACCTG_CHNG","FQ3 2013","FQ3 2013","Currency=USD","Period=FQ","BEST_FPERIOD_OVERRIDE=FQ","FILING_STATUS=OR","SCALING_FORMAT=MLN","Sort=A","Dates=H","DateFormat=P","Fill=—","Direction=H","UseDPDF=Y")</f>
        <v>0</v>
      </c>
      <c r="X37" s="13">
        <f>_xll.BDH("XOM US Equity","IS_EXTRAORD_ITEMS_&amp;_ACCTG_CHNG","FQ4 2013","FQ4 2013","Currency=USD","Period=FQ","BEST_FPERIOD_OVERRIDE=FQ","FILING_STATUS=OR","SCALING_FORMAT=MLN","Sort=A","Dates=H","DateFormat=P","Fill=—","Direction=H","UseDPDF=Y")</f>
        <v>0</v>
      </c>
      <c r="Y37" s="13">
        <f>_xll.BDH("XOM US Equity","IS_EXTRAORD_ITEMS_&amp;_ACCTG_CHNG","FQ1 2014","FQ1 2014","Currency=USD","Period=FQ","BEST_FPERIOD_OVERRIDE=FQ","FILING_STATUS=OR","SCALING_FORMAT=MLN","Sort=A","Dates=H","DateFormat=P","Fill=—","Direction=H","UseDPDF=Y")</f>
        <v>0</v>
      </c>
      <c r="Z37" s="13">
        <f>_xll.BDH("XOM US Equity","IS_EXTRAORD_ITEMS_&amp;_ACCTG_CHNG","FQ2 2014","FQ2 2014","Currency=USD","Period=FQ","BEST_FPERIOD_OVERRIDE=FQ","FILING_STATUS=OR","SCALING_FORMAT=MLN","Sort=A","Dates=H","DateFormat=P","Fill=—","Direction=H","UseDPDF=Y")</f>
        <v>0</v>
      </c>
      <c r="AA37" s="13">
        <f>_xll.BDH("XOM US Equity","IS_EXTRAORD_ITEMS_&amp;_ACCTG_CHNG","FQ3 2014","FQ3 2014","Currency=USD","Period=FQ","BEST_FPERIOD_OVERRIDE=FQ","FILING_STATUS=OR","SCALING_FORMAT=MLN","Sort=A","Dates=H","DateFormat=P","Fill=—","Direction=H","UseDPDF=Y")</f>
        <v>0</v>
      </c>
      <c r="AB37" s="13">
        <f>_xll.BDH("XOM US Equity","IS_EXTRAORD_ITEMS_&amp;_ACCTG_CHNG","FQ4 2014","FQ4 2014","Currency=USD","Period=FQ","BEST_FPERIOD_OVERRIDE=FQ","FILING_STATUS=OR","SCALING_FORMAT=MLN","Sort=A","Dates=H","DateFormat=P","Fill=—","Direction=H","UseDPDF=Y")</f>
        <v>0</v>
      </c>
      <c r="AC37" s="13">
        <f>_xll.BDH("XOM US Equity","IS_EXTRAORD_ITEMS_&amp;_ACCTG_CHNG","FQ1 2015","FQ1 2015","Currency=USD","Period=FQ","BEST_FPERIOD_OVERRIDE=FQ","FILING_STATUS=OR","SCALING_FORMAT=MLN","Sort=A","Dates=H","DateFormat=P","Fill=—","Direction=H","UseDPDF=Y")</f>
        <v>0</v>
      </c>
      <c r="AD37" s="13">
        <f>_xll.BDH("XOM US Equity","IS_EXTRAORD_ITEMS_&amp;_ACCTG_CHNG","FQ2 2015","FQ2 2015","Currency=USD","Period=FQ","BEST_FPERIOD_OVERRIDE=FQ","FILING_STATUS=OR","SCALING_FORMAT=MLN","Sort=A","Dates=H","DateFormat=P","Fill=—","Direction=H","UseDPDF=Y")</f>
        <v>0</v>
      </c>
      <c r="AE37" s="13">
        <f>_xll.BDH("XOM US Equity","IS_EXTRAORD_ITEMS_&amp;_ACCTG_CHNG","FQ3 2015","FQ3 2015","Currency=USD","Period=FQ","BEST_FPERIOD_OVERRIDE=FQ","FILING_STATUS=OR","SCALING_FORMAT=MLN","Sort=A","Dates=H","DateFormat=P","Fill=—","Direction=H","UseDPDF=Y")</f>
        <v>0</v>
      </c>
      <c r="AF37" s="13">
        <f>_xll.BDH("XOM US Equity","IS_EXTRAORD_ITEMS_&amp;_ACCTG_CHNG","FQ4 2015","FQ4 2015","Currency=USD","Period=FQ","BEST_FPERIOD_OVERRIDE=FQ","FILING_STATUS=OR","SCALING_FORMAT=MLN","Sort=A","Dates=H","DateFormat=P","Fill=—","Direction=H","UseDPDF=Y")</f>
        <v>0</v>
      </c>
      <c r="AG37" s="13">
        <f>_xll.BDH("XOM US Equity","IS_EXTRAORD_ITEMS_&amp;_ACCTG_CHNG","FQ1 2016","FQ1 2016","Currency=USD","Period=FQ","BEST_FPERIOD_OVERRIDE=FQ","FILING_STATUS=OR","SCALING_FORMAT=MLN","Sort=A","Dates=H","DateFormat=P","Fill=—","Direction=H","UseDPDF=Y")</f>
        <v>0</v>
      </c>
      <c r="AH37" s="13">
        <f>_xll.BDH("XOM US Equity","IS_EXTRAORD_ITEMS_&amp;_ACCTG_CHNG","FQ2 2016","FQ2 2016","Currency=USD","Period=FQ","BEST_FPERIOD_OVERRIDE=FQ","FILING_STATUS=OR","SCALING_FORMAT=MLN","Sort=A","Dates=H","DateFormat=P","Fill=—","Direction=H","UseDPDF=Y")</f>
        <v>0</v>
      </c>
      <c r="AI37" s="13">
        <f>_xll.BDH("XOM US Equity","IS_EXTRAORD_ITEMS_&amp;_ACCTG_CHNG","FQ3 2016","FQ3 2016","Currency=USD","Period=FQ","BEST_FPERIOD_OVERRIDE=FQ","FILING_STATUS=OR","SCALING_FORMAT=MLN","Sort=A","Dates=H","DateFormat=P","Fill=—","Direction=H","UseDPDF=Y")</f>
        <v>0</v>
      </c>
      <c r="AJ37" s="13">
        <f>_xll.BDH("XOM US Equity","IS_EXTRAORD_ITEMS_&amp;_ACCTG_CHNG","FQ4 2016","FQ4 2016","Currency=USD","Period=FQ","BEST_FPERIOD_OVERRIDE=FQ","FILING_STATUS=OR","SCALING_FORMAT=MLN","Sort=A","Dates=H","DateFormat=P","Fill=—","Direction=H","UseDPDF=Y")</f>
        <v>0</v>
      </c>
      <c r="AK37" s="13">
        <f>_xll.BDH("XOM US Equity","IS_EXTRAORD_ITEMS_&amp;_ACCTG_CHNG","FQ1 2017","FQ1 2017","Currency=USD","Period=FQ","BEST_FPERIOD_OVERRIDE=FQ","FILING_STATUS=OR","SCALING_FORMAT=MLN","Sort=A","Dates=H","DateFormat=P","Fill=—","Direction=H","UseDPDF=Y")</f>
        <v>0</v>
      </c>
      <c r="AL37" s="13">
        <f>_xll.BDH("XOM US Equity","IS_EXTRAORD_ITEMS_&amp;_ACCTG_CHNG","FQ2 2017","FQ2 2017","Currency=USD","Period=FQ","BEST_FPERIOD_OVERRIDE=FQ","FILING_STATUS=OR","SCALING_FORMAT=MLN","Sort=A","Dates=H","DateFormat=P","Fill=—","Direction=H","UseDPDF=Y")</f>
        <v>0</v>
      </c>
      <c r="AM37" s="13">
        <f>_xll.BDH("XOM US Equity","IS_EXTRAORD_ITEMS_&amp;_ACCTG_CHNG","FQ3 2017","FQ3 2017","Currency=USD","Period=FQ","BEST_FPERIOD_OVERRIDE=FQ","FILING_STATUS=OR","SCALING_FORMAT=MLN","Sort=A","Dates=H","DateFormat=P","Fill=—","Direction=H","UseDPDF=Y")</f>
        <v>0</v>
      </c>
      <c r="AN37" s="13">
        <f>_xll.BDH("XOM US Equity","IS_EXTRAORD_ITEMS_&amp;_ACCTG_CHNG","FQ4 2017","FQ4 2017","Currency=USD","Period=FQ","BEST_FPERIOD_OVERRIDE=FQ","FILING_STATUS=OR","SCALING_FORMAT=MLN","Sort=A","Dates=H","DateFormat=P","Fill=—","Direction=H","UseDPDF=Y")</f>
        <v>0</v>
      </c>
      <c r="AO37" s="13">
        <f>_xll.BDH("XOM US Equity","IS_EXTRAORD_ITEMS_&amp;_ACCTG_CHNG","FQ1 2018","FQ1 2018","Currency=USD","Period=FQ","BEST_FPERIOD_OVERRIDE=FQ","FILING_STATUS=OR","SCALING_FORMAT=MLN","Sort=A","Dates=H","DateFormat=P","Fill=—","Direction=H","UseDPDF=Y")</f>
        <v>0</v>
      </c>
      <c r="AP37" s="13">
        <f>_xll.BDH("XOM US Equity","IS_EXTRAORD_ITEMS_&amp;_ACCTG_CHNG","FQ2 2018","FQ2 2018","Currency=USD","Period=FQ","BEST_FPERIOD_OVERRIDE=FQ","FILING_STATUS=OR","SCALING_FORMAT=MLN","Sort=A","Dates=H","DateFormat=P","Fill=—","Direction=H","UseDPDF=Y")</f>
        <v>0</v>
      </c>
    </row>
    <row r="38" spans="1:42" x14ac:dyDescent="0.25">
      <c r="A38" s="6" t="s">
        <v>149</v>
      </c>
      <c r="B38" s="6" t="s">
        <v>150</v>
      </c>
      <c r="C38" s="16">
        <f>_xll.BDH("XOM US Equity","NI_INCLUDING_MINORITY_INT_RATIO","FQ3 2008","FQ3 2008","Currency=USD","Period=FQ","BEST_FPERIOD_OVERRIDE=FQ","FILING_STATUS=OR","SCALING_FORMAT=MLN","FA_ADJUSTED=GAAP","Sort=A","Dates=H","DateFormat=P","Fill=—","Direction=H","UseDPDF=Y")</f>
        <v>15366</v>
      </c>
      <c r="D38" s="16">
        <f>_xll.BDH("XOM US Equity","NI_INCLUDING_MINORITY_INT_RATIO","FQ4 2008","FQ4 2008","Currency=USD","Period=FQ","BEST_FPERIOD_OVERRIDE=FQ","FILING_STATUS=OR","SCALING_FORMAT=MLN","FA_ADJUSTED=GAAP","Sort=A","Dates=H","DateFormat=P","Fill=—","Direction=H","UseDPDF=Y")</f>
        <v>8424</v>
      </c>
      <c r="E38" s="16">
        <f>_xll.BDH("XOM US Equity","NI_INCLUDING_MINORITY_INT_RATIO","FQ1 2009","FQ1 2009","Currency=USD","Period=FQ","BEST_FPERIOD_OVERRIDE=FQ","FILING_STATUS=OR","SCALING_FORMAT=MLN","FA_ADJUSTED=GAAP","Sort=A","Dates=H","DateFormat=P","Fill=—","Direction=H","UseDPDF=Y")</f>
        <v>4702</v>
      </c>
      <c r="F38" s="16">
        <f>_xll.BDH("XOM US Equity","NI_INCLUDING_MINORITY_INT_RATIO","FQ2 2009","FQ2 2009","Currency=USD","Period=FQ","BEST_FPERIOD_OVERRIDE=FQ","FILING_STATUS=OR","SCALING_FORMAT=MLN","FA_ADJUSTED=GAAP","Sort=A","Dates=H","DateFormat=P","Fill=—","Direction=H","UseDPDF=Y")</f>
        <v>3946</v>
      </c>
      <c r="G38" s="16">
        <f>_xll.BDH("XOM US Equity","NI_INCLUDING_MINORITY_INT_RATIO","FQ3 2009","FQ3 2009","Currency=USD","Period=FQ","BEST_FPERIOD_OVERRIDE=FQ","FILING_STATUS=OR","SCALING_FORMAT=MLN","FA_ADJUSTED=GAAP","Sort=A","Dates=H","DateFormat=P","Fill=—","Direction=H","UseDPDF=Y")</f>
        <v>4871</v>
      </c>
      <c r="H38" s="16">
        <f>_xll.BDH("XOM US Equity","NI_INCLUDING_MINORITY_INT_RATIO","FQ4 2009","FQ4 2009","Currency=USD","Period=FQ","BEST_FPERIOD_OVERRIDE=FQ","FILING_STATUS=OR","SCALING_FORMAT=MLN","FA_ADJUSTED=GAAP","Sort=A","Dates=H","DateFormat=P","Fill=—","Direction=H","UseDPDF=Y")</f>
        <v>6139</v>
      </c>
      <c r="I38" s="16">
        <f>_xll.BDH("XOM US Equity","NI_INCLUDING_MINORITY_INT_RATIO","FQ1 2010","FQ1 2010","Currency=USD","Period=FQ","BEST_FPERIOD_OVERRIDE=FQ","FILING_STATUS=OR","SCALING_FORMAT=MLN","FA_ADJUSTED=GAAP","Sort=A","Dates=H","DateFormat=P","Fill=—","Direction=H","UseDPDF=Y")</f>
        <v>6575</v>
      </c>
      <c r="J38" s="16">
        <f>_xll.BDH("XOM US Equity","NI_INCLUDING_MINORITY_INT_RATIO","FQ2 2010","FQ2 2010","Currency=USD","Period=FQ","BEST_FPERIOD_OVERRIDE=FQ","FILING_STATUS=OR","SCALING_FORMAT=MLN","FA_ADJUSTED=GAAP","Sort=A","Dates=H","DateFormat=P","Fill=—","Direction=H","UseDPDF=Y")</f>
        <v>7746</v>
      </c>
      <c r="K38" s="16">
        <f>_xll.BDH("XOM US Equity","NI_INCLUDING_MINORITY_INT_RATIO","FQ3 2010","FQ3 2010","Currency=USD","Period=FQ","BEST_FPERIOD_OVERRIDE=FQ","FILING_STATUS=OR","SCALING_FORMAT=MLN","FA_ADJUSTED=GAAP","Sort=A","Dates=H","DateFormat=P","Fill=—","Direction=H","UseDPDF=Y")</f>
        <v>7561</v>
      </c>
      <c r="L38" s="16">
        <f>_xll.BDH("XOM US Equity","NI_INCLUDING_MINORITY_INT_RATIO","FQ4 2010","FQ4 2010","Currency=USD","Period=FQ","BEST_FPERIOD_OVERRIDE=FQ","FILING_STATUS=OR","SCALING_FORMAT=MLN","FA_ADJUSTED=GAAP","Sort=A","Dates=H","DateFormat=P","Fill=—","Direction=H","UseDPDF=Y")</f>
        <v>9516</v>
      </c>
      <c r="M38" s="16">
        <f>_xll.BDH("XOM US Equity","NI_INCLUDING_MINORITY_INT_RATIO","FQ1 2011","FQ1 2011","Currency=USD","Period=FQ","BEST_FPERIOD_OVERRIDE=FQ","FILING_STATUS=OR","SCALING_FORMAT=MLN","FA_ADJUSTED=GAAP","Sort=A","Dates=H","DateFormat=P","Fill=—","Direction=H","UseDPDF=Y")</f>
        <v>10913</v>
      </c>
      <c r="N38" s="16">
        <f>_xll.BDH("XOM US Equity","NI_INCLUDING_MINORITY_INT_RATIO","FQ2 2011","FQ2 2011","Currency=USD","Period=FQ","BEST_FPERIOD_OVERRIDE=FQ","FILING_STATUS=OR","SCALING_FORMAT=MLN","FA_ADJUSTED=GAAP","Sort=A","Dates=H","DateFormat=P","Fill=—","Direction=H","UseDPDF=Y")</f>
        <v>10898</v>
      </c>
      <c r="O38" s="16">
        <f>_xll.BDH("XOM US Equity","NI_INCLUDING_MINORITY_INT_RATIO","FQ3 2011","FQ3 2011","Currency=USD","Period=FQ","BEST_FPERIOD_OVERRIDE=FQ","FILING_STATUS=OR","SCALING_FORMAT=MLN","FA_ADJUSTED=GAAP","Sort=A","Dates=H","DateFormat=P","Fill=—","Direction=H","UseDPDF=Y")</f>
        <v>10671</v>
      </c>
      <c r="P38" s="16">
        <f>_xll.BDH("XOM US Equity","NI_INCLUDING_MINORITY_INT_RATIO","FQ4 2011","FQ4 2011","Currency=USD","Period=FQ","BEST_FPERIOD_OVERRIDE=FQ","FILING_STATUS=OR","SCALING_FORMAT=MLN","FA_ADJUSTED=GAAP","Sort=A","Dates=H","DateFormat=P","Fill=—","Direction=H","UseDPDF=Y")</f>
        <v>9724</v>
      </c>
      <c r="Q38" s="16">
        <f>_xll.BDH("XOM US Equity","NI_INCLUDING_MINORITY_INT_RATIO","FQ1 2012","FQ1 2012","Currency=USD","Period=FQ","BEST_FPERIOD_OVERRIDE=FQ","FILING_STATUS=OR","SCALING_FORMAT=MLN","FA_ADJUSTED=GAAP","Sort=A","Dates=H","DateFormat=P","Fill=—","Direction=H","UseDPDF=Y")</f>
        <v>9799</v>
      </c>
      <c r="R38" s="16">
        <f>_xll.BDH("XOM US Equity","NI_INCLUDING_MINORITY_INT_RATIO","FQ2 2012","FQ2 2012","Currency=USD","Period=FQ","BEST_FPERIOD_OVERRIDE=FQ","FILING_STATUS=OR","SCALING_FORMAT=MLN","FA_ADJUSTED=GAAP","Sort=A","Dates=H","DateFormat=P","Fill=—","Direction=H","UseDPDF=Y")</f>
        <v>17654</v>
      </c>
      <c r="S38" s="16">
        <f>_xll.BDH("XOM US Equity","NI_INCLUDING_MINORITY_INT_RATIO","FQ3 2012","FQ3 2012","Currency=USD","Period=FQ","BEST_FPERIOD_OVERRIDE=FQ","FILING_STATUS=OR","SCALING_FORMAT=MLN","FA_ADJUSTED=GAAP","Sort=A","Dates=H","DateFormat=P","Fill=—","Direction=H","UseDPDF=Y")</f>
        <v>9926</v>
      </c>
      <c r="T38" s="16">
        <f>_xll.BDH("XOM US Equity","NI_INCLUDING_MINORITY_INT_RATIO","FQ4 2012","FQ4 2012","Currency=USD","Period=FQ","BEST_FPERIOD_OVERRIDE=FQ","FILING_STATUS=OR","SCALING_FORMAT=MLN","FA_ADJUSTED=GAAP","Sort=A","Dates=H","DateFormat=P","Fill=—","Direction=H","UseDPDF=Y")</f>
        <v>10302</v>
      </c>
      <c r="U38" s="16">
        <f>_xll.BDH("XOM US Equity","NI_INCLUDING_MINORITY_INT_RATIO","FQ1 2013","FQ1 2013","Currency=USD","Period=FQ","BEST_FPERIOD_OVERRIDE=FQ","FILING_STATUS=OR","SCALING_FORMAT=MLN","FA_ADJUSTED=GAAP","Sort=A","Dates=H","DateFormat=P","Fill=—","Direction=H","UseDPDF=Y")</f>
        <v>9761</v>
      </c>
      <c r="V38" s="16">
        <f>_xll.BDH("XOM US Equity","NI_INCLUDING_MINORITY_INT_RATIO","FQ2 2013","FQ2 2013","Currency=USD","Period=FQ","BEST_FPERIOD_OVERRIDE=FQ","FILING_STATUS=OR","SCALING_FORMAT=MLN","FA_ADJUSTED=GAAP","Sort=A","Dates=H","DateFormat=P","Fill=—","Direction=H","UseDPDF=Y")</f>
        <v>6975</v>
      </c>
      <c r="W38" s="16">
        <f>_xll.BDH("XOM US Equity","NI_INCLUDING_MINORITY_INT_RATIO","FQ3 2013","FQ3 2013","Currency=USD","Period=FQ","BEST_FPERIOD_OVERRIDE=FQ","FILING_STATUS=OR","SCALING_FORMAT=MLN","FA_ADJUSTED=GAAP","Sort=A","Dates=H","DateFormat=P","Fill=—","Direction=H","UseDPDF=Y")</f>
        <v>8069</v>
      </c>
      <c r="X38" s="16">
        <f>_xll.BDH("XOM US Equity","NI_INCLUDING_MINORITY_INT_RATIO","FQ4 2013","FQ4 2013","Currency=USD","Period=FQ","BEST_FPERIOD_OVERRIDE=FQ","FILING_STATUS=OR","SCALING_FORMAT=MLN","FA_ADJUSTED=GAAP","Sort=A","Dates=H","DateFormat=P","Fill=—","Direction=H","UseDPDF=Y")</f>
        <v>8643</v>
      </c>
      <c r="Y38" s="16">
        <f>_xll.BDH("XOM US Equity","NI_INCLUDING_MINORITY_INT_RATIO","FQ1 2014","FQ1 2014","Currency=USD","Period=FQ","BEST_FPERIOD_OVERRIDE=FQ","FILING_STATUS=OR","SCALING_FORMAT=MLN","FA_ADJUSTED=GAAP","Sort=A","Dates=H","DateFormat=P","Fill=—","Direction=H","UseDPDF=Y")</f>
        <v>9370</v>
      </c>
      <c r="Z38" s="16">
        <f>_xll.BDH("XOM US Equity","NI_INCLUDING_MINORITY_INT_RATIO","FQ2 2014","FQ2 2014","Currency=USD","Period=FQ","BEST_FPERIOD_OVERRIDE=FQ","FILING_STATUS=OR","SCALING_FORMAT=MLN","FA_ADJUSTED=GAAP","Sort=A","Dates=H","DateFormat=P","Fill=—","Direction=H","UseDPDF=Y")</f>
        <v>9117</v>
      </c>
      <c r="AA38" s="16">
        <f>_xll.BDH("XOM US Equity","NI_INCLUDING_MINORITY_INT_RATIO","FQ3 2014","FQ3 2014","Currency=USD","Period=FQ","BEST_FPERIOD_OVERRIDE=FQ","FILING_STATUS=OR","SCALING_FORMAT=MLN","FA_ADJUSTED=GAAP","Sort=A","Dates=H","DateFormat=P","Fill=—","Direction=H","UseDPDF=Y")</f>
        <v>8346</v>
      </c>
      <c r="AB38" s="16">
        <f>_xll.BDH("XOM US Equity","NI_INCLUDING_MINORITY_INT_RATIO","FQ4 2014","FQ4 2014","Currency=USD","Period=FQ","BEST_FPERIOD_OVERRIDE=FQ","FILING_STATUS=OR","SCALING_FORMAT=MLN","FA_ADJUSTED=GAAP","Sort=A","Dates=H","DateFormat=P","Fill=—","Direction=H","UseDPDF=Y")</f>
        <v>6782</v>
      </c>
      <c r="AC38" s="16">
        <f>_xll.BDH("XOM US Equity","NI_INCLUDING_MINORITY_INT_RATIO","FQ1 2015","FQ1 2015","Currency=USD","Period=FQ","BEST_FPERIOD_OVERRIDE=FQ","FILING_STATUS=OR","SCALING_FORMAT=MLN","FA_ADJUSTED=GAAP","Sort=A","Dates=H","DateFormat=P","Fill=—","Direction=H","UseDPDF=Y")</f>
        <v>5075</v>
      </c>
      <c r="AD38" s="16">
        <f>_xll.BDH("XOM US Equity","NI_INCLUDING_MINORITY_INT_RATIO","FQ2 2015","FQ2 2015","Currency=USD","Period=FQ","BEST_FPERIOD_OVERRIDE=FQ","FILING_STATUS=OR","SCALING_FORMAT=MLN","FA_ADJUSTED=GAAP","Sort=A","Dates=H","DateFormat=P","Fill=—","Direction=H","UseDPDF=Y")</f>
        <v>4262</v>
      </c>
      <c r="AE38" s="16">
        <f>_xll.BDH("XOM US Equity","NI_INCLUDING_MINORITY_INT_RATIO","FQ3 2015","FQ3 2015","Currency=USD","Period=FQ","BEST_FPERIOD_OVERRIDE=FQ","FILING_STATUS=OR","SCALING_FORMAT=MLN","FA_ADJUSTED=GAAP","Sort=A","Dates=H","DateFormat=P","Fill=—","Direction=H","UseDPDF=Y")</f>
        <v>4384</v>
      </c>
      <c r="AF38" s="16">
        <f>_xll.BDH("XOM US Equity","NI_INCLUDING_MINORITY_INT_RATIO","FQ4 2015","FQ4 2015","Currency=USD","Period=FQ","BEST_FPERIOD_OVERRIDE=FQ","FILING_STATUS=OR","SCALING_FORMAT=MLN","FA_ADJUSTED=GAAP","Sort=A","Dates=H","DateFormat=P","Fill=—","Direction=H","UseDPDF=Y")</f>
        <v>2830</v>
      </c>
      <c r="AG38" s="16">
        <f>_xll.BDH("XOM US Equity","NI_INCLUDING_MINORITY_INT_RATIO","FQ1 2016","FQ1 2016","Currency=USD","Period=FQ","BEST_FPERIOD_OVERRIDE=FQ","FILING_STATUS=OR","SCALING_FORMAT=MLN","FA_ADJUSTED=GAAP","Sort=A","Dates=H","DateFormat=P","Fill=—","Direction=H","UseDPDF=Y")</f>
        <v>1781</v>
      </c>
      <c r="AH38" s="16">
        <f>_xll.BDH("XOM US Equity","NI_INCLUDING_MINORITY_INT_RATIO","FQ2 2016","FQ2 2016","Currency=USD","Period=FQ","BEST_FPERIOD_OVERRIDE=FQ","FILING_STATUS=OR","SCALING_FORMAT=MLN","FA_ADJUSTED=GAAP","Sort=A","Dates=H","DateFormat=P","Fill=—","Direction=H","UseDPDF=Y")</f>
        <v>1681</v>
      </c>
      <c r="AI38" s="16">
        <f>_xll.BDH("XOM US Equity","NI_INCLUDING_MINORITY_INT_RATIO","FQ3 2016","FQ3 2016","Currency=USD","Period=FQ","BEST_FPERIOD_OVERRIDE=FQ","FILING_STATUS=OR","SCALING_FORMAT=MLN","FA_ADJUSTED=GAAP","Sort=A","Dates=H","DateFormat=P","Fill=—","Direction=H","UseDPDF=Y")</f>
        <v>2889</v>
      </c>
      <c r="AJ38" s="16">
        <f>_xll.BDH("XOM US Equity","NI_INCLUDING_MINORITY_INT_RATIO","FQ4 2016","FQ4 2016","Currency=USD","Period=FQ","BEST_FPERIOD_OVERRIDE=FQ","FILING_STATUS=OR","SCALING_FORMAT=MLN","FA_ADJUSTED=GAAP","Sort=A","Dates=H","DateFormat=P","Fill=—","Direction=H","UseDPDF=Y")</f>
        <v>2024</v>
      </c>
      <c r="AK38" s="16">
        <f>_xll.BDH("XOM US Equity","NI_INCLUDING_MINORITY_INT_RATIO","FQ1 2017","FQ1 2017","Currency=USD","Period=FQ","BEST_FPERIOD_OVERRIDE=FQ","FILING_STATUS=OR","SCALING_FORMAT=MLN","FA_ADJUSTED=GAAP","Sort=A","Dates=H","DateFormat=P","Fill=—","Direction=H","UseDPDF=Y")</f>
        <v>4090</v>
      </c>
      <c r="AL38" s="16">
        <f>_xll.BDH("XOM US Equity","NI_INCLUDING_MINORITY_INT_RATIO","FQ2 2017","FQ2 2017","Currency=USD","Period=FQ","BEST_FPERIOD_OVERRIDE=FQ","FILING_STATUS=OR","SCALING_FORMAT=MLN","FA_ADJUSTED=GAAP","Sort=A","Dates=H","DateFormat=P","Fill=—","Direction=H","UseDPDF=Y")</f>
        <v>3264</v>
      </c>
      <c r="AM38" s="16">
        <f>_xll.BDH("XOM US Equity","NI_INCLUDING_MINORITY_INT_RATIO","FQ3 2017","FQ3 2017","Currency=USD","Period=FQ","BEST_FPERIOD_OVERRIDE=FQ","FILING_STATUS=OR","SCALING_FORMAT=MLN","FA_ADJUSTED=GAAP","Sort=A","Dates=H","DateFormat=P","Fill=—","Direction=H","UseDPDF=Y")</f>
        <v>4085</v>
      </c>
      <c r="AN38" s="16">
        <f>_xll.BDH("XOM US Equity","NI_INCLUDING_MINORITY_INT_RATIO","FQ4 2017","FQ4 2017","Currency=USD","Period=FQ","BEST_FPERIOD_OVERRIDE=FQ","FILING_STATUS=OR","SCALING_FORMAT=MLN","FA_ADJUSTED=GAAP","Sort=A","Dates=H","DateFormat=P","Fill=—","Direction=H","UseDPDF=Y")</f>
        <v>8409</v>
      </c>
      <c r="AO38" s="16">
        <f>_xll.BDH("XOM US Equity","NI_INCLUDING_MINORITY_INT_RATIO","FQ1 2018","FQ1 2018","Currency=USD","Period=FQ","BEST_FPERIOD_OVERRIDE=FQ","FILING_STATUS=OR","SCALING_FORMAT=MLN","FA_ADJUSTED=GAAP","Sort=A","Dates=H","DateFormat=P","Fill=—","Direction=H","UseDPDF=Y")</f>
        <v>4783</v>
      </c>
      <c r="AP38" s="16">
        <f>_xll.BDH("XOM US Equity","NI_INCLUDING_MINORITY_INT_RATIO","FQ2 2018","FQ2 2018","Currency=USD","Period=FQ","BEST_FPERIOD_OVERRIDE=FQ","FILING_STATUS=OR","SCALING_FORMAT=MLN","FA_ADJUSTED=GAAP","Sort=A","Dates=H","DateFormat=P","Fill=—","Direction=H","UseDPDF=Y")</f>
        <v>3986</v>
      </c>
    </row>
    <row r="39" spans="1:42" x14ac:dyDescent="0.25">
      <c r="A39" s="10" t="s">
        <v>151</v>
      </c>
      <c r="B39" s="10" t="s">
        <v>152</v>
      </c>
      <c r="C39" s="13">
        <f>_xll.BDH("XOM US Equity","MIN_NONCONTROL_INTEREST_CREDITS","FQ3 2008","FQ3 2008","Currency=USD","Period=FQ","BEST_FPERIOD_OVERRIDE=FQ","FILING_STATUS=OR","SCALING_FORMAT=MLN","FA_ADJUSTED=GAAP","Sort=A","Dates=H","DateFormat=P","Fill=—","Direction=H","UseDPDF=Y")</f>
        <v>536</v>
      </c>
      <c r="D39" s="13">
        <f>_xll.BDH("XOM US Equity","MIN_NONCONTROL_INTEREST_CREDITS","FQ4 2008","FQ4 2008","Currency=USD","Period=FQ","BEST_FPERIOD_OVERRIDE=FQ","FILING_STATUS=OR","SCALING_FORMAT=MLN","FA_ADJUSTED=GAAP","Sort=A","Dates=H","DateFormat=P","Fill=—","Direction=H","UseDPDF=Y")</f>
        <v>604</v>
      </c>
      <c r="E39" s="13">
        <f>_xll.BDH("XOM US Equity","MIN_NONCONTROL_INTEREST_CREDITS","FQ1 2009","FQ1 2009","Currency=USD","Period=FQ","BEST_FPERIOD_OVERRIDE=FQ","FILING_STATUS=OR","SCALING_FORMAT=MLN","FA_ADJUSTED=GAAP","Sort=A","Dates=H","DateFormat=P","Fill=—","Direction=H","UseDPDF=Y")</f>
        <v>152</v>
      </c>
      <c r="F39" s="13">
        <f>_xll.BDH("XOM US Equity","MIN_NONCONTROL_INTEREST_CREDITS","FQ2 2009","FQ2 2009","Currency=USD","Period=FQ","BEST_FPERIOD_OVERRIDE=FQ","FILING_STATUS=OR","SCALING_FORMAT=MLN","FA_ADJUSTED=GAAP","Sort=A","Dates=H","DateFormat=P","Fill=—","Direction=H","UseDPDF=Y")</f>
        <v>-4</v>
      </c>
      <c r="G39" s="13">
        <f>_xll.BDH("XOM US Equity","MIN_NONCONTROL_INTEREST_CREDITS","FQ3 2009","FQ3 2009","Currency=USD","Period=FQ","BEST_FPERIOD_OVERRIDE=FQ","FILING_STATUS=OR","SCALING_FORMAT=MLN","FA_ADJUSTED=GAAP","Sort=A","Dates=H","DateFormat=P","Fill=—","Direction=H","UseDPDF=Y")</f>
        <v>141</v>
      </c>
      <c r="H39" s="13">
        <f>_xll.BDH("XOM US Equity","MIN_NONCONTROL_INTEREST_CREDITS","FQ4 2009","FQ4 2009","Currency=USD","Period=FQ","BEST_FPERIOD_OVERRIDE=FQ","FILING_STATUS=OR","SCALING_FORMAT=MLN","FA_ADJUSTED=GAAP","Sort=A","Dates=H","DateFormat=P","Fill=—","Direction=H","UseDPDF=Y")</f>
        <v>89</v>
      </c>
      <c r="I39" s="13">
        <f>_xll.BDH("XOM US Equity","MIN_NONCONTROL_INTEREST_CREDITS","FQ1 2010","FQ1 2010","Currency=USD","Period=FQ","BEST_FPERIOD_OVERRIDE=FQ","FILING_STATUS=OR","SCALING_FORMAT=MLN","FA_ADJUSTED=GAAP","Sort=A","Dates=H","DateFormat=P","Fill=—","Direction=H","UseDPDF=Y")</f>
        <v>275</v>
      </c>
      <c r="J39" s="13">
        <f>_xll.BDH("XOM US Equity","MIN_NONCONTROL_INTEREST_CREDITS","FQ2 2010","FQ2 2010","Currency=USD","Period=FQ","BEST_FPERIOD_OVERRIDE=FQ","FILING_STATUS=OR","SCALING_FORMAT=MLN","FA_ADJUSTED=GAAP","Sort=A","Dates=H","DateFormat=P","Fill=—","Direction=H","UseDPDF=Y")</f>
        <v>186</v>
      </c>
      <c r="K39" s="13">
        <f>_xll.BDH("XOM US Equity","MIN_NONCONTROL_INTEREST_CREDITS","FQ3 2010","FQ3 2010","Currency=USD","Period=FQ","BEST_FPERIOD_OVERRIDE=FQ","FILING_STATUS=OR","SCALING_FORMAT=MLN","FA_ADJUSTED=GAAP","Sort=A","Dates=H","DateFormat=P","Fill=—","Direction=H","UseDPDF=Y")</f>
        <v>211</v>
      </c>
      <c r="L39" s="13">
        <f>_xll.BDH("XOM US Equity","MIN_NONCONTROL_INTEREST_CREDITS","FQ4 2010","FQ4 2010","Currency=USD","Period=FQ","BEST_FPERIOD_OVERRIDE=FQ","FILING_STATUS=OR","SCALING_FORMAT=MLN","FA_ADJUSTED=GAAP","Sort=A","Dates=H","DateFormat=P","Fill=—","Direction=H","UseDPDF=Y")</f>
        <v>266</v>
      </c>
      <c r="M39" s="13">
        <f>_xll.BDH("XOM US Equity","MIN_NONCONTROL_INTEREST_CREDITS","FQ1 2011","FQ1 2011","Currency=USD","Period=FQ","BEST_FPERIOD_OVERRIDE=FQ","FILING_STATUS=OR","SCALING_FORMAT=MLN","FA_ADJUSTED=GAAP","Sort=A","Dates=H","DateFormat=P","Fill=—","Direction=H","UseDPDF=Y")</f>
        <v>263</v>
      </c>
      <c r="N39" s="13">
        <f>_xll.BDH("XOM US Equity","MIN_NONCONTROL_INTEREST_CREDITS","FQ2 2011","FQ2 2011","Currency=USD","Period=FQ","BEST_FPERIOD_OVERRIDE=FQ","FILING_STATUS=OR","SCALING_FORMAT=MLN","FA_ADJUSTED=GAAP","Sort=A","Dates=H","DateFormat=P","Fill=—","Direction=H","UseDPDF=Y")</f>
        <v>218</v>
      </c>
      <c r="O39" s="13">
        <f>_xll.BDH("XOM US Equity","MIN_NONCONTROL_INTEREST_CREDITS","FQ3 2011","FQ3 2011","Currency=USD","Period=FQ","BEST_FPERIOD_OVERRIDE=FQ","FILING_STATUS=OR","SCALING_FORMAT=MLN","FA_ADJUSTED=GAAP","Sort=A","Dates=H","DateFormat=P","Fill=—","Direction=H","UseDPDF=Y")</f>
        <v>341</v>
      </c>
      <c r="P39" s="13">
        <f>_xll.BDH("XOM US Equity","MIN_NONCONTROL_INTEREST_CREDITS","FQ4 2011","FQ4 2011","Currency=USD","Period=FQ","BEST_FPERIOD_OVERRIDE=FQ","FILING_STATUS=OR","SCALING_FORMAT=MLN","FA_ADJUSTED=GAAP","Sort=A","Dates=H","DateFormat=P","Fill=—","Direction=H","UseDPDF=Y")</f>
        <v>324</v>
      </c>
      <c r="Q39" s="13">
        <f>_xll.BDH("XOM US Equity","MIN_NONCONTROL_INTEREST_CREDITS","FQ1 2012","FQ1 2012","Currency=USD","Period=FQ","BEST_FPERIOD_OVERRIDE=FQ","FILING_STATUS=OR","SCALING_FORMAT=MLN","FA_ADJUSTED=GAAP","Sort=A","Dates=H","DateFormat=P","Fill=—","Direction=H","UseDPDF=Y")</f>
        <v>349</v>
      </c>
      <c r="R39" s="13">
        <f>_xll.BDH("XOM US Equity","MIN_NONCONTROL_INTEREST_CREDITS","FQ2 2012","FQ2 2012","Currency=USD","Period=FQ","BEST_FPERIOD_OVERRIDE=FQ","FILING_STATUS=OR","SCALING_FORMAT=MLN","FA_ADJUSTED=GAAP","Sort=A","Dates=H","DateFormat=P","Fill=—","Direction=H","UseDPDF=Y")</f>
        <v>1744</v>
      </c>
      <c r="S39" s="13">
        <f>_xll.BDH("XOM US Equity","MIN_NONCONTROL_INTEREST_CREDITS","FQ3 2012","FQ3 2012","Currency=USD","Period=FQ","BEST_FPERIOD_OVERRIDE=FQ","FILING_STATUS=OR","SCALING_FORMAT=MLN","FA_ADJUSTED=GAAP","Sort=A","Dates=H","DateFormat=P","Fill=—","Direction=H","UseDPDF=Y")</f>
        <v>356</v>
      </c>
      <c r="T39" s="13">
        <f>_xll.BDH("XOM US Equity","MIN_NONCONTROL_INTEREST_CREDITS","FQ4 2012","FQ4 2012","Currency=USD","Period=FQ","BEST_FPERIOD_OVERRIDE=FQ","FILING_STATUS=OR","SCALING_FORMAT=MLN","FA_ADJUSTED=GAAP","Sort=A","Dates=H","DateFormat=P","Fill=—","Direction=H","UseDPDF=Y")</f>
        <v>352</v>
      </c>
      <c r="U39" s="13">
        <f>_xll.BDH("XOM US Equity","MIN_NONCONTROL_INTEREST_CREDITS","FQ1 2013","FQ1 2013","Currency=USD","Period=FQ","BEST_FPERIOD_OVERRIDE=FQ","FILING_STATUS=OR","SCALING_FORMAT=MLN","FA_ADJUSTED=GAAP","Sort=A","Dates=H","DateFormat=P","Fill=—","Direction=H","UseDPDF=Y")</f>
        <v>261</v>
      </c>
      <c r="V39" s="13">
        <f>_xll.BDH("XOM US Equity","MIN_NONCONTROL_INTEREST_CREDITS","FQ2 2013","FQ2 2013","Currency=USD","Period=FQ","BEST_FPERIOD_OVERRIDE=FQ","FILING_STATUS=OR","SCALING_FORMAT=MLN","FA_ADJUSTED=GAAP","Sort=A","Dates=H","DateFormat=P","Fill=—","Direction=H","UseDPDF=Y")</f>
        <v>115</v>
      </c>
      <c r="W39" s="13">
        <f>_xll.BDH("XOM US Equity","MIN_NONCONTROL_INTEREST_CREDITS","FQ3 2013","FQ3 2013","Currency=USD","Period=FQ","BEST_FPERIOD_OVERRIDE=FQ","FILING_STATUS=OR","SCALING_FORMAT=MLN","FA_ADJUSTED=GAAP","Sort=A","Dates=H","DateFormat=P","Fill=—","Direction=H","UseDPDF=Y")</f>
        <v>199</v>
      </c>
      <c r="X39" s="13">
        <f>_xll.BDH("XOM US Equity","MIN_NONCONTROL_INTEREST_CREDITS","FQ4 2013","FQ4 2013","Currency=USD","Period=FQ","BEST_FPERIOD_OVERRIDE=FQ","FILING_STATUS=OR","SCALING_FORMAT=MLN","FA_ADJUSTED=GAAP","Sort=A","Dates=H","DateFormat=P","Fill=—","Direction=H","UseDPDF=Y")</f>
        <v>293</v>
      </c>
      <c r="Y39" s="13">
        <f>_xll.BDH("XOM US Equity","MIN_NONCONTROL_INTEREST_CREDITS","FQ1 2014","FQ1 2014","Currency=USD","Period=FQ","BEST_FPERIOD_OVERRIDE=FQ","FILING_STATUS=OR","SCALING_FORMAT=MLN","FA_ADJUSTED=GAAP","Sort=A","Dates=H","DateFormat=P","Fill=—","Direction=H","UseDPDF=Y")</f>
        <v>270</v>
      </c>
      <c r="Z39" s="13">
        <f>_xll.BDH("XOM US Equity","MIN_NONCONTROL_INTEREST_CREDITS","FQ2 2014","FQ2 2014","Currency=USD","Period=FQ","BEST_FPERIOD_OVERRIDE=FQ","FILING_STATUS=OR","SCALING_FORMAT=MLN","FA_ADJUSTED=GAAP","Sort=A","Dates=H","DateFormat=P","Fill=—","Direction=H","UseDPDF=Y")</f>
        <v>337</v>
      </c>
      <c r="AA39" s="13">
        <f>_xll.BDH("XOM US Equity","MIN_NONCONTROL_INTEREST_CREDITS","FQ3 2014","FQ3 2014","Currency=USD","Period=FQ","BEST_FPERIOD_OVERRIDE=FQ","FILING_STATUS=OR","SCALING_FORMAT=MLN","FA_ADJUSTED=GAAP","Sort=A","Dates=H","DateFormat=P","Fill=—","Direction=H","UseDPDF=Y")</f>
        <v>276</v>
      </c>
      <c r="AB39" s="13">
        <f>_xll.BDH("XOM US Equity","MIN_NONCONTROL_INTEREST_CREDITS","FQ4 2014","FQ4 2014","Currency=USD","Period=FQ","BEST_FPERIOD_OVERRIDE=FQ","FILING_STATUS=OR","SCALING_FORMAT=MLN","FA_ADJUSTED=GAAP","Sort=A","Dates=H","DateFormat=P","Fill=—","Direction=H","UseDPDF=Y")</f>
        <v>212</v>
      </c>
      <c r="AC39" s="13">
        <f>_xll.BDH("XOM US Equity","MIN_NONCONTROL_INTEREST_CREDITS","FQ1 2015","FQ1 2015","Currency=USD","Period=FQ","BEST_FPERIOD_OVERRIDE=FQ","FILING_STATUS=OR","SCALING_FORMAT=MLN","FA_ADJUSTED=GAAP","Sort=A","Dates=H","DateFormat=P","Fill=—","Direction=H","UseDPDF=Y")</f>
        <v>135</v>
      </c>
      <c r="AD39" s="13">
        <f>_xll.BDH("XOM US Equity","MIN_NONCONTROL_INTEREST_CREDITS","FQ2 2015","FQ2 2015","Currency=USD","Period=FQ","BEST_FPERIOD_OVERRIDE=FQ","FILING_STATUS=OR","SCALING_FORMAT=MLN","FA_ADJUSTED=GAAP","Sort=A","Dates=H","DateFormat=P","Fill=—","Direction=H","UseDPDF=Y")</f>
        <v>72</v>
      </c>
      <c r="AE39" s="13">
        <f>_xll.BDH("XOM US Equity","MIN_NONCONTROL_INTEREST_CREDITS","FQ3 2015","FQ3 2015","Currency=USD","Period=FQ","BEST_FPERIOD_OVERRIDE=FQ","FILING_STATUS=OR","SCALING_FORMAT=MLN","FA_ADJUSTED=GAAP","Sort=A","Dates=H","DateFormat=P","Fill=—","Direction=H","UseDPDF=Y")</f>
        <v>144</v>
      </c>
      <c r="AF39" s="13">
        <f>_xll.BDH("XOM US Equity","MIN_NONCONTROL_INTEREST_CREDITS","FQ4 2015","FQ4 2015","Currency=USD","Period=FQ","BEST_FPERIOD_OVERRIDE=FQ","FILING_STATUS=OR","SCALING_FORMAT=MLN","FA_ADJUSTED=GAAP","Sort=A","Dates=H","DateFormat=P","Fill=—","Direction=H","UseDPDF=Y")</f>
        <v>50</v>
      </c>
      <c r="AG39" s="13">
        <f>_xll.BDH("XOM US Equity","MIN_NONCONTROL_INTEREST_CREDITS","FQ1 2016","FQ1 2016","Currency=USD","Period=FQ","BEST_FPERIOD_OVERRIDE=FQ","FILING_STATUS=OR","SCALING_FORMAT=MLN","FA_ADJUSTED=GAAP","Sort=A","Dates=H","DateFormat=P","Fill=—","Direction=H","UseDPDF=Y")</f>
        <v>-29</v>
      </c>
      <c r="AH39" s="13">
        <f>_xll.BDH("XOM US Equity","MIN_NONCONTROL_INTEREST_CREDITS","FQ2 2016","FQ2 2016","Currency=USD","Period=FQ","BEST_FPERIOD_OVERRIDE=FQ","FILING_STATUS=OR","SCALING_FORMAT=MLN","FA_ADJUSTED=GAAP","Sort=A","Dates=H","DateFormat=P","Fill=—","Direction=H","UseDPDF=Y")</f>
        <v>-19</v>
      </c>
      <c r="AI39" s="13">
        <f>_xll.BDH("XOM US Equity","MIN_NONCONTROL_INTEREST_CREDITS","FQ3 2016","FQ3 2016","Currency=USD","Period=FQ","BEST_FPERIOD_OVERRIDE=FQ","FILING_STATUS=OR","SCALING_FORMAT=MLN","FA_ADJUSTED=GAAP","Sort=A","Dates=H","DateFormat=P","Fill=—","Direction=H","UseDPDF=Y")</f>
        <v>239</v>
      </c>
      <c r="AJ39" s="13">
        <f>_xll.BDH("XOM US Equity","MIN_NONCONTROL_INTEREST_CREDITS","FQ4 2016","FQ4 2016","Currency=USD","Period=FQ","BEST_FPERIOD_OVERRIDE=FQ","FILING_STATUS=OR","SCALING_FORMAT=MLN","FA_ADJUSTED=GAAP","Sort=A","Dates=H","DateFormat=P","Fill=—","Direction=H","UseDPDF=Y")</f>
        <v>344</v>
      </c>
      <c r="AK39" s="13">
        <f>_xll.BDH("XOM US Equity","MIN_NONCONTROL_INTEREST_CREDITS","FQ1 2017","FQ1 2017","Currency=USD","Period=FQ","BEST_FPERIOD_OVERRIDE=FQ","FILING_STATUS=OR","SCALING_FORMAT=MLN","FA_ADJUSTED=GAAP","Sort=A","Dates=H","DateFormat=P","Fill=—","Direction=H","UseDPDF=Y")</f>
        <v>80</v>
      </c>
      <c r="AL39" s="13">
        <f>_xll.BDH("XOM US Equity","MIN_NONCONTROL_INTEREST_CREDITS","FQ2 2017","FQ2 2017","Currency=USD","Period=FQ","BEST_FPERIOD_OVERRIDE=FQ","FILING_STATUS=OR","SCALING_FORMAT=MLN","FA_ADJUSTED=GAAP","Sort=A","Dates=H","DateFormat=P","Fill=—","Direction=H","UseDPDF=Y")</f>
        <v>-86</v>
      </c>
      <c r="AM39" s="13">
        <f>_xll.BDH("XOM US Equity","MIN_NONCONTROL_INTEREST_CREDITS","FQ3 2017","FQ3 2017","Currency=USD","Period=FQ","BEST_FPERIOD_OVERRIDE=FQ","FILING_STATUS=OR","SCALING_FORMAT=MLN","FA_ADJUSTED=GAAP","Sort=A","Dates=H","DateFormat=P","Fill=—","Direction=H","UseDPDF=Y")</f>
        <v>115</v>
      </c>
      <c r="AN39" s="13">
        <f>_xll.BDH("XOM US Equity","MIN_NONCONTROL_INTEREST_CREDITS","FQ4 2017","FQ4 2017","Currency=USD","Period=FQ","BEST_FPERIOD_OVERRIDE=FQ","FILING_STATUS=OR","SCALING_FORMAT=MLN","FA_ADJUSTED=GAAP","Sort=A","Dates=H","DateFormat=P","Fill=—","Direction=H","UseDPDF=Y")</f>
        <v>29</v>
      </c>
      <c r="AO39" s="13">
        <f>_xll.BDH("XOM US Equity","MIN_NONCONTROL_INTEREST_CREDITS","FQ1 2018","FQ1 2018","Currency=USD","Period=FQ","BEST_FPERIOD_OVERRIDE=FQ","FILING_STATUS=OR","SCALING_FORMAT=MLN","FA_ADJUSTED=GAAP","Sort=A","Dates=H","DateFormat=P","Fill=—","Direction=H","UseDPDF=Y")</f>
        <v>133</v>
      </c>
      <c r="AP39" s="13">
        <f>_xll.BDH("XOM US Equity","MIN_NONCONTROL_INTEREST_CREDITS","FQ2 2018","FQ2 2018","Currency=USD","Period=FQ","BEST_FPERIOD_OVERRIDE=FQ","FILING_STATUS=OR","SCALING_FORMAT=MLN","FA_ADJUSTED=GAAP","Sort=A","Dates=H","DateFormat=P","Fill=—","Direction=H","UseDPDF=Y")</f>
        <v>36</v>
      </c>
    </row>
    <row r="40" spans="1:42" x14ac:dyDescent="0.25">
      <c r="A40" s="6" t="s">
        <v>153</v>
      </c>
      <c r="B40" s="6" t="s">
        <v>154</v>
      </c>
      <c r="C40" s="16">
        <f>_xll.BDH("XOM US Equity","NET_INCOME","FQ3 2008","FQ3 2008","Currency=USD","Period=FQ","BEST_FPERIOD_OVERRIDE=FQ","FILING_STATUS=OR","SCALING_FORMAT=MLN","FA_ADJUSTED=GAAP","Sort=A","Dates=H","DateFormat=P","Fill=—","Direction=H","UseDPDF=Y")</f>
        <v>14830</v>
      </c>
      <c r="D40" s="16">
        <f>_xll.BDH("XOM US Equity","NET_INCOME","FQ4 2008","FQ4 2008","Currency=USD","Period=FQ","BEST_FPERIOD_OVERRIDE=FQ","FILING_STATUS=OR","SCALING_FORMAT=MLN","FA_ADJUSTED=GAAP","Sort=A","Dates=H","DateFormat=P","Fill=—","Direction=H","UseDPDF=Y")</f>
        <v>7820</v>
      </c>
      <c r="E40" s="16">
        <f>_xll.BDH("XOM US Equity","NET_INCOME","FQ1 2009","FQ1 2009","Currency=USD","Period=FQ","BEST_FPERIOD_OVERRIDE=FQ","FILING_STATUS=OR","SCALING_FORMAT=MLN","FA_ADJUSTED=GAAP","Sort=A","Dates=H","DateFormat=P","Fill=—","Direction=H","UseDPDF=Y")</f>
        <v>4550</v>
      </c>
      <c r="F40" s="16">
        <f>_xll.BDH("XOM US Equity","NET_INCOME","FQ2 2009","FQ2 2009","Currency=USD","Period=FQ","BEST_FPERIOD_OVERRIDE=FQ","FILING_STATUS=OR","SCALING_FORMAT=MLN","FA_ADJUSTED=GAAP","Sort=A","Dates=H","DateFormat=P","Fill=—","Direction=H","UseDPDF=Y")</f>
        <v>3950</v>
      </c>
      <c r="G40" s="16">
        <f>_xll.BDH("XOM US Equity","NET_INCOME","FQ3 2009","FQ3 2009","Currency=USD","Period=FQ","BEST_FPERIOD_OVERRIDE=FQ","FILING_STATUS=OR","SCALING_FORMAT=MLN","FA_ADJUSTED=GAAP","Sort=A","Dates=H","DateFormat=P","Fill=—","Direction=H","UseDPDF=Y")</f>
        <v>4730</v>
      </c>
      <c r="H40" s="16">
        <f>_xll.BDH("XOM US Equity","NET_INCOME","FQ4 2009","FQ4 2009","Currency=USD","Period=FQ","BEST_FPERIOD_OVERRIDE=FQ","FILING_STATUS=OR","SCALING_FORMAT=MLN","FA_ADJUSTED=GAAP","Sort=A","Dates=H","DateFormat=P","Fill=—","Direction=H","UseDPDF=Y")</f>
        <v>6050</v>
      </c>
      <c r="I40" s="16">
        <f>_xll.BDH("XOM US Equity","NET_INCOME","FQ1 2010","FQ1 2010","Currency=USD","Period=FQ","BEST_FPERIOD_OVERRIDE=FQ","FILING_STATUS=OR","SCALING_FORMAT=MLN","FA_ADJUSTED=GAAP","Sort=A","Dates=H","DateFormat=P","Fill=—","Direction=H","UseDPDF=Y")</f>
        <v>6300</v>
      </c>
      <c r="J40" s="16">
        <f>_xll.BDH("XOM US Equity","NET_INCOME","FQ2 2010","FQ2 2010","Currency=USD","Period=FQ","BEST_FPERIOD_OVERRIDE=FQ","FILING_STATUS=OR","SCALING_FORMAT=MLN","FA_ADJUSTED=GAAP","Sort=A","Dates=H","DateFormat=P","Fill=—","Direction=H","UseDPDF=Y")</f>
        <v>7560</v>
      </c>
      <c r="K40" s="16">
        <f>_xll.BDH("XOM US Equity","NET_INCOME","FQ3 2010","FQ3 2010","Currency=USD","Period=FQ","BEST_FPERIOD_OVERRIDE=FQ","FILING_STATUS=OR","SCALING_FORMAT=MLN","FA_ADJUSTED=GAAP","Sort=A","Dates=H","DateFormat=P","Fill=—","Direction=H","UseDPDF=Y")</f>
        <v>7350</v>
      </c>
      <c r="L40" s="16">
        <f>_xll.BDH("XOM US Equity","NET_INCOME","FQ4 2010","FQ4 2010","Currency=USD","Period=FQ","BEST_FPERIOD_OVERRIDE=FQ","FILING_STATUS=OR","SCALING_FORMAT=MLN","FA_ADJUSTED=GAAP","Sort=A","Dates=H","DateFormat=P","Fill=—","Direction=H","UseDPDF=Y")</f>
        <v>9250</v>
      </c>
      <c r="M40" s="16">
        <f>_xll.BDH("XOM US Equity","NET_INCOME","FQ1 2011","FQ1 2011","Currency=USD","Period=FQ","BEST_FPERIOD_OVERRIDE=FQ","FILING_STATUS=OR","SCALING_FORMAT=MLN","FA_ADJUSTED=GAAP","Sort=A","Dates=H","DateFormat=P","Fill=—","Direction=H","UseDPDF=Y")</f>
        <v>10650</v>
      </c>
      <c r="N40" s="16">
        <f>_xll.BDH("XOM US Equity","NET_INCOME","FQ2 2011","FQ2 2011","Currency=USD","Period=FQ","BEST_FPERIOD_OVERRIDE=FQ","FILING_STATUS=OR","SCALING_FORMAT=MLN","FA_ADJUSTED=GAAP","Sort=A","Dates=H","DateFormat=P","Fill=—","Direction=H","UseDPDF=Y")</f>
        <v>10680</v>
      </c>
      <c r="O40" s="16">
        <f>_xll.BDH("XOM US Equity","NET_INCOME","FQ3 2011","FQ3 2011","Currency=USD","Period=FQ","BEST_FPERIOD_OVERRIDE=FQ","FILING_STATUS=OR","SCALING_FORMAT=MLN","FA_ADJUSTED=GAAP","Sort=A","Dates=H","DateFormat=P","Fill=—","Direction=H","UseDPDF=Y")</f>
        <v>10330</v>
      </c>
      <c r="P40" s="16">
        <f>_xll.BDH("XOM US Equity","NET_INCOME","FQ4 2011","FQ4 2011","Currency=USD","Period=FQ","BEST_FPERIOD_OVERRIDE=FQ","FILING_STATUS=OR","SCALING_FORMAT=MLN","FA_ADJUSTED=GAAP","Sort=A","Dates=H","DateFormat=P","Fill=—","Direction=H","UseDPDF=Y")</f>
        <v>9400</v>
      </c>
      <c r="Q40" s="16">
        <f>_xll.BDH("XOM US Equity","NET_INCOME","FQ1 2012","FQ1 2012","Currency=USD","Period=FQ","BEST_FPERIOD_OVERRIDE=FQ","FILING_STATUS=OR","SCALING_FORMAT=MLN","FA_ADJUSTED=GAAP","Sort=A","Dates=H","DateFormat=P","Fill=—","Direction=H","UseDPDF=Y")</f>
        <v>9450</v>
      </c>
      <c r="R40" s="16">
        <f>_xll.BDH("XOM US Equity","NET_INCOME","FQ2 2012","FQ2 2012","Currency=USD","Period=FQ","BEST_FPERIOD_OVERRIDE=FQ","FILING_STATUS=OR","SCALING_FORMAT=MLN","FA_ADJUSTED=GAAP","Sort=A","Dates=H","DateFormat=P","Fill=—","Direction=H","UseDPDF=Y")</f>
        <v>15910</v>
      </c>
      <c r="S40" s="16">
        <f>_xll.BDH("XOM US Equity","NET_INCOME","FQ3 2012","FQ3 2012","Currency=USD","Period=FQ","BEST_FPERIOD_OVERRIDE=FQ","FILING_STATUS=OR","SCALING_FORMAT=MLN","FA_ADJUSTED=GAAP","Sort=A","Dates=H","DateFormat=P","Fill=—","Direction=H","UseDPDF=Y")</f>
        <v>9570</v>
      </c>
      <c r="T40" s="16">
        <f>_xll.BDH("XOM US Equity","NET_INCOME","FQ4 2012","FQ4 2012","Currency=USD","Period=FQ","BEST_FPERIOD_OVERRIDE=FQ","FILING_STATUS=OR","SCALING_FORMAT=MLN","FA_ADJUSTED=GAAP","Sort=A","Dates=H","DateFormat=P","Fill=—","Direction=H","UseDPDF=Y")</f>
        <v>9950</v>
      </c>
      <c r="U40" s="16">
        <f>_xll.BDH("XOM US Equity","NET_INCOME","FQ1 2013","FQ1 2013","Currency=USD","Period=FQ","BEST_FPERIOD_OVERRIDE=FQ","FILING_STATUS=OR","SCALING_FORMAT=MLN","FA_ADJUSTED=GAAP","Sort=A","Dates=H","DateFormat=P","Fill=—","Direction=H","UseDPDF=Y")</f>
        <v>9500</v>
      </c>
      <c r="V40" s="16">
        <f>_xll.BDH("XOM US Equity","NET_INCOME","FQ2 2013","FQ2 2013","Currency=USD","Period=FQ","BEST_FPERIOD_OVERRIDE=FQ","FILING_STATUS=OR","SCALING_FORMAT=MLN","FA_ADJUSTED=GAAP","Sort=A","Dates=H","DateFormat=P","Fill=—","Direction=H","UseDPDF=Y")</f>
        <v>6860</v>
      </c>
      <c r="W40" s="16">
        <f>_xll.BDH("XOM US Equity","NET_INCOME","FQ3 2013","FQ3 2013","Currency=USD","Period=FQ","BEST_FPERIOD_OVERRIDE=FQ","FILING_STATUS=OR","SCALING_FORMAT=MLN","FA_ADJUSTED=GAAP","Sort=A","Dates=H","DateFormat=P","Fill=—","Direction=H","UseDPDF=Y")</f>
        <v>7870</v>
      </c>
      <c r="X40" s="16">
        <f>_xll.BDH("XOM US Equity","NET_INCOME","FQ4 2013","FQ4 2013","Currency=USD","Period=FQ","BEST_FPERIOD_OVERRIDE=FQ","FILING_STATUS=OR","SCALING_FORMAT=MLN","FA_ADJUSTED=GAAP","Sort=A","Dates=H","DateFormat=P","Fill=—","Direction=H","UseDPDF=Y")</f>
        <v>8350</v>
      </c>
      <c r="Y40" s="16">
        <f>_xll.BDH("XOM US Equity","NET_INCOME","FQ1 2014","FQ1 2014","Currency=USD","Period=FQ","BEST_FPERIOD_OVERRIDE=FQ","FILING_STATUS=OR","SCALING_FORMAT=MLN","FA_ADJUSTED=GAAP","Sort=A","Dates=H","DateFormat=P","Fill=—","Direction=H","UseDPDF=Y")</f>
        <v>9100</v>
      </c>
      <c r="Z40" s="16">
        <f>_xll.BDH("XOM US Equity","NET_INCOME","FQ2 2014","FQ2 2014","Currency=USD","Period=FQ","BEST_FPERIOD_OVERRIDE=FQ","FILING_STATUS=OR","SCALING_FORMAT=MLN","FA_ADJUSTED=GAAP","Sort=A","Dates=H","DateFormat=P","Fill=—","Direction=H","UseDPDF=Y")</f>
        <v>8780</v>
      </c>
      <c r="AA40" s="16">
        <f>_xll.BDH("XOM US Equity","NET_INCOME","FQ3 2014","FQ3 2014","Currency=USD","Period=FQ","BEST_FPERIOD_OVERRIDE=FQ","FILING_STATUS=OR","SCALING_FORMAT=MLN","FA_ADJUSTED=GAAP","Sort=A","Dates=H","DateFormat=P","Fill=—","Direction=H","UseDPDF=Y")</f>
        <v>8070</v>
      </c>
      <c r="AB40" s="16">
        <f>_xll.BDH("XOM US Equity","NET_INCOME","FQ4 2014","FQ4 2014","Currency=USD","Period=FQ","BEST_FPERIOD_OVERRIDE=FQ","FILING_STATUS=OR","SCALING_FORMAT=MLN","FA_ADJUSTED=GAAP","Sort=A","Dates=H","DateFormat=P","Fill=—","Direction=H","UseDPDF=Y")</f>
        <v>6570</v>
      </c>
      <c r="AC40" s="16">
        <f>_xll.BDH("XOM US Equity","NET_INCOME","FQ1 2015","FQ1 2015","Currency=USD","Period=FQ","BEST_FPERIOD_OVERRIDE=FQ","FILING_STATUS=OR","SCALING_FORMAT=MLN","FA_ADJUSTED=GAAP","Sort=A","Dates=H","DateFormat=P","Fill=—","Direction=H","UseDPDF=Y")</f>
        <v>4940</v>
      </c>
      <c r="AD40" s="16">
        <f>_xll.BDH("XOM US Equity","NET_INCOME","FQ2 2015","FQ2 2015","Currency=USD","Period=FQ","BEST_FPERIOD_OVERRIDE=FQ","FILING_STATUS=OR","SCALING_FORMAT=MLN","FA_ADJUSTED=GAAP","Sort=A","Dates=H","DateFormat=P","Fill=—","Direction=H","UseDPDF=Y")</f>
        <v>4190</v>
      </c>
      <c r="AE40" s="16">
        <f>_xll.BDH("XOM US Equity","NET_INCOME","FQ3 2015","FQ3 2015","Currency=USD","Period=FQ","BEST_FPERIOD_OVERRIDE=FQ","FILING_STATUS=OR","SCALING_FORMAT=MLN","FA_ADJUSTED=GAAP","Sort=A","Dates=H","DateFormat=P","Fill=—","Direction=H","UseDPDF=Y")</f>
        <v>4240</v>
      </c>
      <c r="AF40" s="16">
        <f>_xll.BDH("XOM US Equity","NET_INCOME","FQ4 2015","FQ4 2015","Currency=USD","Period=FQ","BEST_FPERIOD_OVERRIDE=FQ","FILING_STATUS=OR","SCALING_FORMAT=MLN","FA_ADJUSTED=GAAP","Sort=A","Dates=H","DateFormat=P","Fill=—","Direction=H","UseDPDF=Y")</f>
        <v>2780</v>
      </c>
      <c r="AG40" s="16">
        <f>_xll.BDH("XOM US Equity","NET_INCOME","FQ1 2016","FQ1 2016","Currency=USD","Period=FQ","BEST_FPERIOD_OVERRIDE=FQ","FILING_STATUS=OR","SCALING_FORMAT=MLN","FA_ADJUSTED=GAAP","Sort=A","Dates=H","DateFormat=P","Fill=—","Direction=H","UseDPDF=Y")</f>
        <v>1810</v>
      </c>
      <c r="AH40" s="16">
        <f>_xll.BDH("XOM US Equity","NET_INCOME","FQ2 2016","FQ2 2016","Currency=USD","Period=FQ","BEST_FPERIOD_OVERRIDE=FQ","FILING_STATUS=OR","SCALING_FORMAT=MLN","FA_ADJUSTED=GAAP","Sort=A","Dates=H","DateFormat=P","Fill=—","Direction=H","UseDPDF=Y")</f>
        <v>1700</v>
      </c>
      <c r="AI40" s="16">
        <f>_xll.BDH("XOM US Equity","NET_INCOME","FQ3 2016","FQ3 2016","Currency=USD","Period=FQ","BEST_FPERIOD_OVERRIDE=FQ","FILING_STATUS=OR","SCALING_FORMAT=MLN","FA_ADJUSTED=GAAP","Sort=A","Dates=H","DateFormat=P","Fill=—","Direction=H","UseDPDF=Y")</f>
        <v>2650</v>
      </c>
      <c r="AJ40" s="16">
        <f>_xll.BDH("XOM US Equity","NET_INCOME","FQ4 2016","FQ4 2016","Currency=USD","Period=FQ","BEST_FPERIOD_OVERRIDE=FQ","FILING_STATUS=OR","SCALING_FORMAT=MLN","FA_ADJUSTED=GAAP","Sort=A","Dates=H","DateFormat=P","Fill=—","Direction=H","UseDPDF=Y")</f>
        <v>1680</v>
      </c>
      <c r="AK40" s="16">
        <f>_xll.BDH("XOM US Equity","NET_INCOME","FQ1 2017","FQ1 2017","Currency=USD","Period=FQ","BEST_FPERIOD_OVERRIDE=FQ","FILING_STATUS=OR","SCALING_FORMAT=MLN","FA_ADJUSTED=GAAP","Sort=A","Dates=H","DateFormat=P","Fill=—","Direction=H","UseDPDF=Y")</f>
        <v>4010</v>
      </c>
      <c r="AL40" s="16">
        <f>_xll.BDH("XOM US Equity","NET_INCOME","FQ2 2017","FQ2 2017","Currency=USD","Period=FQ","BEST_FPERIOD_OVERRIDE=FQ","FILING_STATUS=OR","SCALING_FORMAT=MLN","FA_ADJUSTED=GAAP","Sort=A","Dates=H","DateFormat=P","Fill=—","Direction=H","UseDPDF=Y")</f>
        <v>3350</v>
      </c>
      <c r="AM40" s="16">
        <f>_xll.BDH("XOM US Equity","NET_INCOME","FQ3 2017","FQ3 2017","Currency=USD","Period=FQ","BEST_FPERIOD_OVERRIDE=FQ","FILING_STATUS=OR","SCALING_FORMAT=MLN","FA_ADJUSTED=GAAP","Sort=A","Dates=H","DateFormat=P","Fill=—","Direction=H","UseDPDF=Y")</f>
        <v>3970</v>
      </c>
      <c r="AN40" s="16">
        <f>_xll.BDH("XOM US Equity","NET_INCOME","FQ4 2017","FQ4 2017","Currency=USD","Period=FQ","BEST_FPERIOD_OVERRIDE=FQ","FILING_STATUS=OR","SCALING_FORMAT=MLN","FA_ADJUSTED=GAAP","Sort=A","Dates=H","DateFormat=P","Fill=—","Direction=H","UseDPDF=Y")</f>
        <v>8380</v>
      </c>
      <c r="AO40" s="16">
        <f>_xll.BDH("XOM US Equity","NET_INCOME","FQ1 2018","FQ1 2018","Currency=USD","Period=FQ","BEST_FPERIOD_OVERRIDE=FQ","FILING_STATUS=OR","SCALING_FORMAT=MLN","FA_ADJUSTED=GAAP","Sort=A","Dates=H","DateFormat=P","Fill=—","Direction=H","UseDPDF=Y")</f>
        <v>4650</v>
      </c>
      <c r="AP40" s="16">
        <f>_xll.BDH("XOM US Equity","NET_INCOME","FQ2 2018","FQ2 2018","Currency=USD","Period=FQ","BEST_FPERIOD_OVERRIDE=FQ","FILING_STATUS=OR","SCALING_FORMAT=MLN","FA_ADJUSTED=GAAP","Sort=A","Dates=H","DateFormat=P","Fill=—","Direction=H","UseDPDF=Y")</f>
        <v>3950</v>
      </c>
    </row>
    <row r="41" spans="1:42" x14ac:dyDescent="0.25">
      <c r="A41" s="10" t="s">
        <v>155</v>
      </c>
      <c r="B41" s="10" t="s">
        <v>156</v>
      </c>
      <c r="C41" s="13">
        <f>_xll.BDH("XOM US Equity","IS_TOT_CASH_PFD_DVD","FQ3 2008","FQ3 2008","Currency=USD","Period=FQ","BEST_FPERIOD_OVERRIDE=FQ","FILING_STATUS=OR","SCALING_FORMAT=MLN","Sort=A","Dates=H","DateFormat=P","Fill=—","Direction=H","UseDPDF=Y")</f>
        <v>0</v>
      </c>
      <c r="D41" s="13">
        <f>_xll.BDH("XOM US Equity","IS_TOT_CASH_PFD_DVD","FQ4 2008","FQ4 2008","Currency=USD","Period=FQ","BEST_FPERIOD_OVERRIDE=FQ","FILING_STATUS=OR","SCALING_FORMAT=MLN","Sort=A","Dates=H","DateFormat=P","Fill=—","Direction=H","UseDPDF=Y")</f>
        <v>0</v>
      </c>
      <c r="E41" s="13">
        <f>_xll.BDH("XOM US Equity","IS_TOT_CASH_PFD_DVD","FQ1 2009","FQ1 2009","Currency=USD","Period=FQ","BEST_FPERIOD_OVERRIDE=FQ","FILING_STATUS=OR","SCALING_FORMAT=MLN","Sort=A","Dates=H","DateFormat=P","Fill=—","Direction=H","UseDPDF=Y")</f>
        <v>0</v>
      </c>
      <c r="F41" s="13">
        <f>_xll.BDH("XOM US Equity","IS_TOT_CASH_PFD_DVD","FQ2 2009","FQ2 2009","Currency=USD","Period=FQ","BEST_FPERIOD_OVERRIDE=FQ","FILING_STATUS=OR","SCALING_FORMAT=MLN","Sort=A","Dates=H","DateFormat=P","Fill=—","Direction=H","UseDPDF=Y")</f>
        <v>0</v>
      </c>
      <c r="G41" s="13">
        <f>_xll.BDH("XOM US Equity","IS_TOT_CASH_PFD_DVD","FQ3 2009","FQ3 2009","Currency=USD","Period=FQ","BEST_FPERIOD_OVERRIDE=FQ","FILING_STATUS=OR","SCALING_FORMAT=MLN","Sort=A","Dates=H","DateFormat=P","Fill=—","Direction=H","UseDPDF=Y")</f>
        <v>0</v>
      </c>
      <c r="H41" s="13">
        <f>_xll.BDH("XOM US Equity","IS_TOT_CASH_PFD_DVD","FQ4 2009","FQ4 2009","Currency=USD","Period=FQ","BEST_FPERIOD_OVERRIDE=FQ","FILING_STATUS=OR","SCALING_FORMAT=MLN","Sort=A","Dates=H","DateFormat=P","Fill=—","Direction=H","UseDPDF=Y")</f>
        <v>0</v>
      </c>
      <c r="I41" s="13">
        <f>_xll.BDH("XOM US Equity","IS_TOT_CASH_PFD_DVD","FQ1 2010","FQ1 2010","Currency=USD","Period=FQ","BEST_FPERIOD_OVERRIDE=FQ","FILING_STATUS=OR","SCALING_FORMAT=MLN","Sort=A","Dates=H","DateFormat=P","Fill=—","Direction=H","UseDPDF=Y")</f>
        <v>0</v>
      </c>
      <c r="J41" s="13">
        <f>_xll.BDH("XOM US Equity","IS_TOT_CASH_PFD_DVD","FQ2 2010","FQ2 2010","Currency=USD","Period=FQ","BEST_FPERIOD_OVERRIDE=FQ","FILING_STATUS=OR","SCALING_FORMAT=MLN","Sort=A","Dates=H","DateFormat=P","Fill=—","Direction=H","UseDPDF=Y")</f>
        <v>0</v>
      </c>
      <c r="K41" s="13">
        <f>_xll.BDH("XOM US Equity","IS_TOT_CASH_PFD_DVD","FQ3 2010","FQ3 2010","Currency=USD","Period=FQ","BEST_FPERIOD_OVERRIDE=FQ","FILING_STATUS=OR","SCALING_FORMAT=MLN","Sort=A","Dates=H","DateFormat=P","Fill=—","Direction=H","UseDPDF=Y")</f>
        <v>0</v>
      </c>
      <c r="L41" s="13">
        <f>_xll.BDH("XOM US Equity","IS_TOT_CASH_PFD_DVD","FQ4 2010","FQ4 2010","Currency=USD","Period=FQ","BEST_FPERIOD_OVERRIDE=FQ","FILING_STATUS=OR","SCALING_FORMAT=MLN","Sort=A","Dates=H","DateFormat=P","Fill=—","Direction=H","UseDPDF=Y")</f>
        <v>0</v>
      </c>
      <c r="M41" s="13">
        <f>_xll.BDH("XOM US Equity","IS_TOT_CASH_PFD_DVD","FQ1 2011","FQ1 2011","Currency=USD","Period=FQ","BEST_FPERIOD_OVERRIDE=FQ","FILING_STATUS=OR","SCALING_FORMAT=MLN","Sort=A","Dates=H","DateFormat=P","Fill=—","Direction=H","UseDPDF=Y")</f>
        <v>0</v>
      </c>
      <c r="N41" s="13">
        <f>_xll.BDH("XOM US Equity","IS_TOT_CASH_PFD_DVD","FQ2 2011","FQ2 2011","Currency=USD","Period=FQ","BEST_FPERIOD_OVERRIDE=FQ","FILING_STATUS=OR","SCALING_FORMAT=MLN","Sort=A","Dates=H","DateFormat=P","Fill=—","Direction=H","UseDPDF=Y")</f>
        <v>0</v>
      </c>
      <c r="O41" s="13">
        <f>_xll.BDH("XOM US Equity","IS_TOT_CASH_PFD_DVD","FQ3 2011","FQ3 2011","Currency=USD","Period=FQ","BEST_FPERIOD_OVERRIDE=FQ","FILING_STATUS=OR","SCALING_FORMAT=MLN","Sort=A","Dates=H","DateFormat=P","Fill=—","Direction=H","UseDPDF=Y")</f>
        <v>0</v>
      </c>
      <c r="P41" s="13">
        <f>_xll.BDH("XOM US Equity","IS_TOT_CASH_PFD_DVD","FQ4 2011","FQ4 2011","Currency=USD","Period=FQ","BEST_FPERIOD_OVERRIDE=FQ","FILING_STATUS=OR","SCALING_FORMAT=MLN","Sort=A","Dates=H","DateFormat=P","Fill=—","Direction=H","UseDPDF=Y")</f>
        <v>0</v>
      </c>
      <c r="Q41" s="13">
        <f>_xll.BDH("XOM US Equity","IS_TOT_CASH_PFD_DVD","FQ1 2012","FQ1 2012","Currency=USD","Period=FQ","BEST_FPERIOD_OVERRIDE=FQ","FILING_STATUS=OR","SCALING_FORMAT=MLN","Sort=A","Dates=H","DateFormat=P","Fill=—","Direction=H","UseDPDF=Y")</f>
        <v>0</v>
      </c>
      <c r="R41" s="13">
        <f>_xll.BDH("XOM US Equity","IS_TOT_CASH_PFD_DVD","FQ2 2012","FQ2 2012","Currency=USD","Period=FQ","BEST_FPERIOD_OVERRIDE=FQ","FILING_STATUS=OR","SCALING_FORMAT=MLN","Sort=A","Dates=H","DateFormat=P","Fill=—","Direction=H","UseDPDF=Y")</f>
        <v>0</v>
      </c>
      <c r="S41" s="13">
        <f>_xll.BDH("XOM US Equity","IS_TOT_CASH_PFD_DVD","FQ3 2012","FQ3 2012","Currency=USD","Period=FQ","BEST_FPERIOD_OVERRIDE=FQ","FILING_STATUS=OR","SCALING_FORMAT=MLN","Sort=A","Dates=H","DateFormat=P","Fill=—","Direction=H","UseDPDF=Y")</f>
        <v>0</v>
      </c>
      <c r="T41" s="13">
        <f>_xll.BDH("XOM US Equity","IS_TOT_CASH_PFD_DVD","FQ4 2012","FQ4 2012","Currency=USD","Period=FQ","BEST_FPERIOD_OVERRIDE=FQ","FILING_STATUS=OR","SCALING_FORMAT=MLN","Sort=A","Dates=H","DateFormat=P","Fill=—","Direction=H","UseDPDF=Y")</f>
        <v>0</v>
      </c>
      <c r="U41" s="13">
        <f>_xll.BDH("XOM US Equity","IS_TOT_CASH_PFD_DVD","FQ1 2013","FQ1 2013","Currency=USD","Period=FQ","BEST_FPERIOD_OVERRIDE=FQ","FILING_STATUS=OR","SCALING_FORMAT=MLN","Sort=A","Dates=H","DateFormat=P","Fill=—","Direction=H","UseDPDF=Y")</f>
        <v>0</v>
      </c>
      <c r="V41" s="13">
        <f>_xll.BDH("XOM US Equity","IS_TOT_CASH_PFD_DVD","FQ2 2013","FQ2 2013","Currency=USD","Period=FQ","BEST_FPERIOD_OVERRIDE=FQ","FILING_STATUS=OR","SCALING_FORMAT=MLN","Sort=A","Dates=H","DateFormat=P","Fill=—","Direction=H","UseDPDF=Y")</f>
        <v>0</v>
      </c>
      <c r="W41" s="13">
        <f>_xll.BDH("XOM US Equity","IS_TOT_CASH_PFD_DVD","FQ3 2013","FQ3 2013","Currency=USD","Period=FQ","BEST_FPERIOD_OVERRIDE=FQ","FILING_STATUS=OR","SCALING_FORMAT=MLN","Sort=A","Dates=H","DateFormat=P","Fill=—","Direction=H","UseDPDF=Y")</f>
        <v>0</v>
      </c>
      <c r="X41" s="13">
        <f>_xll.BDH("XOM US Equity","IS_TOT_CASH_PFD_DVD","FQ4 2013","FQ4 2013","Currency=USD","Period=FQ","BEST_FPERIOD_OVERRIDE=FQ","FILING_STATUS=OR","SCALING_FORMAT=MLN","Sort=A","Dates=H","DateFormat=P","Fill=—","Direction=H","UseDPDF=Y")</f>
        <v>0</v>
      </c>
      <c r="Y41" s="13">
        <f>_xll.BDH("XOM US Equity","IS_TOT_CASH_PFD_DVD","FQ1 2014","FQ1 2014","Currency=USD","Period=FQ","BEST_FPERIOD_OVERRIDE=FQ","FILING_STATUS=OR","SCALING_FORMAT=MLN","Sort=A","Dates=H","DateFormat=P","Fill=—","Direction=H","UseDPDF=Y")</f>
        <v>0</v>
      </c>
      <c r="Z41" s="13">
        <f>_xll.BDH("XOM US Equity","IS_TOT_CASH_PFD_DVD","FQ2 2014","FQ2 2014","Currency=USD","Period=FQ","BEST_FPERIOD_OVERRIDE=FQ","FILING_STATUS=OR","SCALING_FORMAT=MLN","Sort=A","Dates=H","DateFormat=P","Fill=—","Direction=H","UseDPDF=Y")</f>
        <v>0</v>
      </c>
      <c r="AA41" s="13">
        <f>_xll.BDH("XOM US Equity","IS_TOT_CASH_PFD_DVD","FQ3 2014","FQ3 2014","Currency=USD","Period=FQ","BEST_FPERIOD_OVERRIDE=FQ","FILING_STATUS=OR","SCALING_FORMAT=MLN","Sort=A","Dates=H","DateFormat=P","Fill=—","Direction=H","UseDPDF=Y")</f>
        <v>0</v>
      </c>
      <c r="AB41" s="13">
        <f>_xll.BDH("XOM US Equity","IS_TOT_CASH_PFD_DVD","FQ4 2014","FQ4 2014","Currency=USD","Period=FQ","BEST_FPERIOD_OVERRIDE=FQ","FILING_STATUS=OR","SCALING_FORMAT=MLN","Sort=A","Dates=H","DateFormat=P","Fill=—","Direction=H","UseDPDF=Y")</f>
        <v>0</v>
      </c>
      <c r="AC41" s="13">
        <f>_xll.BDH("XOM US Equity","IS_TOT_CASH_PFD_DVD","FQ1 2015","FQ1 2015","Currency=USD","Period=FQ","BEST_FPERIOD_OVERRIDE=FQ","FILING_STATUS=OR","SCALING_FORMAT=MLN","Sort=A","Dates=H","DateFormat=P","Fill=—","Direction=H","UseDPDF=Y")</f>
        <v>0</v>
      </c>
      <c r="AD41" s="13">
        <f>_xll.BDH("XOM US Equity","IS_TOT_CASH_PFD_DVD","FQ2 2015","FQ2 2015","Currency=USD","Period=FQ","BEST_FPERIOD_OVERRIDE=FQ","FILING_STATUS=OR","SCALING_FORMAT=MLN","Sort=A","Dates=H","DateFormat=P","Fill=—","Direction=H","UseDPDF=Y")</f>
        <v>0</v>
      </c>
      <c r="AE41" s="13">
        <f>_xll.BDH("XOM US Equity","IS_TOT_CASH_PFD_DVD","FQ3 2015","FQ3 2015","Currency=USD","Period=FQ","BEST_FPERIOD_OVERRIDE=FQ","FILING_STATUS=OR","SCALING_FORMAT=MLN","Sort=A","Dates=H","DateFormat=P","Fill=—","Direction=H","UseDPDF=Y")</f>
        <v>0</v>
      </c>
      <c r="AF41" s="13">
        <f>_xll.BDH("XOM US Equity","IS_TOT_CASH_PFD_DVD","FQ4 2015","FQ4 2015","Currency=USD","Period=FQ","BEST_FPERIOD_OVERRIDE=FQ","FILING_STATUS=OR","SCALING_FORMAT=MLN","Sort=A","Dates=H","DateFormat=P","Fill=—","Direction=H","UseDPDF=Y")</f>
        <v>0</v>
      </c>
      <c r="AG41" s="13">
        <f>_xll.BDH("XOM US Equity","IS_TOT_CASH_PFD_DVD","FQ1 2016","FQ1 2016","Currency=USD","Period=FQ","BEST_FPERIOD_OVERRIDE=FQ","FILING_STATUS=OR","SCALING_FORMAT=MLN","Sort=A","Dates=H","DateFormat=P","Fill=—","Direction=H","UseDPDF=Y")</f>
        <v>0</v>
      </c>
      <c r="AH41" s="13">
        <f>_xll.BDH("XOM US Equity","IS_TOT_CASH_PFD_DVD","FQ2 2016","FQ2 2016","Currency=USD","Period=FQ","BEST_FPERIOD_OVERRIDE=FQ","FILING_STATUS=OR","SCALING_FORMAT=MLN","Sort=A","Dates=H","DateFormat=P","Fill=—","Direction=H","UseDPDF=Y")</f>
        <v>0</v>
      </c>
      <c r="AI41" s="13">
        <f>_xll.BDH("XOM US Equity","IS_TOT_CASH_PFD_DVD","FQ3 2016","FQ3 2016","Currency=USD","Period=FQ","BEST_FPERIOD_OVERRIDE=FQ","FILING_STATUS=OR","SCALING_FORMAT=MLN","Sort=A","Dates=H","DateFormat=P","Fill=—","Direction=H","UseDPDF=Y")</f>
        <v>0</v>
      </c>
      <c r="AJ41" s="13">
        <f>_xll.BDH("XOM US Equity","IS_TOT_CASH_PFD_DVD","FQ4 2016","FQ4 2016","Currency=USD","Period=FQ","BEST_FPERIOD_OVERRIDE=FQ","FILING_STATUS=OR","SCALING_FORMAT=MLN","Sort=A","Dates=H","DateFormat=P","Fill=—","Direction=H","UseDPDF=Y")</f>
        <v>0</v>
      </c>
      <c r="AK41" s="13">
        <f>_xll.BDH("XOM US Equity","IS_TOT_CASH_PFD_DVD","FQ1 2017","FQ1 2017","Currency=USD","Period=FQ","BEST_FPERIOD_OVERRIDE=FQ","FILING_STATUS=OR","SCALING_FORMAT=MLN","Sort=A","Dates=H","DateFormat=P","Fill=—","Direction=H","UseDPDF=Y")</f>
        <v>0</v>
      </c>
      <c r="AL41" s="13">
        <f>_xll.BDH("XOM US Equity","IS_TOT_CASH_PFD_DVD","FQ2 2017","FQ2 2017","Currency=USD","Period=FQ","BEST_FPERIOD_OVERRIDE=FQ","FILING_STATUS=OR","SCALING_FORMAT=MLN","Sort=A","Dates=H","DateFormat=P","Fill=—","Direction=H","UseDPDF=Y")</f>
        <v>0</v>
      </c>
      <c r="AM41" s="13">
        <f>_xll.BDH("XOM US Equity","IS_TOT_CASH_PFD_DVD","FQ3 2017","FQ3 2017","Currency=USD","Period=FQ","BEST_FPERIOD_OVERRIDE=FQ","FILING_STATUS=OR","SCALING_FORMAT=MLN","Sort=A","Dates=H","DateFormat=P","Fill=—","Direction=H","UseDPDF=Y")</f>
        <v>0</v>
      </c>
      <c r="AN41" s="13">
        <f>_xll.BDH("XOM US Equity","IS_TOT_CASH_PFD_DVD","FQ4 2017","FQ4 2017","Currency=USD","Period=FQ","BEST_FPERIOD_OVERRIDE=FQ","FILING_STATUS=OR","SCALING_FORMAT=MLN","Sort=A","Dates=H","DateFormat=P","Fill=—","Direction=H","UseDPDF=Y")</f>
        <v>0</v>
      </c>
      <c r="AO41" s="13">
        <f>_xll.BDH("XOM US Equity","IS_TOT_CASH_PFD_DVD","FQ1 2018","FQ1 2018","Currency=USD","Period=FQ","BEST_FPERIOD_OVERRIDE=FQ","FILING_STATUS=OR","SCALING_FORMAT=MLN","Sort=A","Dates=H","DateFormat=P","Fill=—","Direction=H","UseDPDF=Y")</f>
        <v>0</v>
      </c>
      <c r="AP41" s="13">
        <f>_xll.BDH("XOM US Equity","IS_TOT_CASH_PFD_DVD","FQ2 2018","FQ2 2018","Currency=USD","Period=FQ","BEST_FPERIOD_OVERRIDE=FQ","FILING_STATUS=OR","SCALING_FORMAT=MLN","Sort=A","Dates=H","DateFormat=P","Fill=—","Direction=H","UseDPDF=Y")</f>
        <v>0</v>
      </c>
    </row>
    <row r="42" spans="1:42" x14ac:dyDescent="0.25">
      <c r="A42" s="10" t="s">
        <v>157</v>
      </c>
      <c r="B42" s="10" t="s">
        <v>158</v>
      </c>
      <c r="C42" s="13">
        <f>_xll.BDH("XOM US Equity","OTHER_ADJUSTMENTS","FQ3 2008","FQ3 2008","Currency=USD","Period=FQ","BEST_FPERIOD_OVERRIDE=FQ","FILING_STATUS=OR","SCALING_FORMAT=MLN","Sort=A","Dates=H","DateFormat=P","Fill=—","Direction=H","UseDPDF=Y")</f>
        <v>0</v>
      </c>
      <c r="D42" s="13">
        <f>_xll.BDH("XOM US Equity","OTHER_ADJUSTMENTS","FQ4 2008","FQ4 2008","Currency=USD","Period=FQ","BEST_FPERIOD_OVERRIDE=FQ","FILING_STATUS=OR","SCALING_FORMAT=MLN","Sort=A","Dates=H","DateFormat=P","Fill=—","Direction=H","UseDPDF=Y")</f>
        <v>0</v>
      </c>
      <c r="E42" s="13">
        <f>_xll.BDH("XOM US Equity","OTHER_ADJUSTMENTS","FQ1 2009","FQ1 2009","Currency=USD","Period=FQ","BEST_FPERIOD_OVERRIDE=FQ","FILING_STATUS=OR","SCALING_FORMAT=MLN","Sort=A","Dates=H","DateFormat=P","Fill=—","Direction=H","UseDPDF=Y")</f>
        <v>0</v>
      </c>
      <c r="F42" s="13">
        <f>_xll.BDH("XOM US Equity","OTHER_ADJUSTMENTS","FQ2 2009","FQ2 2009","Currency=USD","Period=FQ","BEST_FPERIOD_OVERRIDE=FQ","FILING_STATUS=OR","SCALING_FORMAT=MLN","Sort=A","Dates=H","DateFormat=P","Fill=—","Direction=H","UseDPDF=Y")</f>
        <v>0</v>
      </c>
      <c r="G42" s="13">
        <f>_xll.BDH("XOM US Equity","OTHER_ADJUSTMENTS","FQ3 2009","FQ3 2009","Currency=USD","Period=FQ","BEST_FPERIOD_OVERRIDE=FQ","FILING_STATUS=OR","SCALING_FORMAT=MLN","Sort=A","Dates=H","DateFormat=P","Fill=—","Direction=H","UseDPDF=Y")</f>
        <v>0</v>
      </c>
      <c r="H42" s="13">
        <f>_xll.BDH("XOM US Equity","OTHER_ADJUSTMENTS","FQ4 2009","FQ4 2009","Currency=USD","Period=FQ","BEST_FPERIOD_OVERRIDE=FQ","FILING_STATUS=OR","SCALING_FORMAT=MLN","Sort=A","Dates=H","DateFormat=P","Fill=—","Direction=H","UseDPDF=Y")</f>
        <v>0</v>
      </c>
      <c r="I42" s="13">
        <f>_xll.BDH("XOM US Equity","OTHER_ADJUSTMENTS","FQ1 2010","FQ1 2010","Currency=USD","Period=FQ","BEST_FPERIOD_OVERRIDE=FQ","FILING_STATUS=OR","SCALING_FORMAT=MLN","Sort=A","Dates=H","DateFormat=P","Fill=—","Direction=H","UseDPDF=Y")</f>
        <v>0</v>
      </c>
      <c r="J42" s="13">
        <f>_xll.BDH("XOM US Equity","OTHER_ADJUSTMENTS","FQ2 2010","FQ2 2010","Currency=USD","Period=FQ","BEST_FPERIOD_OVERRIDE=FQ","FILING_STATUS=OR","SCALING_FORMAT=MLN","Sort=A","Dates=H","DateFormat=P","Fill=—","Direction=H","UseDPDF=Y")</f>
        <v>0</v>
      </c>
      <c r="K42" s="13">
        <f>_xll.BDH("XOM US Equity","OTHER_ADJUSTMENTS","FQ3 2010","FQ3 2010","Currency=USD","Period=FQ","BEST_FPERIOD_OVERRIDE=FQ","FILING_STATUS=OR","SCALING_FORMAT=MLN","Sort=A","Dates=H","DateFormat=P","Fill=—","Direction=H","UseDPDF=Y")</f>
        <v>0</v>
      </c>
      <c r="L42" s="13">
        <f>_xll.BDH("XOM US Equity","OTHER_ADJUSTMENTS","FQ4 2010","FQ4 2010","Currency=USD","Period=FQ","BEST_FPERIOD_OVERRIDE=FQ","FILING_STATUS=OR","SCALING_FORMAT=MLN","Sort=A","Dates=H","DateFormat=P","Fill=—","Direction=H","UseDPDF=Y")</f>
        <v>0</v>
      </c>
      <c r="M42" s="13">
        <f>_xll.BDH("XOM US Equity","OTHER_ADJUSTMENTS","FQ1 2011","FQ1 2011","Currency=USD","Period=FQ","BEST_FPERIOD_OVERRIDE=FQ","FILING_STATUS=OR","SCALING_FORMAT=MLN","Sort=A","Dates=H","DateFormat=P","Fill=—","Direction=H","UseDPDF=Y")</f>
        <v>0</v>
      </c>
      <c r="N42" s="13">
        <f>_xll.BDH("XOM US Equity","OTHER_ADJUSTMENTS","FQ2 2011","FQ2 2011","Currency=USD","Period=FQ","BEST_FPERIOD_OVERRIDE=FQ","FILING_STATUS=OR","SCALING_FORMAT=MLN","Sort=A","Dates=H","DateFormat=P","Fill=—","Direction=H","UseDPDF=Y")</f>
        <v>0</v>
      </c>
      <c r="O42" s="13">
        <f>_xll.BDH("XOM US Equity","OTHER_ADJUSTMENTS","FQ3 2011","FQ3 2011","Currency=USD","Period=FQ","BEST_FPERIOD_OVERRIDE=FQ","FILING_STATUS=OR","SCALING_FORMAT=MLN","Sort=A","Dates=H","DateFormat=P","Fill=—","Direction=H","UseDPDF=Y")</f>
        <v>0</v>
      </c>
      <c r="P42" s="13">
        <f>_xll.BDH("XOM US Equity","OTHER_ADJUSTMENTS","FQ4 2011","FQ4 2011","Currency=USD","Period=FQ","BEST_FPERIOD_OVERRIDE=FQ","FILING_STATUS=OR","SCALING_FORMAT=MLN","Sort=A","Dates=H","DateFormat=P","Fill=—","Direction=H","UseDPDF=Y")</f>
        <v>0</v>
      </c>
      <c r="Q42" s="13">
        <f>_xll.BDH("XOM US Equity","OTHER_ADJUSTMENTS","FQ1 2012","FQ1 2012","Currency=USD","Period=FQ","BEST_FPERIOD_OVERRIDE=FQ","FILING_STATUS=OR","SCALING_FORMAT=MLN","Sort=A","Dates=H","DateFormat=P","Fill=—","Direction=H","UseDPDF=Y")</f>
        <v>0</v>
      </c>
      <c r="R42" s="13">
        <f>_xll.BDH("XOM US Equity","OTHER_ADJUSTMENTS","FQ2 2012","FQ2 2012","Currency=USD","Period=FQ","BEST_FPERIOD_OVERRIDE=FQ","FILING_STATUS=OR","SCALING_FORMAT=MLN","Sort=A","Dates=H","DateFormat=P","Fill=—","Direction=H","UseDPDF=Y")</f>
        <v>0</v>
      </c>
      <c r="S42" s="13">
        <f>_xll.BDH("XOM US Equity","OTHER_ADJUSTMENTS","FQ3 2012","FQ3 2012","Currency=USD","Period=FQ","BEST_FPERIOD_OVERRIDE=FQ","FILING_STATUS=OR","SCALING_FORMAT=MLN","Sort=A","Dates=H","DateFormat=P","Fill=—","Direction=H","UseDPDF=Y")</f>
        <v>0</v>
      </c>
      <c r="T42" s="13">
        <f>_xll.BDH("XOM US Equity","OTHER_ADJUSTMENTS","FQ4 2012","FQ4 2012","Currency=USD","Period=FQ","BEST_FPERIOD_OVERRIDE=FQ","FILING_STATUS=OR","SCALING_FORMAT=MLN","Sort=A","Dates=H","DateFormat=P","Fill=—","Direction=H","UseDPDF=Y")</f>
        <v>0</v>
      </c>
      <c r="U42" s="13">
        <f>_xll.BDH("XOM US Equity","OTHER_ADJUSTMENTS","FQ1 2013","FQ1 2013","Currency=USD","Period=FQ","BEST_FPERIOD_OVERRIDE=FQ","FILING_STATUS=OR","SCALING_FORMAT=MLN","Sort=A","Dates=H","DateFormat=P","Fill=—","Direction=H","UseDPDF=Y")</f>
        <v>0</v>
      </c>
      <c r="V42" s="13">
        <f>_xll.BDH("XOM US Equity","OTHER_ADJUSTMENTS","FQ2 2013","FQ2 2013","Currency=USD","Period=FQ","BEST_FPERIOD_OVERRIDE=FQ","FILING_STATUS=OR","SCALING_FORMAT=MLN","Sort=A","Dates=H","DateFormat=P","Fill=—","Direction=H","UseDPDF=Y")</f>
        <v>0</v>
      </c>
      <c r="W42" s="13">
        <f>_xll.BDH("XOM US Equity","OTHER_ADJUSTMENTS","FQ3 2013","FQ3 2013","Currency=USD","Period=FQ","BEST_FPERIOD_OVERRIDE=FQ","FILING_STATUS=OR","SCALING_FORMAT=MLN","Sort=A","Dates=H","DateFormat=P","Fill=—","Direction=H","UseDPDF=Y")</f>
        <v>0</v>
      </c>
      <c r="X42" s="13">
        <f>_xll.BDH("XOM US Equity","OTHER_ADJUSTMENTS","FQ4 2013","FQ4 2013","Currency=USD","Period=FQ","BEST_FPERIOD_OVERRIDE=FQ","FILING_STATUS=OR","SCALING_FORMAT=MLN","Sort=A","Dates=H","DateFormat=P","Fill=—","Direction=H","UseDPDF=Y")</f>
        <v>0</v>
      </c>
      <c r="Y42" s="13">
        <f>_xll.BDH("XOM US Equity","OTHER_ADJUSTMENTS","FQ1 2014","FQ1 2014","Currency=USD","Period=FQ","BEST_FPERIOD_OVERRIDE=FQ","FILING_STATUS=OR","SCALING_FORMAT=MLN","Sort=A","Dates=H","DateFormat=P","Fill=—","Direction=H","UseDPDF=Y")</f>
        <v>0</v>
      </c>
      <c r="Z42" s="13">
        <f>_xll.BDH("XOM US Equity","OTHER_ADJUSTMENTS","FQ2 2014","FQ2 2014","Currency=USD","Period=FQ","BEST_FPERIOD_OVERRIDE=FQ","FILING_STATUS=OR","SCALING_FORMAT=MLN","Sort=A","Dates=H","DateFormat=P","Fill=—","Direction=H","UseDPDF=Y")</f>
        <v>0</v>
      </c>
      <c r="AA42" s="13">
        <f>_xll.BDH("XOM US Equity","OTHER_ADJUSTMENTS","FQ3 2014","FQ3 2014","Currency=USD","Period=FQ","BEST_FPERIOD_OVERRIDE=FQ","FILING_STATUS=OR","SCALING_FORMAT=MLN","Sort=A","Dates=H","DateFormat=P","Fill=—","Direction=H","UseDPDF=Y")</f>
        <v>0</v>
      </c>
      <c r="AB42" s="13">
        <f>_xll.BDH("XOM US Equity","OTHER_ADJUSTMENTS","FQ4 2014","FQ4 2014","Currency=USD","Period=FQ","BEST_FPERIOD_OVERRIDE=FQ","FILING_STATUS=OR","SCALING_FORMAT=MLN","Sort=A","Dates=H","DateFormat=P","Fill=—","Direction=H","UseDPDF=Y")</f>
        <v>0</v>
      </c>
      <c r="AC42" s="13">
        <f>_xll.BDH("XOM US Equity","OTHER_ADJUSTMENTS","FQ1 2015","FQ1 2015","Currency=USD","Period=FQ","BEST_FPERIOD_OVERRIDE=FQ","FILING_STATUS=OR","SCALING_FORMAT=MLN","Sort=A","Dates=H","DateFormat=P","Fill=—","Direction=H","UseDPDF=Y")</f>
        <v>0</v>
      </c>
      <c r="AD42" s="13">
        <f>_xll.BDH("XOM US Equity","OTHER_ADJUSTMENTS","FQ2 2015","FQ2 2015","Currency=USD","Period=FQ","BEST_FPERIOD_OVERRIDE=FQ","FILING_STATUS=OR","SCALING_FORMAT=MLN","Sort=A","Dates=H","DateFormat=P","Fill=—","Direction=H","UseDPDF=Y")</f>
        <v>0</v>
      </c>
      <c r="AE42" s="13">
        <f>_xll.BDH("XOM US Equity","OTHER_ADJUSTMENTS","FQ3 2015","FQ3 2015","Currency=USD","Period=FQ","BEST_FPERIOD_OVERRIDE=FQ","FILING_STATUS=OR","SCALING_FORMAT=MLN","Sort=A","Dates=H","DateFormat=P","Fill=—","Direction=H","UseDPDF=Y")</f>
        <v>0</v>
      </c>
      <c r="AF42" s="13">
        <f>_xll.BDH("XOM US Equity","OTHER_ADJUSTMENTS","FQ4 2015","FQ4 2015","Currency=USD","Period=FQ","BEST_FPERIOD_OVERRIDE=FQ","FILING_STATUS=OR","SCALING_FORMAT=MLN","Sort=A","Dates=H","DateFormat=P","Fill=—","Direction=H","UseDPDF=Y")</f>
        <v>0</v>
      </c>
      <c r="AG42" s="13">
        <f>_xll.BDH("XOM US Equity","OTHER_ADJUSTMENTS","FQ1 2016","FQ1 2016","Currency=USD","Period=FQ","BEST_FPERIOD_OVERRIDE=FQ","FILING_STATUS=OR","SCALING_FORMAT=MLN","Sort=A","Dates=H","DateFormat=P","Fill=—","Direction=H","UseDPDF=Y")</f>
        <v>0</v>
      </c>
      <c r="AH42" s="13">
        <f>_xll.BDH("XOM US Equity","OTHER_ADJUSTMENTS","FQ2 2016","FQ2 2016","Currency=USD","Period=FQ","BEST_FPERIOD_OVERRIDE=FQ","FILING_STATUS=OR","SCALING_FORMAT=MLN","Sort=A","Dates=H","DateFormat=P","Fill=—","Direction=H","UseDPDF=Y")</f>
        <v>0</v>
      </c>
      <c r="AI42" s="13">
        <f>_xll.BDH("XOM US Equity","OTHER_ADJUSTMENTS","FQ3 2016","FQ3 2016","Currency=USD","Period=FQ","BEST_FPERIOD_OVERRIDE=FQ","FILING_STATUS=OR","SCALING_FORMAT=MLN","Sort=A","Dates=H","DateFormat=P","Fill=—","Direction=H","UseDPDF=Y")</f>
        <v>0</v>
      </c>
      <c r="AJ42" s="13">
        <f>_xll.BDH("XOM US Equity","OTHER_ADJUSTMENTS","FQ4 2016","FQ4 2016","Currency=USD","Period=FQ","BEST_FPERIOD_OVERRIDE=FQ","FILING_STATUS=OR","SCALING_FORMAT=MLN","Sort=A","Dates=H","DateFormat=P","Fill=—","Direction=H","UseDPDF=Y")</f>
        <v>0</v>
      </c>
      <c r="AK42" s="13">
        <f>_xll.BDH("XOM US Equity","OTHER_ADJUSTMENTS","FQ1 2017","FQ1 2017","Currency=USD","Period=FQ","BEST_FPERIOD_OVERRIDE=FQ","FILING_STATUS=OR","SCALING_FORMAT=MLN","Sort=A","Dates=H","DateFormat=P","Fill=—","Direction=H","UseDPDF=Y")</f>
        <v>0</v>
      </c>
      <c r="AL42" s="13">
        <f>_xll.BDH("XOM US Equity","OTHER_ADJUSTMENTS","FQ2 2017","FQ2 2017","Currency=USD","Period=FQ","BEST_FPERIOD_OVERRIDE=FQ","FILING_STATUS=OR","SCALING_FORMAT=MLN","Sort=A","Dates=H","DateFormat=P","Fill=—","Direction=H","UseDPDF=Y")</f>
        <v>0</v>
      </c>
      <c r="AM42" s="13">
        <f>_xll.BDH("XOM US Equity","OTHER_ADJUSTMENTS","FQ3 2017","FQ3 2017","Currency=USD","Period=FQ","BEST_FPERIOD_OVERRIDE=FQ","FILING_STATUS=OR","SCALING_FORMAT=MLN","Sort=A","Dates=H","DateFormat=P","Fill=—","Direction=H","UseDPDF=Y")</f>
        <v>0</v>
      </c>
      <c r="AN42" s="13">
        <f>_xll.BDH("XOM US Equity","OTHER_ADJUSTMENTS","FQ4 2017","FQ4 2017","Currency=USD","Period=FQ","BEST_FPERIOD_OVERRIDE=FQ","FILING_STATUS=OR","SCALING_FORMAT=MLN","Sort=A","Dates=H","DateFormat=P","Fill=—","Direction=H","UseDPDF=Y")</f>
        <v>0</v>
      </c>
      <c r="AO42" s="13">
        <f>_xll.BDH("XOM US Equity","OTHER_ADJUSTMENTS","FQ1 2018","FQ1 2018","Currency=USD","Period=FQ","BEST_FPERIOD_OVERRIDE=FQ","FILING_STATUS=OR","SCALING_FORMAT=MLN","Sort=A","Dates=H","DateFormat=P","Fill=—","Direction=H","UseDPDF=Y")</f>
        <v>0</v>
      </c>
      <c r="AP42" s="13">
        <f>_xll.BDH("XOM US Equity","OTHER_ADJUSTMENTS","FQ2 2018","FQ2 2018","Currency=USD","Period=FQ","BEST_FPERIOD_OVERRIDE=FQ","FILING_STATUS=OR","SCALING_FORMAT=MLN","Sort=A","Dates=H","DateFormat=P","Fill=—","Direction=H","UseDPDF=Y")</f>
        <v>0</v>
      </c>
    </row>
    <row r="43" spans="1:42" x14ac:dyDescent="0.25">
      <c r="A43" s="6" t="s">
        <v>159</v>
      </c>
      <c r="B43" s="6" t="s">
        <v>160</v>
      </c>
      <c r="C43" s="16">
        <f>_xll.BDH("XOM US Equity","EARN_FOR_COMMON","FQ3 2008","FQ3 2008","Currency=USD","Period=FQ","BEST_FPERIOD_OVERRIDE=FQ","FILING_STATUS=OR","SCALING_FORMAT=MLN","FA_ADJUSTED=GAAP","Sort=A","Dates=H","DateFormat=P","Fill=—","Direction=H","UseDPDF=Y")</f>
        <v>14830</v>
      </c>
      <c r="D43" s="16">
        <f>_xll.BDH("XOM US Equity","EARN_FOR_COMMON","FQ4 2008","FQ4 2008","Currency=USD","Period=FQ","BEST_FPERIOD_OVERRIDE=FQ","FILING_STATUS=OR","SCALING_FORMAT=MLN","FA_ADJUSTED=GAAP","Sort=A","Dates=H","DateFormat=P","Fill=—","Direction=H","UseDPDF=Y")</f>
        <v>7820</v>
      </c>
      <c r="E43" s="16">
        <f>_xll.BDH("XOM US Equity","EARN_FOR_COMMON","FQ1 2009","FQ1 2009","Currency=USD","Period=FQ","BEST_FPERIOD_OVERRIDE=FQ","FILING_STATUS=OR","SCALING_FORMAT=MLN","FA_ADJUSTED=GAAP","Sort=A","Dates=H","DateFormat=P","Fill=—","Direction=H","UseDPDF=Y")</f>
        <v>4550</v>
      </c>
      <c r="F43" s="16">
        <f>_xll.BDH("XOM US Equity","EARN_FOR_COMMON","FQ2 2009","FQ2 2009","Currency=USD","Period=FQ","BEST_FPERIOD_OVERRIDE=FQ","FILING_STATUS=OR","SCALING_FORMAT=MLN","FA_ADJUSTED=GAAP","Sort=A","Dates=H","DateFormat=P","Fill=—","Direction=H","UseDPDF=Y")</f>
        <v>3950</v>
      </c>
      <c r="G43" s="16">
        <f>_xll.BDH("XOM US Equity","EARN_FOR_COMMON","FQ3 2009","FQ3 2009","Currency=USD","Period=FQ","BEST_FPERIOD_OVERRIDE=FQ","FILING_STATUS=OR","SCALING_FORMAT=MLN","FA_ADJUSTED=GAAP","Sort=A","Dates=H","DateFormat=P","Fill=—","Direction=H","UseDPDF=Y")</f>
        <v>4730</v>
      </c>
      <c r="H43" s="16">
        <f>_xll.BDH("XOM US Equity","EARN_FOR_COMMON","FQ4 2009","FQ4 2009","Currency=USD","Period=FQ","BEST_FPERIOD_OVERRIDE=FQ","FILING_STATUS=OR","SCALING_FORMAT=MLN","FA_ADJUSTED=GAAP","Sort=A","Dates=H","DateFormat=P","Fill=—","Direction=H","UseDPDF=Y")</f>
        <v>6050</v>
      </c>
      <c r="I43" s="16">
        <f>_xll.BDH("XOM US Equity","EARN_FOR_COMMON","FQ1 2010","FQ1 2010","Currency=USD","Period=FQ","BEST_FPERIOD_OVERRIDE=FQ","FILING_STATUS=OR","SCALING_FORMAT=MLN","FA_ADJUSTED=GAAP","Sort=A","Dates=H","DateFormat=P","Fill=—","Direction=H","UseDPDF=Y")</f>
        <v>6300</v>
      </c>
      <c r="J43" s="16">
        <f>_xll.BDH("XOM US Equity","EARN_FOR_COMMON","FQ2 2010","FQ2 2010","Currency=USD","Period=FQ","BEST_FPERIOD_OVERRIDE=FQ","FILING_STATUS=OR","SCALING_FORMAT=MLN","FA_ADJUSTED=GAAP","Sort=A","Dates=H","DateFormat=P","Fill=—","Direction=H","UseDPDF=Y")</f>
        <v>7560</v>
      </c>
      <c r="K43" s="16">
        <f>_xll.BDH("XOM US Equity","EARN_FOR_COMMON","FQ3 2010","FQ3 2010","Currency=USD","Period=FQ","BEST_FPERIOD_OVERRIDE=FQ","FILING_STATUS=OR","SCALING_FORMAT=MLN","FA_ADJUSTED=GAAP","Sort=A","Dates=H","DateFormat=P","Fill=—","Direction=H","UseDPDF=Y")</f>
        <v>7350</v>
      </c>
      <c r="L43" s="16">
        <f>_xll.BDH("XOM US Equity","EARN_FOR_COMMON","FQ4 2010","FQ4 2010","Currency=USD","Period=FQ","BEST_FPERIOD_OVERRIDE=FQ","FILING_STATUS=OR","SCALING_FORMAT=MLN","FA_ADJUSTED=GAAP","Sort=A","Dates=H","DateFormat=P","Fill=—","Direction=H","UseDPDF=Y")</f>
        <v>9250</v>
      </c>
      <c r="M43" s="16">
        <f>_xll.BDH("XOM US Equity","EARN_FOR_COMMON","FQ1 2011","FQ1 2011","Currency=USD","Period=FQ","BEST_FPERIOD_OVERRIDE=FQ","FILING_STATUS=OR","SCALING_FORMAT=MLN","FA_ADJUSTED=GAAP","Sort=A","Dates=H","DateFormat=P","Fill=—","Direction=H","UseDPDF=Y")</f>
        <v>10650</v>
      </c>
      <c r="N43" s="16">
        <f>_xll.BDH("XOM US Equity","EARN_FOR_COMMON","FQ2 2011","FQ2 2011","Currency=USD","Period=FQ","BEST_FPERIOD_OVERRIDE=FQ","FILING_STATUS=OR","SCALING_FORMAT=MLN","FA_ADJUSTED=GAAP","Sort=A","Dates=H","DateFormat=P","Fill=—","Direction=H","UseDPDF=Y")</f>
        <v>10680</v>
      </c>
      <c r="O43" s="16">
        <f>_xll.BDH("XOM US Equity","EARN_FOR_COMMON","FQ3 2011","FQ3 2011","Currency=USD","Period=FQ","BEST_FPERIOD_OVERRIDE=FQ","FILING_STATUS=OR","SCALING_FORMAT=MLN","FA_ADJUSTED=GAAP","Sort=A","Dates=H","DateFormat=P","Fill=—","Direction=H","UseDPDF=Y")</f>
        <v>10330</v>
      </c>
      <c r="P43" s="16">
        <f>_xll.BDH("XOM US Equity","EARN_FOR_COMMON","FQ4 2011","FQ4 2011","Currency=USD","Period=FQ","BEST_FPERIOD_OVERRIDE=FQ","FILING_STATUS=OR","SCALING_FORMAT=MLN","FA_ADJUSTED=GAAP","Sort=A","Dates=H","DateFormat=P","Fill=—","Direction=H","UseDPDF=Y")</f>
        <v>9400</v>
      </c>
      <c r="Q43" s="16">
        <f>_xll.BDH("XOM US Equity","EARN_FOR_COMMON","FQ1 2012","FQ1 2012","Currency=USD","Period=FQ","BEST_FPERIOD_OVERRIDE=FQ","FILING_STATUS=OR","SCALING_FORMAT=MLN","FA_ADJUSTED=GAAP","Sort=A","Dates=H","DateFormat=P","Fill=—","Direction=H","UseDPDF=Y")</f>
        <v>9450</v>
      </c>
      <c r="R43" s="16">
        <f>_xll.BDH("XOM US Equity","EARN_FOR_COMMON","FQ2 2012","FQ2 2012","Currency=USD","Period=FQ","BEST_FPERIOD_OVERRIDE=FQ","FILING_STATUS=OR","SCALING_FORMAT=MLN","FA_ADJUSTED=GAAP","Sort=A","Dates=H","DateFormat=P","Fill=—","Direction=H","UseDPDF=Y")</f>
        <v>15910</v>
      </c>
      <c r="S43" s="16">
        <f>_xll.BDH("XOM US Equity","EARN_FOR_COMMON","FQ3 2012","FQ3 2012","Currency=USD","Period=FQ","BEST_FPERIOD_OVERRIDE=FQ","FILING_STATUS=OR","SCALING_FORMAT=MLN","FA_ADJUSTED=GAAP","Sort=A","Dates=H","DateFormat=P","Fill=—","Direction=H","UseDPDF=Y")</f>
        <v>9570</v>
      </c>
      <c r="T43" s="16">
        <f>_xll.BDH("XOM US Equity","EARN_FOR_COMMON","FQ4 2012","FQ4 2012","Currency=USD","Period=FQ","BEST_FPERIOD_OVERRIDE=FQ","FILING_STATUS=OR","SCALING_FORMAT=MLN","FA_ADJUSTED=GAAP","Sort=A","Dates=H","DateFormat=P","Fill=—","Direction=H","UseDPDF=Y")</f>
        <v>9950</v>
      </c>
      <c r="U43" s="16">
        <f>_xll.BDH("XOM US Equity","EARN_FOR_COMMON","FQ1 2013","FQ1 2013","Currency=USD","Period=FQ","BEST_FPERIOD_OVERRIDE=FQ","FILING_STATUS=OR","SCALING_FORMAT=MLN","FA_ADJUSTED=GAAP","Sort=A","Dates=H","DateFormat=P","Fill=—","Direction=H","UseDPDF=Y")</f>
        <v>9500</v>
      </c>
      <c r="V43" s="16">
        <f>_xll.BDH("XOM US Equity","EARN_FOR_COMMON","FQ2 2013","FQ2 2013","Currency=USD","Period=FQ","BEST_FPERIOD_OVERRIDE=FQ","FILING_STATUS=OR","SCALING_FORMAT=MLN","FA_ADJUSTED=GAAP","Sort=A","Dates=H","DateFormat=P","Fill=—","Direction=H","UseDPDF=Y")</f>
        <v>6860</v>
      </c>
      <c r="W43" s="16">
        <f>_xll.BDH("XOM US Equity","EARN_FOR_COMMON","FQ3 2013","FQ3 2013","Currency=USD","Period=FQ","BEST_FPERIOD_OVERRIDE=FQ","FILING_STATUS=OR","SCALING_FORMAT=MLN","FA_ADJUSTED=GAAP","Sort=A","Dates=H","DateFormat=P","Fill=—","Direction=H","UseDPDF=Y")</f>
        <v>7870</v>
      </c>
      <c r="X43" s="16">
        <f>_xll.BDH("XOM US Equity","EARN_FOR_COMMON","FQ4 2013","FQ4 2013","Currency=USD","Period=FQ","BEST_FPERIOD_OVERRIDE=FQ","FILING_STATUS=OR","SCALING_FORMAT=MLN","FA_ADJUSTED=GAAP","Sort=A","Dates=H","DateFormat=P","Fill=—","Direction=H","UseDPDF=Y")</f>
        <v>8350</v>
      </c>
      <c r="Y43" s="16">
        <f>_xll.BDH("XOM US Equity","EARN_FOR_COMMON","FQ1 2014","FQ1 2014","Currency=USD","Period=FQ","BEST_FPERIOD_OVERRIDE=FQ","FILING_STATUS=OR","SCALING_FORMAT=MLN","FA_ADJUSTED=GAAP","Sort=A","Dates=H","DateFormat=P","Fill=—","Direction=H","UseDPDF=Y")</f>
        <v>9100</v>
      </c>
      <c r="Z43" s="16">
        <f>_xll.BDH("XOM US Equity","EARN_FOR_COMMON","FQ2 2014","FQ2 2014","Currency=USD","Period=FQ","BEST_FPERIOD_OVERRIDE=FQ","FILING_STATUS=OR","SCALING_FORMAT=MLN","FA_ADJUSTED=GAAP","Sort=A","Dates=H","DateFormat=P","Fill=—","Direction=H","UseDPDF=Y")</f>
        <v>8780</v>
      </c>
      <c r="AA43" s="16">
        <f>_xll.BDH("XOM US Equity","EARN_FOR_COMMON","FQ3 2014","FQ3 2014","Currency=USD","Period=FQ","BEST_FPERIOD_OVERRIDE=FQ","FILING_STATUS=OR","SCALING_FORMAT=MLN","FA_ADJUSTED=GAAP","Sort=A","Dates=H","DateFormat=P","Fill=—","Direction=H","UseDPDF=Y")</f>
        <v>8070</v>
      </c>
      <c r="AB43" s="16">
        <f>_xll.BDH("XOM US Equity","EARN_FOR_COMMON","FQ4 2014","FQ4 2014","Currency=USD","Period=FQ","BEST_FPERIOD_OVERRIDE=FQ","FILING_STATUS=OR","SCALING_FORMAT=MLN","FA_ADJUSTED=GAAP","Sort=A","Dates=H","DateFormat=P","Fill=—","Direction=H","UseDPDF=Y")</f>
        <v>6570</v>
      </c>
      <c r="AC43" s="16">
        <f>_xll.BDH("XOM US Equity","EARN_FOR_COMMON","FQ1 2015","FQ1 2015","Currency=USD","Period=FQ","BEST_FPERIOD_OVERRIDE=FQ","FILING_STATUS=OR","SCALING_FORMAT=MLN","FA_ADJUSTED=GAAP","Sort=A","Dates=H","DateFormat=P","Fill=—","Direction=H","UseDPDF=Y")</f>
        <v>4940</v>
      </c>
      <c r="AD43" s="16">
        <f>_xll.BDH("XOM US Equity","EARN_FOR_COMMON","FQ2 2015","FQ2 2015","Currency=USD","Period=FQ","BEST_FPERIOD_OVERRIDE=FQ","FILING_STATUS=OR","SCALING_FORMAT=MLN","FA_ADJUSTED=GAAP","Sort=A","Dates=H","DateFormat=P","Fill=—","Direction=H","UseDPDF=Y")</f>
        <v>4190</v>
      </c>
      <c r="AE43" s="16">
        <f>_xll.BDH("XOM US Equity","EARN_FOR_COMMON","FQ3 2015","FQ3 2015","Currency=USD","Period=FQ","BEST_FPERIOD_OVERRIDE=FQ","FILING_STATUS=OR","SCALING_FORMAT=MLN","FA_ADJUSTED=GAAP","Sort=A","Dates=H","DateFormat=P","Fill=—","Direction=H","UseDPDF=Y")</f>
        <v>4240</v>
      </c>
      <c r="AF43" s="16">
        <f>_xll.BDH("XOM US Equity","EARN_FOR_COMMON","FQ4 2015","FQ4 2015","Currency=USD","Period=FQ","BEST_FPERIOD_OVERRIDE=FQ","FILING_STATUS=OR","SCALING_FORMAT=MLN","FA_ADJUSTED=GAAP","Sort=A","Dates=H","DateFormat=P","Fill=—","Direction=H","UseDPDF=Y")</f>
        <v>2780</v>
      </c>
      <c r="AG43" s="16">
        <f>_xll.BDH("XOM US Equity","EARN_FOR_COMMON","FQ1 2016","FQ1 2016","Currency=USD","Period=FQ","BEST_FPERIOD_OVERRIDE=FQ","FILING_STATUS=OR","SCALING_FORMAT=MLN","FA_ADJUSTED=GAAP","Sort=A","Dates=H","DateFormat=P","Fill=—","Direction=H","UseDPDF=Y")</f>
        <v>1810</v>
      </c>
      <c r="AH43" s="16">
        <f>_xll.BDH("XOM US Equity","EARN_FOR_COMMON","FQ2 2016","FQ2 2016","Currency=USD","Period=FQ","BEST_FPERIOD_OVERRIDE=FQ","FILING_STATUS=OR","SCALING_FORMAT=MLN","FA_ADJUSTED=GAAP","Sort=A","Dates=H","DateFormat=P","Fill=—","Direction=H","UseDPDF=Y")</f>
        <v>1700</v>
      </c>
      <c r="AI43" s="16">
        <f>_xll.BDH("XOM US Equity","EARN_FOR_COMMON","FQ3 2016","FQ3 2016","Currency=USD","Period=FQ","BEST_FPERIOD_OVERRIDE=FQ","FILING_STATUS=OR","SCALING_FORMAT=MLN","FA_ADJUSTED=GAAP","Sort=A","Dates=H","DateFormat=P","Fill=—","Direction=H","UseDPDF=Y")</f>
        <v>2650</v>
      </c>
      <c r="AJ43" s="16">
        <f>_xll.BDH("XOM US Equity","EARN_FOR_COMMON","FQ4 2016","FQ4 2016","Currency=USD","Period=FQ","BEST_FPERIOD_OVERRIDE=FQ","FILING_STATUS=OR","SCALING_FORMAT=MLN","FA_ADJUSTED=GAAP","Sort=A","Dates=H","DateFormat=P","Fill=—","Direction=H","UseDPDF=Y")</f>
        <v>1680</v>
      </c>
      <c r="AK43" s="16">
        <f>_xll.BDH("XOM US Equity","EARN_FOR_COMMON","FQ1 2017","FQ1 2017","Currency=USD","Period=FQ","BEST_FPERIOD_OVERRIDE=FQ","FILING_STATUS=OR","SCALING_FORMAT=MLN","FA_ADJUSTED=GAAP","Sort=A","Dates=H","DateFormat=P","Fill=—","Direction=H","UseDPDF=Y")</f>
        <v>4010</v>
      </c>
      <c r="AL43" s="16">
        <f>_xll.BDH("XOM US Equity","EARN_FOR_COMMON","FQ2 2017","FQ2 2017","Currency=USD","Period=FQ","BEST_FPERIOD_OVERRIDE=FQ","FILING_STATUS=OR","SCALING_FORMAT=MLN","FA_ADJUSTED=GAAP","Sort=A","Dates=H","DateFormat=P","Fill=—","Direction=H","UseDPDF=Y")</f>
        <v>3350</v>
      </c>
      <c r="AM43" s="16">
        <f>_xll.BDH("XOM US Equity","EARN_FOR_COMMON","FQ3 2017","FQ3 2017","Currency=USD","Period=FQ","BEST_FPERIOD_OVERRIDE=FQ","FILING_STATUS=OR","SCALING_FORMAT=MLN","FA_ADJUSTED=GAAP","Sort=A","Dates=H","DateFormat=P","Fill=—","Direction=H","UseDPDF=Y")</f>
        <v>3970</v>
      </c>
      <c r="AN43" s="16">
        <f>_xll.BDH("XOM US Equity","EARN_FOR_COMMON","FQ4 2017","FQ4 2017","Currency=USD","Period=FQ","BEST_FPERIOD_OVERRIDE=FQ","FILING_STATUS=OR","SCALING_FORMAT=MLN","FA_ADJUSTED=GAAP","Sort=A","Dates=H","DateFormat=P","Fill=—","Direction=H","UseDPDF=Y")</f>
        <v>8380</v>
      </c>
      <c r="AO43" s="16">
        <f>_xll.BDH("XOM US Equity","EARN_FOR_COMMON","FQ1 2018","FQ1 2018","Currency=USD","Period=FQ","BEST_FPERIOD_OVERRIDE=FQ","FILING_STATUS=OR","SCALING_FORMAT=MLN","FA_ADJUSTED=GAAP","Sort=A","Dates=H","DateFormat=P","Fill=—","Direction=H","UseDPDF=Y")</f>
        <v>4650</v>
      </c>
      <c r="AP43" s="16">
        <f>_xll.BDH("XOM US Equity","EARN_FOR_COMMON","FQ2 2018","FQ2 2018","Currency=USD","Period=FQ","BEST_FPERIOD_OVERRIDE=FQ","FILING_STATUS=OR","SCALING_FORMAT=MLN","FA_ADJUSTED=GAAP","Sort=A","Dates=H","DateFormat=P","Fill=—","Direction=H","UseDPDF=Y")</f>
        <v>3950</v>
      </c>
    </row>
    <row r="44" spans="1:42" x14ac:dyDescent="0.25">
      <c r="A44" s="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 x14ac:dyDescent="0.25">
      <c r="A45" s="6" t="s">
        <v>161</v>
      </c>
      <c r="B45" s="6" t="s">
        <v>160</v>
      </c>
      <c r="C45" s="16">
        <f>_xll.BDH("XOM US Equity","EARN_FOR_COMMON","FQ3 2008","FQ3 2008","Currency=USD","Period=FQ","BEST_FPERIOD_OVERRIDE=FQ","FILING_STATUS=OR","SCALING_FORMAT=MLN","FA_ADJUSTED=Adjusted","Sort=A","Dates=H","DateFormat=P","Fill=—","Direction=H","UseDPDF=Y")</f>
        <v>14830</v>
      </c>
      <c r="D45" s="16">
        <f>_xll.BDH("XOM US Equity","EARN_FOR_COMMON","FQ4 2008","FQ4 2008","Currency=USD","Period=FQ","BEST_FPERIOD_OVERRIDE=FQ","FILING_STATUS=OR","SCALING_FORMAT=MLN","FA_ADJUSTED=Adjusted","Sort=A","Dates=H","DateFormat=P","Fill=—","Direction=H","UseDPDF=Y")</f>
        <v>7820</v>
      </c>
      <c r="E45" s="16">
        <f>_xll.BDH("XOM US Equity","EARN_FOR_COMMON","FQ1 2009","FQ1 2009","Currency=USD","Period=FQ","BEST_FPERIOD_OVERRIDE=FQ","FILING_STATUS=OR","SCALING_FORMAT=MLN","FA_ADJUSTED=Adjusted","Sort=A","Dates=H","DateFormat=P","Fill=—","Direction=H","UseDPDF=Y")</f>
        <v>4550</v>
      </c>
      <c r="F45" s="16">
        <f>_xll.BDH("XOM US Equity","EARN_FOR_COMMON","FQ2 2009","FQ2 2009","Currency=USD","Period=FQ","BEST_FPERIOD_OVERRIDE=FQ","FILING_STATUS=OR","SCALING_FORMAT=MLN","FA_ADJUSTED=Adjusted","Sort=A","Dates=H","DateFormat=P","Fill=—","Direction=H","UseDPDF=Y")</f>
        <v>4090</v>
      </c>
      <c r="G45" s="16">
        <f>_xll.BDH("XOM US Equity","EARN_FOR_COMMON","FQ3 2009","FQ3 2009","Currency=USD","Period=FQ","BEST_FPERIOD_OVERRIDE=FQ","FILING_STATUS=OR","SCALING_FORMAT=MLN","FA_ADJUSTED=Adjusted","Sort=A","Dates=H","DateFormat=P","Fill=—","Direction=H","UseDPDF=Y")</f>
        <v>4730</v>
      </c>
      <c r="H45" s="16">
        <f>_xll.BDH("XOM US Equity","EARN_FOR_COMMON","FQ4 2009","FQ4 2009","Currency=USD","Period=FQ","BEST_FPERIOD_OVERRIDE=FQ","FILING_STATUS=OR","SCALING_FORMAT=MLN","FA_ADJUSTED=Adjusted","Sort=A","Dates=H","DateFormat=P","Fill=—","Direction=H","UseDPDF=Y")</f>
        <v>6050</v>
      </c>
      <c r="I45" s="16">
        <f>_xll.BDH("XOM US Equity","EARN_FOR_COMMON","FQ1 2010","FQ1 2010","Currency=USD","Period=FQ","BEST_FPERIOD_OVERRIDE=FQ","FILING_STATUS=OR","SCALING_FORMAT=MLN","FA_ADJUSTED=Adjusted","Sort=A","Dates=H","DateFormat=P","Fill=—","Direction=H","UseDPDF=Y")</f>
        <v>6500</v>
      </c>
      <c r="J45" s="16">
        <f>_xll.BDH("XOM US Equity","EARN_FOR_COMMON","FQ2 2010","FQ2 2010","Currency=USD","Period=FQ","BEST_FPERIOD_OVERRIDE=FQ","FILING_STATUS=OR","SCALING_FORMAT=MLN","FA_ADJUSTED=Adjusted","Sort=A","Dates=H","DateFormat=P","Fill=—","Direction=H","UseDPDF=Y")</f>
        <v>7969.75</v>
      </c>
      <c r="K45" s="16">
        <f>_xll.BDH("XOM US Equity","EARN_FOR_COMMON","FQ3 2010","FQ3 2010","Currency=USD","Period=FQ","BEST_FPERIOD_OVERRIDE=FQ","FILING_STATUS=OR","SCALING_FORMAT=MLN","FA_ADJUSTED=Adjusted","Sort=A","Dates=H","DateFormat=P","Fill=—","Direction=H","UseDPDF=Y")</f>
        <v>7351.3</v>
      </c>
      <c r="L45" s="16">
        <f>_xll.BDH("XOM US Equity","EARN_FOR_COMMON","FQ4 2010","FQ4 2010","Currency=USD","Period=FQ","BEST_FPERIOD_OVERRIDE=FQ","FILING_STATUS=OR","SCALING_FORMAT=MLN","FA_ADJUSTED=Adjusted","Sort=A","Dates=H","DateFormat=P","Fill=—","Direction=H","UseDPDF=Y")</f>
        <v>9250.65</v>
      </c>
      <c r="M45" s="16">
        <f>_xll.BDH("XOM US Equity","EARN_FOR_COMMON","FQ1 2011","FQ1 2011","Currency=USD","Period=FQ","BEST_FPERIOD_OVERRIDE=FQ","FILING_STATUS=OR","SCALING_FORMAT=MLN","FA_ADJUSTED=Adjusted","Sort=A","Dates=H","DateFormat=P","Fill=—","Direction=H","UseDPDF=Y")</f>
        <v>10650</v>
      </c>
      <c r="N45" s="16">
        <f>_xll.BDH("XOM US Equity","EARN_FOR_COMMON","FQ2 2011","FQ2 2011","Currency=USD","Period=FQ","BEST_FPERIOD_OVERRIDE=FQ","FILING_STATUS=OR","SCALING_FORMAT=MLN","FA_ADJUSTED=Adjusted","Sort=A","Dates=H","DateFormat=P","Fill=—","Direction=H","UseDPDF=Y")</f>
        <v>10680</v>
      </c>
      <c r="O45" s="16">
        <f>_xll.BDH("XOM US Equity","EARN_FOR_COMMON","FQ3 2011","FQ3 2011","Currency=USD","Period=FQ","BEST_FPERIOD_OVERRIDE=FQ","FILING_STATUS=OR","SCALING_FORMAT=MLN","FA_ADJUSTED=Adjusted","Sort=A","Dates=H","DateFormat=P","Fill=—","Direction=H","UseDPDF=Y")</f>
        <v>10330</v>
      </c>
      <c r="P45" s="16">
        <f>_xll.BDH("XOM US Equity","EARN_FOR_COMMON","FQ4 2011","FQ4 2011","Currency=USD","Period=FQ","BEST_FPERIOD_OVERRIDE=FQ","FILING_STATUS=OR","SCALING_FORMAT=MLN","FA_ADJUSTED=Adjusted","Sort=A","Dates=H","DateFormat=P","Fill=—","Direction=H","UseDPDF=Y")</f>
        <v>9400</v>
      </c>
      <c r="Q45" s="16">
        <f>_xll.BDH("XOM US Equity","EARN_FOR_COMMON","FQ1 2012","FQ1 2012","Currency=USD","Period=FQ","BEST_FPERIOD_OVERRIDE=FQ","FILING_STATUS=OR","SCALING_FORMAT=MLN","FA_ADJUSTED=Adjusted","Sort=A","Dates=H","DateFormat=P","Fill=—","Direction=H","UseDPDF=Y")</f>
        <v>9450</v>
      </c>
      <c r="R45" s="16">
        <f>_xll.BDH("XOM US Equity","EARN_FOR_COMMON","FQ2 2012","FQ2 2012","Currency=USD","Period=FQ","BEST_FPERIOD_OVERRIDE=FQ","FILING_STATUS=OR","SCALING_FORMAT=MLN","FA_ADJUSTED=Adjusted","Sort=A","Dates=H","DateFormat=P","Fill=—","Direction=H","UseDPDF=Y")</f>
        <v>8410</v>
      </c>
      <c r="S45" s="16">
        <f>_xll.BDH("XOM US Equity","EARN_FOR_COMMON","FQ3 2012","FQ3 2012","Currency=USD","Period=FQ","BEST_FPERIOD_OVERRIDE=FQ","FILING_STATUS=OR","SCALING_FORMAT=MLN","FA_ADJUSTED=Adjusted","Sort=A","Dates=H","DateFormat=P","Fill=—","Direction=H","UseDPDF=Y")</f>
        <v>9570</v>
      </c>
      <c r="T45" s="16">
        <f>_xll.BDH("XOM US Equity","EARN_FOR_COMMON","FQ4 2012","FQ4 2012","Currency=USD","Period=FQ","BEST_FPERIOD_OVERRIDE=FQ","FILING_STATUS=OR","SCALING_FORMAT=MLN","FA_ADJUSTED=Adjusted","Sort=A","Dates=H","DateFormat=P","Fill=—","Direction=H","UseDPDF=Y")</f>
        <v>9350</v>
      </c>
      <c r="U45" s="16">
        <f>_xll.BDH("XOM US Equity","EARN_FOR_COMMON","FQ1 2013","FQ1 2013","Currency=USD","Period=FQ","BEST_FPERIOD_OVERRIDE=FQ","FILING_STATUS=OR","SCALING_FORMAT=MLN","FA_ADJUSTED=Adjusted","Sort=A","Dates=H","DateFormat=P","Fill=—","Direction=H","UseDPDF=Y")</f>
        <v>9500</v>
      </c>
      <c r="V45" s="16">
        <f>_xll.BDH("XOM US Equity","EARN_FOR_COMMON","FQ2 2013","FQ2 2013","Currency=USD","Period=FQ","BEST_FPERIOD_OVERRIDE=FQ","FILING_STATUS=OR","SCALING_FORMAT=MLN","FA_ADJUSTED=Adjusted","Sort=A","Dates=H","DateFormat=P","Fill=—","Direction=H","UseDPDF=Y")</f>
        <v>6860</v>
      </c>
      <c r="W45" s="16">
        <f>_xll.BDH("XOM US Equity","EARN_FOR_COMMON","FQ3 2013","FQ3 2013","Currency=USD","Period=FQ","BEST_FPERIOD_OVERRIDE=FQ","FILING_STATUS=OR","SCALING_FORMAT=MLN","FA_ADJUSTED=Adjusted","Sort=A","Dates=H","DateFormat=P","Fill=—","Direction=H","UseDPDF=Y")</f>
        <v>7870</v>
      </c>
      <c r="X45" s="16">
        <f>_xll.BDH("XOM US Equity","EARN_FOR_COMMON","FQ4 2013","FQ4 2013","Currency=USD","Period=FQ","BEST_FPERIOD_OVERRIDE=FQ","FILING_STATUS=OR","SCALING_FORMAT=MLN","FA_ADJUSTED=Adjusted","Sort=A","Dates=H","DateFormat=P","Fill=—","Direction=H","UseDPDF=Y")</f>
        <v>8350</v>
      </c>
      <c r="Y45" s="16">
        <f>_xll.BDH("XOM US Equity","EARN_FOR_COMMON","FQ1 2014","FQ1 2014","Currency=USD","Period=FQ","BEST_FPERIOD_OVERRIDE=FQ","FILING_STATUS=OR","SCALING_FORMAT=MLN","FA_ADJUSTED=Adjusted","Sort=A","Dates=H","DateFormat=P","Fill=—","Direction=H","UseDPDF=Y")</f>
        <v>9100</v>
      </c>
      <c r="Z45" s="16">
        <f>_xll.BDH("XOM US Equity","EARN_FOR_COMMON","FQ2 2014","FQ2 2014","Currency=USD","Period=FQ","BEST_FPERIOD_OVERRIDE=FQ","FILING_STATUS=OR","SCALING_FORMAT=MLN","FA_ADJUSTED=Adjusted","Sort=A","Dates=H","DateFormat=P","Fill=—","Direction=H","UseDPDF=Y")</f>
        <v>8780</v>
      </c>
      <c r="AA45" s="16">
        <f>_xll.BDH("XOM US Equity","EARN_FOR_COMMON","FQ3 2014","FQ3 2014","Currency=USD","Period=FQ","BEST_FPERIOD_OVERRIDE=FQ","FILING_STATUS=OR","SCALING_FORMAT=MLN","FA_ADJUSTED=Adjusted","Sort=A","Dates=H","DateFormat=P","Fill=—","Direction=H","UseDPDF=Y")</f>
        <v>8070</v>
      </c>
      <c r="AB45" s="16">
        <f>_xll.BDH("XOM US Equity","EARN_FOR_COMMON","FQ4 2014","FQ4 2014","Currency=USD","Period=FQ","BEST_FPERIOD_OVERRIDE=FQ","FILING_STATUS=OR","SCALING_FORMAT=MLN","FA_ADJUSTED=Adjusted","Sort=A","Dates=H","DateFormat=P","Fill=—","Direction=H","UseDPDF=Y")</f>
        <v>6301</v>
      </c>
      <c r="AC45" s="16">
        <f>_xll.BDH("XOM US Equity","EARN_FOR_COMMON","FQ1 2015","FQ1 2015","Currency=USD","Period=FQ","BEST_FPERIOD_OVERRIDE=FQ","FILING_STATUS=OR","SCALING_FORMAT=MLN","FA_ADJUSTED=Adjusted","Sort=A","Dates=H","DateFormat=P","Fill=—","Direction=H","UseDPDF=Y")</f>
        <v>4940</v>
      </c>
      <c r="AD45" s="16">
        <f>_xll.BDH("XOM US Equity","EARN_FOR_COMMON","FQ2 2015","FQ2 2015","Currency=USD","Period=FQ","BEST_FPERIOD_OVERRIDE=FQ","FILING_STATUS=OR","SCALING_FORMAT=MLN","FA_ADJUSTED=Adjusted","Sort=A","Dates=H","DateFormat=P","Fill=—","Direction=H","UseDPDF=Y")</f>
        <v>4190</v>
      </c>
      <c r="AE45" s="16">
        <f>_xll.BDH("XOM US Equity","EARN_FOR_COMMON","FQ3 2015","FQ3 2015","Currency=USD","Period=FQ","BEST_FPERIOD_OVERRIDE=FQ","FILING_STATUS=OR","SCALING_FORMAT=MLN","FA_ADJUSTED=Adjusted","Sort=A","Dates=H","DateFormat=P","Fill=—","Direction=H","UseDPDF=Y")</f>
        <v>4240</v>
      </c>
      <c r="AF45" s="16">
        <f>_xll.BDH("XOM US Equity","EARN_FOR_COMMON","FQ4 2015","FQ4 2015","Currency=USD","Period=FQ","BEST_FPERIOD_OVERRIDE=FQ","FILING_STATUS=OR","SCALING_FORMAT=MLN","FA_ADJUSTED=Adjusted","Sort=A","Dates=H","DateFormat=P","Fill=—","Direction=H","UseDPDF=Y")</f>
        <v>2780</v>
      </c>
      <c r="AG45" s="16">
        <f>_xll.BDH("XOM US Equity","EARN_FOR_COMMON","FQ1 2016","FQ1 2016","Currency=USD","Period=FQ","BEST_FPERIOD_OVERRIDE=FQ","FILING_STATUS=OR","SCALING_FORMAT=MLN","FA_ADJUSTED=Adjusted","Sort=A","Dates=H","DateFormat=P","Fill=—","Direction=H","UseDPDF=Y")</f>
        <v>1810</v>
      </c>
      <c r="AH45" s="16">
        <f>_xll.BDH("XOM US Equity","EARN_FOR_COMMON","FQ2 2016","FQ2 2016","Currency=USD","Period=FQ","BEST_FPERIOD_OVERRIDE=FQ","FILING_STATUS=OR","SCALING_FORMAT=MLN","FA_ADJUSTED=Adjusted","Sort=A","Dates=H","DateFormat=P","Fill=—","Direction=H","UseDPDF=Y")</f>
        <v>1700</v>
      </c>
      <c r="AI45" s="16">
        <f>_xll.BDH("XOM US Equity","EARN_FOR_COMMON","FQ3 2016","FQ3 2016","Currency=USD","Period=FQ","BEST_FPERIOD_OVERRIDE=FQ","FILING_STATUS=OR","SCALING_FORMAT=MLN","FA_ADJUSTED=Adjusted","Sort=A","Dates=H","DateFormat=P","Fill=—","Direction=H","UseDPDF=Y")</f>
        <v>2650</v>
      </c>
      <c r="AJ45" s="16">
        <f>_xll.BDH("XOM US Equity","EARN_FOR_COMMON","FQ4 2016","FQ4 2016","Currency=USD","Period=FQ","BEST_FPERIOD_OVERRIDE=FQ","FILING_STATUS=OR","SCALING_FORMAT=MLN","FA_ADJUSTED=Adjusted","Sort=A","Dates=H","DateFormat=P","Fill=—","Direction=H","UseDPDF=Y")</f>
        <v>3707</v>
      </c>
      <c r="AK45" s="16">
        <f>_xll.BDH("XOM US Equity","EARN_FOR_COMMON","FQ1 2017","FQ1 2017","Currency=USD","Period=FQ","BEST_FPERIOD_OVERRIDE=FQ","FILING_STATUS=OR","SCALING_FORMAT=MLN","FA_ADJUSTED=Adjusted","Sort=A","Dates=H","DateFormat=P","Fill=—","Direction=H","UseDPDF=Y")</f>
        <v>4010</v>
      </c>
      <c r="AL45" s="16">
        <f>_xll.BDH("XOM US Equity","EARN_FOR_COMMON","FQ2 2017","FQ2 2017","Currency=USD","Period=FQ","BEST_FPERIOD_OVERRIDE=FQ","FILING_STATUS=OR","SCALING_FORMAT=MLN","FA_ADJUSTED=Adjusted","Sort=A","Dates=H","DateFormat=P","Fill=—","Direction=H","UseDPDF=Y")</f>
        <v>3350</v>
      </c>
      <c r="AM45" s="16">
        <f>_xll.BDH("XOM US Equity","EARN_FOR_COMMON","FQ3 2017","FQ3 2017","Currency=USD","Period=FQ","BEST_FPERIOD_OVERRIDE=FQ","FILING_STATUS=OR","SCALING_FORMAT=MLN","FA_ADJUSTED=Adjusted","Sort=A","Dates=H","DateFormat=P","Fill=—","Direction=H","UseDPDF=Y")</f>
        <v>3970</v>
      </c>
      <c r="AN45" s="16">
        <f>_xll.BDH("XOM US Equity","EARN_FOR_COMMON","FQ4 2017","FQ4 2017","Currency=USD","Period=FQ","BEST_FPERIOD_OVERRIDE=FQ","FILING_STATUS=OR","SCALING_FORMAT=MLN","FA_ADJUSTED=Adjusted","Sort=A","Dates=H","DateFormat=P","Fill=—","Direction=H","UseDPDF=Y")</f>
        <v>3732</v>
      </c>
      <c r="AO45" s="16">
        <f>_xll.BDH("XOM US Equity","EARN_FOR_COMMON","FQ1 2018","FQ1 2018","Currency=USD","Period=FQ","BEST_FPERIOD_OVERRIDE=FQ","FILING_STATUS=OR","SCALING_FORMAT=MLN","FA_ADJUSTED=Adjusted","Sort=A","Dates=H","DateFormat=P","Fill=—","Direction=H","UseDPDF=Y")</f>
        <v>4650</v>
      </c>
      <c r="AP45" s="16">
        <f>_xll.BDH("XOM US Equity","EARN_FOR_COMMON","FQ2 2018","FQ2 2018","Currency=USD","Period=FQ","BEST_FPERIOD_OVERRIDE=FQ","FILING_STATUS=OR","SCALING_FORMAT=MLN","FA_ADJUSTED=Adjusted","Sort=A","Dates=H","DateFormat=P","Fill=—","Direction=H","UseDPDF=Y")</f>
        <v>3950</v>
      </c>
    </row>
    <row r="46" spans="1:42" x14ac:dyDescent="0.25">
      <c r="A46" s="10" t="s">
        <v>162</v>
      </c>
      <c r="B46" s="10" t="s">
        <v>163</v>
      </c>
      <c r="C46" s="13" t="str">
        <f>_xll.BDH("XOM US Equity","IS_NET_ABNORMAL_ITEMS","FQ3 2008","FQ3 2008","Currency=USD","Period=FQ","BEST_FPERIOD_OVERRIDE=FQ","FILING_STATUS=OR","SCALING_FORMAT=MLN","Sort=A","Dates=H","DateFormat=P","Fill=—","Direction=H","UseDPDF=Y")</f>
        <v>—</v>
      </c>
      <c r="D46" s="13" t="str">
        <f>_xll.BDH("XOM US Equity","IS_NET_ABNORMAL_ITEMS","FQ4 2008","FQ4 2008","Currency=USD","Period=FQ","BEST_FPERIOD_OVERRIDE=FQ","FILING_STATUS=OR","SCALING_FORMAT=MLN","Sort=A","Dates=H","DateFormat=P","Fill=—","Direction=H","UseDPDF=Y")</f>
        <v>—</v>
      </c>
      <c r="E46" s="13">
        <f>_xll.BDH("XOM US Equity","IS_NET_ABNORMAL_ITEMS","FQ1 2009","FQ1 2009","Currency=USD","Period=FQ","BEST_FPERIOD_OVERRIDE=FQ","FILING_STATUS=OR","SCALING_FORMAT=MLN","Sort=A","Dates=H","DateFormat=P","Fill=—","Direction=H","UseDPDF=Y")</f>
        <v>0</v>
      </c>
      <c r="F46" s="13">
        <f>_xll.BDH("XOM US Equity","IS_NET_ABNORMAL_ITEMS","FQ2 2009","FQ2 2009","Currency=USD","Period=FQ","BEST_FPERIOD_OVERRIDE=FQ","FILING_STATUS=OR","SCALING_FORMAT=MLN","Sort=A","Dates=H","DateFormat=P","Fill=—","Direction=H","UseDPDF=Y")</f>
        <v>140</v>
      </c>
      <c r="G46" s="13">
        <f>_xll.BDH("XOM US Equity","IS_NET_ABNORMAL_ITEMS","FQ3 2009","FQ3 2009","Currency=USD","Period=FQ","BEST_FPERIOD_OVERRIDE=FQ","FILING_STATUS=OR","SCALING_FORMAT=MLN","Sort=A","Dates=H","DateFormat=P","Fill=—","Direction=H","UseDPDF=Y")</f>
        <v>0</v>
      </c>
      <c r="H46" s="13">
        <f>_xll.BDH("XOM US Equity","IS_NET_ABNORMAL_ITEMS","FQ4 2009","FQ4 2009","Currency=USD","Period=FQ","BEST_FPERIOD_OVERRIDE=FQ","FILING_STATUS=OR","SCALING_FORMAT=MLN","Sort=A","Dates=H","DateFormat=P","Fill=—","Direction=H","UseDPDF=Y")</f>
        <v>0</v>
      </c>
      <c r="I46" s="13">
        <f>_xll.BDH("XOM US Equity","IS_NET_ABNORMAL_ITEMS","FQ1 2010","FQ1 2010","Currency=USD","Period=FQ","BEST_FPERIOD_OVERRIDE=FQ","FILING_STATUS=OR","SCALING_FORMAT=MLN","Sort=A","Dates=H","DateFormat=P","Fill=—","Direction=H","UseDPDF=Y")</f>
        <v>200</v>
      </c>
      <c r="J46" s="13">
        <f>_xll.BDH("XOM US Equity","IS_NET_ABNORMAL_ITEMS","FQ2 2010","FQ2 2010","Currency=USD","Period=FQ","BEST_FPERIOD_OVERRIDE=FQ","FILING_STATUS=OR","SCALING_FORMAT=MLN","Sort=A","Dates=H","DateFormat=P","Fill=—","Direction=H","UseDPDF=Y")</f>
        <v>409.75</v>
      </c>
      <c r="K46" s="13">
        <f>_xll.BDH("XOM US Equity","IS_NET_ABNORMAL_ITEMS","FQ3 2010","FQ3 2010","Currency=USD","Period=FQ","BEST_FPERIOD_OVERRIDE=FQ","FILING_STATUS=OR","SCALING_FORMAT=MLN","Sort=A","Dates=H","DateFormat=P","Fill=—","Direction=H","UseDPDF=Y")</f>
        <v>1.3</v>
      </c>
      <c r="L46" s="13">
        <f>_xll.BDH("XOM US Equity","IS_NET_ABNORMAL_ITEMS","FQ4 2010","FQ4 2010","Currency=USD","Period=FQ","BEST_FPERIOD_OVERRIDE=FQ","FILING_STATUS=OR","SCALING_FORMAT=MLN","Sort=A","Dates=H","DateFormat=P","Fill=—","Direction=H","UseDPDF=Y")</f>
        <v>0.65</v>
      </c>
      <c r="M46" s="13">
        <f>_xll.BDH("XOM US Equity","IS_NET_ABNORMAL_ITEMS","FQ1 2011","FQ1 2011","Currency=USD","Period=FQ","BEST_FPERIOD_OVERRIDE=FQ","FILING_STATUS=OR","SCALING_FORMAT=MLN","Sort=A","Dates=H","DateFormat=P","Fill=—","Direction=H","UseDPDF=Y")</f>
        <v>0</v>
      </c>
      <c r="N46" s="13">
        <f>_xll.BDH("XOM US Equity","IS_NET_ABNORMAL_ITEMS","FQ2 2011","FQ2 2011","Currency=USD","Period=FQ","BEST_FPERIOD_OVERRIDE=FQ","FILING_STATUS=OR","SCALING_FORMAT=MLN","Sort=A","Dates=H","DateFormat=P","Fill=—","Direction=H","UseDPDF=Y")</f>
        <v>0</v>
      </c>
      <c r="O46" s="13">
        <f>_xll.BDH("XOM US Equity","IS_NET_ABNORMAL_ITEMS","FQ3 2011","FQ3 2011","Currency=USD","Period=FQ","BEST_FPERIOD_OVERRIDE=FQ","FILING_STATUS=OR","SCALING_FORMAT=MLN","Sort=A","Dates=H","DateFormat=P","Fill=—","Direction=H","UseDPDF=Y")</f>
        <v>0</v>
      </c>
      <c r="P46" s="13">
        <f>_xll.BDH("XOM US Equity","IS_NET_ABNORMAL_ITEMS","FQ4 2011","FQ4 2011","Currency=USD","Period=FQ","BEST_FPERIOD_OVERRIDE=FQ","FILING_STATUS=OR","SCALING_FORMAT=MLN","Sort=A","Dates=H","DateFormat=P","Fill=—","Direction=H","UseDPDF=Y")</f>
        <v>0</v>
      </c>
      <c r="Q46" s="13">
        <f>_xll.BDH("XOM US Equity","IS_NET_ABNORMAL_ITEMS","FQ1 2012","FQ1 2012","Currency=USD","Period=FQ","BEST_FPERIOD_OVERRIDE=FQ","FILING_STATUS=OR","SCALING_FORMAT=MLN","Sort=A","Dates=H","DateFormat=P","Fill=—","Direction=H","UseDPDF=Y")</f>
        <v>0</v>
      </c>
      <c r="R46" s="13">
        <f>_xll.BDH("XOM US Equity","IS_NET_ABNORMAL_ITEMS","FQ2 2012","FQ2 2012","Currency=USD","Period=FQ","BEST_FPERIOD_OVERRIDE=FQ","FILING_STATUS=OR","SCALING_FORMAT=MLN","Sort=A","Dates=H","DateFormat=P","Fill=—","Direction=H","UseDPDF=Y")</f>
        <v>-7500</v>
      </c>
      <c r="S46" s="13">
        <f>_xll.BDH("XOM US Equity","IS_NET_ABNORMAL_ITEMS","FQ3 2012","FQ3 2012","Currency=USD","Period=FQ","BEST_FPERIOD_OVERRIDE=FQ","FILING_STATUS=OR","SCALING_FORMAT=MLN","Sort=A","Dates=H","DateFormat=P","Fill=—","Direction=H","UseDPDF=Y")</f>
        <v>0</v>
      </c>
      <c r="T46" s="13">
        <f>_xll.BDH("XOM US Equity","IS_NET_ABNORMAL_ITEMS","FQ4 2012","FQ4 2012","Currency=USD","Period=FQ","BEST_FPERIOD_OVERRIDE=FQ","FILING_STATUS=OR","SCALING_FORMAT=MLN","Sort=A","Dates=H","DateFormat=P","Fill=—","Direction=H","UseDPDF=Y")</f>
        <v>-600</v>
      </c>
      <c r="U46" s="13">
        <f>_xll.BDH("XOM US Equity","IS_NET_ABNORMAL_ITEMS","FQ1 2013","FQ1 2013","Currency=USD","Period=FQ","BEST_FPERIOD_OVERRIDE=FQ","FILING_STATUS=OR","SCALING_FORMAT=MLN","Sort=A","Dates=H","DateFormat=P","Fill=—","Direction=H","UseDPDF=Y")</f>
        <v>0</v>
      </c>
      <c r="V46" s="13">
        <f>_xll.BDH("XOM US Equity","IS_NET_ABNORMAL_ITEMS","FQ2 2013","FQ2 2013","Currency=USD","Period=FQ","BEST_FPERIOD_OVERRIDE=FQ","FILING_STATUS=OR","SCALING_FORMAT=MLN","Sort=A","Dates=H","DateFormat=P","Fill=—","Direction=H","UseDPDF=Y")</f>
        <v>0</v>
      </c>
      <c r="W46" s="13">
        <f>_xll.BDH("XOM US Equity","IS_NET_ABNORMAL_ITEMS","FQ3 2013","FQ3 2013","Currency=USD","Period=FQ","BEST_FPERIOD_OVERRIDE=FQ","FILING_STATUS=OR","SCALING_FORMAT=MLN","Sort=A","Dates=H","DateFormat=P","Fill=—","Direction=H","UseDPDF=Y")</f>
        <v>0</v>
      </c>
      <c r="X46" s="13">
        <f>_xll.BDH("XOM US Equity","IS_NET_ABNORMAL_ITEMS","FQ4 2013","FQ4 2013","Currency=USD","Period=FQ","BEST_FPERIOD_OVERRIDE=FQ","FILING_STATUS=OR","SCALING_FORMAT=MLN","Sort=A","Dates=H","DateFormat=P","Fill=—","Direction=H","UseDPDF=Y")</f>
        <v>0</v>
      </c>
      <c r="Y46" s="13">
        <f>_xll.BDH("XOM US Equity","IS_NET_ABNORMAL_ITEMS","FQ1 2014","FQ1 2014","Currency=USD","Period=FQ","BEST_FPERIOD_OVERRIDE=FQ","FILING_STATUS=OR","SCALING_FORMAT=MLN","Sort=A","Dates=H","DateFormat=P","Fill=—","Direction=H","UseDPDF=Y")</f>
        <v>0</v>
      </c>
      <c r="Z46" s="13">
        <f>_xll.BDH("XOM US Equity","IS_NET_ABNORMAL_ITEMS","FQ2 2014","FQ2 2014","Currency=USD","Period=FQ","BEST_FPERIOD_OVERRIDE=FQ","FILING_STATUS=OR","SCALING_FORMAT=MLN","Sort=A","Dates=H","DateFormat=P","Fill=—","Direction=H","UseDPDF=Y")</f>
        <v>0</v>
      </c>
      <c r="AA46" s="13">
        <f>_xll.BDH("XOM US Equity","IS_NET_ABNORMAL_ITEMS","FQ3 2014","FQ3 2014","Currency=USD","Period=FQ","BEST_FPERIOD_OVERRIDE=FQ","FILING_STATUS=OR","SCALING_FORMAT=MLN","Sort=A","Dates=H","DateFormat=P","Fill=—","Direction=H","UseDPDF=Y")</f>
        <v>0</v>
      </c>
      <c r="AB46" s="13">
        <f>_xll.BDH("XOM US Equity","IS_NET_ABNORMAL_ITEMS","FQ4 2014","FQ4 2014","Currency=USD","Period=FQ","BEST_FPERIOD_OVERRIDE=FQ","FILING_STATUS=OR","SCALING_FORMAT=MLN","Sort=A","Dates=H","DateFormat=P","Fill=—","Direction=H","UseDPDF=Y")</f>
        <v>-269</v>
      </c>
      <c r="AC46" s="13">
        <f>_xll.BDH("XOM US Equity","IS_NET_ABNORMAL_ITEMS","FQ1 2015","FQ1 2015","Currency=USD","Period=FQ","BEST_FPERIOD_OVERRIDE=FQ","FILING_STATUS=OR","SCALING_FORMAT=MLN","Sort=A","Dates=H","DateFormat=P","Fill=—","Direction=H","UseDPDF=Y")</f>
        <v>0</v>
      </c>
      <c r="AD46" s="13">
        <f>_xll.BDH("XOM US Equity","IS_NET_ABNORMAL_ITEMS","FQ2 2015","FQ2 2015","Currency=USD","Period=FQ","BEST_FPERIOD_OVERRIDE=FQ","FILING_STATUS=OR","SCALING_FORMAT=MLN","Sort=A","Dates=H","DateFormat=P","Fill=—","Direction=H","UseDPDF=Y")</f>
        <v>0</v>
      </c>
      <c r="AE46" s="13">
        <f>_xll.BDH("XOM US Equity","IS_NET_ABNORMAL_ITEMS","FQ3 2015","FQ3 2015","Currency=USD","Period=FQ","BEST_FPERIOD_OVERRIDE=FQ","FILING_STATUS=OR","SCALING_FORMAT=MLN","Sort=A","Dates=H","DateFormat=P","Fill=—","Direction=H","UseDPDF=Y")</f>
        <v>0</v>
      </c>
      <c r="AF46" s="13">
        <f>_xll.BDH("XOM US Equity","IS_NET_ABNORMAL_ITEMS","FQ4 2015","FQ4 2015","Currency=USD","Period=FQ","BEST_FPERIOD_OVERRIDE=FQ","FILING_STATUS=OR","SCALING_FORMAT=MLN","Sort=A","Dates=H","DateFormat=P","Fill=—","Direction=H","UseDPDF=Y")</f>
        <v>0</v>
      </c>
      <c r="AG46" s="13">
        <f>_xll.BDH("XOM US Equity","IS_NET_ABNORMAL_ITEMS","FQ1 2016","FQ1 2016","Currency=USD","Period=FQ","BEST_FPERIOD_OVERRIDE=FQ","FILING_STATUS=OR","SCALING_FORMAT=MLN","Sort=A","Dates=H","DateFormat=P","Fill=—","Direction=H","UseDPDF=Y")</f>
        <v>0</v>
      </c>
      <c r="AH46" s="13">
        <f>_xll.BDH("XOM US Equity","IS_NET_ABNORMAL_ITEMS","FQ2 2016","FQ2 2016","Currency=USD","Period=FQ","BEST_FPERIOD_OVERRIDE=FQ","FILING_STATUS=OR","SCALING_FORMAT=MLN","Sort=A","Dates=H","DateFormat=P","Fill=—","Direction=H","UseDPDF=Y")</f>
        <v>0</v>
      </c>
      <c r="AI46" s="13">
        <f>_xll.BDH("XOM US Equity","IS_NET_ABNORMAL_ITEMS","FQ3 2016","FQ3 2016","Currency=USD","Period=FQ","BEST_FPERIOD_OVERRIDE=FQ","FILING_STATUS=OR","SCALING_FORMAT=MLN","Sort=A","Dates=H","DateFormat=P","Fill=—","Direction=H","UseDPDF=Y")</f>
        <v>0</v>
      </c>
      <c r="AJ46" s="13">
        <f>_xll.BDH("XOM US Equity","IS_NET_ABNORMAL_ITEMS","FQ4 2016","FQ4 2016","Currency=USD","Period=FQ","BEST_FPERIOD_OVERRIDE=FQ","FILING_STATUS=OR","SCALING_FORMAT=MLN","Sort=A","Dates=H","DateFormat=P","Fill=—","Direction=H","UseDPDF=Y")</f>
        <v>2027</v>
      </c>
      <c r="AK46" s="13">
        <f>_xll.BDH("XOM US Equity","IS_NET_ABNORMAL_ITEMS","FQ1 2017","FQ1 2017","Currency=USD","Period=FQ","BEST_FPERIOD_OVERRIDE=FQ","FILING_STATUS=OR","SCALING_FORMAT=MLN","Sort=A","Dates=H","DateFormat=P","Fill=—","Direction=H","UseDPDF=Y")</f>
        <v>0</v>
      </c>
      <c r="AL46" s="13">
        <f>_xll.BDH("XOM US Equity","IS_NET_ABNORMAL_ITEMS","FQ2 2017","FQ2 2017","Currency=USD","Period=FQ","BEST_FPERIOD_OVERRIDE=FQ","FILING_STATUS=OR","SCALING_FORMAT=MLN","Sort=A","Dates=H","DateFormat=P","Fill=—","Direction=H","UseDPDF=Y")</f>
        <v>0</v>
      </c>
      <c r="AM46" s="13">
        <f>_xll.BDH("XOM US Equity","IS_NET_ABNORMAL_ITEMS","FQ3 2017","FQ3 2017","Currency=USD","Period=FQ","BEST_FPERIOD_OVERRIDE=FQ","FILING_STATUS=OR","SCALING_FORMAT=MLN","Sort=A","Dates=H","DateFormat=P","Fill=—","Direction=H","UseDPDF=Y")</f>
        <v>0</v>
      </c>
      <c r="AN46" s="13">
        <f>_xll.BDH("XOM US Equity","IS_NET_ABNORMAL_ITEMS","FQ4 2017","FQ4 2017","Currency=USD","Period=FQ","BEST_FPERIOD_OVERRIDE=FQ","FILING_STATUS=OR","SCALING_FORMAT=MLN","Sort=A","Dates=H","DateFormat=P","Fill=—","Direction=H","UseDPDF=Y")</f>
        <v>-4648</v>
      </c>
      <c r="AO46" s="13">
        <f>_xll.BDH("XOM US Equity","IS_NET_ABNORMAL_ITEMS","FQ1 2018","FQ1 2018","Currency=USD","Period=FQ","BEST_FPERIOD_OVERRIDE=FQ","FILING_STATUS=OR","SCALING_FORMAT=MLN","Sort=A","Dates=H","DateFormat=P","Fill=—","Direction=H","UseDPDF=Y")</f>
        <v>0</v>
      </c>
      <c r="AP46" s="13">
        <f>_xll.BDH("XOM US Equity","IS_NET_ABNORMAL_ITEMS","FQ2 2018","FQ2 2018","Currency=USD","Period=FQ","BEST_FPERIOD_OVERRIDE=FQ","FILING_STATUS=OR","SCALING_FORMAT=MLN","Sort=A","Dates=H","DateFormat=P","Fill=—","Direction=H","UseDPDF=Y")</f>
        <v>0</v>
      </c>
    </row>
    <row r="47" spans="1:42" x14ac:dyDescent="0.25">
      <c r="A47" s="10" t="s">
        <v>164</v>
      </c>
      <c r="B47" s="10" t="s">
        <v>144</v>
      </c>
      <c r="C47" s="13">
        <f>_xll.BDH("XOM US Equity","XO_GL_NET_OF_TAX","FQ3 2008","FQ3 2008","Currency=USD","Period=FQ","BEST_FPERIOD_OVERRIDE=FQ","FILING_STATUS=OR","SCALING_FORMAT=MLN","Sort=A","Dates=H","DateFormat=P","Fill=—","Direction=H","UseDPDF=Y")</f>
        <v>0</v>
      </c>
      <c r="D47" s="13">
        <f>_xll.BDH("XOM US Equity","XO_GL_NET_OF_TAX","FQ4 2008","FQ4 2008","Currency=USD","Period=FQ","BEST_FPERIOD_OVERRIDE=FQ","FILING_STATUS=OR","SCALING_FORMAT=MLN","Sort=A","Dates=H","DateFormat=P","Fill=—","Direction=H","UseDPDF=Y")</f>
        <v>0</v>
      </c>
      <c r="E47" s="13">
        <f>_xll.BDH("XOM US Equity","XO_GL_NET_OF_TAX","FQ1 2009","FQ1 2009","Currency=USD","Period=FQ","BEST_FPERIOD_OVERRIDE=FQ","FILING_STATUS=OR","SCALING_FORMAT=MLN","Sort=A","Dates=H","DateFormat=P","Fill=—","Direction=H","UseDPDF=Y")</f>
        <v>0</v>
      </c>
      <c r="F47" s="13">
        <f>_xll.BDH("XOM US Equity","XO_GL_NET_OF_TAX","FQ2 2009","FQ2 2009","Currency=USD","Period=FQ","BEST_FPERIOD_OVERRIDE=FQ","FILING_STATUS=OR","SCALING_FORMAT=MLN","Sort=A","Dates=H","DateFormat=P","Fill=—","Direction=H","UseDPDF=Y")</f>
        <v>0</v>
      </c>
      <c r="G47" s="13">
        <f>_xll.BDH("XOM US Equity","XO_GL_NET_OF_TAX","FQ3 2009","FQ3 2009","Currency=USD","Period=FQ","BEST_FPERIOD_OVERRIDE=FQ","FILING_STATUS=OR","SCALING_FORMAT=MLN","Sort=A","Dates=H","DateFormat=P","Fill=—","Direction=H","UseDPDF=Y")</f>
        <v>0</v>
      </c>
      <c r="H47" s="13">
        <f>_xll.BDH("XOM US Equity","XO_GL_NET_OF_TAX","FQ4 2009","FQ4 2009","Currency=USD","Period=FQ","BEST_FPERIOD_OVERRIDE=FQ","FILING_STATUS=OR","SCALING_FORMAT=MLN","Sort=A","Dates=H","DateFormat=P","Fill=—","Direction=H","UseDPDF=Y")</f>
        <v>0</v>
      </c>
      <c r="I47" s="13">
        <f>_xll.BDH("XOM US Equity","XO_GL_NET_OF_TAX","FQ1 2010","FQ1 2010","Currency=USD","Period=FQ","BEST_FPERIOD_OVERRIDE=FQ","FILING_STATUS=OR","SCALING_FORMAT=MLN","Sort=A","Dates=H","DateFormat=P","Fill=—","Direction=H","UseDPDF=Y")</f>
        <v>0</v>
      </c>
      <c r="J47" s="13">
        <f>_xll.BDH("XOM US Equity","XO_GL_NET_OF_TAX","FQ2 2010","FQ2 2010","Currency=USD","Period=FQ","BEST_FPERIOD_OVERRIDE=FQ","FILING_STATUS=OR","SCALING_FORMAT=MLN","Sort=A","Dates=H","DateFormat=P","Fill=—","Direction=H","UseDPDF=Y")</f>
        <v>0</v>
      </c>
      <c r="K47" s="13">
        <f>_xll.BDH("XOM US Equity","XO_GL_NET_OF_TAX","FQ3 2010","FQ3 2010","Currency=USD","Period=FQ","BEST_FPERIOD_OVERRIDE=FQ","FILING_STATUS=OR","SCALING_FORMAT=MLN","Sort=A","Dates=H","DateFormat=P","Fill=—","Direction=H","UseDPDF=Y")</f>
        <v>0</v>
      </c>
      <c r="L47" s="13">
        <f>_xll.BDH("XOM US Equity","XO_GL_NET_OF_TAX","FQ4 2010","FQ4 2010","Currency=USD","Period=FQ","BEST_FPERIOD_OVERRIDE=FQ","FILING_STATUS=OR","SCALING_FORMAT=MLN","Sort=A","Dates=H","DateFormat=P","Fill=—","Direction=H","UseDPDF=Y")</f>
        <v>0</v>
      </c>
      <c r="M47" s="13">
        <f>_xll.BDH("XOM US Equity","XO_GL_NET_OF_TAX","FQ1 2011","FQ1 2011","Currency=USD","Period=FQ","BEST_FPERIOD_OVERRIDE=FQ","FILING_STATUS=OR","SCALING_FORMAT=MLN","Sort=A","Dates=H","DateFormat=P","Fill=—","Direction=H","UseDPDF=Y")</f>
        <v>0</v>
      </c>
      <c r="N47" s="13">
        <f>_xll.BDH("XOM US Equity","XO_GL_NET_OF_TAX","FQ2 2011","FQ2 2011","Currency=USD","Period=FQ","BEST_FPERIOD_OVERRIDE=FQ","FILING_STATUS=OR","SCALING_FORMAT=MLN","Sort=A","Dates=H","DateFormat=P","Fill=—","Direction=H","UseDPDF=Y")</f>
        <v>0</v>
      </c>
      <c r="O47" s="13">
        <f>_xll.BDH("XOM US Equity","XO_GL_NET_OF_TAX","FQ3 2011","FQ3 2011","Currency=USD","Period=FQ","BEST_FPERIOD_OVERRIDE=FQ","FILING_STATUS=OR","SCALING_FORMAT=MLN","Sort=A","Dates=H","DateFormat=P","Fill=—","Direction=H","UseDPDF=Y")</f>
        <v>0</v>
      </c>
      <c r="P47" s="13">
        <f>_xll.BDH("XOM US Equity","XO_GL_NET_OF_TAX","FQ4 2011","FQ4 2011","Currency=USD","Period=FQ","BEST_FPERIOD_OVERRIDE=FQ","FILING_STATUS=OR","SCALING_FORMAT=MLN","Sort=A","Dates=H","DateFormat=P","Fill=—","Direction=H","UseDPDF=Y")</f>
        <v>0</v>
      </c>
      <c r="Q47" s="13">
        <f>_xll.BDH("XOM US Equity","XO_GL_NET_OF_TAX","FQ1 2012","FQ1 2012","Currency=USD","Period=FQ","BEST_FPERIOD_OVERRIDE=FQ","FILING_STATUS=OR","SCALING_FORMAT=MLN","Sort=A","Dates=H","DateFormat=P","Fill=—","Direction=H","UseDPDF=Y")</f>
        <v>0</v>
      </c>
      <c r="R47" s="13">
        <f>_xll.BDH("XOM US Equity","XO_GL_NET_OF_TAX","FQ2 2012","FQ2 2012","Currency=USD","Period=FQ","BEST_FPERIOD_OVERRIDE=FQ","FILING_STATUS=OR","SCALING_FORMAT=MLN","Sort=A","Dates=H","DateFormat=P","Fill=—","Direction=H","UseDPDF=Y")</f>
        <v>0</v>
      </c>
      <c r="S47" s="13">
        <f>_xll.BDH("XOM US Equity","XO_GL_NET_OF_TAX","FQ3 2012","FQ3 2012","Currency=USD","Period=FQ","BEST_FPERIOD_OVERRIDE=FQ","FILING_STATUS=OR","SCALING_FORMAT=MLN","Sort=A","Dates=H","DateFormat=P","Fill=—","Direction=H","UseDPDF=Y")</f>
        <v>0</v>
      </c>
      <c r="T47" s="13">
        <f>_xll.BDH("XOM US Equity","XO_GL_NET_OF_TAX","FQ4 2012","FQ4 2012","Currency=USD","Period=FQ","BEST_FPERIOD_OVERRIDE=FQ","FILING_STATUS=OR","SCALING_FORMAT=MLN","Sort=A","Dates=H","DateFormat=P","Fill=—","Direction=H","UseDPDF=Y")</f>
        <v>0</v>
      </c>
      <c r="U47" s="13">
        <f>_xll.BDH("XOM US Equity","XO_GL_NET_OF_TAX","FQ1 2013","FQ1 2013","Currency=USD","Period=FQ","BEST_FPERIOD_OVERRIDE=FQ","FILING_STATUS=OR","SCALING_FORMAT=MLN","Sort=A","Dates=H","DateFormat=P","Fill=—","Direction=H","UseDPDF=Y")</f>
        <v>0</v>
      </c>
      <c r="V47" s="13">
        <f>_xll.BDH("XOM US Equity","XO_GL_NET_OF_TAX","FQ2 2013","FQ2 2013","Currency=USD","Period=FQ","BEST_FPERIOD_OVERRIDE=FQ","FILING_STATUS=OR","SCALING_FORMAT=MLN","Sort=A","Dates=H","DateFormat=P","Fill=—","Direction=H","UseDPDF=Y")</f>
        <v>0</v>
      </c>
      <c r="W47" s="13">
        <f>_xll.BDH("XOM US Equity","XO_GL_NET_OF_TAX","FQ3 2013","FQ3 2013","Currency=USD","Period=FQ","BEST_FPERIOD_OVERRIDE=FQ","FILING_STATUS=OR","SCALING_FORMAT=MLN","Sort=A","Dates=H","DateFormat=P","Fill=—","Direction=H","UseDPDF=Y")</f>
        <v>0</v>
      </c>
      <c r="X47" s="13">
        <f>_xll.BDH("XOM US Equity","XO_GL_NET_OF_TAX","FQ4 2013","FQ4 2013","Currency=USD","Period=FQ","BEST_FPERIOD_OVERRIDE=FQ","FILING_STATUS=OR","SCALING_FORMAT=MLN","Sort=A","Dates=H","DateFormat=P","Fill=—","Direction=H","UseDPDF=Y")</f>
        <v>0</v>
      </c>
      <c r="Y47" s="13">
        <f>_xll.BDH("XOM US Equity","XO_GL_NET_OF_TAX","FQ1 2014","FQ1 2014","Currency=USD","Period=FQ","BEST_FPERIOD_OVERRIDE=FQ","FILING_STATUS=OR","SCALING_FORMAT=MLN","Sort=A","Dates=H","DateFormat=P","Fill=—","Direction=H","UseDPDF=Y")</f>
        <v>0</v>
      </c>
      <c r="Z47" s="13">
        <f>_xll.BDH("XOM US Equity","XO_GL_NET_OF_TAX","FQ2 2014","FQ2 2014","Currency=USD","Period=FQ","BEST_FPERIOD_OVERRIDE=FQ","FILING_STATUS=OR","SCALING_FORMAT=MLN","Sort=A","Dates=H","DateFormat=P","Fill=—","Direction=H","UseDPDF=Y")</f>
        <v>0</v>
      </c>
      <c r="AA47" s="13">
        <f>_xll.BDH("XOM US Equity","XO_GL_NET_OF_TAX","FQ3 2014","FQ3 2014","Currency=USD","Period=FQ","BEST_FPERIOD_OVERRIDE=FQ","FILING_STATUS=OR","SCALING_FORMAT=MLN","Sort=A","Dates=H","DateFormat=P","Fill=—","Direction=H","UseDPDF=Y")</f>
        <v>0</v>
      </c>
      <c r="AB47" s="13">
        <f>_xll.BDH("XOM US Equity","XO_GL_NET_OF_TAX","FQ4 2014","FQ4 2014","Currency=USD","Period=FQ","BEST_FPERIOD_OVERRIDE=FQ","FILING_STATUS=OR","SCALING_FORMAT=MLN","Sort=A","Dates=H","DateFormat=P","Fill=—","Direction=H","UseDPDF=Y")</f>
        <v>0</v>
      </c>
      <c r="AC47" s="13">
        <f>_xll.BDH("XOM US Equity","XO_GL_NET_OF_TAX","FQ1 2015","FQ1 2015","Currency=USD","Period=FQ","BEST_FPERIOD_OVERRIDE=FQ","FILING_STATUS=OR","SCALING_FORMAT=MLN","Sort=A","Dates=H","DateFormat=P","Fill=—","Direction=H","UseDPDF=Y")</f>
        <v>0</v>
      </c>
      <c r="AD47" s="13">
        <f>_xll.BDH("XOM US Equity","XO_GL_NET_OF_TAX","FQ2 2015","FQ2 2015","Currency=USD","Period=FQ","BEST_FPERIOD_OVERRIDE=FQ","FILING_STATUS=OR","SCALING_FORMAT=MLN","Sort=A","Dates=H","DateFormat=P","Fill=—","Direction=H","UseDPDF=Y")</f>
        <v>0</v>
      </c>
      <c r="AE47" s="13">
        <f>_xll.BDH("XOM US Equity","XO_GL_NET_OF_TAX","FQ3 2015","FQ3 2015","Currency=USD","Period=FQ","BEST_FPERIOD_OVERRIDE=FQ","FILING_STATUS=OR","SCALING_FORMAT=MLN","Sort=A","Dates=H","DateFormat=P","Fill=—","Direction=H","UseDPDF=Y")</f>
        <v>0</v>
      </c>
      <c r="AF47" s="13">
        <f>_xll.BDH("XOM US Equity","XO_GL_NET_OF_TAX","FQ4 2015","FQ4 2015","Currency=USD","Period=FQ","BEST_FPERIOD_OVERRIDE=FQ","FILING_STATUS=OR","SCALING_FORMAT=MLN","Sort=A","Dates=H","DateFormat=P","Fill=—","Direction=H","UseDPDF=Y")</f>
        <v>0</v>
      </c>
      <c r="AG47" s="13">
        <f>_xll.BDH("XOM US Equity","XO_GL_NET_OF_TAX","FQ1 2016","FQ1 2016","Currency=USD","Period=FQ","BEST_FPERIOD_OVERRIDE=FQ","FILING_STATUS=OR","SCALING_FORMAT=MLN","Sort=A","Dates=H","DateFormat=P","Fill=—","Direction=H","UseDPDF=Y")</f>
        <v>0</v>
      </c>
      <c r="AH47" s="13">
        <f>_xll.BDH("XOM US Equity","XO_GL_NET_OF_TAX","FQ2 2016","FQ2 2016","Currency=USD","Period=FQ","BEST_FPERIOD_OVERRIDE=FQ","FILING_STATUS=OR","SCALING_FORMAT=MLN","Sort=A","Dates=H","DateFormat=P","Fill=—","Direction=H","UseDPDF=Y")</f>
        <v>0</v>
      </c>
      <c r="AI47" s="13">
        <f>_xll.BDH("XOM US Equity","XO_GL_NET_OF_TAX","FQ3 2016","FQ3 2016","Currency=USD","Period=FQ","BEST_FPERIOD_OVERRIDE=FQ","FILING_STATUS=OR","SCALING_FORMAT=MLN","Sort=A","Dates=H","DateFormat=P","Fill=—","Direction=H","UseDPDF=Y")</f>
        <v>0</v>
      </c>
      <c r="AJ47" s="13">
        <f>_xll.BDH("XOM US Equity","XO_GL_NET_OF_TAX","FQ4 2016","FQ4 2016","Currency=USD","Period=FQ","BEST_FPERIOD_OVERRIDE=FQ","FILING_STATUS=OR","SCALING_FORMAT=MLN","Sort=A","Dates=H","DateFormat=P","Fill=—","Direction=H","UseDPDF=Y")</f>
        <v>0</v>
      </c>
      <c r="AK47" s="13">
        <f>_xll.BDH("XOM US Equity","XO_GL_NET_OF_TAX","FQ1 2017","FQ1 2017","Currency=USD","Period=FQ","BEST_FPERIOD_OVERRIDE=FQ","FILING_STATUS=OR","SCALING_FORMAT=MLN","Sort=A","Dates=H","DateFormat=P","Fill=—","Direction=H","UseDPDF=Y")</f>
        <v>0</v>
      </c>
      <c r="AL47" s="13">
        <f>_xll.BDH("XOM US Equity","XO_GL_NET_OF_TAX","FQ2 2017","FQ2 2017","Currency=USD","Period=FQ","BEST_FPERIOD_OVERRIDE=FQ","FILING_STATUS=OR","SCALING_FORMAT=MLN","Sort=A","Dates=H","DateFormat=P","Fill=—","Direction=H","UseDPDF=Y")</f>
        <v>0</v>
      </c>
      <c r="AM47" s="13">
        <f>_xll.BDH("XOM US Equity","XO_GL_NET_OF_TAX","FQ3 2017","FQ3 2017","Currency=USD","Period=FQ","BEST_FPERIOD_OVERRIDE=FQ","FILING_STATUS=OR","SCALING_FORMAT=MLN","Sort=A","Dates=H","DateFormat=P","Fill=—","Direction=H","UseDPDF=Y")</f>
        <v>0</v>
      </c>
      <c r="AN47" s="13">
        <f>_xll.BDH("XOM US Equity","XO_GL_NET_OF_TAX","FQ4 2017","FQ4 2017","Currency=USD","Period=FQ","BEST_FPERIOD_OVERRIDE=FQ","FILING_STATUS=OR","SCALING_FORMAT=MLN","Sort=A","Dates=H","DateFormat=P","Fill=—","Direction=H","UseDPDF=Y")</f>
        <v>0</v>
      </c>
      <c r="AO47" s="13">
        <f>_xll.BDH("XOM US Equity","XO_GL_NET_OF_TAX","FQ1 2018","FQ1 2018","Currency=USD","Period=FQ","BEST_FPERIOD_OVERRIDE=FQ","FILING_STATUS=OR","SCALING_FORMAT=MLN","Sort=A","Dates=H","DateFormat=P","Fill=—","Direction=H","UseDPDF=Y")</f>
        <v>0</v>
      </c>
      <c r="AP47" s="13">
        <f>_xll.BDH("XOM US Equity","XO_GL_NET_OF_TAX","FQ2 2018","FQ2 2018","Currency=USD","Period=FQ","BEST_FPERIOD_OVERRIDE=FQ","FILING_STATUS=OR","SCALING_FORMAT=MLN","Sort=A","Dates=H","DateFormat=P","Fill=—","Direction=H","UseDPDF=Y")</f>
        <v>0</v>
      </c>
    </row>
    <row r="48" spans="1:42" x14ac:dyDescent="0.25">
      <c r="A48" s="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1:42" x14ac:dyDescent="0.25">
      <c r="A49" s="10" t="s">
        <v>165</v>
      </c>
      <c r="B49" s="10" t="s">
        <v>166</v>
      </c>
      <c r="C49" s="13">
        <f>_xll.BDH("XOM US Equity","IS_AVG_NUM_SH_FOR_EPS","FQ3 2008","FQ3 2008","Currency=USD","Period=FQ","BEST_FPERIOD_OVERRIDE=FQ","FILING_STATUS=OR","Sort=A","Dates=H","DateFormat=P","Fill=—","Direction=H","UseDPDF=Y")</f>
        <v>5102</v>
      </c>
      <c r="D49" s="13">
        <f>_xll.BDH("XOM US Equity","IS_AVG_NUM_SH_FOR_EPS","FQ4 2008","FQ4 2008","Currency=USD","Period=FQ","BEST_FPERIOD_OVERRIDE=FQ","FILING_STATUS=OR","Sort=A","Dates=H","DateFormat=P","Fill=—","Direction=H","UseDPDF=Y")</f>
        <v>4980.8900000000003</v>
      </c>
      <c r="E49" s="13">
        <f>_xll.BDH("XOM US Equity","IS_AVG_NUM_SH_FOR_EPS","FQ1 2009","FQ1 2009","Currency=USD","Period=FQ","BEST_FPERIOD_OVERRIDE=FQ","FILING_STATUS=OR","Sort=A","Dates=H","DateFormat=P","Fill=—","Direction=H","UseDPDF=Y")</f>
        <v>4937</v>
      </c>
      <c r="F49" s="13">
        <f>_xll.BDH("XOM US Equity","IS_AVG_NUM_SH_FOR_EPS","FQ2 2009","FQ2 2009","Currency=USD","Period=FQ","BEST_FPERIOD_OVERRIDE=FQ","FILING_STATUS=OR","Sort=A","Dates=H","DateFormat=P","Fill=—","Direction=H","UseDPDF=Y")</f>
        <v>4851</v>
      </c>
      <c r="G49" s="13">
        <f>_xll.BDH("XOM US Equity","IS_AVG_NUM_SH_FOR_EPS","FQ3 2009","FQ3 2009","Currency=USD","Period=FQ","BEST_FPERIOD_OVERRIDE=FQ","FILING_STATUS=OR","Sort=A","Dates=H","DateFormat=P","Fill=—","Direction=H","UseDPDF=Y")</f>
        <v>4784</v>
      </c>
      <c r="H49" s="13">
        <f>_xll.BDH("XOM US Equity","IS_AVG_NUM_SH_FOR_EPS","FQ4 2009","FQ4 2009","Currency=USD","Period=FQ","BEST_FPERIOD_OVERRIDE=FQ","FILING_STATUS=OR","Sort=A","Dates=H","DateFormat=P","Fill=—","Direction=H","UseDPDF=Y")</f>
        <v>4760</v>
      </c>
      <c r="I49" s="13">
        <f>_xll.BDH("XOM US Equity","IS_AVG_NUM_SH_FOR_EPS","FQ1 2010","FQ1 2010","Currency=USD","Period=FQ","BEST_FPERIOD_OVERRIDE=FQ","FILING_STATUS=OR","Sort=A","Dates=H","DateFormat=P","Fill=—","Direction=H","UseDPDF=Y")</f>
        <v>4722</v>
      </c>
      <c r="J49" s="13">
        <f>_xll.BDH("XOM US Equity","IS_AVG_NUM_SH_FOR_EPS","FQ2 2010","FQ2 2010","Currency=USD","Period=FQ","BEST_FPERIOD_OVERRIDE=FQ","FILING_STATUS=OR","Sort=A","Dates=H","DateFormat=P","Fill=—","Direction=H","UseDPDF=Y")</f>
        <v>4716</v>
      </c>
      <c r="K49" s="13">
        <f>_xll.BDH("XOM US Equity","IS_AVG_NUM_SH_FOR_EPS","FQ3 2010","FQ3 2010","Currency=USD","Period=FQ","BEST_FPERIOD_OVERRIDE=FQ","FILING_STATUS=OR","Sort=A","Dates=H","DateFormat=P","Fill=—","Direction=H","UseDPDF=Y")</f>
        <v>5076</v>
      </c>
      <c r="L49" s="13">
        <f>_xll.BDH("XOM US Equity","IS_AVG_NUM_SH_FOR_EPS","FQ4 2010","FQ4 2010","Currency=USD","Period=FQ","BEST_FPERIOD_OVERRIDE=FQ","FILING_STATUS=OR","Sort=A","Dates=H","DateFormat=P","Fill=—","Direction=H","UseDPDF=Y")</f>
        <v>4973</v>
      </c>
      <c r="M49" s="13">
        <f>_xll.BDH("XOM US Equity","IS_AVG_NUM_SH_FOR_EPS","FQ1 2011","FQ1 2011","Currency=USD","Period=FQ","BEST_FPERIOD_OVERRIDE=FQ","FILING_STATUS=OR","Sort=A","Dates=H","DateFormat=P","Fill=—","Direction=H","UseDPDF=Y")</f>
        <v>4963</v>
      </c>
      <c r="N49" s="13">
        <f>_xll.BDH("XOM US Equity","IS_AVG_NUM_SH_FOR_EPS","FQ2 2011","FQ2 2011","Currency=USD","Period=FQ","BEST_FPERIOD_OVERRIDE=FQ","FILING_STATUS=OR","Sort=A","Dates=H","DateFormat=P","Fill=—","Direction=H","UseDPDF=Y")</f>
        <v>4906</v>
      </c>
      <c r="O49" s="13">
        <f>_xll.BDH("XOM US Equity","IS_AVG_NUM_SH_FOR_EPS","FQ3 2011","FQ3 2011","Currency=USD","Period=FQ","BEST_FPERIOD_OVERRIDE=FQ","FILING_STATUS=OR","Sort=A","Dates=H","DateFormat=P","Fill=—","Direction=H","UseDPDF=Y")</f>
        <v>4839</v>
      </c>
      <c r="P49" s="13">
        <f>_xll.BDH("XOM US Equity","IS_AVG_NUM_SH_FOR_EPS","FQ4 2011","FQ4 2011","Currency=USD","Period=FQ","BEST_FPERIOD_OVERRIDE=FQ","FILING_STATUS=OR","Sort=A","Dates=H","DateFormat=P","Fill=—","Direction=H","UseDPDF=Y")</f>
        <v>4771.5735999999997</v>
      </c>
      <c r="Q49" s="13">
        <f>_xll.BDH("XOM US Equity","IS_AVG_NUM_SH_FOR_EPS","FQ1 2012","FQ1 2012","Currency=USD","Period=FQ","BEST_FPERIOD_OVERRIDE=FQ","FILING_STATUS=OR","Sort=A","Dates=H","DateFormat=P","Fill=—","Direction=H","UseDPDF=Y")</f>
        <v>4715</v>
      </c>
      <c r="R49" s="13">
        <f>_xll.BDH("XOM US Equity","IS_AVG_NUM_SH_FOR_EPS","FQ2 2012","FQ2 2012","Currency=USD","Period=FQ","BEST_FPERIOD_OVERRIDE=FQ","FILING_STATUS=OR","Sort=A","Dates=H","DateFormat=P","Fill=—","Direction=H","UseDPDF=Y")</f>
        <v>4656</v>
      </c>
      <c r="S49" s="13">
        <f>_xll.BDH("XOM US Equity","IS_AVG_NUM_SH_FOR_EPS","FQ3 2012","FQ3 2012","Currency=USD","Period=FQ","BEST_FPERIOD_OVERRIDE=FQ","FILING_STATUS=OR","Sort=A","Dates=H","DateFormat=P","Fill=—","Direction=H","UseDPDF=Y")</f>
        <v>4597</v>
      </c>
      <c r="T49" s="13">
        <f>_xll.BDH("XOM US Equity","IS_AVG_NUM_SH_FOR_EPS","FQ4 2012","FQ4 2012","Currency=USD","Period=FQ","BEST_FPERIOD_OVERRIDE=FQ","FILING_STATUS=OR","Sort=A","Dates=H","DateFormat=P","Fill=—","Direction=H","UseDPDF=Y")</f>
        <v>4522.7272999999996</v>
      </c>
      <c r="U49" s="13">
        <f>_xll.BDH("XOM US Equity","IS_AVG_NUM_SH_FOR_EPS","FQ1 2013","FQ1 2013","Currency=USD","Period=FQ","BEST_FPERIOD_OVERRIDE=FQ","FILING_STATUS=OR","Sort=A","Dates=H","DateFormat=P","Fill=—","Direction=H","UseDPDF=Y")</f>
        <v>4485</v>
      </c>
      <c r="V49" s="13">
        <f>_xll.BDH("XOM US Equity","IS_AVG_NUM_SH_FOR_EPS","FQ2 2013","FQ2 2013","Currency=USD","Period=FQ","BEST_FPERIOD_OVERRIDE=FQ","FILING_STATUS=OR","Sort=A","Dates=H","DateFormat=P","Fill=—","Direction=H","UseDPDF=Y")</f>
        <v>4433</v>
      </c>
      <c r="W49" s="13">
        <f>_xll.BDH("XOM US Equity","IS_AVG_NUM_SH_FOR_EPS","FQ3 2013","FQ3 2013","Currency=USD","Period=FQ","BEST_FPERIOD_OVERRIDE=FQ","FILING_STATUS=OR","Sort=A","Dates=H","DateFormat=P","Fill=—","Direction=H","UseDPDF=Y")</f>
        <v>4395</v>
      </c>
      <c r="X49" s="13">
        <f>_xll.BDH("XOM US Equity","IS_AVG_NUM_SH_FOR_EPS","FQ4 2013","FQ4 2013","Currency=USD","Period=FQ","BEST_FPERIOD_OVERRIDE=FQ","FILING_STATUS=OR","Sort=A","Dates=H","DateFormat=P","Fill=—","Direction=H","UseDPDF=Y")</f>
        <v>4361</v>
      </c>
      <c r="Y49" s="13">
        <f>_xll.BDH("XOM US Equity","IS_AVG_NUM_SH_FOR_EPS","FQ1 2014","FQ1 2014","Currency=USD","Period=FQ","BEST_FPERIOD_OVERRIDE=FQ","FILING_STATUS=OR","Sort=A","Dates=H","DateFormat=P","Fill=—","Direction=H","UseDPDF=Y")</f>
        <v>4328</v>
      </c>
      <c r="Z49" s="13">
        <f>_xll.BDH("XOM US Equity","IS_AVG_NUM_SH_FOR_EPS","FQ2 2014","FQ2 2014","Currency=USD","Period=FQ","BEST_FPERIOD_OVERRIDE=FQ","FILING_STATUS=OR","Sort=A","Dates=H","DateFormat=P","Fill=—","Direction=H","UseDPDF=Y")</f>
        <v>4297</v>
      </c>
      <c r="AA49" s="13">
        <f>_xll.BDH("XOM US Equity","IS_AVG_NUM_SH_FOR_EPS","FQ3 2014","FQ3 2014","Currency=USD","Period=FQ","BEST_FPERIOD_OVERRIDE=FQ","FILING_STATUS=OR","Sort=A","Dates=H","DateFormat=P","Fill=—","Direction=H","UseDPDF=Y")</f>
        <v>4267</v>
      </c>
      <c r="AB49" s="13">
        <f>_xll.BDH("XOM US Equity","IS_AVG_NUM_SH_FOR_EPS","FQ4 2014","FQ4 2014","Currency=USD","Period=FQ","BEST_FPERIOD_OVERRIDE=FQ","FILING_STATUS=OR","Sort=A","Dates=H","DateFormat=P","Fill=—","Direction=H","UseDPDF=Y")</f>
        <v>4235</v>
      </c>
      <c r="AC49" s="13">
        <f>_xll.BDH("XOM US Equity","IS_AVG_NUM_SH_FOR_EPS","FQ1 2015","FQ1 2015","Currency=USD","Period=FQ","BEST_FPERIOD_OVERRIDE=FQ","FILING_STATUS=OR","Sort=A","Dates=H","DateFormat=P","Fill=—","Direction=H","UseDPDF=Y")</f>
        <v>4211</v>
      </c>
      <c r="AD49" s="13">
        <f>_xll.BDH("XOM US Equity","IS_AVG_NUM_SH_FOR_EPS","FQ2 2015","FQ2 2015","Currency=USD","Period=FQ","BEST_FPERIOD_OVERRIDE=FQ","FILING_STATUS=OR","Sort=A","Dates=H","DateFormat=P","Fill=—","Direction=H","UseDPDF=Y")</f>
        <v>4200</v>
      </c>
      <c r="AE49" s="13">
        <f>_xll.BDH("XOM US Equity","IS_AVG_NUM_SH_FOR_EPS","FQ3 2015","FQ3 2015","Currency=USD","Period=FQ","BEST_FPERIOD_OVERRIDE=FQ","FILING_STATUS=OR","Sort=A","Dates=H","DateFormat=P","Fill=—","Direction=H","UseDPDF=Y")</f>
        <v>4190</v>
      </c>
      <c r="AF49" s="13">
        <f>_xll.BDH("XOM US Equity","IS_AVG_NUM_SH_FOR_EPS","FQ4 2015","FQ4 2015","Currency=USD","Period=FQ","BEST_FPERIOD_OVERRIDE=FQ","FILING_STATUS=OR","Sort=A","Dates=H","DateFormat=P","Fill=—","Direction=H","UseDPDF=Y")</f>
        <v>4183</v>
      </c>
      <c r="AG49" s="13">
        <f>_xll.BDH("XOM US Equity","IS_AVG_NUM_SH_FOR_EPS","FQ1 2016","FQ1 2016","Currency=USD","Period=FQ","BEST_FPERIOD_OVERRIDE=FQ","FILING_STATUS=OR","Sort=A","Dates=H","DateFormat=P","Fill=—","Direction=H","UseDPDF=Y")</f>
        <v>4178</v>
      </c>
      <c r="AH49" s="13">
        <f>_xll.BDH("XOM US Equity","IS_AVG_NUM_SH_FOR_EPS","FQ2 2016","FQ2 2016","Currency=USD","Period=FQ","BEST_FPERIOD_OVERRIDE=FQ","FILING_STATUS=OR","Sort=A","Dates=H","DateFormat=P","Fill=—","Direction=H","UseDPDF=Y")</f>
        <v>4147</v>
      </c>
      <c r="AI49" s="13">
        <f>_xll.BDH("XOM US Equity","IS_AVG_NUM_SH_FOR_EPS","FQ3 2016","FQ3 2016","Currency=USD","Period=FQ","BEST_FPERIOD_OVERRIDE=FQ","FILING_STATUS=OR","Sort=A","Dates=H","DateFormat=P","Fill=—","Direction=H","UseDPDF=Y")</f>
        <v>4178</v>
      </c>
      <c r="AJ49" s="13">
        <f>_xll.BDH("XOM US Equity","IS_AVG_NUM_SH_FOR_EPS","FQ4 2016","FQ4 2016","Currency=USD","Period=FQ","BEST_FPERIOD_OVERRIDE=FQ","FILING_STATUS=OR","Sort=A","Dates=H","DateFormat=P","Fill=—","Direction=H","UseDPDF=Y")</f>
        <v>4176</v>
      </c>
      <c r="AK49" s="13">
        <f>_xll.BDH("XOM US Equity","IS_AVG_NUM_SH_FOR_EPS","FQ1 2017","FQ1 2017","Currency=USD","Period=FQ","BEST_FPERIOD_OVERRIDE=FQ","FILING_STATUS=OR","Sort=A","Dates=H","DateFormat=P","Fill=—","Direction=H","UseDPDF=Y")</f>
        <v>4223</v>
      </c>
      <c r="AL49" s="13">
        <f>_xll.BDH("XOM US Equity","IS_AVG_NUM_SH_FOR_EPS","FQ2 2017","FQ2 2017","Currency=USD","Period=FQ","BEST_FPERIOD_OVERRIDE=FQ","FILING_STATUS=OR","Sort=A","Dates=H","DateFormat=P","Fill=—","Direction=H","UseDPDF=Y")</f>
        <v>4271</v>
      </c>
      <c r="AM49" s="13">
        <f>_xll.BDH("XOM US Equity","IS_AVG_NUM_SH_FOR_EPS","FQ3 2017","FQ3 2017","Currency=USD","Period=FQ","BEST_FPERIOD_OVERRIDE=FQ","FILING_STATUS=OR","Sort=A","Dates=H","DateFormat=P","Fill=—","Direction=H","UseDPDF=Y")</f>
        <v>4271</v>
      </c>
      <c r="AN49" s="13">
        <f>_xll.BDH("XOM US Equity","IS_AVG_NUM_SH_FOR_EPS","FQ4 2017","FQ4 2017","Currency=USD","Period=FQ","BEST_FPERIOD_OVERRIDE=FQ","FILING_STATUS=OR","Sort=A","Dates=H","DateFormat=P","Fill=—","Direction=H","UseDPDF=Y")</f>
        <v>4270</v>
      </c>
      <c r="AO49" s="13">
        <f>_xll.BDH("XOM US Equity","IS_AVG_NUM_SH_FOR_EPS","FQ1 2018","FQ1 2018","Currency=USD","Period=FQ","BEST_FPERIOD_OVERRIDE=FQ","FILING_STATUS=OR","Sort=A","Dates=H","DateFormat=P","Fill=—","Direction=H","UseDPDF=Y")</f>
        <v>4270</v>
      </c>
      <c r="AP49" s="13">
        <f>_xll.BDH("XOM US Equity","IS_AVG_NUM_SH_FOR_EPS","FQ2 2018","FQ2 2018","Currency=USD","Period=FQ","BEST_FPERIOD_OVERRIDE=FQ","FILING_STATUS=OR","Sort=A","Dates=H","DateFormat=P","Fill=—","Direction=H","UseDPDF=Y")</f>
        <v>4271</v>
      </c>
    </row>
    <row r="50" spans="1:42" x14ac:dyDescent="0.25">
      <c r="A50" s="6" t="s">
        <v>167</v>
      </c>
      <c r="B50" s="6" t="s">
        <v>168</v>
      </c>
      <c r="C50" s="17">
        <f>_xll.BDH("XOM US Equity","IS_EPS","FQ3 2008","FQ3 2008","Currency=USD","Period=FQ","BEST_FPERIOD_OVERRIDE=FQ","FILING_STATUS=OR","FA_ADJUSTED=GAAP","Sort=A","Dates=H","DateFormat=P","Fill=—","Direction=H","UseDPDF=Y")</f>
        <v>2.89</v>
      </c>
      <c r="D50" s="17">
        <f>_xll.BDH("XOM US Equity","IS_EPS","FQ4 2008","FQ4 2008","Currency=USD","Period=FQ","BEST_FPERIOD_OVERRIDE=FQ","FILING_STATUS=OR","FA_ADJUSTED=GAAP","Sort=A","Dates=H","DateFormat=P","Fill=—","Direction=H","UseDPDF=Y")</f>
        <v>1.5699999999999998</v>
      </c>
      <c r="E50" s="17">
        <f>_xll.BDH("XOM US Equity","IS_EPS","FQ1 2009","FQ1 2009","Currency=USD","Period=FQ","BEST_FPERIOD_OVERRIDE=FQ","FILING_STATUS=OR","FA_ADJUSTED=GAAP","Sort=A","Dates=H","DateFormat=P","Fill=—","Direction=H","UseDPDF=Y")</f>
        <v>0.92</v>
      </c>
      <c r="F50" s="17">
        <f>_xll.BDH("XOM US Equity","IS_EPS","FQ2 2009","FQ2 2009","Currency=USD","Period=FQ","BEST_FPERIOD_OVERRIDE=FQ","FILING_STATUS=OR","FA_ADJUSTED=GAAP","Sort=A","Dates=H","DateFormat=P","Fill=—","Direction=H","UseDPDF=Y")</f>
        <v>0.82</v>
      </c>
      <c r="G50" s="17">
        <f>_xll.BDH("XOM US Equity","IS_EPS","FQ3 2009","FQ3 2009","Currency=USD","Period=FQ","BEST_FPERIOD_OVERRIDE=FQ","FILING_STATUS=OR","FA_ADJUSTED=GAAP","Sort=A","Dates=H","DateFormat=P","Fill=—","Direction=H","UseDPDF=Y")</f>
        <v>0.98</v>
      </c>
      <c r="H50" s="17">
        <f>_xll.BDH("XOM US Equity","IS_EPS","FQ4 2009","FQ4 2009","Currency=USD","Period=FQ","BEST_FPERIOD_OVERRIDE=FQ","FILING_STATUS=OR","FA_ADJUSTED=GAAP","Sort=A","Dates=H","DateFormat=P","Fill=—","Direction=H","UseDPDF=Y")</f>
        <v>1.27</v>
      </c>
      <c r="I50" s="17">
        <f>_xll.BDH("XOM US Equity","IS_EPS","FQ1 2010","FQ1 2010","Currency=USD","Period=FQ","BEST_FPERIOD_OVERRIDE=FQ","FILING_STATUS=OR","FA_ADJUSTED=GAAP","Sort=A","Dates=H","DateFormat=P","Fill=—","Direction=H","UseDPDF=Y")</f>
        <v>1.33</v>
      </c>
      <c r="J50" s="17">
        <f>_xll.BDH("XOM US Equity","IS_EPS","FQ2 2010","FQ2 2010","Currency=USD","Period=FQ","BEST_FPERIOD_OVERRIDE=FQ","FILING_STATUS=OR","FA_ADJUSTED=GAAP","Sort=A","Dates=H","DateFormat=P","Fill=—","Direction=H","UseDPDF=Y")</f>
        <v>1.6099999999999999</v>
      </c>
      <c r="K50" s="17">
        <f>_xll.BDH("XOM US Equity","IS_EPS","FQ3 2010","FQ3 2010","Currency=USD","Period=FQ","BEST_FPERIOD_OVERRIDE=FQ","FILING_STATUS=OR","FA_ADJUSTED=GAAP","Sort=A","Dates=H","DateFormat=P","Fill=—","Direction=H","UseDPDF=Y")</f>
        <v>1.44</v>
      </c>
      <c r="L50" s="17">
        <f>_xll.BDH("XOM US Equity","IS_EPS","FQ4 2010","FQ4 2010","Currency=USD","Period=FQ","BEST_FPERIOD_OVERRIDE=FQ","FILING_STATUS=OR","FA_ADJUSTED=GAAP","Sort=A","Dates=H","DateFormat=P","Fill=—","Direction=H","UseDPDF=Y")</f>
        <v>1.8599999999999999</v>
      </c>
      <c r="M50" s="17">
        <f>_xll.BDH("XOM US Equity","IS_EPS","FQ1 2011","FQ1 2011","Currency=USD","Period=FQ","BEST_FPERIOD_OVERRIDE=FQ","FILING_STATUS=OR","FA_ADJUSTED=GAAP","Sort=A","Dates=H","DateFormat=P","Fill=—","Direction=H","UseDPDF=Y")</f>
        <v>2.14</v>
      </c>
      <c r="N50" s="17">
        <f>_xll.BDH("XOM US Equity","IS_EPS","FQ2 2011","FQ2 2011","Currency=USD","Period=FQ","BEST_FPERIOD_OVERRIDE=FQ","FILING_STATUS=OR","FA_ADJUSTED=GAAP","Sort=A","Dates=H","DateFormat=P","Fill=—","Direction=H","UseDPDF=Y")</f>
        <v>2.19</v>
      </c>
      <c r="O50" s="17">
        <f>_xll.BDH("XOM US Equity","IS_EPS","FQ3 2011","FQ3 2011","Currency=USD","Period=FQ","BEST_FPERIOD_OVERRIDE=FQ","FILING_STATUS=OR","FA_ADJUSTED=GAAP","Sort=A","Dates=H","DateFormat=P","Fill=—","Direction=H","UseDPDF=Y")</f>
        <v>2.13</v>
      </c>
      <c r="P50" s="17">
        <f>_xll.BDH("XOM US Equity","IS_EPS","FQ4 2011","FQ4 2011","Currency=USD","Period=FQ","BEST_FPERIOD_OVERRIDE=FQ","FILING_STATUS=OR","FA_ADJUSTED=GAAP","Sort=A","Dates=H","DateFormat=P","Fill=—","Direction=H","UseDPDF=Y")</f>
        <v>1.97</v>
      </c>
      <c r="Q50" s="17">
        <f>_xll.BDH("XOM US Equity","IS_EPS","FQ1 2012","FQ1 2012","Currency=USD","Period=FQ","BEST_FPERIOD_OVERRIDE=FQ","FILING_STATUS=OR","FA_ADJUSTED=GAAP","Sort=A","Dates=H","DateFormat=P","Fill=—","Direction=H","UseDPDF=Y")</f>
        <v>2</v>
      </c>
      <c r="R50" s="17">
        <f>_xll.BDH("XOM US Equity","IS_EPS","FQ2 2012","FQ2 2012","Currency=USD","Period=FQ","BEST_FPERIOD_OVERRIDE=FQ","FILING_STATUS=OR","FA_ADJUSTED=GAAP","Sort=A","Dates=H","DateFormat=P","Fill=—","Direction=H","UseDPDF=Y")</f>
        <v>3.41</v>
      </c>
      <c r="S50" s="17">
        <f>_xll.BDH("XOM US Equity","IS_EPS","FQ3 2012","FQ3 2012","Currency=USD","Period=FQ","BEST_FPERIOD_OVERRIDE=FQ","FILING_STATUS=OR","FA_ADJUSTED=GAAP","Sort=A","Dates=H","DateFormat=P","Fill=—","Direction=H","UseDPDF=Y")</f>
        <v>2.09</v>
      </c>
      <c r="T50" s="17">
        <f>_xll.BDH("XOM US Equity","IS_EPS","FQ4 2012","FQ4 2012","Currency=USD","Period=FQ","BEST_FPERIOD_OVERRIDE=FQ","FILING_STATUS=OR","FA_ADJUSTED=GAAP","Sort=A","Dates=H","DateFormat=P","Fill=—","Direction=H","UseDPDF=Y")</f>
        <v>2.2000000000000002</v>
      </c>
      <c r="U50" s="17">
        <f>_xll.BDH("XOM US Equity","IS_EPS","FQ1 2013","FQ1 2013","Currency=USD","Period=FQ","BEST_FPERIOD_OVERRIDE=FQ","FILING_STATUS=OR","FA_ADJUSTED=GAAP","Sort=A","Dates=H","DateFormat=P","Fill=—","Direction=H","UseDPDF=Y")</f>
        <v>2.12</v>
      </c>
      <c r="V50" s="17">
        <f>_xll.BDH("XOM US Equity","IS_EPS","FQ2 2013","FQ2 2013","Currency=USD","Period=FQ","BEST_FPERIOD_OVERRIDE=FQ","FILING_STATUS=OR","FA_ADJUSTED=GAAP","Sort=A","Dates=H","DateFormat=P","Fill=—","Direction=H","UseDPDF=Y")</f>
        <v>1.55</v>
      </c>
      <c r="W50" s="17">
        <f>_xll.BDH("XOM US Equity","IS_EPS","FQ3 2013","FQ3 2013","Currency=USD","Period=FQ","BEST_FPERIOD_OVERRIDE=FQ","FILING_STATUS=OR","FA_ADJUSTED=GAAP","Sort=A","Dates=H","DateFormat=P","Fill=—","Direction=H","UseDPDF=Y")</f>
        <v>1.79</v>
      </c>
      <c r="X50" s="17">
        <f>_xll.BDH("XOM US Equity","IS_EPS","FQ4 2013","FQ4 2013","Currency=USD","Period=FQ","BEST_FPERIOD_OVERRIDE=FQ","FILING_STATUS=OR","FA_ADJUSTED=GAAP","Sort=A","Dates=H","DateFormat=P","Fill=—","Direction=H","UseDPDF=Y")</f>
        <v>1.9100000000000001</v>
      </c>
      <c r="Y50" s="17">
        <f>_xll.BDH("XOM US Equity","IS_EPS","FQ1 2014","FQ1 2014","Currency=USD","Period=FQ","BEST_FPERIOD_OVERRIDE=FQ","FILING_STATUS=OR","FA_ADJUSTED=GAAP","Sort=A","Dates=H","DateFormat=P","Fill=—","Direction=H","UseDPDF=Y")</f>
        <v>2.1</v>
      </c>
      <c r="Z50" s="17">
        <f>_xll.BDH("XOM US Equity","IS_EPS","FQ2 2014","FQ2 2014","Currency=USD","Period=FQ","BEST_FPERIOD_OVERRIDE=FQ","FILING_STATUS=OR","FA_ADJUSTED=GAAP","Sort=A","Dates=H","DateFormat=P","Fill=—","Direction=H","UseDPDF=Y")</f>
        <v>2.0499999999999998</v>
      </c>
      <c r="AA50" s="17">
        <f>_xll.BDH("XOM US Equity","IS_EPS","FQ3 2014","FQ3 2014","Currency=USD","Period=FQ","BEST_FPERIOD_OVERRIDE=FQ","FILING_STATUS=OR","FA_ADJUSTED=GAAP","Sort=A","Dates=H","DateFormat=P","Fill=—","Direction=H","UseDPDF=Y")</f>
        <v>1.8900000000000001</v>
      </c>
      <c r="AB50" s="17">
        <f>_xll.BDH("XOM US Equity","IS_EPS","FQ4 2014","FQ4 2014","Currency=USD","Period=FQ","BEST_FPERIOD_OVERRIDE=FQ","FILING_STATUS=OR","FA_ADJUSTED=GAAP","Sort=A","Dates=H","DateFormat=P","Fill=—","Direction=H","UseDPDF=Y")</f>
        <v>1.56</v>
      </c>
      <c r="AC50" s="17">
        <f>_xll.BDH("XOM US Equity","IS_EPS","FQ1 2015","FQ1 2015","Currency=USD","Period=FQ","BEST_FPERIOD_OVERRIDE=FQ","FILING_STATUS=OR","FA_ADJUSTED=GAAP","Sort=A","Dates=H","DateFormat=P","Fill=—","Direction=H","UseDPDF=Y")</f>
        <v>1.17</v>
      </c>
      <c r="AD50" s="17">
        <f>_xll.BDH("XOM US Equity","IS_EPS","FQ2 2015","FQ2 2015","Currency=USD","Period=FQ","BEST_FPERIOD_OVERRIDE=FQ","FILING_STATUS=OR","FA_ADJUSTED=GAAP","Sort=A","Dates=H","DateFormat=P","Fill=—","Direction=H","UseDPDF=Y")</f>
        <v>1</v>
      </c>
      <c r="AE50" s="17">
        <f>_xll.BDH("XOM US Equity","IS_EPS","FQ3 2015","FQ3 2015","Currency=USD","Period=FQ","BEST_FPERIOD_OVERRIDE=FQ","FILING_STATUS=OR","FA_ADJUSTED=GAAP","Sort=A","Dates=H","DateFormat=P","Fill=—","Direction=H","UseDPDF=Y")</f>
        <v>1.01</v>
      </c>
      <c r="AF50" s="17">
        <f>_xll.BDH("XOM US Equity","IS_EPS","FQ4 2015","FQ4 2015","Currency=USD","Period=FQ","BEST_FPERIOD_OVERRIDE=FQ","FILING_STATUS=OR","FA_ADJUSTED=GAAP","Sort=A","Dates=H","DateFormat=P","Fill=—","Direction=H","UseDPDF=Y")</f>
        <v>0.67</v>
      </c>
      <c r="AG50" s="17">
        <f>_xll.BDH("XOM US Equity","IS_EPS","FQ1 2016","FQ1 2016","Currency=USD","Period=FQ","BEST_FPERIOD_OVERRIDE=FQ","FILING_STATUS=OR","FA_ADJUSTED=GAAP","Sort=A","Dates=H","DateFormat=P","Fill=—","Direction=H","UseDPDF=Y")</f>
        <v>0.43</v>
      </c>
      <c r="AH50" s="17">
        <f>_xll.BDH("XOM US Equity","IS_EPS","FQ2 2016","FQ2 2016","Currency=USD","Period=FQ","BEST_FPERIOD_OVERRIDE=FQ","FILING_STATUS=OR","FA_ADJUSTED=GAAP","Sort=A","Dates=H","DateFormat=P","Fill=—","Direction=H","UseDPDF=Y")</f>
        <v>0.41</v>
      </c>
      <c r="AI50" s="17">
        <f>_xll.BDH("XOM US Equity","IS_EPS","FQ3 2016","FQ3 2016","Currency=USD","Period=FQ","BEST_FPERIOD_OVERRIDE=FQ","FILING_STATUS=OR","FA_ADJUSTED=GAAP","Sort=A","Dates=H","DateFormat=P","Fill=—","Direction=H","UseDPDF=Y")</f>
        <v>0.63</v>
      </c>
      <c r="AJ50" s="17">
        <f>_xll.BDH("XOM US Equity","IS_EPS","FQ4 2016","FQ4 2016","Currency=USD","Period=FQ","BEST_FPERIOD_OVERRIDE=FQ","FILING_STATUS=OR","FA_ADJUSTED=GAAP","Sort=A","Dates=H","DateFormat=P","Fill=—","Direction=H","UseDPDF=Y")</f>
        <v>0.41</v>
      </c>
      <c r="AK50" s="17">
        <f>_xll.BDH("XOM US Equity","IS_EPS","FQ1 2017","FQ1 2017","Currency=USD","Period=FQ","BEST_FPERIOD_OVERRIDE=FQ","FILING_STATUS=OR","FA_ADJUSTED=GAAP","Sort=A","Dates=H","DateFormat=P","Fill=—","Direction=H","UseDPDF=Y")</f>
        <v>0.95</v>
      </c>
      <c r="AL50" s="17">
        <f>_xll.BDH("XOM US Equity","IS_EPS","FQ2 2017","FQ2 2017","Currency=USD","Period=FQ","BEST_FPERIOD_OVERRIDE=FQ","FILING_STATUS=OR","FA_ADJUSTED=GAAP","Sort=A","Dates=H","DateFormat=P","Fill=—","Direction=H","UseDPDF=Y")</f>
        <v>0.78</v>
      </c>
      <c r="AM50" s="17">
        <f>_xll.BDH("XOM US Equity","IS_EPS","FQ3 2017","FQ3 2017","Currency=USD","Period=FQ","BEST_FPERIOD_OVERRIDE=FQ","FILING_STATUS=OR","FA_ADJUSTED=GAAP","Sort=A","Dates=H","DateFormat=P","Fill=—","Direction=H","UseDPDF=Y")</f>
        <v>0.93</v>
      </c>
      <c r="AN50" s="17">
        <f>_xll.BDH("XOM US Equity","IS_EPS","FQ4 2017","FQ4 2017","Currency=USD","Period=FQ","BEST_FPERIOD_OVERRIDE=FQ","FILING_STATUS=OR","FA_ADJUSTED=GAAP","Sort=A","Dates=H","DateFormat=P","Fill=—","Direction=H","UseDPDF=Y")</f>
        <v>1.97</v>
      </c>
      <c r="AO50" s="17">
        <f>_xll.BDH("XOM US Equity","IS_EPS","FQ1 2018","FQ1 2018","Currency=USD","Period=FQ","BEST_FPERIOD_OVERRIDE=FQ","FILING_STATUS=OR","FA_ADJUSTED=GAAP","Sort=A","Dates=H","DateFormat=P","Fill=—","Direction=H","UseDPDF=Y")</f>
        <v>1.0900000000000001</v>
      </c>
      <c r="AP50" s="17">
        <f>_xll.BDH("XOM US Equity","IS_EPS","FQ2 2018","FQ2 2018","Currency=USD","Period=FQ","BEST_FPERIOD_OVERRIDE=FQ","FILING_STATUS=OR","FA_ADJUSTED=GAAP","Sort=A","Dates=H","DateFormat=P","Fill=—","Direction=H","UseDPDF=Y")</f>
        <v>0.92</v>
      </c>
    </row>
    <row r="51" spans="1:42" x14ac:dyDescent="0.25">
      <c r="A51" s="6" t="s">
        <v>169</v>
      </c>
      <c r="B51" s="6" t="s">
        <v>170</v>
      </c>
      <c r="C51" s="17">
        <f>_xll.BDH("XOM US Equity","IS_EARN_BEF_XO_ITEMS_PER_SH","FQ3 2008","FQ3 2008","Currency=USD","Period=FQ","BEST_FPERIOD_OVERRIDE=FQ","FILING_STATUS=OR","Sort=A","Dates=H","DateFormat=P","Fill=—","Direction=H","UseDPDF=Y")</f>
        <v>2.89</v>
      </c>
      <c r="D51" s="17">
        <f>_xll.BDH("XOM US Equity","IS_EARN_BEF_XO_ITEMS_PER_SH","FQ4 2008","FQ4 2008","Currency=USD","Period=FQ","BEST_FPERIOD_OVERRIDE=FQ","FILING_STATUS=OR","Sort=A","Dates=H","DateFormat=P","Fill=—","Direction=H","UseDPDF=Y")</f>
        <v>1.5699999999999998</v>
      </c>
      <c r="E51" s="17">
        <f>_xll.BDH("XOM US Equity","IS_EARN_BEF_XO_ITEMS_PER_SH","FQ1 2009","FQ1 2009","Currency=USD","Period=FQ","BEST_FPERIOD_OVERRIDE=FQ","FILING_STATUS=OR","Sort=A","Dates=H","DateFormat=P","Fill=—","Direction=H","UseDPDF=Y")</f>
        <v>0.92</v>
      </c>
      <c r="F51" s="17">
        <f>_xll.BDH("XOM US Equity","IS_EARN_BEF_XO_ITEMS_PER_SH","FQ2 2009","FQ2 2009","Currency=USD","Period=FQ","BEST_FPERIOD_OVERRIDE=FQ","FILING_STATUS=OR","Sort=A","Dates=H","DateFormat=P","Fill=—","Direction=H","UseDPDF=Y")</f>
        <v>0.82</v>
      </c>
      <c r="G51" s="17">
        <f>_xll.BDH("XOM US Equity","IS_EARN_BEF_XO_ITEMS_PER_SH","FQ3 2009","FQ3 2009","Currency=USD","Period=FQ","BEST_FPERIOD_OVERRIDE=FQ","FILING_STATUS=OR","Sort=A","Dates=H","DateFormat=P","Fill=—","Direction=H","UseDPDF=Y")</f>
        <v>0.98</v>
      </c>
      <c r="H51" s="17">
        <f>_xll.BDH("XOM US Equity","IS_EARN_BEF_XO_ITEMS_PER_SH","FQ4 2009","FQ4 2009","Currency=USD","Period=FQ","BEST_FPERIOD_OVERRIDE=FQ","FILING_STATUS=OR","Sort=A","Dates=H","DateFormat=P","Fill=—","Direction=H","UseDPDF=Y")</f>
        <v>1.27</v>
      </c>
      <c r="I51" s="17">
        <f>_xll.BDH("XOM US Equity","IS_EARN_BEF_XO_ITEMS_PER_SH","FQ1 2010","FQ1 2010","Currency=USD","Period=FQ","BEST_FPERIOD_OVERRIDE=FQ","FILING_STATUS=OR","Sort=A","Dates=H","DateFormat=P","Fill=—","Direction=H","UseDPDF=Y")</f>
        <v>1.33</v>
      </c>
      <c r="J51" s="17">
        <f>_xll.BDH("XOM US Equity","IS_EARN_BEF_XO_ITEMS_PER_SH","FQ2 2010","FQ2 2010","Currency=USD","Period=FQ","BEST_FPERIOD_OVERRIDE=FQ","FILING_STATUS=OR","Sort=A","Dates=H","DateFormat=P","Fill=—","Direction=H","UseDPDF=Y")</f>
        <v>1.6099999999999999</v>
      </c>
      <c r="K51" s="17">
        <f>_xll.BDH("XOM US Equity","IS_EARN_BEF_XO_ITEMS_PER_SH","FQ3 2010","FQ3 2010","Currency=USD","Period=FQ","BEST_FPERIOD_OVERRIDE=FQ","FILING_STATUS=OR","Sort=A","Dates=H","DateFormat=P","Fill=—","Direction=H","UseDPDF=Y")</f>
        <v>1.44</v>
      </c>
      <c r="L51" s="17">
        <f>_xll.BDH("XOM US Equity","IS_EARN_BEF_XO_ITEMS_PER_SH","FQ4 2010","FQ4 2010","Currency=USD","Period=FQ","BEST_FPERIOD_OVERRIDE=FQ","FILING_STATUS=OR","Sort=A","Dates=H","DateFormat=P","Fill=—","Direction=H","UseDPDF=Y")</f>
        <v>1.8599999999999999</v>
      </c>
      <c r="M51" s="17">
        <f>_xll.BDH("XOM US Equity","IS_EARN_BEF_XO_ITEMS_PER_SH","FQ1 2011","FQ1 2011","Currency=USD","Period=FQ","BEST_FPERIOD_OVERRIDE=FQ","FILING_STATUS=OR","Sort=A","Dates=H","DateFormat=P","Fill=—","Direction=H","UseDPDF=Y")</f>
        <v>2.14</v>
      </c>
      <c r="N51" s="17">
        <f>_xll.BDH("XOM US Equity","IS_EARN_BEF_XO_ITEMS_PER_SH","FQ2 2011","FQ2 2011","Currency=USD","Period=FQ","BEST_FPERIOD_OVERRIDE=FQ","FILING_STATUS=OR","Sort=A","Dates=H","DateFormat=P","Fill=—","Direction=H","UseDPDF=Y")</f>
        <v>2.19</v>
      </c>
      <c r="O51" s="17">
        <f>_xll.BDH("XOM US Equity","IS_EARN_BEF_XO_ITEMS_PER_SH","FQ3 2011","FQ3 2011","Currency=USD","Period=FQ","BEST_FPERIOD_OVERRIDE=FQ","FILING_STATUS=OR","Sort=A","Dates=H","DateFormat=P","Fill=—","Direction=H","UseDPDF=Y")</f>
        <v>2.13</v>
      </c>
      <c r="P51" s="17">
        <f>_xll.BDH("XOM US Equity","IS_EARN_BEF_XO_ITEMS_PER_SH","FQ4 2011","FQ4 2011","Currency=USD","Period=FQ","BEST_FPERIOD_OVERRIDE=FQ","FILING_STATUS=OR","Sort=A","Dates=H","DateFormat=P","Fill=—","Direction=H","UseDPDF=Y")</f>
        <v>1.97</v>
      </c>
      <c r="Q51" s="17">
        <f>_xll.BDH("XOM US Equity","IS_EARN_BEF_XO_ITEMS_PER_SH","FQ1 2012","FQ1 2012","Currency=USD","Period=FQ","BEST_FPERIOD_OVERRIDE=FQ","FILING_STATUS=OR","Sort=A","Dates=H","DateFormat=P","Fill=—","Direction=H","UseDPDF=Y")</f>
        <v>2</v>
      </c>
      <c r="R51" s="17">
        <f>_xll.BDH("XOM US Equity","IS_EARN_BEF_XO_ITEMS_PER_SH","FQ2 2012","FQ2 2012","Currency=USD","Period=FQ","BEST_FPERIOD_OVERRIDE=FQ","FILING_STATUS=OR","Sort=A","Dates=H","DateFormat=P","Fill=—","Direction=H","UseDPDF=Y")</f>
        <v>3.41</v>
      </c>
      <c r="S51" s="17">
        <f>_xll.BDH("XOM US Equity","IS_EARN_BEF_XO_ITEMS_PER_SH","FQ3 2012","FQ3 2012","Currency=USD","Period=FQ","BEST_FPERIOD_OVERRIDE=FQ","FILING_STATUS=OR","Sort=A","Dates=H","DateFormat=P","Fill=—","Direction=H","UseDPDF=Y")</f>
        <v>2.09</v>
      </c>
      <c r="T51" s="17">
        <f>_xll.BDH("XOM US Equity","IS_EARN_BEF_XO_ITEMS_PER_SH","FQ4 2012","FQ4 2012","Currency=USD","Period=FQ","BEST_FPERIOD_OVERRIDE=FQ","FILING_STATUS=OR","Sort=A","Dates=H","DateFormat=P","Fill=—","Direction=H","UseDPDF=Y")</f>
        <v>2.2000000000000002</v>
      </c>
      <c r="U51" s="17">
        <f>_xll.BDH("XOM US Equity","IS_EARN_BEF_XO_ITEMS_PER_SH","FQ1 2013","FQ1 2013","Currency=USD","Period=FQ","BEST_FPERIOD_OVERRIDE=FQ","FILING_STATUS=OR","Sort=A","Dates=H","DateFormat=P","Fill=—","Direction=H","UseDPDF=Y")</f>
        <v>2.12</v>
      </c>
      <c r="V51" s="17">
        <f>_xll.BDH("XOM US Equity","IS_EARN_BEF_XO_ITEMS_PER_SH","FQ2 2013","FQ2 2013","Currency=USD","Period=FQ","BEST_FPERIOD_OVERRIDE=FQ","FILING_STATUS=OR","Sort=A","Dates=H","DateFormat=P","Fill=—","Direction=H","UseDPDF=Y")</f>
        <v>1.55</v>
      </c>
      <c r="W51" s="17">
        <f>_xll.BDH("XOM US Equity","IS_EARN_BEF_XO_ITEMS_PER_SH","FQ3 2013","FQ3 2013","Currency=USD","Period=FQ","BEST_FPERIOD_OVERRIDE=FQ","FILING_STATUS=OR","Sort=A","Dates=H","DateFormat=P","Fill=—","Direction=H","UseDPDF=Y")</f>
        <v>1.79</v>
      </c>
      <c r="X51" s="17">
        <f>_xll.BDH("XOM US Equity","IS_EARN_BEF_XO_ITEMS_PER_SH","FQ4 2013","FQ4 2013","Currency=USD","Period=FQ","BEST_FPERIOD_OVERRIDE=FQ","FILING_STATUS=OR","Sort=A","Dates=H","DateFormat=P","Fill=—","Direction=H","UseDPDF=Y")</f>
        <v>1.9100000000000001</v>
      </c>
      <c r="Y51" s="17">
        <f>_xll.BDH("XOM US Equity","IS_EARN_BEF_XO_ITEMS_PER_SH","FQ1 2014","FQ1 2014","Currency=USD","Period=FQ","BEST_FPERIOD_OVERRIDE=FQ","FILING_STATUS=OR","Sort=A","Dates=H","DateFormat=P","Fill=—","Direction=H","UseDPDF=Y")</f>
        <v>2.1</v>
      </c>
      <c r="Z51" s="17">
        <f>_xll.BDH("XOM US Equity","IS_EARN_BEF_XO_ITEMS_PER_SH","FQ2 2014","FQ2 2014","Currency=USD","Period=FQ","BEST_FPERIOD_OVERRIDE=FQ","FILING_STATUS=OR","Sort=A","Dates=H","DateFormat=P","Fill=—","Direction=H","UseDPDF=Y")</f>
        <v>2.0499999999999998</v>
      </c>
      <c r="AA51" s="17">
        <f>_xll.BDH("XOM US Equity","IS_EARN_BEF_XO_ITEMS_PER_SH","FQ3 2014","FQ3 2014","Currency=USD","Period=FQ","BEST_FPERIOD_OVERRIDE=FQ","FILING_STATUS=OR","Sort=A","Dates=H","DateFormat=P","Fill=—","Direction=H","UseDPDF=Y")</f>
        <v>1.8900000000000001</v>
      </c>
      <c r="AB51" s="17">
        <f>_xll.BDH("XOM US Equity","IS_EARN_BEF_XO_ITEMS_PER_SH","FQ4 2014","FQ4 2014","Currency=USD","Period=FQ","BEST_FPERIOD_OVERRIDE=FQ","FILING_STATUS=OR","Sort=A","Dates=H","DateFormat=P","Fill=—","Direction=H","UseDPDF=Y")</f>
        <v>1.56</v>
      </c>
      <c r="AC51" s="17">
        <f>_xll.BDH("XOM US Equity","IS_EARN_BEF_XO_ITEMS_PER_SH","FQ1 2015","FQ1 2015","Currency=USD","Period=FQ","BEST_FPERIOD_OVERRIDE=FQ","FILING_STATUS=OR","Sort=A","Dates=H","DateFormat=P","Fill=—","Direction=H","UseDPDF=Y")</f>
        <v>1.17</v>
      </c>
      <c r="AD51" s="17">
        <f>_xll.BDH("XOM US Equity","IS_EARN_BEF_XO_ITEMS_PER_SH","FQ2 2015","FQ2 2015","Currency=USD","Period=FQ","BEST_FPERIOD_OVERRIDE=FQ","FILING_STATUS=OR","Sort=A","Dates=H","DateFormat=P","Fill=—","Direction=H","UseDPDF=Y")</f>
        <v>1</v>
      </c>
      <c r="AE51" s="17">
        <f>_xll.BDH("XOM US Equity","IS_EARN_BEF_XO_ITEMS_PER_SH","FQ3 2015","FQ3 2015","Currency=USD","Period=FQ","BEST_FPERIOD_OVERRIDE=FQ","FILING_STATUS=OR","Sort=A","Dates=H","DateFormat=P","Fill=—","Direction=H","UseDPDF=Y")</f>
        <v>1.01</v>
      </c>
      <c r="AF51" s="17">
        <f>_xll.BDH("XOM US Equity","IS_EARN_BEF_XO_ITEMS_PER_SH","FQ4 2015","FQ4 2015","Currency=USD","Period=FQ","BEST_FPERIOD_OVERRIDE=FQ","FILING_STATUS=OR","Sort=A","Dates=H","DateFormat=P","Fill=—","Direction=H","UseDPDF=Y")</f>
        <v>0.67</v>
      </c>
      <c r="AG51" s="17">
        <f>_xll.BDH("XOM US Equity","IS_EARN_BEF_XO_ITEMS_PER_SH","FQ1 2016","FQ1 2016","Currency=USD","Period=FQ","BEST_FPERIOD_OVERRIDE=FQ","FILING_STATUS=OR","Sort=A","Dates=H","DateFormat=P","Fill=—","Direction=H","UseDPDF=Y")</f>
        <v>0.43</v>
      </c>
      <c r="AH51" s="17">
        <f>_xll.BDH("XOM US Equity","IS_EARN_BEF_XO_ITEMS_PER_SH","FQ2 2016","FQ2 2016","Currency=USD","Period=FQ","BEST_FPERIOD_OVERRIDE=FQ","FILING_STATUS=OR","Sort=A","Dates=H","DateFormat=P","Fill=—","Direction=H","UseDPDF=Y")</f>
        <v>0.41</v>
      </c>
      <c r="AI51" s="17">
        <f>_xll.BDH("XOM US Equity","IS_EARN_BEF_XO_ITEMS_PER_SH","FQ3 2016","FQ3 2016","Currency=USD","Period=FQ","BEST_FPERIOD_OVERRIDE=FQ","FILING_STATUS=OR","Sort=A","Dates=H","DateFormat=P","Fill=—","Direction=H","UseDPDF=Y")</f>
        <v>0.63</v>
      </c>
      <c r="AJ51" s="17">
        <f>_xll.BDH("XOM US Equity","IS_EARN_BEF_XO_ITEMS_PER_SH","FQ4 2016","FQ4 2016","Currency=USD","Period=FQ","BEST_FPERIOD_OVERRIDE=FQ","FILING_STATUS=OR","Sort=A","Dates=H","DateFormat=P","Fill=—","Direction=H","UseDPDF=Y")</f>
        <v>0.41</v>
      </c>
      <c r="AK51" s="17">
        <f>_xll.BDH("XOM US Equity","IS_EARN_BEF_XO_ITEMS_PER_SH","FQ1 2017","FQ1 2017","Currency=USD","Period=FQ","BEST_FPERIOD_OVERRIDE=FQ","FILING_STATUS=OR","Sort=A","Dates=H","DateFormat=P","Fill=—","Direction=H","UseDPDF=Y")</f>
        <v>0.95</v>
      </c>
      <c r="AL51" s="17">
        <f>_xll.BDH("XOM US Equity","IS_EARN_BEF_XO_ITEMS_PER_SH","FQ2 2017","FQ2 2017","Currency=USD","Period=FQ","BEST_FPERIOD_OVERRIDE=FQ","FILING_STATUS=OR","Sort=A","Dates=H","DateFormat=P","Fill=—","Direction=H","UseDPDF=Y")</f>
        <v>0.78</v>
      </c>
      <c r="AM51" s="17">
        <f>_xll.BDH("XOM US Equity","IS_EARN_BEF_XO_ITEMS_PER_SH","FQ3 2017","FQ3 2017","Currency=USD","Period=FQ","BEST_FPERIOD_OVERRIDE=FQ","FILING_STATUS=OR","Sort=A","Dates=H","DateFormat=P","Fill=—","Direction=H","UseDPDF=Y")</f>
        <v>0.93</v>
      </c>
      <c r="AN51" s="17">
        <f>_xll.BDH("XOM US Equity","IS_EARN_BEF_XO_ITEMS_PER_SH","FQ4 2017","FQ4 2017","Currency=USD","Period=FQ","BEST_FPERIOD_OVERRIDE=FQ","FILING_STATUS=OR","Sort=A","Dates=H","DateFormat=P","Fill=—","Direction=H","UseDPDF=Y")</f>
        <v>1.97</v>
      </c>
      <c r="AO51" s="17">
        <f>_xll.BDH("XOM US Equity","IS_EARN_BEF_XO_ITEMS_PER_SH","FQ1 2018","FQ1 2018","Currency=USD","Period=FQ","BEST_FPERIOD_OVERRIDE=FQ","FILING_STATUS=OR","Sort=A","Dates=H","DateFormat=P","Fill=—","Direction=H","UseDPDF=Y")</f>
        <v>1.0900000000000001</v>
      </c>
      <c r="AP51" s="17">
        <f>_xll.BDH("XOM US Equity","IS_EARN_BEF_XO_ITEMS_PER_SH","FQ2 2018","FQ2 2018","Currency=USD","Period=FQ","BEST_FPERIOD_OVERRIDE=FQ","FILING_STATUS=OR","Sort=A","Dates=H","DateFormat=P","Fill=—","Direction=H","UseDPDF=Y")</f>
        <v>0.92</v>
      </c>
    </row>
    <row r="52" spans="1:42" x14ac:dyDescent="0.25">
      <c r="A52" s="6" t="s">
        <v>171</v>
      </c>
      <c r="B52" s="6" t="s">
        <v>172</v>
      </c>
      <c r="C52" s="17">
        <f>_xll.BDH("XOM US Equity","IS_BASIC_EPS_CONT_OPS","FQ3 2008","FQ3 2008","Currency=USD","Period=FQ","BEST_FPERIOD_OVERRIDE=FQ","FILING_STATUS=OR","Sort=A","Dates=H","DateFormat=P","Fill=—","Direction=H","UseDPDF=Y")</f>
        <v>2.61</v>
      </c>
      <c r="D52" s="17">
        <f>_xll.BDH("XOM US Equity","IS_BASIC_EPS_CONT_OPS","FQ4 2008","FQ4 2008","Currency=USD","Period=FQ","BEST_FPERIOD_OVERRIDE=FQ","FILING_STATUS=OR","Sort=A","Dates=H","DateFormat=P","Fill=—","Direction=H","UseDPDF=Y")</f>
        <v>1.5699999999999998</v>
      </c>
      <c r="E52" s="17">
        <f>_xll.BDH("XOM US Equity","IS_BASIC_EPS_CONT_OPS","FQ1 2009","FQ1 2009","Currency=USD","Period=FQ","BEST_FPERIOD_OVERRIDE=FQ","FILING_STATUS=OR","Sort=A","Dates=H","DateFormat=P","Fill=—","Direction=H","UseDPDF=Y")</f>
        <v>0.92</v>
      </c>
      <c r="F52" s="17">
        <f>_xll.BDH("XOM US Equity","IS_BASIC_EPS_CONT_OPS","FQ2 2009","FQ2 2009","Currency=USD","Period=FQ","BEST_FPERIOD_OVERRIDE=FQ","FILING_STATUS=OR","Sort=A","Dates=H","DateFormat=P","Fill=—","Direction=H","UseDPDF=Y")</f>
        <v>0.84309999999999996</v>
      </c>
      <c r="G52" s="17">
        <f>_xll.BDH("XOM US Equity","IS_BASIC_EPS_CONT_OPS","FQ3 2009","FQ3 2009","Currency=USD","Period=FQ","BEST_FPERIOD_OVERRIDE=FQ","FILING_STATUS=OR","Sort=A","Dates=H","DateFormat=P","Fill=—","Direction=H","UseDPDF=Y")</f>
        <v>0.98</v>
      </c>
      <c r="H52" s="17">
        <f>_xll.BDH("XOM US Equity","IS_BASIC_EPS_CONT_OPS","FQ4 2009","FQ4 2009","Currency=USD","Period=FQ","BEST_FPERIOD_OVERRIDE=FQ","FILING_STATUS=OR","Sort=A","Dates=H","DateFormat=P","Fill=—","Direction=H","UseDPDF=Y")</f>
        <v>1.27</v>
      </c>
      <c r="I52" s="17">
        <f>_xll.BDH("XOM US Equity","IS_BASIC_EPS_CONT_OPS","FQ1 2010","FQ1 2010","Currency=USD","Period=FQ","BEST_FPERIOD_OVERRIDE=FQ","FILING_STATUS=OR","Sort=A","Dates=H","DateFormat=P","Fill=—","Direction=H","UseDPDF=Y")</f>
        <v>1.3765000000000001</v>
      </c>
      <c r="J52" s="17">
        <f>_xll.BDH("XOM US Equity","IS_BASIC_EPS_CONT_OPS","FQ2 2010","FQ2 2010","Currency=USD","Period=FQ","BEST_FPERIOD_OVERRIDE=FQ","FILING_STATUS=OR","Sort=A","Dates=H","DateFormat=P","Fill=—","Direction=H","UseDPDF=Y")</f>
        <v>1.6899</v>
      </c>
      <c r="K52" s="17">
        <f>_xll.BDH("XOM US Equity","IS_BASIC_EPS_CONT_OPS","FQ3 2010","FQ3 2010","Currency=USD","Period=FQ","BEST_FPERIOD_OVERRIDE=FQ","FILING_STATUS=OR","Sort=A","Dates=H","DateFormat=P","Fill=—","Direction=H","UseDPDF=Y")</f>
        <v>1.4481999999999999</v>
      </c>
      <c r="L52" s="17">
        <f>_xll.BDH("XOM US Equity","IS_BASIC_EPS_CONT_OPS","FQ4 2010","FQ4 2010","Currency=USD","Period=FQ","BEST_FPERIOD_OVERRIDE=FQ","FILING_STATUS=OR","Sort=A","Dates=H","DateFormat=P","Fill=—","Direction=H","UseDPDF=Y")</f>
        <v>1.8601999999999999</v>
      </c>
      <c r="M52" s="17">
        <f>_xll.BDH("XOM US Equity","IS_BASIC_EPS_CONT_OPS","FQ1 2011","FQ1 2011","Currency=USD","Period=FQ","BEST_FPERIOD_OVERRIDE=FQ","FILING_STATUS=OR","Sort=A","Dates=H","DateFormat=P","Fill=—","Direction=H","UseDPDF=Y")</f>
        <v>2.14</v>
      </c>
      <c r="N52" s="17">
        <f>_xll.BDH("XOM US Equity","IS_BASIC_EPS_CONT_OPS","FQ2 2011","FQ2 2011","Currency=USD","Period=FQ","BEST_FPERIOD_OVERRIDE=FQ","FILING_STATUS=OR","Sort=A","Dates=H","DateFormat=P","Fill=—","Direction=H","UseDPDF=Y")</f>
        <v>2.19</v>
      </c>
      <c r="O52" s="17">
        <f>_xll.BDH("XOM US Equity","IS_BASIC_EPS_CONT_OPS","FQ3 2011","FQ3 2011","Currency=USD","Period=FQ","BEST_FPERIOD_OVERRIDE=FQ","FILING_STATUS=OR","Sort=A","Dates=H","DateFormat=P","Fill=—","Direction=H","UseDPDF=Y")</f>
        <v>2.13</v>
      </c>
      <c r="P52" s="17">
        <f>_xll.BDH("XOM US Equity","IS_BASIC_EPS_CONT_OPS","FQ4 2011","FQ4 2011","Currency=USD","Period=FQ","BEST_FPERIOD_OVERRIDE=FQ","FILING_STATUS=OR","Sort=A","Dates=H","DateFormat=P","Fill=—","Direction=H","UseDPDF=Y")</f>
        <v>1.97</v>
      </c>
      <c r="Q52" s="17">
        <f>_xll.BDH("XOM US Equity","IS_BASIC_EPS_CONT_OPS","FQ1 2012","FQ1 2012","Currency=USD","Period=FQ","BEST_FPERIOD_OVERRIDE=FQ","FILING_STATUS=OR","Sort=A","Dates=H","DateFormat=P","Fill=—","Direction=H","UseDPDF=Y")</f>
        <v>2</v>
      </c>
      <c r="R52" s="17">
        <f>_xll.BDH("XOM US Equity","IS_BASIC_EPS_CONT_OPS","FQ2 2012","FQ2 2012","Currency=USD","Period=FQ","BEST_FPERIOD_OVERRIDE=FQ","FILING_STATUS=OR","Sort=A","Dates=H","DateFormat=P","Fill=—","Direction=H","UseDPDF=Y")</f>
        <v>1.8063</v>
      </c>
      <c r="S52" s="17">
        <f>_xll.BDH("XOM US Equity","IS_BASIC_EPS_CONT_OPS","FQ3 2012","FQ3 2012","Currency=USD","Period=FQ","BEST_FPERIOD_OVERRIDE=FQ","FILING_STATUS=OR","Sort=A","Dates=H","DateFormat=P","Fill=—","Direction=H","UseDPDF=Y")</f>
        <v>2.09</v>
      </c>
      <c r="T52" s="17">
        <f>_xll.BDH("XOM US Equity","IS_BASIC_EPS_CONT_OPS","FQ4 2012","FQ4 2012","Currency=USD","Period=FQ","BEST_FPERIOD_OVERRIDE=FQ","FILING_STATUS=OR","Sort=A","Dates=H","DateFormat=P","Fill=—","Direction=H","UseDPDF=Y")</f>
        <v>2.0672999999999999</v>
      </c>
      <c r="U52" s="17">
        <f>_xll.BDH("XOM US Equity","IS_BASIC_EPS_CONT_OPS","FQ1 2013","FQ1 2013","Currency=USD","Period=FQ","BEST_FPERIOD_OVERRIDE=FQ","FILING_STATUS=OR","Sort=A","Dates=H","DateFormat=P","Fill=—","Direction=H","UseDPDF=Y")</f>
        <v>2.12</v>
      </c>
      <c r="V52" s="17">
        <f>_xll.BDH("XOM US Equity","IS_BASIC_EPS_CONT_OPS","FQ2 2013","FQ2 2013","Currency=USD","Period=FQ","BEST_FPERIOD_OVERRIDE=FQ","FILING_STATUS=OR","Sort=A","Dates=H","DateFormat=P","Fill=—","Direction=H","UseDPDF=Y")</f>
        <v>1.55</v>
      </c>
      <c r="W52" s="17">
        <f>_xll.BDH("XOM US Equity","IS_BASIC_EPS_CONT_OPS","FQ3 2013","FQ3 2013","Currency=USD","Period=FQ","BEST_FPERIOD_OVERRIDE=FQ","FILING_STATUS=OR","Sort=A","Dates=H","DateFormat=P","Fill=—","Direction=H","UseDPDF=Y")</f>
        <v>1.79</v>
      </c>
      <c r="X52" s="17">
        <f>_xll.BDH("XOM US Equity","IS_BASIC_EPS_CONT_OPS","FQ4 2013","FQ4 2013","Currency=USD","Period=FQ","BEST_FPERIOD_OVERRIDE=FQ","FILING_STATUS=OR","Sort=A","Dates=H","DateFormat=P","Fill=—","Direction=H","UseDPDF=Y")</f>
        <v>1.9100000000000001</v>
      </c>
      <c r="Y52" s="17">
        <f>_xll.BDH("XOM US Equity","IS_BASIC_EPS_CONT_OPS","FQ1 2014","FQ1 2014","Currency=USD","Period=FQ","BEST_FPERIOD_OVERRIDE=FQ","FILING_STATUS=OR","Sort=A","Dates=H","DateFormat=P","Fill=—","Direction=H","UseDPDF=Y")</f>
        <v>2.1</v>
      </c>
      <c r="Z52" s="17">
        <f>_xll.BDH("XOM US Equity","IS_BASIC_EPS_CONT_OPS","FQ2 2014","FQ2 2014","Currency=USD","Period=FQ","BEST_FPERIOD_OVERRIDE=FQ","FILING_STATUS=OR","Sort=A","Dates=H","DateFormat=P","Fill=—","Direction=H","UseDPDF=Y")</f>
        <v>2.0499999999999998</v>
      </c>
      <c r="AA52" s="17">
        <f>_xll.BDH("XOM US Equity","IS_BASIC_EPS_CONT_OPS","FQ3 2014","FQ3 2014","Currency=USD","Period=FQ","BEST_FPERIOD_OVERRIDE=FQ","FILING_STATUS=OR","Sort=A","Dates=H","DateFormat=P","Fill=—","Direction=H","UseDPDF=Y")</f>
        <v>1.8900000000000001</v>
      </c>
      <c r="AB52" s="17">
        <f>_xll.BDH("XOM US Equity","IS_BASIC_EPS_CONT_OPS","FQ4 2014","FQ4 2014","Currency=USD","Period=FQ","BEST_FPERIOD_OVERRIDE=FQ","FILING_STATUS=OR","Sort=A","Dates=H","DateFormat=P","Fill=—","Direction=H","UseDPDF=Y")</f>
        <v>1.4878</v>
      </c>
      <c r="AC52" s="17">
        <f>_xll.BDH("XOM US Equity","IS_BASIC_EPS_CONT_OPS","FQ1 2015","FQ1 2015","Currency=USD","Period=FQ","BEST_FPERIOD_OVERRIDE=FQ","FILING_STATUS=OR","Sort=A","Dates=H","DateFormat=P","Fill=—","Direction=H","UseDPDF=Y")</f>
        <v>1.17</v>
      </c>
      <c r="AD52" s="17">
        <f>_xll.BDH("XOM US Equity","IS_BASIC_EPS_CONT_OPS","FQ2 2015","FQ2 2015","Currency=USD","Period=FQ","BEST_FPERIOD_OVERRIDE=FQ","FILING_STATUS=OR","Sort=A","Dates=H","DateFormat=P","Fill=—","Direction=H","UseDPDF=Y")</f>
        <v>1</v>
      </c>
      <c r="AE52" s="17">
        <f>_xll.BDH("XOM US Equity","IS_BASIC_EPS_CONT_OPS","FQ3 2015","FQ3 2015","Currency=USD","Period=FQ","BEST_FPERIOD_OVERRIDE=FQ","FILING_STATUS=OR","Sort=A","Dates=H","DateFormat=P","Fill=—","Direction=H","UseDPDF=Y")</f>
        <v>1.01</v>
      </c>
      <c r="AF52" s="17">
        <f>_xll.BDH("XOM US Equity","IS_BASIC_EPS_CONT_OPS","FQ4 2015","FQ4 2015","Currency=USD","Period=FQ","BEST_FPERIOD_OVERRIDE=FQ","FILING_STATUS=OR","Sort=A","Dates=H","DateFormat=P","Fill=—","Direction=H","UseDPDF=Y")</f>
        <v>0.67</v>
      </c>
      <c r="AG52" s="17">
        <f>_xll.BDH("XOM US Equity","IS_BASIC_EPS_CONT_OPS","FQ1 2016","FQ1 2016","Currency=USD","Period=FQ","BEST_FPERIOD_OVERRIDE=FQ","FILING_STATUS=OR","Sort=A","Dates=H","DateFormat=P","Fill=—","Direction=H","UseDPDF=Y")</f>
        <v>0.43</v>
      </c>
      <c r="AH52" s="17">
        <f>_xll.BDH("XOM US Equity","IS_BASIC_EPS_CONT_OPS","FQ2 2016","FQ2 2016","Currency=USD","Period=FQ","BEST_FPERIOD_OVERRIDE=FQ","FILING_STATUS=OR","Sort=A","Dates=H","DateFormat=P","Fill=—","Direction=H","UseDPDF=Y")</f>
        <v>0.41</v>
      </c>
      <c r="AI52" s="17">
        <f>_xll.BDH("XOM US Equity","IS_BASIC_EPS_CONT_OPS","FQ3 2016","FQ3 2016","Currency=USD","Period=FQ","BEST_FPERIOD_OVERRIDE=FQ","FILING_STATUS=OR","Sort=A","Dates=H","DateFormat=P","Fill=—","Direction=H","UseDPDF=Y")</f>
        <v>0.63</v>
      </c>
      <c r="AJ52" s="17">
        <f>_xll.BDH("XOM US Equity","IS_BASIC_EPS_CONT_OPS","FQ4 2016","FQ4 2016","Currency=USD","Period=FQ","BEST_FPERIOD_OVERRIDE=FQ","FILING_STATUS=OR","Sort=A","Dates=H","DateFormat=P","Fill=—","Direction=H","UseDPDF=Y")</f>
        <v>0.88770000000000004</v>
      </c>
      <c r="AK52" s="17">
        <f>_xll.BDH("XOM US Equity","IS_BASIC_EPS_CONT_OPS","FQ1 2017","FQ1 2017","Currency=USD","Period=FQ","BEST_FPERIOD_OVERRIDE=FQ","FILING_STATUS=OR","Sort=A","Dates=H","DateFormat=P","Fill=—","Direction=H","UseDPDF=Y")</f>
        <v>0.95</v>
      </c>
      <c r="AL52" s="17">
        <f>_xll.BDH("XOM US Equity","IS_BASIC_EPS_CONT_OPS","FQ2 2017","FQ2 2017","Currency=USD","Period=FQ","BEST_FPERIOD_OVERRIDE=FQ","FILING_STATUS=OR","Sort=A","Dates=H","DateFormat=P","Fill=—","Direction=H","UseDPDF=Y")</f>
        <v>0.78</v>
      </c>
      <c r="AM52" s="17">
        <f>_xll.BDH("XOM US Equity","IS_BASIC_EPS_CONT_OPS","FQ3 2017","FQ3 2017","Currency=USD","Period=FQ","BEST_FPERIOD_OVERRIDE=FQ","FILING_STATUS=OR","Sort=A","Dates=H","DateFormat=P","Fill=—","Direction=H","UseDPDF=Y")</f>
        <v>0.93</v>
      </c>
      <c r="AN52" s="17">
        <f>_xll.BDH("XOM US Equity","IS_BASIC_EPS_CONT_OPS","FQ4 2017","FQ4 2017","Currency=USD","Period=FQ","BEST_FPERIOD_OVERRIDE=FQ","FILING_STATUS=OR","Sort=A","Dates=H","DateFormat=P","Fill=—","Direction=H","UseDPDF=Y")</f>
        <v>0.874</v>
      </c>
      <c r="AO52" s="17">
        <f>_xll.BDH("XOM US Equity","IS_BASIC_EPS_CONT_OPS","FQ1 2018","FQ1 2018","Currency=USD","Period=FQ","BEST_FPERIOD_OVERRIDE=FQ","FILING_STATUS=OR","Sort=A","Dates=H","DateFormat=P","Fill=—","Direction=H","UseDPDF=Y")</f>
        <v>1.0900000000000001</v>
      </c>
      <c r="AP52" s="17">
        <f>_xll.BDH("XOM US Equity","IS_BASIC_EPS_CONT_OPS","FQ2 2018","FQ2 2018","Currency=USD","Period=FQ","BEST_FPERIOD_OVERRIDE=FQ","FILING_STATUS=OR","Sort=A","Dates=H","DateFormat=P","Fill=—","Direction=H","UseDPDF=Y")</f>
        <v>0.92</v>
      </c>
    </row>
    <row r="53" spans="1:42" x14ac:dyDescent="0.25">
      <c r="A53" s="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1:42" x14ac:dyDescent="0.25">
      <c r="A54" s="10" t="s">
        <v>173</v>
      </c>
      <c r="B54" s="10" t="s">
        <v>174</v>
      </c>
      <c r="C54" s="13">
        <f>_xll.BDH("XOM US Equity","IS_SH_FOR_DILUTED_EPS","FQ3 2008","FQ3 2008","Currency=USD","Period=FQ","BEST_FPERIOD_OVERRIDE=FQ","FILING_STATUS=OR","Sort=A","Dates=H","DateFormat=P","Fill=—","Direction=H","UseDPDF=Y")</f>
        <v>5160</v>
      </c>
      <c r="D54" s="13">
        <f>_xll.BDH("XOM US Equity","IS_SH_FOR_DILUTED_EPS","FQ4 2008","FQ4 2008","Currency=USD","Period=FQ","BEST_FPERIOD_OVERRIDE=FQ","FILING_STATUS=OR","Sort=A","Dates=H","DateFormat=P","Fill=—","Direction=H","UseDPDF=Y")</f>
        <v>5045</v>
      </c>
      <c r="E54" s="13">
        <f>_xll.BDH("XOM US Equity","IS_SH_FOR_DILUTED_EPS","FQ1 2009","FQ1 2009","Currency=USD","Period=FQ","BEST_FPERIOD_OVERRIDE=FQ","FILING_STATUS=OR","Sort=A","Dates=H","DateFormat=P","Fill=—","Direction=H","UseDPDF=Y")</f>
        <v>4959</v>
      </c>
      <c r="F54" s="13">
        <f>_xll.BDH("XOM US Equity","IS_SH_FOR_DILUTED_EPS","FQ2 2009","FQ2 2009","Currency=USD","Period=FQ","BEST_FPERIOD_OVERRIDE=FQ","FILING_STATUS=OR","Sort=A","Dates=H","DateFormat=P","Fill=—","Direction=H","UseDPDF=Y")</f>
        <v>4871</v>
      </c>
      <c r="G54" s="13">
        <f>_xll.BDH("XOM US Equity","IS_SH_FOR_DILUTED_EPS","FQ3 2009","FQ3 2009","Currency=USD","Period=FQ","BEST_FPERIOD_OVERRIDE=FQ","FILING_STATUS=OR","Sort=A","Dates=H","DateFormat=P","Fill=—","Direction=H","UseDPDF=Y")</f>
        <v>4803</v>
      </c>
      <c r="H54" s="13">
        <f>_xll.BDH("XOM US Equity","IS_SH_FOR_DILUTED_EPS","FQ4 2009","FQ4 2009","Currency=USD","Period=FQ","BEST_FPERIOD_OVERRIDE=FQ","FILING_STATUS=OR","Sort=A","Dates=H","DateFormat=P","Fill=—","Direction=H","UseDPDF=Y")</f>
        <v>4760</v>
      </c>
      <c r="I54" s="13">
        <f>_xll.BDH("XOM US Equity","IS_SH_FOR_DILUTED_EPS","FQ1 2010","FQ1 2010","Currency=USD","Period=FQ","BEST_FPERIOD_OVERRIDE=FQ","FILING_STATUS=OR","Sort=A","Dates=H","DateFormat=P","Fill=—","Direction=H","UseDPDF=Y")</f>
        <v>4736</v>
      </c>
      <c r="J54" s="13">
        <f>_xll.BDH("XOM US Equity","IS_SH_FOR_DILUTED_EPS","FQ2 2010","FQ2 2010","Currency=USD","Period=FQ","BEST_FPERIOD_OVERRIDE=FQ","FILING_STATUS=OR","Sort=A","Dates=H","DateFormat=P","Fill=—","Direction=H","UseDPDF=Y")</f>
        <v>4729</v>
      </c>
      <c r="K54" s="13">
        <f>_xll.BDH("XOM US Equity","IS_SH_FOR_DILUTED_EPS","FQ3 2010","FQ3 2010","Currency=USD","Period=FQ","BEST_FPERIOD_OVERRIDE=FQ","FILING_STATUS=OR","Sort=A","Dates=H","DateFormat=P","Fill=—","Direction=H","UseDPDF=Y")</f>
        <v>5089</v>
      </c>
      <c r="L54" s="13">
        <f>_xll.BDH("XOM US Equity","IS_SH_FOR_DILUTED_EPS","FQ4 2010","FQ4 2010","Currency=USD","Period=FQ","BEST_FPERIOD_OVERRIDE=FQ","FILING_STATUS=OR","Sort=A","Dates=H","DateFormat=P","Fill=—","Direction=H","UseDPDF=Y")</f>
        <v>5031</v>
      </c>
      <c r="M54" s="13">
        <f>_xll.BDH("XOM US Equity","IS_SH_FOR_DILUTED_EPS","FQ1 2011","FQ1 2011","Currency=USD","Period=FQ","BEST_FPERIOD_OVERRIDE=FQ","FILING_STATUS=OR","Sort=A","Dates=H","DateFormat=P","Fill=—","Direction=H","UseDPDF=Y")</f>
        <v>4971</v>
      </c>
      <c r="N54" s="13">
        <f>_xll.BDH("XOM US Equity","IS_SH_FOR_DILUTED_EPS","FQ2 2011","FQ2 2011","Currency=USD","Period=FQ","BEST_FPERIOD_OVERRIDE=FQ","FILING_STATUS=OR","Sort=A","Dates=H","DateFormat=P","Fill=—","Direction=H","UseDPDF=Y")</f>
        <v>4912</v>
      </c>
      <c r="O54" s="13">
        <f>_xll.BDH("XOM US Equity","IS_SH_FOR_DILUTED_EPS","FQ3 2011","FQ3 2011","Currency=USD","Period=FQ","BEST_FPERIOD_OVERRIDE=FQ","FILING_STATUS=OR","Sort=A","Dates=H","DateFormat=P","Fill=—","Direction=H","UseDPDF=Y")</f>
        <v>4843</v>
      </c>
      <c r="P54" s="13">
        <f>_xll.BDH("XOM US Equity","IS_SH_FOR_DILUTED_EPS","FQ4 2011","FQ4 2011","Currency=USD","Period=FQ","BEST_FPERIOD_OVERRIDE=FQ","FILING_STATUS=OR","Sort=A","Dates=H","DateFormat=P","Fill=—","Direction=H","UseDPDF=Y")</f>
        <v>4775</v>
      </c>
      <c r="Q54" s="13">
        <f>_xll.BDH("XOM US Equity","IS_SH_FOR_DILUTED_EPS","FQ1 2012","FQ1 2012","Currency=USD","Period=FQ","BEST_FPERIOD_OVERRIDE=FQ","FILING_STATUS=OR","Sort=A","Dates=H","DateFormat=P","Fill=—","Direction=H","UseDPDF=Y")</f>
        <v>4716</v>
      </c>
      <c r="R54" s="13">
        <f>_xll.BDH("XOM US Equity","IS_SH_FOR_DILUTED_EPS","FQ2 2012","FQ2 2012","Currency=USD","Period=FQ","BEST_FPERIOD_OVERRIDE=FQ","FILING_STATUS=OR","Sort=A","Dates=H","DateFormat=P","Fill=—","Direction=H","UseDPDF=Y")</f>
        <v>4656</v>
      </c>
      <c r="S54" s="13">
        <f>_xll.BDH("XOM US Equity","IS_SH_FOR_DILUTED_EPS","FQ3 2012","FQ3 2012","Currency=USD","Period=FQ","BEST_FPERIOD_OVERRIDE=FQ","FILING_STATUS=OR","Sort=A","Dates=H","DateFormat=P","Fill=—","Direction=H","UseDPDF=Y")</f>
        <v>4597</v>
      </c>
      <c r="T54" s="13">
        <f>_xll.BDH("XOM US Equity","IS_SH_FOR_DILUTED_EPS","FQ4 2012","FQ4 2012","Currency=USD","Period=FQ","BEST_FPERIOD_OVERRIDE=FQ","FILING_STATUS=OR","Sort=A","Dates=H","DateFormat=P","Fill=—","Direction=H","UseDPDF=Y")</f>
        <v>4541</v>
      </c>
      <c r="U54" s="13">
        <f>_xll.BDH("XOM US Equity","IS_SH_FOR_DILUTED_EPS","FQ1 2013","FQ1 2013","Currency=USD","Period=FQ","BEST_FPERIOD_OVERRIDE=FQ","FILING_STATUS=OR","Sort=A","Dates=H","DateFormat=P","Fill=—","Direction=H","UseDPDF=Y")</f>
        <v>4485</v>
      </c>
      <c r="V54" s="13">
        <f>_xll.BDH("XOM US Equity","IS_SH_FOR_DILUTED_EPS","FQ2 2013","FQ2 2013","Currency=USD","Period=FQ","BEST_FPERIOD_OVERRIDE=FQ","FILING_STATUS=OR","Sort=A","Dates=H","DateFormat=P","Fill=—","Direction=H","UseDPDF=Y")</f>
        <v>4433</v>
      </c>
      <c r="W54" s="13">
        <f>_xll.BDH("XOM US Equity","IS_SH_FOR_DILUTED_EPS","FQ3 2013","FQ3 2013","Currency=USD","Period=FQ","BEST_FPERIOD_OVERRIDE=FQ","FILING_STATUS=OR","Sort=A","Dates=H","DateFormat=P","Fill=—","Direction=H","UseDPDF=Y")</f>
        <v>4395</v>
      </c>
      <c r="X54" s="13">
        <f>_xll.BDH("XOM US Equity","IS_SH_FOR_DILUTED_EPS","FQ4 2013","FQ4 2013","Currency=USD","Period=FQ","BEST_FPERIOD_OVERRIDE=FQ","FILING_STATUS=OR","Sort=A","Dates=H","DateFormat=P","Fill=—","Direction=H","UseDPDF=Y")</f>
        <v>4361</v>
      </c>
      <c r="Y54" s="13">
        <f>_xll.BDH("XOM US Equity","IS_SH_FOR_DILUTED_EPS","FQ1 2014","FQ1 2014","Currency=USD","Period=FQ","BEST_FPERIOD_OVERRIDE=FQ","FILING_STATUS=OR","Sort=A","Dates=H","DateFormat=P","Fill=—","Direction=H","UseDPDF=Y")</f>
        <v>4328</v>
      </c>
      <c r="Z54" s="13">
        <f>_xll.BDH("XOM US Equity","IS_SH_FOR_DILUTED_EPS","FQ2 2014","FQ2 2014","Currency=USD","Period=FQ","BEST_FPERIOD_OVERRIDE=FQ","FILING_STATUS=OR","Sort=A","Dates=H","DateFormat=P","Fill=—","Direction=H","UseDPDF=Y")</f>
        <v>4297</v>
      </c>
      <c r="AA54" s="13">
        <f>_xll.BDH("XOM US Equity","IS_SH_FOR_DILUTED_EPS","FQ3 2014","FQ3 2014","Currency=USD","Period=FQ","BEST_FPERIOD_OVERRIDE=FQ","FILING_STATUS=OR","Sort=A","Dates=H","DateFormat=P","Fill=—","Direction=H","UseDPDF=Y")</f>
        <v>4267</v>
      </c>
      <c r="AB54" s="13">
        <f>_xll.BDH("XOM US Equity","IS_SH_FOR_DILUTED_EPS","FQ4 2014","FQ4 2014","Currency=USD","Period=FQ","BEST_FPERIOD_OVERRIDE=FQ","FILING_STATUS=OR","Sort=A","Dates=H","DateFormat=P","Fill=—","Direction=H","UseDPDF=Y")</f>
        <v>4235</v>
      </c>
      <c r="AC54" s="13">
        <f>_xll.BDH("XOM US Equity","IS_SH_FOR_DILUTED_EPS","FQ1 2015","FQ1 2015","Currency=USD","Period=FQ","BEST_FPERIOD_OVERRIDE=FQ","FILING_STATUS=OR","Sort=A","Dates=H","DateFormat=P","Fill=—","Direction=H","UseDPDF=Y")</f>
        <v>4211</v>
      </c>
      <c r="AD54" s="13">
        <f>_xll.BDH("XOM US Equity","IS_SH_FOR_DILUTED_EPS","FQ2 2015","FQ2 2015","Currency=USD","Period=FQ","BEST_FPERIOD_OVERRIDE=FQ","FILING_STATUS=OR","Sort=A","Dates=H","DateFormat=P","Fill=—","Direction=H","UseDPDF=Y")</f>
        <v>4200</v>
      </c>
      <c r="AE54" s="13">
        <f>_xll.BDH("XOM US Equity","IS_SH_FOR_DILUTED_EPS","FQ3 2015","FQ3 2015","Currency=USD","Period=FQ","BEST_FPERIOD_OVERRIDE=FQ","FILING_STATUS=OR","Sort=A","Dates=H","DateFormat=P","Fill=—","Direction=H","UseDPDF=Y")</f>
        <v>4190</v>
      </c>
      <c r="AF54" s="13">
        <f>_xll.BDH("XOM US Equity","IS_SH_FOR_DILUTED_EPS","FQ4 2015","FQ4 2015","Currency=USD","Period=FQ","BEST_FPERIOD_OVERRIDE=FQ","FILING_STATUS=OR","Sort=A","Dates=H","DateFormat=P","Fill=—","Direction=H","UseDPDF=Y")</f>
        <v>4183</v>
      </c>
      <c r="AG54" s="13">
        <f>_xll.BDH("XOM US Equity","IS_SH_FOR_DILUTED_EPS","FQ1 2016","FQ1 2016","Currency=USD","Period=FQ","BEST_FPERIOD_OVERRIDE=FQ","FILING_STATUS=OR","Sort=A","Dates=H","DateFormat=P","Fill=—","Direction=H","UseDPDF=Y")</f>
        <v>4178</v>
      </c>
      <c r="AH54" s="13">
        <f>_xll.BDH("XOM US Equity","IS_SH_FOR_DILUTED_EPS","FQ2 2016","FQ2 2016","Currency=USD","Period=FQ","BEST_FPERIOD_OVERRIDE=FQ","FILING_STATUS=OR","Sort=A","Dates=H","DateFormat=P","Fill=—","Direction=H","UseDPDF=Y")</f>
        <v>4178</v>
      </c>
      <c r="AI54" s="13">
        <f>_xll.BDH("XOM US Equity","IS_SH_FOR_DILUTED_EPS","FQ3 2016","FQ3 2016","Currency=USD","Period=FQ","BEST_FPERIOD_OVERRIDE=FQ","FILING_STATUS=OR","Sort=A","Dates=H","DateFormat=P","Fill=—","Direction=H","UseDPDF=Y")</f>
        <v>4178</v>
      </c>
      <c r="AJ54" s="13">
        <f>_xll.BDH("XOM US Equity","IS_SH_FOR_DILUTED_EPS","FQ4 2016","FQ4 2016","Currency=USD","Period=FQ","BEST_FPERIOD_OVERRIDE=FQ","FILING_STATUS=OR","Sort=A","Dates=H","DateFormat=P","Fill=—","Direction=H","UseDPDF=Y")</f>
        <v>4176</v>
      </c>
      <c r="AK54" s="13">
        <f>_xll.BDH("XOM US Equity","IS_SH_FOR_DILUTED_EPS","FQ1 2017","FQ1 2017","Currency=USD","Period=FQ","BEST_FPERIOD_OVERRIDE=FQ","FILING_STATUS=OR","Sort=A","Dates=H","DateFormat=P","Fill=—","Direction=H","UseDPDF=Y")</f>
        <v>4223</v>
      </c>
      <c r="AL54" s="13">
        <f>_xll.BDH("XOM US Equity","IS_SH_FOR_DILUTED_EPS","FQ2 2017","FQ2 2017","Currency=USD","Period=FQ","BEST_FPERIOD_OVERRIDE=FQ","FILING_STATUS=OR","Sort=A","Dates=H","DateFormat=P","Fill=—","Direction=H","UseDPDF=Y")</f>
        <v>4271</v>
      </c>
      <c r="AM54" s="13">
        <f>_xll.BDH("XOM US Equity","IS_SH_FOR_DILUTED_EPS","FQ3 2017","FQ3 2017","Currency=USD","Period=FQ","BEST_FPERIOD_OVERRIDE=FQ","FILING_STATUS=OR","Sort=A","Dates=H","DateFormat=P","Fill=—","Direction=H","UseDPDF=Y")</f>
        <v>4271</v>
      </c>
      <c r="AN54" s="13">
        <f>_xll.BDH("XOM US Equity","IS_SH_FOR_DILUTED_EPS","FQ4 2017","FQ4 2017","Currency=USD","Period=FQ","BEST_FPERIOD_OVERRIDE=FQ","FILING_STATUS=OR","Sort=A","Dates=H","DateFormat=P","Fill=—","Direction=H","UseDPDF=Y")</f>
        <v>4270</v>
      </c>
      <c r="AO54" s="13">
        <f>_xll.BDH("XOM US Equity","IS_SH_FOR_DILUTED_EPS","FQ1 2018","FQ1 2018","Currency=USD","Period=FQ","BEST_FPERIOD_OVERRIDE=FQ","FILING_STATUS=OR","Sort=A","Dates=H","DateFormat=P","Fill=—","Direction=H","UseDPDF=Y")</f>
        <v>4270</v>
      </c>
      <c r="AP54" s="13">
        <f>_xll.BDH("XOM US Equity","IS_SH_FOR_DILUTED_EPS","FQ2 2018","FQ2 2018","Currency=USD","Period=FQ","BEST_FPERIOD_OVERRIDE=FQ","FILING_STATUS=OR","Sort=A","Dates=H","DateFormat=P","Fill=—","Direction=H","UseDPDF=Y")</f>
        <v>4271</v>
      </c>
    </row>
    <row r="55" spans="1:42" x14ac:dyDescent="0.25">
      <c r="A55" s="6" t="s">
        <v>175</v>
      </c>
      <c r="B55" s="6" t="s">
        <v>176</v>
      </c>
      <c r="C55" s="17">
        <f>_xll.BDH("XOM US Equity","IS_DILUTED_EPS","FQ3 2008","FQ3 2008","Currency=USD","Period=FQ","BEST_FPERIOD_OVERRIDE=FQ","FILING_STATUS=OR","FA_ADJUSTED=GAAP","Sort=A","Dates=H","DateFormat=P","Fill=—","Direction=H","UseDPDF=Y")</f>
        <v>2.86</v>
      </c>
      <c r="D55" s="17">
        <f>_xll.BDH("XOM US Equity","IS_DILUTED_EPS","FQ4 2008","FQ4 2008","Currency=USD","Period=FQ","BEST_FPERIOD_OVERRIDE=FQ","FILING_STATUS=OR","FA_ADJUSTED=GAAP","Sort=A","Dates=H","DateFormat=P","Fill=—","Direction=H","UseDPDF=Y")</f>
        <v>1.55</v>
      </c>
      <c r="E55" s="17">
        <f>_xll.BDH("XOM US Equity","IS_DILUTED_EPS","FQ1 2009","FQ1 2009","Currency=USD","Period=FQ","BEST_FPERIOD_OVERRIDE=FQ","FILING_STATUS=OR","FA_ADJUSTED=GAAP","Sort=A","Dates=H","DateFormat=P","Fill=—","Direction=H","UseDPDF=Y")</f>
        <v>0.92</v>
      </c>
      <c r="F55" s="17">
        <f>_xll.BDH("XOM US Equity","IS_DILUTED_EPS","FQ2 2009","FQ2 2009","Currency=USD","Period=FQ","BEST_FPERIOD_OVERRIDE=FQ","FILING_STATUS=OR","FA_ADJUSTED=GAAP","Sort=A","Dates=H","DateFormat=P","Fill=—","Direction=H","UseDPDF=Y")</f>
        <v>0.81</v>
      </c>
      <c r="G55" s="17">
        <f>_xll.BDH("XOM US Equity","IS_DILUTED_EPS","FQ3 2009","FQ3 2009","Currency=USD","Period=FQ","BEST_FPERIOD_OVERRIDE=FQ","FILING_STATUS=OR","FA_ADJUSTED=GAAP","Sort=A","Dates=H","DateFormat=P","Fill=—","Direction=H","UseDPDF=Y")</f>
        <v>0.98</v>
      </c>
      <c r="H55" s="17">
        <f>_xll.BDH("XOM US Equity","IS_DILUTED_EPS","FQ4 2009","FQ4 2009","Currency=USD","Period=FQ","BEST_FPERIOD_OVERRIDE=FQ","FILING_STATUS=OR","FA_ADJUSTED=GAAP","Sort=A","Dates=H","DateFormat=P","Fill=—","Direction=H","UseDPDF=Y")</f>
        <v>1.27</v>
      </c>
      <c r="I55" s="17">
        <f>_xll.BDH("XOM US Equity","IS_DILUTED_EPS","FQ1 2010","FQ1 2010","Currency=USD","Period=FQ","BEST_FPERIOD_OVERRIDE=FQ","FILING_STATUS=OR","FA_ADJUSTED=GAAP","Sort=A","Dates=H","DateFormat=P","Fill=—","Direction=H","UseDPDF=Y")</f>
        <v>1.33</v>
      </c>
      <c r="J55" s="17">
        <f>_xll.BDH("XOM US Equity","IS_DILUTED_EPS","FQ2 2010","FQ2 2010","Currency=USD","Period=FQ","BEST_FPERIOD_OVERRIDE=FQ","FILING_STATUS=OR","FA_ADJUSTED=GAAP","Sort=A","Dates=H","DateFormat=P","Fill=—","Direction=H","UseDPDF=Y")</f>
        <v>1.6</v>
      </c>
      <c r="K55" s="17">
        <f>_xll.BDH("XOM US Equity","IS_DILUTED_EPS","FQ3 2010","FQ3 2010","Currency=USD","Period=FQ","BEST_FPERIOD_OVERRIDE=FQ","FILING_STATUS=OR","FA_ADJUSTED=GAAP","Sort=A","Dates=H","DateFormat=P","Fill=—","Direction=H","UseDPDF=Y")</f>
        <v>1.44</v>
      </c>
      <c r="L55" s="17">
        <f>_xll.BDH("XOM US Equity","IS_DILUTED_EPS","FQ4 2010","FQ4 2010","Currency=USD","Period=FQ","BEST_FPERIOD_OVERRIDE=FQ","FILING_STATUS=OR","FA_ADJUSTED=GAAP","Sort=A","Dates=H","DateFormat=P","Fill=—","Direction=H","UseDPDF=Y")</f>
        <v>1.85</v>
      </c>
      <c r="M55" s="17">
        <f>_xll.BDH("XOM US Equity","IS_DILUTED_EPS","FQ1 2011","FQ1 2011","Currency=USD","Period=FQ","BEST_FPERIOD_OVERRIDE=FQ","FILING_STATUS=OR","FA_ADJUSTED=GAAP","Sort=A","Dates=H","DateFormat=P","Fill=—","Direction=H","UseDPDF=Y")</f>
        <v>2.14</v>
      </c>
      <c r="N55" s="17">
        <f>_xll.BDH("XOM US Equity","IS_DILUTED_EPS","FQ2 2011","FQ2 2011","Currency=USD","Period=FQ","BEST_FPERIOD_OVERRIDE=FQ","FILING_STATUS=OR","FA_ADJUSTED=GAAP","Sort=A","Dates=H","DateFormat=P","Fill=—","Direction=H","UseDPDF=Y")</f>
        <v>2.1800000000000002</v>
      </c>
      <c r="O55" s="17">
        <f>_xll.BDH("XOM US Equity","IS_DILUTED_EPS","FQ3 2011","FQ3 2011","Currency=USD","Period=FQ","BEST_FPERIOD_OVERRIDE=FQ","FILING_STATUS=OR","FA_ADJUSTED=GAAP","Sort=A","Dates=H","DateFormat=P","Fill=—","Direction=H","UseDPDF=Y")</f>
        <v>2.13</v>
      </c>
      <c r="P55" s="17">
        <f>_xll.BDH("XOM US Equity","IS_DILUTED_EPS","FQ4 2011","FQ4 2011","Currency=USD","Period=FQ","BEST_FPERIOD_OVERRIDE=FQ","FILING_STATUS=OR","FA_ADJUSTED=GAAP","Sort=A","Dates=H","DateFormat=P","Fill=—","Direction=H","UseDPDF=Y")</f>
        <v>1.97</v>
      </c>
      <c r="Q55" s="17">
        <f>_xll.BDH("XOM US Equity","IS_DILUTED_EPS","FQ1 2012","FQ1 2012","Currency=USD","Period=FQ","BEST_FPERIOD_OVERRIDE=FQ","FILING_STATUS=OR","FA_ADJUSTED=GAAP","Sort=A","Dates=H","DateFormat=P","Fill=—","Direction=H","UseDPDF=Y")</f>
        <v>2</v>
      </c>
      <c r="R55" s="17">
        <f>_xll.BDH("XOM US Equity","IS_DILUTED_EPS","FQ2 2012","FQ2 2012","Currency=USD","Period=FQ","BEST_FPERIOD_OVERRIDE=FQ","FILING_STATUS=OR","FA_ADJUSTED=GAAP","Sort=A","Dates=H","DateFormat=P","Fill=—","Direction=H","UseDPDF=Y")</f>
        <v>3.41</v>
      </c>
      <c r="S55" s="17">
        <f>_xll.BDH("XOM US Equity","IS_DILUTED_EPS","FQ3 2012","FQ3 2012","Currency=USD","Period=FQ","BEST_FPERIOD_OVERRIDE=FQ","FILING_STATUS=OR","FA_ADJUSTED=GAAP","Sort=A","Dates=H","DateFormat=P","Fill=—","Direction=H","UseDPDF=Y")</f>
        <v>2.09</v>
      </c>
      <c r="T55" s="17">
        <f>_xll.BDH("XOM US Equity","IS_DILUTED_EPS","FQ4 2012","FQ4 2012","Currency=USD","Period=FQ","BEST_FPERIOD_OVERRIDE=FQ","FILING_STATUS=OR","FA_ADJUSTED=GAAP","Sort=A","Dates=H","DateFormat=P","Fill=—","Direction=H","UseDPDF=Y")</f>
        <v>2.2000000000000002</v>
      </c>
      <c r="U55" s="17">
        <f>_xll.BDH("XOM US Equity","IS_DILUTED_EPS","FQ1 2013","FQ1 2013","Currency=USD","Period=FQ","BEST_FPERIOD_OVERRIDE=FQ","FILING_STATUS=OR","FA_ADJUSTED=GAAP","Sort=A","Dates=H","DateFormat=P","Fill=—","Direction=H","UseDPDF=Y")</f>
        <v>2.12</v>
      </c>
      <c r="V55" s="17">
        <f>_xll.BDH("XOM US Equity","IS_DILUTED_EPS","FQ2 2013","FQ2 2013","Currency=USD","Period=FQ","BEST_FPERIOD_OVERRIDE=FQ","FILING_STATUS=OR","FA_ADJUSTED=GAAP","Sort=A","Dates=H","DateFormat=P","Fill=—","Direction=H","UseDPDF=Y")</f>
        <v>1.55</v>
      </c>
      <c r="W55" s="17">
        <f>_xll.BDH("XOM US Equity","IS_DILUTED_EPS","FQ3 2013","FQ3 2013","Currency=USD","Period=FQ","BEST_FPERIOD_OVERRIDE=FQ","FILING_STATUS=OR","FA_ADJUSTED=GAAP","Sort=A","Dates=H","DateFormat=P","Fill=—","Direction=H","UseDPDF=Y")</f>
        <v>1.79</v>
      </c>
      <c r="X55" s="17">
        <f>_xll.BDH("XOM US Equity","IS_DILUTED_EPS","FQ4 2013","FQ4 2013","Currency=USD","Period=FQ","BEST_FPERIOD_OVERRIDE=FQ","FILING_STATUS=OR","FA_ADJUSTED=GAAP","Sort=A","Dates=H","DateFormat=P","Fill=—","Direction=H","UseDPDF=Y")</f>
        <v>1.9100000000000001</v>
      </c>
      <c r="Y55" s="17">
        <f>_xll.BDH("XOM US Equity","IS_DILUTED_EPS","FQ1 2014","FQ1 2014","Currency=USD","Period=FQ","BEST_FPERIOD_OVERRIDE=FQ","FILING_STATUS=OR","FA_ADJUSTED=GAAP","Sort=A","Dates=H","DateFormat=P","Fill=—","Direction=H","UseDPDF=Y")</f>
        <v>2.1</v>
      </c>
      <c r="Z55" s="17">
        <f>_xll.BDH("XOM US Equity","IS_DILUTED_EPS","FQ2 2014","FQ2 2014","Currency=USD","Period=FQ","BEST_FPERIOD_OVERRIDE=FQ","FILING_STATUS=OR","FA_ADJUSTED=GAAP","Sort=A","Dates=H","DateFormat=P","Fill=—","Direction=H","UseDPDF=Y")</f>
        <v>2.0499999999999998</v>
      </c>
      <c r="AA55" s="17">
        <f>_xll.BDH("XOM US Equity","IS_DILUTED_EPS","FQ3 2014","FQ3 2014","Currency=USD","Period=FQ","BEST_FPERIOD_OVERRIDE=FQ","FILING_STATUS=OR","FA_ADJUSTED=GAAP","Sort=A","Dates=H","DateFormat=P","Fill=—","Direction=H","UseDPDF=Y")</f>
        <v>1.8900000000000001</v>
      </c>
      <c r="AB55" s="17">
        <f>_xll.BDH("XOM US Equity","IS_DILUTED_EPS","FQ4 2014","FQ4 2014","Currency=USD","Period=FQ","BEST_FPERIOD_OVERRIDE=FQ","FILING_STATUS=OR","FA_ADJUSTED=GAAP","Sort=A","Dates=H","DateFormat=P","Fill=—","Direction=H","UseDPDF=Y")</f>
        <v>1.56</v>
      </c>
      <c r="AC55" s="17">
        <f>_xll.BDH("XOM US Equity","IS_DILUTED_EPS","FQ1 2015","FQ1 2015","Currency=USD","Period=FQ","BEST_FPERIOD_OVERRIDE=FQ","FILING_STATUS=OR","FA_ADJUSTED=GAAP","Sort=A","Dates=H","DateFormat=P","Fill=—","Direction=H","UseDPDF=Y")</f>
        <v>1.17</v>
      </c>
      <c r="AD55" s="17">
        <f>_xll.BDH("XOM US Equity","IS_DILUTED_EPS","FQ2 2015","FQ2 2015","Currency=USD","Period=FQ","BEST_FPERIOD_OVERRIDE=FQ","FILING_STATUS=OR","FA_ADJUSTED=GAAP","Sort=A","Dates=H","DateFormat=P","Fill=—","Direction=H","UseDPDF=Y")</f>
        <v>1</v>
      </c>
      <c r="AE55" s="17">
        <f>_xll.BDH("XOM US Equity","IS_DILUTED_EPS","FQ3 2015","FQ3 2015","Currency=USD","Period=FQ","BEST_FPERIOD_OVERRIDE=FQ","FILING_STATUS=OR","FA_ADJUSTED=GAAP","Sort=A","Dates=H","DateFormat=P","Fill=—","Direction=H","UseDPDF=Y")</f>
        <v>1.01</v>
      </c>
      <c r="AF55" s="17">
        <f>_xll.BDH("XOM US Equity","IS_DILUTED_EPS","FQ4 2015","FQ4 2015","Currency=USD","Period=FQ","BEST_FPERIOD_OVERRIDE=FQ","FILING_STATUS=OR","FA_ADJUSTED=GAAP","Sort=A","Dates=H","DateFormat=P","Fill=—","Direction=H","UseDPDF=Y")</f>
        <v>0.67</v>
      </c>
      <c r="AG55" s="17">
        <f>_xll.BDH("XOM US Equity","IS_DILUTED_EPS","FQ1 2016","FQ1 2016","Currency=USD","Period=FQ","BEST_FPERIOD_OVERRIDE=FQ","FILING_STATUS=OR","FA_ADJUSTED=GAAP","Sort=A","Dates=H","DateFormat=P","Fill=—","Direction=H","UseDPDF=Y")</f>
        <v>0.43</v>
      </c>
      <c r="AH55" s="17">
        <f>_xll.BDH("XOM US Equity","IS_DILUTED_EPS","FQ2 2016","FQ2 2016","Currency=USD","Period=FQ","BEST_FPERIOD_OVERRIDE=FQ","FILING_STATUS=OR","FA_ADJUSTED=GAAP","Sort=A","Dates=H","DateFormat=P","Fill=—","Direction=H","UseDPDF=Y")</f>
        <v>0.41</v>
      </c>
      <c r="AI55" s="17">
        <f>_xll.BDH("XOM US Equity","IS_DILUTED_EPS","FQ3 2016","FQ3 2016","Currency=USD","Period=FQ","BEST_FPERIOD_OVERRIDE=FQ","FILING_STATUS=OR","FA_ADJUSTED=GAAP","Sort=A","Dates=H","DateFormat=P","Fill=—","Direction=H","UseDPDF=Y")</f>
        <v>0.63</v>
      </c>
      <c r="AJ55" s="17">
        <f>_xll.BDH("XOM US Equity","IS_DILUTED_EPS","FQ4 2016","FQ4 2016","Currency=USD","Period=FQ","BEST_FPERIOD_OVERRIDE=FQ","FILING_STATUS=OR","FA_ADJUSTED=GAAP","Sort=A","Dates=H","DateFormat=P","Fill=—","Direction=H","UseDPDF=Y")</f>
        <v>0.41</v>
      </c>
      <c r="AK55" s="17">
        <f>_xll.BDH("XOM US Equity","IS_DILUTED_EPS","FQ1 2017","FQ1 2017","Currency=USD","Period=FQ","BEST_FPERIOD_OVERRIDE=FQ","FILING_STATUS=OR","FA_ADJUSTED=GAAP","Sort=A","Dates=H","DateFormat=P","Fill=—","Direction=H","UseDPDF=Y")</f>
        <v>0.95</v>
      </c>
      <c r="AL55" s="17">
        <f>_xll.BDH("XOM US Equity","IS_DILUTED_EPS","FQ2 2017","FQ2 2017","Currency=USD","Period=FQ","BEST_FPERIOD_OVERRIDE=FQ","FILING_STATUS=OR","FA_ADJUSTED=GAAP","Sort=A","Dates=H","DateFormat=P","Fill=—","Direction=H","UseDPDF=Y")</f>
        <v>0.78</v>
      </c>
      <c r="AM55" s="17">
        <f>_xll.BDH("XOM US Equity","IS_DILUTED_EPS","FQ3 2017","FQ3 2017","Currency=USD","Period=FQ","BEST_FPERIOD_OVERRIDE=FQ","FILING_STATUS=OR","FA_ADJUSTED=GAAP","Sort=A","Dates=H","DateFormat=P","Fill=—","Direction=H","UseDPDF=Y")</f>
        <v>0.93</v>
      </c>
      <c r="AN55" s="17">
        <f>_xll.BDH("XOM US Equity","IS_DILUTED_EPS","FQ4 2017","FQ4 2017","Currency=USD","Period=FQ","BEST_FPERIOD_OVERRIDE=FQ","FILING_STATUS=OR","FA_ADJUSTED=GAAP","Sort=A","Dates=H","DateFormat=P","Fill=—","Direction=H","UseDPDF=Y")</f>
        <v>1.97</v>
      </c>
      <c r="AO55" s="17">
        <f>_xll.BDH("XOM US Equity","IS_DILUTED_EPS","FQ1 2018","FQ1 2018","Currency=USD","Period=FQ","BEST_FPERIOD_OVERRIDE=FQ","FILING_STATUS=OR","FA_ADJUSTED=GAAP","Sort=A","Dates=H","DateFormat=P","Fill=—","Direction=H","UseDPDF=Y")</f>
        <v>1.0900000000000001</v>
      </c>
      <c r="AP55" s="17">
        <f>_xll.BDH("XOM US Equity","IS_DILUTED_EPS","FQ2 2018","FQ2 2018","Currency=USD","Period=FQ","BEST_FPERIOD_OVERRIDE=FQ","FILING_STATUS=OR","FA_ADJUSTED=GAAP","Sort=A","Dates=H","DateFormat=P","Fill=—","Direction=H","UseDPDF=Y")</f>
        <v>0.92</v>
      </c>
    </row>
    <row r="56" spans="1:42" x14ac:dyDescent="0.25">
      <c r="A56" s="6" t="s">
        <v>177</v>
      </c>
      <c r="B56" s="6" t="s">
        <v>178</v>
      </c>
      <c r="C56" s="17">
        <f>_xll.BDH("XOM US Equity","IS_DIL_EPS_BEF_XO","FQ3 2008","FQ3 2008","Currency=USD","Period=FQ","BEST_FPERIOD_OVERRIDE=FQ","FILING_STATUS=OR","Sort=A","Dates=H","DateFormat=P","Fill=—","Direction=H","UseDPDF=Y")</f>
        <v>2.86</v>
      </c>
      <c r="D56" s="17">
        <f>_xll.BDH("XOM US Equity","IS_DIL_EPS_BEF_XO","FQ4 2008","FQ4 2008","Currency=USD","Period=FQ","BEST_FPERIOD_OVERRIDE=FQ","FILING_STATUS=OR","Sort=A","Dates=H","DateFormat=P","Fill=—","Direction=H","UseDPDF=Y")</f>
        <v>1.55</v>
      </c>
      <c r="E56" s="17">
        <f>_xll.BDH("XOM US Equity","IS_DIL_EPS_BEF_XO","FQ1 2009","FQ1 2009","Currency=USD","Period=FQ","BEST_FPERIOD_OVERRIDE=FQ","FILING_STATUS=OR","Sort=A","Dates=H","DateFormat=P","Fill=—","Direction=H","UseDPDF=Y")</f>
        <v>0.92</v>
      </c>
      <c r="F56" s="17">
        <f>_xll.BDH("XOM US Equity","IS_DIL_EPS_BEF_XO","FQ2 2009","FQ2 2009","Currency=USD","Period=FQ","BEST_FPERIOD_OVERRIDE=FQ","FILING_STATUS=OR","Sort=A","Dates=H","DateFormat=P","Fill=—","Direction=H","UseDPDF=Y")</f>
        <v>0.81</v>
      </c>
      <c r="G56" s="17">
        <f>_xll.BDH("XOM US Equity","IS_DIL_EPS_BEF_XO","FQ3 2009","FQ3 2009","Currency=USD","Period=FQ","BEST_FPERIOD_OVERRIDE=FQ","FILING_STATUS=OR","Sort=A","Dates=H","DateFormat=P","Fill=—","Direction=H","UseDPDF=Y")</f>
        <v>0.98</v>
      </c>
      <c r="H56" s="17">
        <f>_xll.BDH("XOM US Equity","IS_DIL_EPS_BEF_XO","FQ4 2009","FQ4 2009","Currency=USD","Period=FQ","BEST_FPERIOD_OVERRIDE=FQ","FILING_STATUS=OR","Sort=A","Dates=H","DateFormat=P","Fill=—","Direction=H","UseDPDF=Y")</f>
        <v>1.27</v>
      </c>
      <c r="I56" s="17">
        <f>_xll.BDH("XOM US Equity","IS_DIL_EPS_BEF_XO","FQ1 2010","FQ1 2010","Currency=USD","Period=FQ","BEST_FPERIOD_OVERRIDE=FQ","FILING_STATUS=OR","Sort=A","Dates=H","DateFormat=P","Fill=—","Direction=H","UseDPDF=Y")</f>
        <v>1.33</v>
      </c>
      <c r="J56" s="17">
        <f>_xll.BDH("XOM US Equity","IS_DIL_EPS_BEF_XO","FQ2 2010","FQ2 2010","Currency=USD","Period=FQ","BEST_FPERIOD_OVERRIDE=FQ","FILING_STATUS=OR","Sort=A","Dates=H","DateFormat=P","Fill=—","Direction=H","UseDPDF=Y")</f>
        <v>1.6</v>
      </c>
      <c r="K56" s="17">
        <f>_xll.BDH("XOM US Equity","IS_DIL_EPS_BEF_XO","FQ3 2010","FQ3 2010","Currency=USD","Period=FQ","BEST_FPERIOD_OVERRIDE=FQ","FILING_STATUS=OR","Sort=A","Dates=H","DateFormat=P","Fill=—","Direction=H","UseDPDF=Y")</f>
        <v>1.44</v>
      </c>
      <c r="L56" s="17">
        <f>_xll.BDH("XOM US Equity","IS_DIL_EPS_BEF_XO","FQ4 2010","FQ4 2010","Currency=USD","Period=FQ","BEST_FPERIOD_OVERRIDE=FQ","FILING_STATUS=OR","Sort=A","Dates=H","DateFormat=P","Fill=—","Direction=H","UseDPDF=Y")</f>
        <v>1.85</v>
      </c>
      <c r="M56" s="17">
        <f>_xll.BDH("XOM US Equity","IS_DIL_EPS_BEF_XO","FQ1 2011","FQ1 2011","Currency=USD","Period=FQ","BEST_FPERIOD_OVERRIDE=FQ","FILING_STATUS=OR","Sort=A","Dates=H","DateFormat=P","Fill=—","Direction=H","UseDPDF=Y")</f>
        <v>2.14</v>
      </c>
      <c r="N56" s="17">
        <f>_xll.BDH("XOM US Equity","IS_DIL_EPS_BEF_XO","FQ2 2011","FQ2 2011","Currency=USD","Period=FQ","BEST_FPERIOD_OVERRIDE=FQ","FILING_STATUS=OR","Sort=A","Dates=H","DateFormat=P","Fill=—","Direction=H","UseDPDF=Y")</f>
        <v>2.1800000000000002</v>
      </c>
      <c r="O56" s="17">
        <f>_xll.BDH("XOM US Equity","IS_DIL_EPS_BEF_XO","FQ3 2011","FQ3 2011","Currency=USD","Period=FQ","BEST_FPERIOD_OVERRIDE=FQ","FILING_STATUS=OR","Sort=A","Dates=H","DateFormat=P","Fill=—","Direction=H","UseDPDF=Y")</f>
        <v>2.13</v>
      </c>
      <c r="P56" s="17">
        <f>_xll.BDH("XOM US Equity","IS_DIL_EPS_BEF_XO","FQ4 2011","FQ4 2011","Currency=USD","Period=FQ","BEST_FPERIOD_OVERRIDE=FQ","FILING_STATUS=OR","Sort=A","Dates=H","DateFormat=P","Fill=—","Direction=H","UseDPDF=Y")</f>
        <v>1.97</v>
      </c>
      <c r="Q56" s="17">
        <f>_xll.BDH("XOM US Equity","IS_DIL_EPS_BEF_XO","FQ1 2012","FQ1 2012","Currency=USD","Period=FQ","BEST_FPERIOD_OVERRIDE=FQ","FILING_STATUS=OR","Sort=A","Dates=H","DateFormat=P","Fill=—","Direction=H","UseDPDF=Y")</f>
        <v>2</v>
      </c>
      <c r="R56" s="17">
        <f>_xll.BDH("XOM US Equity","IS_DIL_EPS_BEF_XO","FQ2 2012","FQ2 2012","Currency=USD","Period=FQ","BEST_FPERIOD_OVERRIDE=FQ","FILING_STATUS=OR","Sort=A","Dates=H","DateFormat=P","Fill=—","Direction=H","UseDPDF=Y")</f>
        <v>3.41</v>
      </c>
      <c r="S56" s="17">
        <f>_xll.BDH("XOM US Equity","IS_DIL_EPS_BEF_XO","FQ3 2012","FQ3 2012","Currency=USD","Period=FQ","BEST_FPERIOD_OVERRIDE=FQ","FILING_STATUS=OR","Sort=A","Dates=H","DateFormat=P","Fill=—","Direction=H","UseDPDF=Y")</f>
        <v>2.09</v>
      </c>
      <c r="T56" s="17">
        <f>_xll.BDH("XOM US Equity","IS_DIL_EPS_BEF_XO","FQ4 2012","FQ4 2012","Currency=USD","Period=FQ","BEST_FPERIOD_OVERRIDE=FQ","FILING_STATUS=OR","Sort=A","Dates=H","DateFormat=P","Fill=—","Direction=H","UseDPDF=Y")</f>
        <v>2.2000000000000002</v>
      </c>
      <c r="U56" s="17">
        <f>_xll.BDH("XOM US Equity","IS_DIL_EPS_BEF_XO","FQ1 2013","FQ1 2013","Currency=USD","Period=FQ","BEST_FPERIOD_OVERRIDE=FQ","FILING_STATUS=OR","Sort=A","Dates=H","DateFormat=P","Fill=—","Direction=H","UseDPDF=Y")</f>
        <v>2.12</v>
      </c>
      <c r="V56" s="17">
        <f>_xll.BDH("XOM US Equity","IS_DIL_EPS_BEF_XO","FQ2 2013","FQ2 2013","Currency=USD","Period=FQ","BEST_FPERIOD_OVERRIDE=FQ","FILING_STATUS=OR","Sort=A","Dates=H","DateFormat=P","Fill=—","Direction=H","UseDPDF=Y")</f>
        <v>1.55</v>
      </c>
      <c r="W56" s="17">
        <f>_xll.BDH("XOM US Equity","IS_DIL_EPS_BEF_XO","FQ3 2013","FQ3 2013","Currency=USD","Period=FQ","BEST_FPERIOD_OVERRIDE=FQ","FILING_STATUS=OR","Sort=A","Dates=H","DateFormat=P","Fill=—","Direction=H","UseDPDF=Y")</f>
        <v>1.79</v>
      </c>
      <c r="X56" s="17">
        <f>_xll.BDH("XOM US Equity","IS_DIL_EPS_BEF_XO","FQ4 2013","FQ4 2013","Currency=USD","Period=FQ","BEST_FPERIOD_OVERRIDE=FQ","FILING_STATUS=OR","Sort=A","Dates=H","DateFormat=P","Fill=—","Direction=H","UseDPDF=Y")</f>
        <v>1.9100000000000001</v>
      </c>
      <c r="Y56" s="17">
        <f>_xll.BDH("XOM US Equity","IS_DIL_EPS_BEF_XO","FQ1 2014","FQ1 2014","Currency=USD","Period=FQ","BEST_FPERIOD_OVERRIDE=FQ","FILING_STATUS=OR","Sort=A","Dates=H","DateFormat=P","Fill=—","Direction=H","UseDPDF=Y")</f>
        <v>2.1</v>
      </c>
      <c r="Z56" s="17">
        <f>_xll.BDH("XOM US Equity","IS_DIL_EPS_BEF_XO","FQ2 2014","FQ2 2014","Currency=USD","Period=FQ","BEST_FPERIOD_OVERRIDE=FQ","FILING_STATUS=OR","Sort=A","Dates=H","DateFormat=P","Fill=—","Direction=H","UseDPDF=Y")</f>
        <v>2.0499999999999998</v>
      </c>
      <c r="AA56" s="17">
        <f>_xll.BDH("XOM US Equity","IS_DIL_EPS_BEF_XO","FQ3 2014","FQ3 2014","Currency=USD","Period=FQ","BEST_FPERIOD_OVERRIDE=FQ","FILING_STATUS=OR","Sort=A","Dates=H","DateFormat=P","Fill=—","Direction=H","UseDPDF=Y")</f>
        <v>1.8900000000000001</v>
      </c>
      <c r="AB56" s="17">
        <f>_xll.BDH("XOM US Equity","IS_DIL_EPS_BEF_XO","FQ4 2014","FQ4 2014","Currency=USD","Period=FQ","BEST_FPERIOD_OVERRIDE=FQ","FILING_STATUS=OR","Sort=A","Dates=H","DateFormat=P","Fill=—","Direction=H","UseDPDF=Y")</f>
        <v>1.56</v>
      </c>
      <c r="AC56" s="17">
        <f>_xll.BDH("XOM US Equity","IS_DIL_EPS_BEF_XO","FQ1 2015","FQ1 2015","Currency=USD","Period=FQ","BEST_FPERIOD_OVERRIDE=FQ","FILING_STATUS=OR","Sort=A","Dates=H","DateFormat=P","Fill=—","Direction=H","UseDPDF=Y")</f>
        <v>1.17</v>
      </c>
      <c r="AD56" s="17">
        <f>_xll.BDH("XOM US Equity","IS_DIL_EPS_BEF_XO","FQ2 2015","FQ2 2015","Currency=USD","Period=FQ","BEST_FPERIOD_OVERRIDE=FQ","FILING_STATUS=OR","Sort=A","Dates=H","DateFormat=P","Fill=—","Direction=H","UseDPDF=Y")</f>
        <v>1</v>
      </c>
      <c r="AE56" s="17">
        <f>_xll.BDH("XOM US Equity","IS_DIL_EPS_BEF_XO","FQ3 2015","FQ3 2015","Currency=USD","Period=FQ","BEST_FPERIOD_OVERRIDE=FQ","FILING_STATUS=OR","Sort=A","Dates=H","DateFormat=P","Fill=—","Direction=H","UseDPDF=Y")</f>
        <v>1.01</v>
      </c>
      <c r="AF56" s="17">
        <f>_xll.BDH("XOM US Equity","IS_DIL_EPS_BEF_XO","FQ4 2015","FQ4 2015","Currency=USD","Period=FQ","BEST_FPERIOD_OVERRIDE=FQ","FILING_STATUS=OR","Sort=A","Dates=H","DateFormat=P","Fill=—","Direction=H","UseDPDF=Y")</f>
        <v>0.67</v>
      </c>
      <c r="AG56" s="17">
        <f>_xll.BDH("XOM US Equity","IS_DIL_EPS_BEF_XO","FQ1 2016","FQ1 2016","Currency=USD","Period=FQ","BEST_FPERIOD_OVERRIDE=FQ","FILING_STATUS=OR","Sort=A","Dates=H","DateFormat=P","Fill=—","Direction=H","UseDPDF=Y")</f>
        <v>0.43</v>
      </c>
      <c r="AH56" s="17">
        <f>_xll.BDH("XOM US Equity","IS_DIL_EPS_BEF_XO","FQ2 2016","FQ2 2016","Currency=USD","Period=FQ","BEST_FPERIOD_OVERRIDE=FQ","FILING_STATUS=OR","Sort=A","Dates=H","DateFormat=P","Fill=—","Direction=H","UseDPDF=Y")</f>
        <v>0.41</v>
      </c>
      <c r="AI56" s="17">
        <f>_xll.BDH("XOM US Equity","IS_DIL_EPS_BEF_XO","FQ3 2016","FQ3 2016","Currency=USD","Period=FQ","BEST_FPERIOD_OVERRIDE=FQ","FILING_STATUS=OR","Sort=A","Dates=H","DateFormat=P","Fill=—","Direction=H","UseDPDF=Y")</f>
        <v>0.63</v>
      </c>
      <c r="AJ56" s="17">
        <f>_xll.BDH("XOM US Equity","IS_DIL_EPS_BEF_XO","FQ4 2016","FQ4 2016","Currency=USD","Period=FQ","BEST_FPERIOD_OVERRIDE=FQ","FILING_STATUS=OR","Sort=A","Dates=H","DateFormat=P","Fill=—","Direction=H","UseDPDF=Y")</f>
        <v>0.41</v>
      </c>
      <c r="AK56" s="17">
        <f>_xll.BDH("XOM US Equity","IS_DIL_EPS_BEF_XO","FQ1 2017","FQ1 2017","Currency=USD","Period=FQ","BEST_FPERIOD_OVERRIDE=FQ","FILING_STATUS=OR","Sort=A","Dates=H","DateFormat=P","Fill=—","Direction=H","UseDPDF=Y")</f>
        <v>0.95</v>
      </c>
      <c r="AL56" s="17">
        <f>_xll.BDH("XOM US Equity","IS_DIL_EPS_BEF_XO","FQ2 2017","FQ2 2017","Currency=USD","Period=FQ","BEST_FPERIOD_OVERRIDE=FQ","FILING_STATUS=OR","Sort=A","Dates=H","DateFormat=P","Fill=—","Direction=H","UseDPDF=Y")</f>
        <v>0.78</v>
      </c>
      <c r="AM56" s="17">
        <f>_xll.BDH("XOM US Equity","IS_DIL_EPS_BEF_XO","FQ3 2017","FQ3 2017","Currency=USD","Period=FQ","BEST_FPERIOD_OVERRIDE=FQ","FILING_STATUS=OR","Sort=A","Dates=H","DateFormat=P","Fill=—","Direction=H","UseDPDF=Y")</f>
        <v>0.93</v>
      </c>
      <c r="AN56" s="17">
        <f>_xll.BDH("XOM US Equity","IS_DIL_EPS_BEF_XO","FQ4 2017","FQ4 2017","Currency=USD","Period=FQ","BEST_FPERIOD_OVERRIDE=FQ","FILING_STATUS=OR","Sort=A","Dates=H","DateFormat=P","Fill=—","Direction=H","UseDPDF=Y")</f>
        <v>1.97</v>
      </c>
      <c r="AO56" s="17">
        <f>_xll.BDH("XOM US Equity","IS_DIL_EPS_BEF_XO","FQ1 2018","FQ1 2018","Currency=USD","Period=FQ","BEST_FPERIOD_OVERRIDE=FQ","FILING_STATUS=OR","Sort=A","Dates=H","DateFormat=P","Fill=—","Direction=H","UseDPDF=Y")</f>
        <v>1.0900000000000001</v>
      </c>
      <c r="AP56" s="17">
        <f>_xll.BDH("XOM US Equity","IS_DIL_EPS_BEF_XO","FQ2 2018","FQ2 2018","Currency=USD","Period=FQ","BEST_FPERIOD_OVERRIDE=FQ","FILING_STATUS=OR","Sort=A","Dates=H","DateFormat=P","Fill=—","Direction=H","UseDPDF=Y")</f>
        <v>0.92</v>
      </c>
    </row>
    <row r="57" spans="1:42" x14ac:dyDescent="0.25">
      <c r="A57" s="6" t="s">
        <v>179</v>
      </c>
      <c r="B57" s="6" t="s">
        <v>180</v>
      </c>
      <c r="C57" s="17">
        <f>_xll.BDH("XOM US Equity","IS_DIL_EPS_CONT_OPS","FQ3 2008","FQ3 2008","Currency=USD","Period=FQ","BEST_FPERIOD_OVERRIDE=FQ","FILING_STATUS=OR","Sort=A","Dates=H","DateFormat=P","Fill=—","Direction=H","UseDPDF=Y")</f>
        <v>2.59</v>
      </c>
      <c r="D57" s="17">
        <f>_xll.BDH("XOM US Equity","IS_DIL_EPS_CONT_OPS","FQ4 2008","FQ4 2008","Currency=USD","Period=FQ","BEST_FPERIOD_OVERRIDE=FQ","FILING_STATUS=OR","Sort=A","Dates=H","DateFormat=P","Fill=—","Direction=H","UseDPDF=Y")</f>
        <v>1.55</v>
      </c>
      <c r="E57" s="17">
        <f>_xll.BDH("XOM US Equity","IS_DIL_EPS_CONT_OPS","FQ1 2009","FQ1 2009","Currency=USD","Period=FQ","BEST_FPERIOD_OVERRIDE=FQ","FILING_STATUS=OR","Sort=A","Dates=H","DateFormat=P","Fill=—","Direction=H","UseDPDF=Y")</f>
        <v>0.92</v>
      </c>
      <c r="F57" s="17">
        <f>_xll.BDH("XOM US Equity","IS_DIL_EPS_CONT_OPS","FQ2 2009","FQ2 2009","Currency=USD","Period=FQ","BEST_FPERIOD_OVERRIDE=FQ","FILING_STATUS=OR","Sort=A","Dates=H","DateFormat=P","Fill=—","Direction=H","UseDPDF=Y")</f>
        <v>0.8387</v>
      </c>
      <c r="G57" s="17">
        <f>_xll.BDH("XOM US Equity","IS_DIL_EPS_CONT_OPS","FQ3 2009","FQ3 2009","Currency=USD","Period=FQ","BEST_FPERIOD_OVERRIDE=FQ","FILING_STATUS=OR","Sort=A","Dates=H","DateFormat=P","Fill=—","Direction=H","UseDPDF=Y")</f>
        <v>0.98</v>
      </c>
      <c r="H57" s="17">
        <f>_xll.BDH("XOM US Equity","IS_DIL_EPS_CONT_OPS","FQ4 2009","FQ4 2009","Currency=USD","Period=FQ","BEST_FPERIOD_OVERRIDE=FQ","FILING_STATUS=OR","Sort=A","Dates=H","DateFormat=P","Fill=—","Direction=H","UseDPDF=Y")</f>
        <v>1.27</v>
      </c>
      <c r="I57" s="17">
        <f>_xll.BDH("XOM US Equity","IS_DIL_EPS_CONT_OPS","FQ1 2010","FQ1 2010","Currency=USD","Period=FQ","BEST_FPERIOD_OVERRIDE=FQ","FILING_STATUS=OR","Sort=A","Dates=H","DateFormat=P","Fill=—","Direction=H","UseDPDF=Y")</f>
        <v>1.3721999999999999</v>
      </c>
      <c r="J57" s="17">
        <f>_xll.BDH("XOM US Equity","IS_DIL_EPS_CONT_OPS","FQ2 2010","FQ2 2010","Currency=USD","Period=FQ","BEST_FPERIOD_OVERRIDE=FQ","FILING_STATUS=OR","Sort=A","Dates=H","DateFormat=P","Fill=—","Direction=H","UseDPDF=Y")</f>
        <v>1.6865999999999999</v>
      </c>
      <c r="K57" s="17">
        <f>_xll.BDH("XOM US Equity","IS_DIL_EPS_CONT_OPS","FQ3 2010","FQ3 2010","Currency=USD","Period=FQ","BEST_FPERIOD_OVERRIDE=FQ","FILING_STATUS=OR","Sort=A","Dates=H","DateFormat=P","Fill=—","Direction=H","UseDPDF=Y")</f>
        <v>1.4403000000000001</v>
      </c>
      <c r="L57" s="17">
        <f>_xll.BDH("XOM US Equity","IS_DIL_EPS_CONT_OPS","FQ4 2010","FQ4 2010","Currency=USD","Period=FQ","BEST_FPERIOD_OVERRIDE=FQ","FILING_STATUS=OR","Sort=A","Dates=H","DateFormat=P","Fill=—","Direction=H","UseDPDF=Y")</f>
        <v>1.8500999999999999</v>
      </c>
      <c r="M57" s="17">
        <f>_xll.BDH("XOM US Equity","IS_DIL_EPS_CONT_OPS","FQ1 2011","FQ1 2011","Currency=USD","Period=FQ","BEST_FPERIOD_OVERRIDE=FQ","FILING_STATUS=OR","Sort=A","Dates=H","DateFormat=P","Fill=—","Direction=H","UseDPDF=Y")</f>
        <v>2.14</v>
      </c>
      <c r="N57" s="17">
        <f>_xll.BDH("XOM US Equity","IS_DIL_EPS_CONT_OPS","FQ2 2011","FQ2 2011","Currency=USD","Period=FQ","BEST_FPERIOD_OVERRIDE=FQ","FILING_STATUS=OR","Sort=A","Dates=H","DateFormat=P","Fill=—","Direction=H","UseDPDF=Y")</f>
        <v>2.1800000000000002</v>
      </c>
      <c r="O57" s="17">
        <f>_xll.BDH("XOM US Equity","IS_DIL_EPS_CONT_OPS","FQ3 2011","FQ3 2011","Currency=USD","Period=FQ","BEST_FPERIOD_OVERRIDE=FQ","FILING_STATUS=OR","Sort=A","Dates=H","DateFormat=P","Fill=—","Direction=H","UseDPDF=Y")</f>
        <v>2.13</v>
      </c>
      <c r="P57" s="17">
        <f>_xll.BDH("XOM US Equity","IS_DIL_EPS_CONT_OPS","FQ4 2011","FQ4 2011","Currency=USD","Period=FQ","BEST_FPERIOD_OVERRIDE=FQ","FILING_STATUS=OR","Sort=A","Dates=H","DateFormat=P","Fill=—","Direction=H","UseDPDF=Y")</f>
        <v>1.97</v>
      </c>
      <c r="Q57" s="17">
        <f>_xll.BDH("XOM US Equity","IS_DIL_EPS_CONT_OPS","FQ1 2012","FQ1 2012","Currency=USD","Period=FQ","BEST_FPERIOD_OVERRIDE=FQ","FILING_STATUS=OR","Sort=A","Dates=H","DateFormat=P","Fill=—","Direction=H","UseDPDF=Y")</f>
        <v>2</v>
      </c>
      <c r="R57" s="17">
        <f>_xll.BDH("XOM US Equity","IS_DIL_EPS_CONT_OPS","FQ2 2012","FQ2 2012","Currency=USD","Period=FQ","BEST_FPERIOD_OVERRIDE=FQ","FILING_STATUS=OR","Sort=A","Dates=H","DateFormat=P","Fill=—","Direction=H","UseDPDF=Y")</f>
        <v>1.7991999999999999</v>
      </c>
      <c r="S57" s="17">
        <f>_xll.BDH("XOM US Equity","IS_DIL_EPS_CONT_OPS","FQ3 2012","FQ3 2012","Currency=USD","Period=FQ","BEST_FPERIOD_OVERRIDE=FQ","FILING_STATUS=OR","Sort=A","Dates=H","DateFormat=P","Fill=—","Direction=H","UseDPDF=Y")</f>
        <v>2.09</v>
      </c>
      <c r="T57" s="17">
        <f>_xll.BDH("XOM US Equity","IS_DIL_EPS_CONT_OPS","FQ4 2012","FQ4 2012","Currency=USD","Period=FQ","BEST_FPERIOD_OVERRIDE=FQ","FILING_STATUS=OR","Sort=A","Dates=H","DateFormat=P","Fill=—","Direction=H","UseDPDF=Y")</f>
        <v>2.0672999999999999</v>
      </c>
      <c r="U57" s="17">
        <f>_xll.BDH("XOM US Equity","IS_DIL_EPS_CONT_OPS","FQ1 2013","FQ1 2013","Currency=USD","Period=FQ","BEST_FPERIOD_OVERRIDE=FQ","FILING_STATUS=OR","Sort=A","Dates=H","DateFormat=P","Fill=—","Direction=H","UseDPDF=Y")</f>
        <v>2.12</v>
      </c>
      <c r="V57" s="17">
        <f>_xll.BDH("XOM US Equity","IS_DIL_EPS_CONT_OPS","FQ2 2013","FQ2 2013","Currency=USD","Period=FQ","BEST_FPERIOD_OVERRIDE=FQ","FILING_STATUS=OR","Sort=A","Dates=H","DateFormat=P","Fill=—","Direction=H","UseDPDF=Y")</f>
        <v>1.55</v>
      </c>
      <c r="W57" s="17">
        <f>_xll.BDH("XOM US Equity","IS_DIL_EPS_CONT_OPS","FQ3 2013","FQ3 2013","Currency=USD","Period=FQ","BEST_FPERIOD_OVERRIDE=FQ","FILING_STATUS=OR","Sort=A","Dates=H","DateFormat=P","Fill=—","Direction=H","UseDPDF=Y")</f>
        <v>1.79</v>
      </c>
      <c r="X57" s="17">
        <f>_xll.BDH("XOM US Equity","IS_DIL_EPS_CONT_OPS","FQ4 2013","FQ4 2013","Currency=USD","Period=FQ","BEST_FPERIOD_OVERRIDE=FQ","FILING_STATUS=OR","Sort=A","Dates=H","DateFormat=P","Fill=—","Direction=H","UseDPDF=Y")</f>
        <v>1.9100000000000001</v>
      </c>
      <c r="Y57" s="17">
        <f>_xll.BDH("XOM US Equity","IS_DIL_EPS_CONT_OPS","FQ1 2014","FQ1 2014","Currency=USD","Period=FQ","BEST_FPERIOD_OVERRIDE=FQ","FILING_STATUS=OR","Sort=A","Dates=H","DateFormat=P","Fill=—","Direction=H","UseDPDF=Y")</f>
        <v>2.1</v>
      </c>
      <c r="Z57" s="17">
        <f>_xll.BDH("XOM US Equity","IS_DIL_EPS_CONT_OPS","FQ2 2014","FQ2 2014","Currency=USD","Period=FQ","BEST_FPERIOD_OVERRIDE=FQ","FILING_STATUS=OR","Sort=A","Dates=H","DateFormat=P","Fill=—","Direction=H","UseDPDF=Y")</f>
        <v>2.0499999999999998</v>
      </c>
      <c r="AA57" s="17">
        <f>_xll.BDH("XOM US Equity","IS_DIL_EPS_CONT_OPS","FQ3 2014","FQ3 2014","Currency=USD","Period=FQ","BEST_FPERIOD_OVERRIDE=FQ","FILING_STATUS=OR","Sort=A","Dates=H","DateFormat=P","Fill=—","Direction=H","UseDPDF=Y")</f>
        <v>1.8900000000000001</v>
      </c>
      <c r="AB57" s="17">
        <f>_xll.BDH("XOM US Equity","IS_DIL_EPS_CONT_OPS","FQ4 2014","FQ4 2014","Currency=USD","Period=FQ","BEST_FPERIOD_OVERRIDE=FQ","FILING_STATUS=OR","Sort=A","Dates=H","DateFormat=P","Fill=—","Direction=H","UseDPDF=Y")</f>
        <v>1.4878</v>
      </c>
      <c r="AC57" s="17">
        <f>_xll.BDH("XOM US Equity","IS_DIL_EPS_CONT_OPS","FQ1 2015","FQ1 2015","Currency=USD","Period=FQ","BEST_FPERIOD_OVERRIDE=FQ","FILING_STATUS=OR","Sort=A","Dates=H","DateFormat=P","Fill=—","Direction=H","UseDPDF=Y")</f>
        <v>1.17</v>
      </c>
      <c r="AD57" s="17">
        <f>_xll.BDH("XOM US Equity","IS_DIL_EPS_CONT_OPS","FQ2 2015","FQ2 2015","Currency=USD","Period=FQ","BEST_FPERIOD_OVERRIDE=FQ","FILING_STATUS=OR","Sort=A","Dates=H","DateFormat=P","Fill=—","Direction=H","UseDPDF=Y")</f>
        <v>1</v>
      </c>
      <c r="AE57" s="17">
        <f>_xll.BDH("XOM US Equity","IS_DIL_EPS_CONT_OPS","FQ3 2015","FQ3 2015","Currency=USD","Period=FQ","BEST_FPERIOD_OVERRIDE=FQ","FILING_STATUS=OR","Sort=A","Dates=H","DateFormat=P","Fill=—","Direction=H","UseDPDF=Y")</f>
        <v>1.01</v>
      </c>
      <c r="AF57" s="17">
        <f>_xll.BDH("XOM US Equity","IS_DIL_EPS_CONT_OPS","FQ4 2015","FQ4 2015","Currency=USD","Period=FQ","BEST_FPERIOD_OVERRIDE=FQ","FILING_STATUS=OR","Sort=A","Dates=H","DateFormat=P","Fill=—","Direction=H","UseDPDF=Y")</f>
        <v>0.67</v>
      </c>
      <c r="AG57" s="17">
        <f>_xll.BDH("XOM US Equity","IS_DIL_EPS_CONT_OPS","FQ1 2016","FQ1 2016","Currency=USD","Period=FQ","BEST_FPERIOD_OVERRIDE=FQ","FILING_STATUS=OR","Sort=A","Dates=H","DateFormat=P","Fill=—","Direction=H","UseDPDF=Y")</f>
        <v>0.43</v>
      </c>
      <c r="AH57" s="17">
        <f>_xll.BDH("XOM US Equity","IS_DIL_EPS_CONT_OPS","FQ2 2016","FQ2 2016","Currency=USD","Period=FQ","BEST_FPERIOD_OVERRIDE=FQ","FILING_STATUS=OR","Sort=A","Dates=H","DateFormat=P","Fill=—","Direction=H","UseDPDF=Y")</f>
        <v>0.41</v>
      </c>
      <c r="AI57" s="17">
        <f>_xll.BDH("XOM US Equity","IS_DIL_EPS_CONT_OPS","FQ3 2016","FQ3 2016","Currency=USD","Period=FQ","BEST_FPERIOD_OVERRIDE=FQ","FILING_STATUS=OR","Sort=A","Dates=H","DateFormat=P","Fill=—","Direction=H","UseDPDF=Y")</f>
        <v>0.63</v>
      </c>
      <c r="AJ57" s="17">
        <f>_xll.BDH("XOM US Equity","IS_DIL_EPS_CONT_OPS","FQ4 2016","FQ4 2016","Currency=USD","Period=FQ","BEST_FPERIOD_OVERRIDE=FQ","FILING_STATUS=OR","Sort=A","Dates=H","DateFormat=P","Fill=—","Direction=H","UseDPDF=Y")</f>
        <v>0.88770000000000004</v>
      </c>
      <c r="AK57" s="17">
        <f>_xll.BDH("XOM US Equity","IS_DIL_EPS_CONT_OPS","FQ1 2017","FQ1 2017","Currency=USD","Period=FQ","BEST_FPERIOD_OVERRIDE=FQ","FILING_STATUS=OR","Sort=A","Dates=H","DateFormat=P","Fill=—","Direction=H","UseDPDF=Y")</f>
        <v>0.95</v>
      </c>
      <c r="AL57" s="17">
        <f>_xll.BDH("XOM US Equity","IS_DIL_EPS_CONT_OPS","FQ2 2017","FQ2 2017","Currency=USD","Period=FQ","BEST_FPERIOD_OVERRIDE=FQ","FILING_STATUS=OR","Sort=A","Dates=H","DateFormat=P","Fill=—","Direction=H","UseDPDF=Y")</f>
        <v>0.78</v>
      </c>
      <c r="AM57" s="17">
        <f>_xll.BDH("XOM US Equity","IS_DIL_EPS_CONT_OPS","FQ3 2017","FQ3 2017","Currency=USD","Period=FQ","BEST_FPERIOD_OVERRIDE=FQ","FILING_STATUS=OR","Sort=A","Dates=H","DateFormat=P","Fill=—","Direction=H","UseDPDF=Y")</f>
        <v>0.93</v>
      </c>
      <c r="AN57" s="17">
        <f>_xll.BDH("XOM US Equity","IS_DIL_EPS_CONT_OPS","FQ4 2017","FQ4 2017","Currency=USD","Period=FQ","BEST_FPERIOD_OVERRIDE=FQ","FILING_STATUS=OR","Sort=A","Dates=H","DateFormat=P","Fill=—","Direction=H","UseDPDF=Y")</f>
        <v>0.874</v>
      </c>
      <c r="AO57" s="17">
        <f>_xll.BDH("XOM US Equity","IS_DIL_EPS_CONT_OPS","FQ1 2018","FQ1 2018","Currency=USD","Period=FQ","BEST_FPERIOD_OVERRIDE=FQ","FILING_STATUS=OR","Sort=A","Dates=H","DateFormat=P","Fill=—","Direction=H","UseDPDF=Y")</f>
        <v>1.0900000000000001</v>
      </c>
      <c r="AP57" s="17">
        <f>_xll.BDH("XOM US Equity","IS_DIL_EPS_CONT_OPS","FQ2 2018","FQ2 2018","Currency=USD","Period=FQ","BEST_FPERIOD_OVERRIDE=FQ","FILING_STATUS=OR","Sort=A","Dates=H","DateFormat=P","Fill=—","Direction=H","UseDPDF=Y")</f>
        <v>0.92</v>
      </c>
    </row>
    <row r="58" spans="1:42" x14ac:dyDescent="0.25">
      <c r="A58" s="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x14ac:dyDescent="0.25">
      <c r="A59" s="6" t="s">
        <v>3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2" x14ac:dyDescent="0.25">
      <c r="A60" s="10" t="s">
        <v>181</v>
      </c>
      <c r="B60" s="10" t="s">
        <v>182</v>
      </c>
      <c r="C60" s="12" t="s">
        <v>183</v>
      </c>
      <c r="D60" s="12" t="s">
        <v>183</v>
      </c>
      <c r="E60" s="12" t="s">
        <v>183</v>
      </c>
      <c r="F60" s="12" t="s">
        <v>183</v>
      </c>
      <c r="G60" s="12" t="s">
        <v>183</v>
      </c>
      <c r="H60" s="12" t="s">
        <v>183</v>
      </c>
      <c r="I60" s="12" t="s">
        <v>183</v>
      </c>
      <c r="J60" s="12" t="s">
        <v>183</v>
      </c>
      <c r="K60" s="12" t="s">
        <v>183</v>
      </c>
      <c r="L60" s="12" t="s">
        <v>183</v>
      </c>
      <c r="M60" s="12" t="s">
        <v>183</v>
      </c>
      <c r="N60" s="12" t="s">
        <v>183</v>
      </c>
      <c r="O60" s="12" t="s">
        <v>183</v>
      </c>
      <c r="P60" s="12" t="s">
        <v>183</v>
      </c>
      <c r="Q60" s="12" t="s">
        <v>183</v>
      </c>
      <c r="R60" s="12" t="s">
        <v>183</v>
      </c>
      <c r="S60" s="12" t="s">
        <v>183</v>
      </c>
      <c r="T60" s="12" t="s">
        <v>183</v>
      </c>
      <c r="U60" s="12" t="s">
        <v>183</v>
      </c>
      <c r="V60" s="12" t="s">
        <v>183</v>
      </c>
      <c r="W60" s="12" t="s">
        <v>183</v>
      </c>
      <c r="X60" s="12" t="s">
        <v>183</v>
      </c>
      <c r="Y60" s="12" t="s">
        <v>183</v>
      </c>
      <c r="Z60" s="12" t="s">
        <v>183</v>
      </c>
      <c r="AA60" s="12" t="s">
        <v>183</v>
      </c>
      <c r="AB60" s="12" t="s">
        <v>183</v>
      </c>
      <c r="AC60" s="12" t="s">
        <v>183</v>
      </c>
      <c r="AD60" s="12" t="s">
        <v>183</v>
      </c>
      <c r="AE60" s="12" t="s">
        <v>183</v>
      </c>
      <c r="AF60" s="12" t="s">
        <v>183</v>
      </c>
      <c r="AG60" s="12" t="s">
        <v>183</v>
      </c>
      <c r="AH60" s="12" t="s">
        <v>183</v>
      </c>
      <c r="AI60" s="12" t="s">
        <v>183</v>
      </c>
      <c r="AJ60" s="12" t="s">
        <v>183</v>
      </c>
      <c r="AK60" s="12" t="s">
        <v>183</v>
      </c>
      <c r="AL60" s="12" t="s">
        <v>183</v>
      </c>
      <c r="AM60" s="12" t="s">
        <v>183</v>
      </c>
      <c r="AN60" s="12" t="s">
        <v>183</v>
      </c>
      <c r="AO60" s="12" t="s">
        <v>183</v>
      </c>
      <c r="AP60" s="12" t="s">
        <v>183</v>
      </c>
    </row>
    <row r="61" spans="1:42" x14ac:dyDescent="0.25">
      <c r="A61" s="10" t="s">
        <v>184</v>
      </c>
      <c r="B61" s="10" t="s">
        <v>184</v>
      </c>
      <c r="C61" s="13">
        <f>_xll.BDH("XOM US Equity","EBITDA","FQ3 2008","FQ3 2008","Currency=USD","Period=FQ","BEST_FPERIOD_OVERRIDE=FQ","FILING_STATUS=OR","SCALING_FORMAT=MLN","FA_ADJUSTED=Adjusted","Sort=A","Dates=H","DateFormat=P","Fill=—","Direction=H","UseDPDF=Y")</f>
        <v>24367</v>
      </c>
      <c r="D61" s="13">
        <f>_xll.BDH("XOM US Equity","EBITDA","FQ4 2008","FQ4 2008","Currency=USD","Period=FQ","BEST_FPERIOD_OVERRIDE=FQ","FILING_STATUS=OR","SCALING_FORMAT=MLN","FA_ADJUSTED=Adjusted","Sort=A","Dates=H","DateFormat=P","Fill=—","Direction=H","UseDPDF=Y")</f>
        <v>12071</v>
      </c>
      <c r="E61" s="13">
        <f>_xll.BDH("XOM US Equity","EBITDA","FQ1 2009","FQ1 2009","Currency=USD","Period=FQ","BEST_FPERIOD_OVERRIDE=FQ","FILING_STATUS=OR","SCALING_FORMAT=MLN","FA_ADJUSTED=Adjusted","Sort=A","Dates=H","DateFormat=P","Fill=—","Direction=H","UseDPDF=Y")</f>
        <v>8850</v>
      </c>
      <c r="F61" s="13">
        <f>_xll.BDH("XOM US Equity","EBITDA","FQ2 2009","FQ2 2009","Currency=USD","Period=FQ","BEST_FPERIOD_OVERRIDE=FQ","FILING_STATUS=OR","SCALING_FORMAT=MLN","FA_ADJUSTED=Adjusted","Sort=A","Dates=H","DateFormat=P","Fill=—","Direction=H","UseDPDF=Y")</f>
        <v>8574</v>
      </c>
      <c r="G61" s="13">
        <f>_xll.BDH("XOM US Equity","EBITDA","FQ3 2009","FQ3 2009","Currency=USD","Period=FQ","BEST_FPERIOD_OVERRIDE=FQ","FILING_STATUS=OR","SCALING_FORMAT=MLN","FA_ADJUSTED=Adjusted","Sort=A","Dates=H","DateFormat=P","Fill=—","Direction=H","UseDPDF=Y")</f>
        <v>10023</v>
      </c>
      <c r="H61" s="13">
        <f>_xll.BDH("XOM US Equity","EBITDA","FQ4 2009","FQ4 2009","Currency=USD","Period=FQ","BEST_FPERIOD_OVERRIDE=FQ","FILING_STATUS=OR","SCALING_FORMAT=MLN","FA_ADJUSTED=Adjusted","Sort=A","Dates=H","DateFormat=P","Fill=—","Direction=H","UseDPDF=Y")</f>
        <v>10709</v>
      </c>
      <c r="I61" s="13">
        <f>_xll.BDH("XOM US Equity","EBITDA","FQ1 2010","FQ1 2010","Currency=USD","Period=FQ","BEST_FPERIOD_OVERRIDE=FQ","FILING_STATUS=OR","SCALING_FORMAT=MLN","FA_ADJUSTED=Adjusted","Sort=A","Dates=H","DateFormat=P","Fill=—","Direction=H","UseDPDF=Y")</f>
        <v>12189</v>
      </c>
      <c r="J61" s="13">
        <f>_xll.BDH("XOM US Equity","EBITDA","FQ2 2010","FQ2 2010","Currency=USD","Period=FQ","BEST_FPERIOD_OVERRIDE=FQ","FILING_STATUS=OR","SCALING_FORMAT=MLN","FA_ADJUSTED=Adjusted","Sort=A","Dates=H","DateFormat=P","Fill=—","Direction=H","UseDPDF=Y")</f>
        <v>13334</v>
      </c>
      <c r="K61" s="13">
        <f>_xll.BDH("XOM US Equity","EBITDA","FQ3 2010","FQ3 2010","Currency=USD","Period=FQ","BEST_FPERIOD_OVERRIDE=FQ","FILING_STATUS=OR","SCALING_FORMAT=MLN","FA_ADJUSTED=Adjusted","Sort=A","Dates=H","DateFormat=P","Fill=—","Direction=H","UseDPDF=Y")</f>
        <v>13813</v>
      </c>
      <c r="L61" s="13">
        <f>_xll.BDH("XOM US Equity","EBITDA","FQ4 2010","FQ4 2010","Currency=USD","Period=FQ","BEST_FPERIOD_OVERRIDE=FQ","FILING_STATUS=OR","SCALING_FORMAT=MLN","FA_ADJUSTED=Adjusted","Sort=A","Dates=H","DateFormat=P","Fill=—","Direction=H","UseDPDF=Y")</f>
        <v>15564</v>
      </c>
      <c r="M61" s="13">
        <f>_xll.BDH("XOM US Equity","EBITDA","FQ1 2011","FQ1 2011","Currency=USD","Period=FQ","BEST_FPERIOD_OVERRIDE=FQ","FILING_STATUS=OR","SCALING_FORMAT=MLN","FA_ADJUSTED=Adjusted","Sort=A","Dates=H","DateFormat=P","Fill=—","Direction=H","UseDPDF=Y")</f>
        <v>17954</v>
      </c>
      <c r="N61" s="13">
        <f>_xll.BDH("XOM US Equity","EBITDA","FQ2 2011","FQ2 2011","Currency=USD","Period=FQ","BEST_FPERIOD_OVERRIDE=FQ","FILING_STATUS=OR","SCALING_FORMAT=MLN","FA_ADJUSTED=Adjusted","Sort=A","Dates=H","DateFormat=P","Fill=—","Direction=H","UseDPDF=Y")</f>
        <v>18453</v>
      </c>
      <c r="O61" s="13">
        <f>_xll.BDH("XOM US Equity","EBITDA","FQ3 2011","FQ3 2011","Currency=USD","Period=FQ","BEST_FPERIOD_OVERRIDE=FQ","FILING_STATUS=OR","SCALING_FORMAT=MLN","FA_ADJUSTED=Adjusted","Sort=A","Dates=H","DateFormat=P","Fill=—","Direction=H","UseDPDF=Y")</f>
        <v>17789</v>
      </c>
      <c r="P61" s="13">
        <f>_xll.BDH("XOM US Equity","EBITDA","FQ4 2011","FQ4 2011","Currency=USD","Period=FQ","BEST_FPERIOD_OVERRIDE=FQ","FILING_STATUS=OR","SCALING_FORMAT=MLN","FA_ADJUSTED=Adjusted","Sort=A","Dates=H","DateFormat=P","Fill=—","Direction=H","UseDPDF=Y")</f>
        <v>15491</v>
      </c>
      <c r="Q61" s="13">
        <f>_xll.BDH("XOM US Equity","EBITDA","FQ1 2012","FQ1 2012","Currency=USD","Period=FQ","BEST_FPERIOD_OVERRIDE=FQ","FILING_STATUS=OR","SCALING_FORMAT=MLN","FA_ADJUSTED=Adjusted","Sort=A","Dates=H","DateFormat=P","Fill=—","Direction=H","UseDPDF=Y")</f>
        <v>16600</v>
      </c>
      <c r="R61" s="13">
        <f>_xll.BDH("XOM US Equity","EBITDA","FQ2 2012","FQ2 2012","Currency=USD","Period=FQ","BEST_FPERIOD_OVERRIDE=FQ","FILING_STATUS=OR","SCALING_FORMAT=MLN","FA_ADJUSTED=Adjusted","Sort=A","Dates=H","DateFormat=P","Fill=—","Direction=H","UseDPDF=Y")</f>
        <v>5522</v>
      </c>
      <c r="S61" s="13">
        <f>_xll.BDH("XOM US Equity","EBITDA","FQ3 2012","FQ3 2012","Currency=USD","Period=FQ","BEST_FPERIOD_OVERRIDE=FQ","FILING_STATUS=OR","SCALING_FORMAT=MLN","FA_ADJUSTED=Adjusted","Sort=A","Dates=H","DateFormat=P","Fill=—","Direction=H","UseDPDF=Y")</f>
        <v>17264</v>
      </c>
      <c r="T61" s="13">
        <f>_xll.BDH("XOM US Equity","EBITDA","FQ4 2012","FQ4 2012","Currency=USD","Period=FQ","BEST_FPERIOD_OVERRIDE=FQ","FILING_STATUS=OR","SCALING_FORMAT=MLN","FA_ADJUSTED=Adjusted","Sort=A","Dates=H","DateFormat=P","Fill=—","Direction=H","UseDPDF=Y")</f>
        <v>15459.9231</v>
      </c>
      <c r="U61" s="13">
        <f>_xll.BDH("XOM US Equity","EBITDA","FQ1 2013","FQ1 2013","Currency=USD","Period=FQ","BEST_FPERIOD_OVERRIDE=FQ","FILING_STATUS=OR","SCALING_FORMAT=MLN","FA_ADJUSTED=Adjusted","Sort=A","Dates=H","DateFormat=P","Fill=—","Direction=H","UseDPDF=Y")</f>
        <v>15193</v>
      </c>
      <c r="V61" s="13">
        <f>_xll.BDH("XOM US Equity","EBITDA","FQ2 2013","FQ2 2013","Currency=USD","Period=FQ","BEST_FPERIOD_OVERRIDE=FQ","FILING_STATUS=OR","SCALING_FORMAT=MLN","FA_ADJUSTED=Adjusted","Sort=A","Dates=H","DateFormat=P","Fill=—","Direction=H","UseDPDF=Y")</f>
        <v>13642</v>
      </c>
      <c r="W61" s="13">
        <f>_xll.BDH("XOM US Equity","EBITDA","FQ3 2013","FQ3 2013","Currency=USD","Period=FQ","BEST_FPERIOD_OVERRIDE=FQ","FILING_STATUS=OR","SCALING_FORMAT=MLN","FA_ADJUSTED=Adjusted","Sort=A","Dates=H","DateFormat=P","Fill=—","Direction=H","UseDPDF=Y")</f>
        <v>14546</v>
      </c>
      <c r="X61" s="13">
        <f>_xll.BDH("XOM US Equity","EBITDA","FQ4 2013","FQ4 2013","Currency=USD","Period=FQ","BEST_FPERIOD_OVERRIDE=FQ","FILING_STATUS=OR","SCALING_FORMAT=MLN","FA_ADJUSTED=Adjusted","Sort=A","Dates=H","DateFormat=P","Fill=—","Direction=H","UseDPDF=Y")</f>
        <v>14102</v>
      </c>
      <c r="Y61" s="13">
        <f>_xll.BDH("XOM US Equity","EBITDA","FQ1 2014","FQ1 2014","Currency=USD","Period=FQ","BEST_FPERIOD_OVERRIDE=FQ","FILING_STATUS=OR","SCALING_FORMAT=MLN","FA_ADJUSTED=Adjusted","Sort=A","Dates=H","DateFormat=P","Fill=—","Direction=H","UseDPDF=Y")</f>
        <v>14472</v>
      </c>
      <c r="Z61" s="13">
        <f>_xll.BDH("XOM US Equity","EBITDA","FQ2 2014","FQ2 2014","Currency=USD","Period=FQ","BEST_FPERIOD_OVERRIDE=FQ","FILING_STATUS=OR","SCALING_FORMAT=MLN","FA_ADJUSTED=Adjusted","Sort=A","Dates=H","DateFormat=P","Fill=—","Direction=H","UseDPDF=Y")</f>
        <v>13011</v>
      </c>
      <c r="AA61" s="13">
        <f>_xll.BDH("XOM US Equity","EBITDA","FQ3 2014","FQ3 2014","Currency=USD","Period=FQ","BEST_FPERIOD_OVERRIDE=FQ","FILING_STATUS=OR","SCALING_FORMAT=MLN","FA_ADJUSTED=Adjusted","Sort=A","Dates=H","DateFormat=P","Fill=—","Direction=H","UseDPDF=Y")</f>
        <v>13936</v>
      </c>
      <c r="AB61" s="13">
        <f>_xll.BDH("XOM US Equity","EBITDA","FQ4 2014","FQ4 2014","Currency=USD","Period=FQ","BEST_FPERIOD_OVERRIDE=FQ","FILING_STATUS=OR","SCALING_FORMAT=MLN","FA_ADJUSTED=Adjusted","Sort=A","Dates=H","DateFormat=P","Fill=—","Direction=H","UseDPDF=Y")</f>
        <v>9546.1538</v>
      </c>
      <c r="AC61" s="13">
        <f>_xll.BDH("XOM US Equity","EBITDA","FQ1 2015","FQ1 2015","Currency=USD","Period=FQ","BEST_FPERIOD_OVERRIDE=FQ","FILING_STATUS=OR","SCALING_FORMAT=MLN","FA_ADJUSTED=Adjusted","Sort=A","Dates=H","DateFormat=P","Fill=—","Direction=H","UseDPDF=Y")</f>
        <v>8163</v>
      </c>
      <c r="AD61" s="13">
        <f>_xll.BDH("XOM US Equity","EBITDA","FQ2 2015","FQ2 2015","Currency=USD","Period=FQ","BEST_FPERIOD_OVERRIDE=FQ","FILING_STATUS=OR","SCALING_FORMAT=MLN","FA_ADJUSTED=Adjusted","Sort=A","Dates=H","DateFormat=P","Fill=—","Direction=H","UseDPDF=Y")</f>
        <v>8737</v>
      </c>
      <c r="AE61" s="13">
        <f>_xll.BDH("XOM US Equity","EBITDA","FQ3 2015","FQ3 2015","Currency=USD","Period=FQ","BEST_FPERIOD_OVERRIDE=FQ","FILING_STATUS=OR","SCALING_FORMAT=MLN","FA_ADJUSTED=Adjusted","Sort=A","Dates=H","DateFormat=P","Fill=—","Direction=H","UseDPDF=Y")</f>
        <v>8704</v>
      </c>
      <c r="AF61" s="13">
        <f>_xll.BDH("XOM US Equity","EBITDA","FQ4 2015","FQ4 2015","Currency=USD","Period=FQ","BEST_FPERIOD_OVERRIDE=FQ","FILING_STATUS=OR","SCALING_FORMAT=MLN","FA_ADJUSTED=Adjusted","Sort=A","Dates=H","DateFormat=P","Fill=—","Direction=H","UseDPDF=Y")</f>
        <v>5327</v>
      </c>
      <c r="AG61" s="13">
        <f>_xll.BDH("XOM US Equity","EBITDA","FQ1 2016","FQ1 2016","Currency=USD","Period=FQ","BEST_FPERIOD_OVERRIDE=FQ","FILING_STATUS=OR","SCALING_FORMAT=MLN","FA_ADJUSTED=Adjusted","Sort=A","Dates=H","DateFormat=P","Fill=—","Direction=H","UseDPDF=Y")</f>
        <v>4970</v>
      </c>
      <c r="AH61" s="13">
        <f>_xll.BDH("XOM US Equity","EBITDA","FQ2 2016","FQ2 2016","Currency=USD","Period=FQ","BEST_FPERIOD_OVERRIDE=FQ","FILING_STATUS=OR","SCALING_FORMAT=MLN","FA_ADJUSTED=Adjusted","Sort=A","Dates=H","DateFormat=P","Fill=—","Direction=H","UseDPDF=Y")</f>
        <v>5958</v>
      </c>
      <c r="AI61" s="13">
        <f>_xll.BDH("XOM US Equity","EBITDA","FQ3 2016","FQ3 2016","Currency=USD","Period=FQ","BEST_FPERIOD_OVERRIDE=FQ","FILING_STATUS=OR","SCALING_FORMAT=MLN","FA_ADJUSTED=Adjusted","Sort=A","Dates=H","DateFormat=P","Fill=—","Direction=H","UseDPDF=Y")</f>
        <v>6027</v>
      </c>
      <c r="AJ61" s="13">
        <f>_xll.BDH("XOM US Equity","EBITDA","FQ4 2016","FQ4 2016","Currency=USD","Period=FQ","BEST_FPERIOD_OVERRIDE=FQ","FILING_STATUS=OR","SCALING_FORMAT=MLN","FA_ADJUSTED=Adjusted","Sort=A","Dates=H","DateFormat=P","Fill=—","Direction=H","UseDPDF=Y")</f>
        <v>8316</v>
      </c>
      <c r="AK61" s="13">
        <f>_xll.BDH("XOM US Equity","EBITDA","FQ1 2017","FQ1 2017","Currency=USD","Period=FQ","BEST_FPERIOD_OVERRIDE=FQ","FILING_STATUS=OR","SCALING_FORMAT=MLN","FA_ADJUSTED=Adjusted","Sort=A","Dates=H","DateFormat=P","Fill=—","Direction=H","UseDPDF=Y")</f>
        <v>8386</v>
      </c>
      <c r="AL61" s="13">
        <f>_xll.BDH("XOM US Equity","EBITDA","FQ2 2017","FQ2 2017","Currency=USD","Period=FQ","BEST_FPERIOD_OVERRIDE=FQ","FILING_STATUS=OR","SCALING_FORMAT=MLN","FA_ADJUSTED=Adjusted","Sort=A","Dates=H","DateFormat=P","Fill=—","Direction=H","UseDPDF=Y")</f>
        <v>6915</v>
      </c>
      <c r="AM61" s="13">
        <f>_xll.BDH("XOM US Equity","EBITDA","FQ3 2017","FQ3 2017","Currency=USD","Period=FQ","BEST_FPERIOD_OVERRIDE=FQ","FILING_STATUS=OR","SCALING_FORMAT=MLN","FA_ADJUSTED=Adjusted","Sort=A","Dates=H","DateFormat=P","Fill=—","Direction=H","UseDPDF=Y")</f>
        <v>8824</v>
      </c>
      <c r="AN61" s="13">
        <f>_xll.BDH("XOM US Equity","EBITDA","FQ4 2017","FQ4 2017","Currency=USD","Period=FQ","BEST_FPERIOD_OVERRIDE=FQ","FILING_STATUS=OR","SCALING_FORMAT=MLN","FA_ADJUSTED=Adjusted","Sort=A","Dates=H","DateFormat=P","Fill=—","Direction=H","UseDPDF=Y")</f>
        <v>9832.7692000000006</v>
      </c>
      <c r="AO61" s="13">
        <f>_xll.BDH("XOM US Equity","EBITDA","FQ1 2018","FQ1 2018","Currency=USD","Period=FQ","BEST_FPERIOD_OVERRIDE=FQ","FILING_STATUS=OR","SCALING_FORMAT=MLN","FA_ADJUSTED=Adjusted","Sort=A","Dates=H","DateFormat=P","Fill=—","Direction=H","UseDPDF=Y")</f>
        <v>9476</v>
      </c>
      <c r="AP61" s="13">
        <f>_xll.BDH("XOM US Equity","EBITDA","FQ2 2018","FQ2 2018","Currency=USD","Period=FQ","BEST_FPERIOD_OVERRIDE=FQ","FILING_STATUS=OR","SCALING_FORMAT=MLN","FA_ADJUSTED=Adjusted","Sort=A","Dates=H","DateFormat=P","Fill=—","Direction=H","UseDPDF=Y")</f>
        <v>9203</v>
      </c>
    </row>
    <row r="62" spans="1:42" x14ac:dyDescent="0.25">
      <c r="A62" s="10" t="s">
        <v>185</v>
      </c>
      <c r="B62" s="10" t="s">
        <v>186</v>
      </c>
      <c r="C62" s="14">
        <f>_xll.BDH("XOM US Equity","EBITDA_MARGIN","FQ3 2008","FQ3 2008","Currency=USD","Period=FQ","BEST_FPERIOD_OVERRIDE=FQ","FILING_STATUS=OR","FA_ADJUSTED=Adjusted","Sort=A","Dates=H","DateFormat=P","Fill=—","Direction=H","UseDPDF=Y")</f>
        <v>18.723600000000001</v>
      </c>
      <c r="D62" s="14">
        <f>_xll.BDH("XOM US Equity","EBITDA_MARGIN","FQ4 2008","FQ4 2008","Currency=USD","Period=FQ","BEST_FPERIOD_OVERRIDE=FQ","FILING_STATUS=OR","FA_ADJUSTED=Adjusted","Sort=A","Dates=H","DateFormat=P","Fill=—","Direction=H","UseDPDF=Y")</f>
        <v>18.507300000000001</v>
      </c>
      <c r="E62" s="14">
        <f>_xll.BDH("XOM US Equity","EBITDA_MARGIN","FQ1 2009","FQ1 2009","Currency=USD","Period=FQ","BEST_FPERIOD_OVERRIDE=FQ","FILING_STATUS=OR","FA_ADJUSTED=Adjusted","Sort=A","Dates=H","DateFormat=P","Fill=—","Direction=H","UseDPDF=Y")</f>
        <v>17.694500000000001</v>
      </c>
      <c r="F62" s="14">
        <f>_xll.BDH("XOM US Equity","EBITDA_MARGIN","FQ2 2009","FQ2 2009","Currency=USD","Period=FQ","BEST_FPERIOD_OVERRIDE=FQ","FILING_STATUS=OR","FA_ADJUSTED=Adjusted","Sort=A","Dates=H","DateFormat=P","Fill=—","Direction=H","UseDPDF=Y")</f>
        <v>16.926300000000001</v>
      </c>
      <c r="G62" s="14">
        <f>_xll.BDH("XOM US Equity","EBITDA_MARGIN","FQ3 2009","FQ3 2009","Currency=USD","Period=FQ","BEST_FPERIOD_OVERRIDE=FQ","FILING_STATUS=OR","FA_ADJUSTED=Adjusted","Sort=A","Dates=H","DateFormat=P","Fill=—","Direction=H","UseDPDF=Y")</f>
        <v>14.704800000000001</v>
      </c>
      <c r="H62" s="14">
        <f>_xll.BDH("XOM US Equity","EBITDA_MARGIN","FQ4 2009","FQ4 2009","Currency=USD","Period=FQ","BEST_FPERIOD_OVERRIDE=FQ","FILING_STATUS=OR","FA_ADJUSTED=Adjusted","Sort=A","Dates=H","DateFormat=P","Fill=—","Direction=H","UseDPDF=Y")</f>
        <v>13.846500000000001</v>
      </c>
      <c r="I62" s="14">
        <f>_xll.BDH("XOM US Equity","EBITDA_MARGIN","FQ1 2010","FQ1 2010","Currency=USD","Period=FQ","BEST_FPERIOD_OVERRIDE=FQ","FILING_STATUS=OR","FA_ADJUSTED=Adjusted","Sort=A","Dates=H","DateFormat=P","Fill=—","Direction=H","UseDPDF=Y")</f>
        <v>13.851800000000001</v>
      </c>
      <c r="J62" s="14">
        <f>_xll.BDH("XOM US Equity","EBITDA_MARGIN","FQ2 2010","FQ2 2010","Currency=USD","Period=FQ","BEST_FPERIOD_OVERRIDE=FQ","FILING_STATUS=OR","FA_ADJUSTED=Adjusted","Sort=A","Dates=H","DateFormat=P","Fill=—","Direction=H","UseDPDF=Y")</f>
        <v>14.621</v>
      </c>
      <c r="K62" s="14">
        <f>_xll.BDH("XOM US Equity","EBITDA_MARGIN","FQ3 2010","FQ3 2010","Currency=USD","Period=FQ","BEST_FPERIOD_OVERRIDE=FQ","FILING_STATUS=OR","FA_ADJUSTED=Adjusted","Sort=A","Dates=H","DateFormat=P","Fill=—","Direction=H","UseDPDF=Y")</f>
        <v>15.245699999999999</v>
      </c>
      <c r="L62" s="14">
        <f>_xll.BDH("XOM US Equity","EBITDA_MARGIN","FQ4 2010","FQ4 2010","Currency=USD","Period=FQ","BEST_FPERIOD_OVERRIDE=FQ","FILING_STATUS=OR","FA_ADJUSTED=Adjusted","Sort=A","Dates=H","DateFormat=P","Fill=—","Direction=H","UseDPDF=Y")</f>
        <v>16.072500000000002</v>
      </c>
      <c r="M62" s="14">
        <f>_xll.BDH("XOM US Equity","EBITDA_MARGIN","FQ1 2011","FQ1 2011","Currency=USD","Period=FQ","BEST_FPERIOD_OVERRIDE=FQ","FILING_STATUS=OR","FA_ADJUSTED=Adjusted","Sort=A","Dates=H","DateFormat=P","Fill=—","Direction=H","UseDPDF=Y")</f>
        <v>16.726400000000002</v>
      </c>
      <c r="N62" s="14">
        <f>_xll.BDH("XOM US Equity","EBITDA_MARGIN","FQ2 2011","FQ2 2011","Currency=USD","Period=FQ","BEST_FPERIOD_OVERRIDE=FQ","FILING_STATUS=OR","FA_ADJUSTED=Adjusted","Sort=A","Dates=H","DateFormat=P","Fill=—","Direction=H","UseDPDF=Y")</f>
        <v>16.750699999999998</v>
      </c>
      <c r="O62" s="14">
        <f>_xll.BDH("XOM US Equity","EBITDA_MARGIN","FQ3 2011","FQ3 2011","Currency=USD","Period=FQ","BEST_FPERIOD_OVERRIDE=FQ","FILING_STATUS=OR","FA_ADJUSTED=Adjusted","Sort=A","Dates=H","DateFormat=P","Fill=—","Direction=H","UseDPDF=Y")</f>
        <v>16.6279</v>
      </c>
      <c r="P62" s="14">
        <f>_xll.BDH("XOM US Equity","EBITDA_MARGIN","FQ4 2011","FQ4 2011","Currency=USD","Period=FQ","BEST_FPERIOD_OVERRIDE=FQ","FILING_STATUS=OR","FA_ADJUSTED=Adjusted","Sort=A","Dates=H","DateFormat=P","Fill=—","Direction=H","UseDPDF=Y")</f>
        <v>16.0745</v>
      </c>
      <c r="Q62" s="14">
        <f>_xll.BDH("XOM US Equity","EBITDA_MARGIN","FQ1 2012","FQ1 2012","Currency=USD","Period=FQ","BEST_FPERIOD_OVERRIDE=FQ","FILING_STATUS=OR","FA_ADJUSTED=Adjusted","Sort=A","Dates=H","DateFormat=P","Fill=—","Direction=H","UseDPDF=Y")</f>
        <v>15.429</v>
      </c>
      <c r="R62" s="14">
        <f>_xll.BDH("XOM US Equity","EBITDA_MARGIN","FQ2 2012","FQ2 2012","Currency=USD","Period=FQ","BEST_FPERIOD_OVERRIDE=FQ","FILING_STATUS=OR","FA_ADJUSTED=Adjusted","Sort=A","Dates=H","DateFormat=P","Fill=—","Direction=H","UseDPDF=Y")</f>
        <v>12.741199999999999</v>
      </c>
      <c r="S62" s="14">
        <f>_xll.BDH("XOM US Equity","EBITDA_MARGIN","FQ3 2012","FQ3 2012","Currency=USD","Period=FQ","BEST_FPERIOD_OVERRIDE=FQ","FILING_STATUS=OR","FA_ADJUSTED=Adjusted","Sort=A","Dates=H","DateFormat=P","Fill=—","Direction=H","UseDPDF=Y")</f>
        <v>12.8744</v>
      </c>
      <c r="T62" s="14">
        <f>_xll.BDH("XOM US Equity","EBITDA_MARGIN","FQ4 2012","FQ4 2012","Currency=USD","Period=FQ","BEST_FPERIOD_OVERRIDE=FQ","FILING_STATUS=OR","FA_ADJUSTED=Adjusted","Sort=A","Dates=H","DateFormat=P","Fill=—","Direction=H","UseDPDF=Y")</f>
        <v>13.0687</v>
      </c>
      <c r="U62" s="14">
        <f>_xll.BDH("XOM US Equity","EBITDA_MARGIN","FQ1 2013","FQ1 2013","Currency=USD","Period=FQ","BEST_FPERIOD_OVERRIDE=FQ","FILING_STATUS=OR","FA_ADJUSTED=Adjusted","Sort=A","Dates=H","DateFormat=P","Fill=—","Direction=H","UseDPDF=Y")</f>
        <v>13.1845</v>
      </c>
      <c r="V62" s="14">
        <f>_xll.BDH("XOM US Equity","EBITDA_MARGIN","FQ2 2013","FQ2 2013","Currency=USD","Period=FQ","BEST_FPERIOD_OVERRIDE=FQ","FILING_STATUS=OR","FA_ADJUSTED=Adjusted","Sort=A","Dates=H","DateFormat=P","Fill=—","Direction=H","UseDPDF=Y")</f>
        <v>15.549200000000001</v>
      </c>
      <c r="W62" s="14">
        <f>_xll.BDH("XOM US Equity","EBITDA_MARGIN","FQ3 2013","FQ3 2013","Currency=USD","Period=FQ","BEST_FPERIOD_OVERRIDE=FQ","FILING_STATUS=OR","FA_ADJUSTED=Adjusted","Sort=A","Dates=H","DateFormat=P","Fill=—","Direction=H","UseDPDF=Y")</f>
        <v>14.9437</v>
      </c>
      <c r="X62" s="14">
        <f>_xll.BDH("XOM US Equity","EBITDA_MARGIN","FQ4 2013","FQ4 2013","Currency=USD","Period=FQ","BEST_FPERIOD_OVERRIDE=FQ","FILING_STATUS=OR","FA_ADJUSTED=Adjusted","Sort=A","Dates=H","DateFormat=P","Fill=—","Direction=H","UseDPDF=Y")</f>
        <v>14.712899999999999</v>
      </c>
      <c r="Y62" s="14">
        <f>_xll.BDH("XOM US Equity","EBITDA_MARGIN","FQ1 2014","FQ1 2014","Currency=USD","Period=FQ","BEST_FPERIOD_OVERRIDE=FQ","FILING_STATUS=OR","FA_ADJUSTED=Adjusted","Sort=A","Dates=H","DateFormat=P","Fill=—","Direction=H","UseDPDF=Y")</f>
        <v>14.6028</v>
      </c>
      <c r="Z62" s="14">
        <f>_xll.BDH("XOM US Equity","EBITDA_MARGIN","FQ2 2014","FQ2 2014","Currency=USD","Period=FQ","BEST_FPERIOD_OVERRIDE=FQ","FILING_STATUS=OR","FA_ADJUSTED=Adjusted","Sort=A","Dates=H","DateFormat=P","Fill=—","Direction=H","UseDPDF=Y")</f>
        <v>14.354100000000001</v>
      </c>
      <c r="AA62" s="14">
        <f>_xll.BDH("XOM US Equity","EBITDA_MARGIN","FQ3 2014","FQ3 2014","Currency=USD","Period=FQ","BEST_FPERIOD_OVERRIDE=FQ","FILING_STATUS=OR","FA_ADJUSTED=Adjusted","Sort=A","Dates=H","DateFormat=P","Fill=—","Direction=H","UseDPDF=Y")</f>
        <v>14.3782</v>
      </c>
      <c r="AB62" s="14">
        <f>_xll.BDH("XOM US Equity","EBITDA_MARGIN","FQ4 2014","FQ4 2014","Currency=USD","Period=FQ","BEST_FPERIOD_OVERRIDE=FQ","FILING_STATUS=OR","FA_ADJUSTED=Adjusted","Sort=A","Dates=H","DateFormat=P","Fill=—","Direction=H","UseDPDF=Y")</f>
        <v>14.020099999999999</v>
      </c>
      <c r="AC62" s="14">
        <f>_xll.BDH("XOM US Equity","EBITDA_MARGIN","FQ1 2015","FQ1 2015","Currency=USD","Period=FQ","BEST_FPERIOD_OVERRIDE=FQ","FILING_STATUS=OR","FA_ADJUSTED=Adjusted","Sort=A","Dates=H","DateFormat=P","Fill=—","Direction=H","UseDPDF=Y")</f>
        <v>13.579599999999999</v>
      </c>
      <c r="AD62" s="14">
        <f>_xll.BDH("XOM US Equity","EBITDA_MARGIN","FQ2 2015","FQ2 2015","Currency=USD","Period=FQ","BEST_FPERIOD_OVERRIDE=FQ","FILING_STATUS=OR","FA_ADJUSTED=Adjusted","Sort=A","Dates=H","DateFormat=P","Fill=—","Direction=H","UseDPDF=Y")</f>
        <v>13.6244</v>
      </c>
      <c r="AE62" s="14">
        <f>_xll.BDH("XOM US Equity","EBITDA_MARGIN","FQ3 2015","FQ3 2015","Currency=USD","Period=FQ","BEST_FPERIOD_OVERRIDE=FQ","FILING_STATUS=OR","FA_ADJUSTED=Adjusted","Sort=A","Dates=H","DateFormat=P","Fill=—","Direction=H","UseDPDF=Y")</f>
        <v>13.4895</v>
      </c>
      <c r="AF62" s="14">
        <f>_xll.BDH("XOM US Equity","EBITDA_MARGIN","FQ4 2015","FQ4 2015","Currency=USD","Period=FQ","BEST_FPERIOD_OVERRIDE=FQ","FILING_STATUS=OR","FA_ADJUSTED=Adjusted","Sort=A","Dates=H","DateFormat=P","Fill=—","Direction=H","UseDPDF=Y")</f>
        <v>13.061500000000001</v>
      </c>
      <c r="AG62" s="14">
        <f>_xll.BDH("XOM US Equity","EBITDA_MARGIN","FQ1 2016","FQ1 2016","Currency=USD","Period=FQ","BEST_FPERIOD_OVERRIDE=FQ","FILING_STATUS=OR","FA_ADJUSTED=Adjusted","Sort=A","Dates=H","DateFormat=P","Fill=—","Direction=H","UseDPDF=Y")</f>
        <v>12.615500000000001</v>
      </c>
      <c r="AH62" s="14">
        <f>_xll.BDH("XOM US Equity","EBITDA_MARGIN","FQ2 2016","FQ2 2016","Currency=USD","Period=FQ","BEST_FPERIOD_OVERRIDE=FQ","FILING_STATUS=OR","FA_ADJUSTED=Adjusted","Sort=A","Dates=H","DateFormat=P","Fill=—","Direction=H","UseDPDF=Y")</f>
        <v>12.151299999999999</v>
      </c>
      <c r="AI62" s="14">
        <f>_xll.BDH("XOM US Equity","EBITDA_MARGIN","FQ3 2016","FQ3 2016","Currency=USD","Period=FQ","BEST_FPERIOD_OVERRIDE=FQ","FILING_STATUS=OR","FA_ADJUSTED=Adjusted","Sort=A","Dates=H","DateFormat=P","Fill=—","Direction=H","UseDPDF=Y")</f>
        <v>11.3184</v>
      </c>
      <c r="AJ62" s="14">
        <f>_xll.BDH("XOM US Equity","EBITDA_MARGIN","FQ4 2016","FQ4 2016","Currency=USD","Period=FQ","BEST_FPERIOD_OVERRIDE=FQ","FILING_STATUS=OR","FA_ADJUSTED=Adjusted","Sort=A","Dates=H","DateFormat=P","Fill=—","Direction=H","UseDPDF=Y")</f>
        <v>12.7943</v>
      </c>
      <c r="AK62" s="14">
        <f>_xll.BDH("XOM US Equity","EBITDA_MARGIN","FQ1 2017","FQ1 2017","Currency=USD","Period=FQ","BEST_FPERIOD_OVERRIDE=FQ","FILING_STATUS=OR","FA_ADJUSTED=Adjusted","Sort=A","Dates=H","DateFormat=P","Fill=—","Direction=H","UseDPDF=Y")</f>
        <v>13.9666</v>
      </c>
      <c r="AL62" s="14">
        <f>_xll.BDH("XOM US Equity","EBITDA_MARGIN","FQ2 2017","FQ2 2017","Currency=USD","Period=FQ","BEST_FPERIOD_OVERRIDE=FQ","FILING_STATUS=OR","FA_ADJUSTED=Adjusted","Sort=A","Dates=H","DateFormat=P","Fill=—","Direction=H","UseDPDF=Y")</f>
        <v>14.2521</v>
      </c>
      <c r="AM62" s="14">
        <f>_xll.BDH("XOM US Equity","EBITDA_MARGIN","FQ3 2017","FQ3 2017","Currency=USD","Period=FQ","BEST_FPERIOD_OVERRIDE=FQ","FILING_STATUS=OR","FA_ADJUSTED=Adjusted","Sort=A","Dates=H","DateFormat=P","Fill=—","Direction=H","UseDPDF=Y")</f>
        <v>14.979800000000001</v>
      </c>
      <c r="AN62" s="14">
        <f>_xll.BDH("XOM US Equity","EBITDA_MARGIN","FQ4 2017","FQ4 2017","Currency=USD","Period=FQ","BEST_FPERIOD_OVERRIDE=FQ","FILING_STATUS=OR","FA_ADJUSTED=Adjusted","Sort=A","Dates=H","DateFormat=P","Fill=—","Direction=H","UseDPDF=Y")</f>
        <v>14.451000000000001</v>
      </c>
      <c r="AO62" s="14">
        <f>_xll.BDH("XOM US Equity","EBITDA_MARGIN","FQ1 2018","FQ1 2018","Currency=USD","Period=FQ","BEST_FPERIOD_OVERRIDE=FQ","FILING_STATUS=OR","FA_ADJUSTED=Adjusted","Sort=A","Dates=H","DateFormat=P","Fill=—","Direction=H","UseDPDF=Y")</f>
        <v>14.2165</v>
      </c>
      <c r="AP62" s="14">
        <f>_xll.BDH("XOM US Equity","EBITDA_MARGIN","FQ2 2018","FQ2 2018","Currency=USD","Period=FQ","BEST_FPERIOD_OVERRIDE=FQ","FILING_STATUS=OR","FA_ADJUSTED=Adjusted","Sort=A","Dates=H","DateFormat=P","Fill=—","Direction=H","UseDPDF=Y")</f>
        <v>14.252599999999999</v>
      </c>
    </row>
    <row r="63" spans="1:42" x14ac:dyDescent="0.25">
      <c r="A63" s="10" t="s">
        <v>187</v>
      </c>
      <c r="B63" s="10" t="s">
        <v>187</v>
      </c>
      <c r="C63" s="13">
        <f>_xll.BDH("XOM US Equity","EBITA","FQ3 2008","FQ3 2008","Currency=USD","Period=FQ","BEST_FPERIOD_OVERRIDE=FQ","FILING_STATUS=OR","SCALING_FORMAT=MLN","FA_ADJUSTED=Adjusted","Sort=A","Dates=H","DateFormat=P","Fill=—","Direction=H","UseDPDF=Y")</f>
        <v>21359</v>
      </c>
      <c r="D63" s="13">
        <f>_xll.BDH("XOM US Equity","EBITA","FQ4 2008","FQ4 2008","Currency=USD","Period=FQ","BEST_FPERIOD_OVERRIDE=FQ","FILING_STATUS=OR","SCALING_FORMAT=MLN","FA_ADJUSTED=Adjusted","Sort=A","Dates=H","DateFormat=P","Fill=—","Direction=H","UseDPDF=Y")</f>
        <v>8894</v>
      </c>
      <c r="E63" s="13">
        <f>_xll.BDH("XOM US Equity","EBITA","FQ1 2009","FQ1 2009","Currency=USD","Period=FQ","BEST_FPERIOD_OVERRIDE=FQ","FILING_STATUS=OR","SCALING_FORMAT=MLN","FA_ADJUSTED=Adjusted","Sort=A","Dates=H","DateFormat=P","Fill=—","Direction=H","UseDPDF=Y")</f>
        <v>6057</v>
      </c>
      <c r="F63" s="13">
        <f>_xll.BDH("XOM US Equity","EBITA","FQ2 2009","FQ2 2009","Currency=USD","Period=FQ","BEST_FPERIOD_OVERRIDE=FQ","FILING_STATUS=OR","SCALING_FORMAT=MLN","FA_ADJUSTED=Adjusted","Sort=A","Dates=H","DateFormat=P","Fill=—","Direction=H","UseDPDF=Y")</f>
        <v>5570</v>
      </c>
      <c r="G63" s="13">
        <f>_xll.BDH("XOM US Equity","EBITA","FQ3 2009","FQ3 2009","Currency=USD","Period=FQ","BEST_FPERIOD_OVERRIDE=FQ","FILING_STATUS=OR","SCALING_FORMAT=MLN","FA_ADJUSTED=Adjusted","Sort=A","Dates=H","DateFormat=P","Fill=—","Direction=H","UseDPDF=Y")</f>
        <v>7096</v>
      </c>
      <c r="H63" s="13">
        <f>_xll.BDH("XOM US Equity","EBITA","FQ4 2009","FQ4 2009","Currency=USD","Period=FQ","BEST_FPERIOD_OVERRIDE=FQ","FILING_STATUS=OR","SCALING_FORMAT=MLN","FA_ADJUSTED=Adjusted","Sort=A","Dates=H","DateFormat=P","Fill=—","Direction=H","UseDPDF=Y")</f>
        <v>7516</v>
      </c>
      <c r="I63" s="13">
        <f>_xll.BDH("XOM US Equity","EBITA","FQ1 2010","FQ1 2010","Currency=USD","Period=FQ","BEST_FPERIOD_OVERRIDE=FQ","FILING_STATUS=OR","SCALING_FORMAT=MLN","FA_ADJUSTED=Adjusted","Sort=A","Dates=H","DateFormat=P","Fill=—","Direction=H","UseDPDF=Y")</f>
        <v>8909</v>
      </c>
      <c r="J63" s="13">
        <f>_xll.BDH("XOM US Equity","EBITA","FQ2 2010","FQ2 2010","Currency=USD","Period=FQ","BEST_FPERIOD_OVERRIDE=FQ","FILING_STATUS=OR","SCALING_FORMAT=MLN","FA_ADJUSTED=Adjusted","Sort=A","Dates=H","DateFormat=P","Fill=—","Direction=H","UseDPDF=Y")</f>
        <v>9968</v>
      </c>
      <c r="K63" s="13">
        <f>_xll.BDH("XOM US Equity","EBITA","FQ3 2010","FQ3 2010","Currency=USD","Period=FQ","BEST_FPERIOD_OVERRIDE=FQ","FILING_STATUS=OR","SCALING_FORMAT=MLN","FA_ADJUSTED=Adjusted","Sort=A","Dates=H","DateFormat=P","Fill=—","Direction=H","UseDPDF=Y")</f>
        <v>9969</v>
      </c>
      <c r="L63" s="13">
        <f>_xll.BDH("XOM US Equity","EBITA","FQ4 2010","FQ4 2010","Currency=USD","Period=FQ","BEST_FPERIOD_OVERRIDE=FQ","FILING_STATUS=OR","SCALING_FORMAT=MLN","FA_ADJUSTED=Adjusted","Sort=A","Dates=H","DateFormat=P","Fill=—","Direction=H","UseDPDF=Y")</f>
        <v>11294</v>
      </c>
      <c r="M63" s="13">
        <f>_xll.BDH("XOM US Equity","EBITA","FQ1 2011","FQ1 2011","Currency=USD","Period=FQ","BEST_FPERIOD_OVERRIDE=FQ","FILING_STATUS=OR","SCALING_FORMAT=MLN","FA_ADJUSTED=Adjusted","Sort=A","Dates=H","DateFormat=P","Fill=—","Direction=H","UseDPDF=Y")</f>
        <v>14193</v>
      </c>
      <c r="N63" s="13">
        <f>_xll.BDH("XOM US Equity","EBITA","FQ2 2011","FQ2 2011","Currency=USD","Period=FQ","BEST_FPERIOD_OVERRIDE=FQ","FILING_STATUS=OR","SCALING_FORMAT=MLN","FA_ADJUSTED=Adjusted","Sort=A","Dates=H","DateFormat=P","Fill=—","Direction=H","UseDPDF=Y")</f>
        <v>14572</v>
      </c>
      <c r="O63" s="13">
        <f>_xll.BDH("XOM US Equity","EBITA","FQ3 2011","FQ3 2011","Currency=USD","Period=FQ","BEST_FPERIOD_OVERRIDE=FQ","FILING_STATUS=OR","SCALING_FORMAT=MLN","FA_ADJUSTED=Adjusted","Sort=A","Dates=H","DateFormat=P","Fill=—","Direction=H","UseDPDF=Y")</f>
        <v>13923</v>
      </c>
      <c r="P63" s="13">
        <f>_xll.BDH("XOM US Equity","EBITA","FQ4 2011","FQ4 2011","Currency=USD","Period=FQ","BEST_FPERIOD_OVERRIDE=FQ","FILING_STATUS=OR","SCALING_FORMAT=MLN","FA_ADJUSTED=Adjusted","Sort=A","Dates=H","DateFormat=P","Fill=—","Direction=H","UseDPDF=Y")</f>
        <v>11416</v>
      </c>
      <c r="Q63" s="13">
        <f>_xll.BDH("XOM US Equity","EBITA","FQ1 2012","FQ1 2012","Currency=USD","Period=FQ","BEST_FPERIOD_OVERRIDE=FQ","FILING_STATUS=OR","SCALING_FORMAT=MLN","FA_ADJUSTED=Adjusted","Sort=A","Dates=H","DateFormat=P","Fill=—","Direction=H","UseDPDF=Y")</f>
        <v>12758</v>
      </c>
      <c r="R63" s="13">
        <f>_xll.BDH("XOM US Equity","EBITA","FQ2 2012","FQ2 2012","Currency=USD","Period=FQ","BEST_FPERIOD_OVERRIDE=FQ","FILING_STATUS=OR","SCALING_FORMAT=MLN","FA_ADJUSTED=Adjusted","Sort=A","Dates=H","DateFormat=P","Fill=—","Direction=H","UseDPDF=Y")</f>
        <v>1623</v>
      </c>
      <c r="S63" s="13">
        <f>_xll.BDH("XOM US Equity","EBITA","FQ3 2012","FQ3 2012","Currency=USD","Period=FQ","BEST_FPERIOD_OVERRIDE=FQ","FILING_STATUS=OR","SCALING_FORMAT=MLN","FA_ADJUSTED=Adjusted","Sort=A","Dates=H","DateFormat=P","Fill=—","Direction=H","UseDPDF=Y")</f>
        <v>13227</v>
      </c>
      <c r="T63" s="13">
        <f>_xll.BDH("XOM US Equity","EBITA","FQ4 2012","FQ4 2012","Currency=USD","Period=FQ","BEST_FPERIOD_OVERRIDE=FQ","FILING_STATUS=OR","SCALING_FORMAT=MLN","FA_ADJUSTED=Adjusted","Sort=A","Dates=H","DateFormat=P","Fill=—","Direction=H","UseDPDF=Y")</f>
        <v>11349.9231</v>
      </c>
      <c r="U63" s="13">
        <f>_xll.BDH("XOM US Equity","EBITA","FQ1 2013","FQ1 2013","Currency=USD","Period=FQ","BEST_FPERIOD_OVERRIDE=FQ","FILING_STATUS=OR","SCALING_FORMAT=MLN","FA_ADJUSTED=Adjusted","Sort=A","Dates=H","DateFormat=P","Fill=—","Direction=H","UseDPDF=Y")</f>
        <v>11093</v>
      </c>
      <c r="V63" s="13">
        <f>_xll.BDH("XOM US Equity","EBITA","FQ2 2013","FQ2 2013","Currency=USD","Period=FQ","BEST_FPERIOD_OVERRIDE=FQ","FILING_STATUS=OR","SCALING_FORMAT=MLN","FA_ADJUSTED=Adjusted","Sort=A","Dates=H","DateFormat=P","Fill=—","Direction=H","UseDPDF=Y")</f>
        <v>13342</v>
      </c>
      <c r="W63" s="13">
        <f>_xll.BDH("XOM US Equity","EBITA","FQ3 2013","FQ3 2013","Currency=USD","Period=FQ","BEST_FPERIOD_OVERRIDE=FQ","FILING_STATUS=OR","SCALING_FORMAT=MLN","FA_ADJUSTED=Adjusted","Sort=A","Dates=H","DateFormat=P","Fill=—","Direction=H","UseDPDF=Y")</f>
        <v>10259</v>
      </c>
      <c r="X63" s="13">
        <f>_xll.BDH("XOM US Equity","EBITA","FQ4 2013","FQ4 2013","Currency=USD","Period=FQ","BEST_FPERIOD_OVERRIDE=FQ","FILING_STATUS=OR","SCALING_FORMAT=MLN","FA_ADJUSTED=Adjusted","Sort=A","Dates=H","DateFormat=P","Fill=—","Direction=H","UseDPDF=Y")</f>
        <v>9722</v>
      </c>
      <c r="Y63" s="13">
        <f>_xll.BDH("XOM US Equity","EBITA","FQ1 2014","FQ1 2014","Currency=USD","Period=FQ","BEST_FPERIOD_OVERRIDE=FQ","FILING_STATUS=OR","SCALING_FORMAT=MLN","FA_ADJUSTED=Adjusted","Sort=A","Dates=H","DateFormat=P","Fill=—","Direction=H","UseDPDF=Y")</f>
        <v>10280</v>
      </c>
      <c r="Z63" s="13">
        <f>_xll.BDH("XOM US Equity","EBITA","FQ2 2014","FQ2 2014","Currency=USD","Period=FQ","BEST_FPERIOD_OVERRIDE=FQ","FILING_STATUS=OR","SCALING_FORMAT=MLN","FA_ADJUSTED=Adjusted","Sort=A","Dates=H","DateFormat=P","Fill=—","Direction=H","UseDPDF=Y")</f>
        <v>8726</v>
      </c>
      <c r="AA63" s="13">
        <f>_xll.BDH("XOM US Equity","EBITA","FQ3 2014","FQ3 2014","Currency=USD","Period=FQ","BEST_FPERIOD_OVERRIDE=FQ","FILING_STATUS=OR","SCALING_FORMAT=MLN","FA_ADJUSTED=Adjusted","Sort=A","Dates=H","DateFormat=P","Fill=—","Direction=H","UseDPDF=Y")</f>
        <v>9636</v>
      </c>
      <c r="AB63" s="13">
        <f>_xll.BDH("XOM US Equity","EBITA","FQ4 2014","FQ4 2014","Currency=USD","Period=FQ","BEST_FPERIOD_OVERRIDE=FQ","FILING_STATUS=OR","SCALING_FORMAT=MLN","FA_ADJUSTED=Adjusted","Sort=A","Dates=H","DateFormat=P","Fill=—","Direction=H","UseDPDF=Y")</f>
        <v>5088.1538</v>
      </c>
      <c r="AC63" s="13">
        <f>_xll.BDH("XOM US Equity","EBITA","FQ1 2015","FQ1 2015","Currency=USD","Period=FQ","BEST_FPERIOD_OVERRIDE=FQ","FILING_STATUS=OR","SCALING_FORMAT=MLN","FA_ADJUSTED=Adjusted","Sort=A","Dates=H","DateFormat=P","Fill=—","Direction=H","UseDPDF=Y")</f>
        <v>3863</v>
      </c>
      <c r="AD63" s="13">
        <f>_xll.BDH("XOM US Equity","EBITA","FQ2 2015","FQ2 2015","Currency=USD","Period=FQ","BEST_FPERIOD_OVERRIDE=FQ","FILING_STATUS=OR","SCALING_FORMAT=MLN","FA_ADJUSTED=Adjusted","Sort=A","Dates=H","DateFormat=P","Fill=—","Direction=H","UseDPDF=Y")</f>
        <v>4286</v>
      </c>
      <c r="AE63" s="13">
        <f>_xll.BDH("XOM US Equity","EBITA","FQ3 2015","FQ3 2015","Currency=USD","Period=FQ","BEST_FPERIOD_OVERRIDE=FQ","FILING_STATUS=OR","SCALING_FORMAT=MLN","FA_ADJUSTED=Adjusted","Sort=A","Dates=H","DateFormat=P","Fill=—","Direction=H","UseDPDF=Y")</f>
        <v>4162</v>
      </c>
      <c r="AF63" s="13">
        <f>_xll.BDH("XOM US Equity","EBITA","FQ4 2015","FQ4 2015","Currency=USD","Period=FQ","BEST_FPERIOD_OVERRIDE=FQ","FILING_STATUS=OR","SCALING_FORMAT=MLN","FA_ADJUSTED=Adjusted","Sort=A","Dates=H","DateFormat=P","Fill=—","Direction=H","UseDPDF=Y")</f>
        <v>572</v>
      </c>
      <c r="AG63" s="13">
        <f>_xll.BDH("XOM US Equity","EBITA","FQ1 2016","FQ1 2016","Currency=USD","Period=FQ","BEST_FPERIOD_OVERRIDE=FQ","FILING_STATUS=OR","SCALING_FORMAT=MLN","FA_ADJUSTED=Adjusted","Sort=A","Dates=H","DateFormat=P","Fill=—","Direction=H","UseDPDF=Y")</f>
        <v>205</v>
      </c>
      <c r="AH63" s="13">
        <f>_xll.BDH("XOM US Equity","EBITA","FQ2 2016","FQ2 2016","Currency=USD","Period=FQ","BEST_FPERIOD_OVERRIDE=FQ","FILING_STATUS=OR","SCALING_FORMAT=MLN","FA_ADJUSTED=Adjusted","Sort=A","Dates=H","DateFormat=P","Fill=—","Direction=H","UseDPDF=Y")</f>
        <v>1137</v>
      </c>
      <c r="AI63" s="13">
        <f>_xll.BDH("XOM US Equity","EBITA","FQ3 2016","FQ3 2016","Currency=USD","Period=FQ","BEST_FPERIOD_OVERRIDE=FQ","FILING_STATUS=OR","SCALING_FORMAT=MLN","FA_ADJUSTED=Adjusted","Sort=A","Dates=H","DateFormat=P","Fill=—","Direction=H","UseDPDF=Y")</f>
        <v>1422</v>
      </c>
      <c r="AJ63" s="13">
        <f>_xll.BDH("XOM US Equity","EBITA","FQ4 2016","FQ4 2016","Currency=USD","Period=FQ","BEST_FPERIOD_OVERRIDE=FQ","FILING_STATUS=OR","SCALING_FORMAT=MLN","FA_ADJUSTED=Adjusted","Sort=A","Dates=H","DateFormat=P","Fill=—","Direction=H","UseDPDF=Y")</f>
        <v>199</v>
      </c>
      <c r="AK63" s="13">
        <f>_xll.BDH("XOM US Equity","EBITA","FQ1 2017","FQ1 2017","Currency=USD","Period=FQ","BEST_FPERIOD_OVERRIDE=FQ","FILING_STATUS=OR","SCALING_FORMAT=MLN","FA_ADJUSTED=Adjusted","Sort=A","Dates=H","DateFormat=P","Fill=—","Direction=H","UseDPDF=Y")</f>
        <v>3867</v>
      </c>
      <c r="AL63" s="13">
        <f>_xll.BDH("XOM US Equity","EBITA","FQ2 2017","FQ2 2017","Currency=USD","Period=FQ","BEST_FPERIOD_OVERRIDE=FQ","FILING_STATUS=OR","SCALING_FORMAT=MLN","FA_ADJUSTED=Adjusted","Sort=A","Dates=H","DateFormat=P","Fill=—","Direction=H","UseDPDF=Y")</f>
        <v>2263</v>
      </c>
      <c r="AM63" s="13">
        <f>_xll.BDH("XOM US Equity","EBITA","FQ3 2017","FQ3 2017","Currency=USD","Period=FQ","BEST_FPERIOD_OVERRIDE=FQ","FILING_STATUS=OR","SCALING_FORMAT=MLN","FA_ADJUSTED=Adjusted","Sort=A","Dates=H","DateFormat=P","Fill=—","Direction=H","UseDPDF=Y")</f>
        <v>3944</v>
      </c>
      <c r="AN63" s="13">
        <f>_xll.BDH("XOM US Equity","EBITA","FQ4 2017","FQ4 2017","Currency=USD","Period=FQ","BEST_FPERIOD_OVERRIDE=FQ","FILING_STATUS=OR","SCALING_FORMAT=MLN","FA_ADJUSTED=Adjusted","Sort=A","Dates=H","DateFormat=P","Fill=—","Direction=H","UseDPDF=Y")</f>
        <v>3990.7692000000002</v>
      </c>
      <c r="AO63" s="13">
        <f>_xll.BDH("XOM US Equity","EBITA","FQ1 2018","FQ1 2018","Currency=USD","Period=FQ","BEST_FPERIOD_OVERRIDE=FQ","FILING_STATUS=OR","SCALING_FORMAT=MLN","FA_ADJUSTED=Adjusted","Sort=A","Dates=H","DateFormat=P","Fill=—","Direction=H","UseDPDF=Y")</f>
        <v>5006</v>
      </c>
      <c r="AP63" s="13">
        <f>_xll.BDH("XOM US Equity","EBITA","FQ2 2018","FQ2 2018","Currency=USD","Period=FQ","BEST_FPERIOD_OVERRIDE=FQ","FILING_STATUS=OR","SCALING_FORMAT=MLN","FA_ADJUSTED=Adjusted","Sort=A","Dates=H","DateFormat=P","Fill=—","Direction=H","UseDPDF=Y")</f>
        <v>4614</v>
      </c>
    </row>
    <row r="64" spans="1:42" x14ac:dyDescent="0.25">
      <c r="A64" s="10" t="s">
        <v>188</v>
      </c>
      <c r="B64" s="10" t="s">
        <v>188</v>
      </c>
      <c r="C64" s="13">
        <f>_xll.BDH("XOM US Equity","EBIT","FQ3 2008","FQ3 2008","Currency=USD","Period=FQ","BEST_FPERIOD_OVERRIDE=FQ","FILING_STATUS=OR","SCALING_FORMAT=MLN","FA_ADJUSTED=Adjusted","Sort=A","Dates=H","DateFormat=P","Fill=—","Direction=H","UseDPDF=Y")</f>
        <v>21359</v>
      </c>
      <c r="D64" s="13">
        <f>_xll.BDH("XOM US Equity","EBIT","FQ4 2008","FQ4 2008","Currency=USD","Period=FQ","BEST_FPERIOD_OVERRIDE=FQ","FILING_STATUS=OR","SCALING_FORMAT=MLN","FA_ADJUSTED=Adjusted","Sort=A","Dates=H","DateFormat=P","Fill=—","Direction=H","UseDPDF=Y")</f>
        <v>8894</v>
      </c>
      <c r="E64" s="13">
        <f>_xll.BDH("XOM US Equity","EBIT","FQ1 2009","FQ1 2009","Currency=USD","Period=FQ","BEST_FPERIOD_OVERRIDE=FQ","FILING_STATUS=OR","SCALING_FORMAT=MLN","FA_ADJUSTED=Adjusted","Sort=A","Dates=H","DateFormat=P","Fill=—","Direction=H","UseDPDF=Y")</f>
        <v>6057</v>
      </c>
      <c r="F64" s="13">
        <f>_xll.BDH("XOM US Equity","EBIT","FQ2 2009","FQ2 2009","Currency=USD","Period=FQ","BEST_FPERIOD_OVERRIDE=FQ","FILING_STATUS=OR","SCALING_FORMAT=MLN","FA_ADJUSTED=Adjusted","Sort=A","Dates=H","DateFormat=P","Fill=—","Direction=H","UseDPDF=Y")</f>
        <v>5570</v>
      </c>
      <c r="G64" s="13">
        <f>_xll.BDH("XOM US Equity","EBIT","FQ3 2009","FQ3 2009","Currency=USD","Period=FQ","BEST_FPERIOD_OVERRIDE=FQ","FILING_STATUS=OR","SCALING_FORMAT=MLN","FA_ADJUSTED=Adjusted","Sort=A","Dates=H","DateFormat=P","Fill=—","Direction=H","UseDPDF=Y")</f>
        <v>7096</v>
      </c>
      <c r="H64" s="13">
        <f>_xll.BDH("XOM US Equity","EBIT","FQ4 2009","FQ4 2009","Currency=USD","Period=FQ","BEST_FPERIOD_OVERRIDE=FQ","FILING_STATUS=OR","SCALING_FORMAT=MLN","FA_ADJUSTED=Adjusted","Sort=A","Dates=H","DateFormat=P","Fill=—","Direction=H","UseDPDF=Y")</f>
        <v>7516</v>
      </c>
      <c r="I64" s="13">
        <f>_xll.BDH("XOM US Equity","EBIT","FQ1 2010","FQ1 2010","Currency=USD","Period=FQ","BEST_FPERIOD_OVERRIDE=FQ","FILING_STATUS=OR","SCALING_FORMAT=MLN","FA_ADJUSTED=Adjusted","Sort=A","Dates=H","DateFormat=P","Fill=—","Direction=H","UseDPDF=Y")</f>
        <v>8909</v>
      </c>
      <c r="J64" s="13">
        <f>_xll.BDH("XOM US Equity","EBIT","FQ2 2010","FQ2 2010","Currency=USD","Period=FQ","BEST_FPERIOD_OVERRIDE=FQ","FILING_STATUS=OR","SCALING_FORMAT=MLN","FA_ADJUSTED=Adjusted","Sort=A","Dates=H","DateFormat=P","Fill=—","Direction=H","UseDPDF=Y")</f>
        <v>9968</v>
      </c>
      <c r="K64" s="13">
        <f>_xll.BDH("XOM US Equity","EBIT","FQ3 2010","FQ3 2010","Currency=USD","Period=FQ","BEST_FPERIOD_OVERRIDE=FQ","FILING_STATUS=OR","SCALING_FORMAT=MLN","FA_ADJUSTED=Adjusted","Sort=A","Dates=H","DateFormat=P","Fill=—","Direction=H","UseDPDF=Y")</f>
        <v>9969</v>
      </c>
      <c r="L64" s="13">
        <f>_xll.BDH("XOM US Equity","EBIT","FQ4 2010","FQ4 2010","Currency=USD","Period=FQ","BEST_FPERIOD_OVERRIDE=FQ","FILING_STATUS=OR","SCALING_FORMAT=MLN","FA_ADJUSTED=Adjusted","Sort=A","Dates=H","DateFormat=P","Fill=—","Direction=H","UseDPDF=Y")</f>
        <v>11294</v>
      </c>
      <c r="M64" s="13">
        <f>_xll.BDH("XOM US Equity","EBIT","FQ1 2011","FQ1 2011","Currency=USD","Period=FQ","BEST_FPERIOD_OVERRIDE=FQ","FILING_STATUS=OR","SCALING_FORMAT=MLN","FA_ADJUSTED=Adjusted","Sort=A","Dates=H","DateFormat=P","Fill=—","Direction=H","UseDPDF=Y")</f>
        <v>14193</v>
      </c>
      <c r="N64" s="13">
        <f>_xll.BDH("XOM US Equity","EBIT","FQ2 2011","FQ2 2011","Currency=USD","Period=FQ","BEST_FPERIOD_OVERRIDE=FQ","FILING_STATUS=OR","SCALING_FORMAT=MLN","FA_ADJUSTED=Adjusted","Sort=A","Dates=H","DateFormat=P","Fill=—","Direction=H","UseDPDF=Y")</f>
        <v>14572</v>
      </c>
      <c r="O64" s="13">
        <f>_xll.BDH("XOM US Equity","EBIT","FQ3 2011","FQ3 2011","Currency=USD","Period=FQ","BEST_FPERIOD_OVERRIDE=FQ","FILING_STATUS=OR","SCALING_FORMAT=MLN","FA_ADJUSTED=Adjusted","Sort=A","Dates=H","DateFormat=P","Fill=—","Direction=H","UseDPDF=Y")</f>
        <v>13923</v>
      </c>
      <c r="P64" s="13">
        <f>_xll.BDH("XOM US Equity","EBIT","FQ4 2011","FQ4 2011","Currency=USD","Period=FQ","BEST_FPERIOD_OVERRIDE=FQ","FILING_STATUS=OR","SCALING_FORMAT=MLN","FA_ADJUSTED=Adjusted","Sort=A","Dates=H","DateFormat=P","Fill=—","Direction=H","UseDPDF=Y")</f>
        <v>11416</v>
      </c>
      <c r="Q64" s="13">
        <f>_xll.BDH("XOM US Equity","EBIT","FQ1 2012","FQ1 2012","Currency=USD","Period=FQ","BEST_FPERIOD_OVERRIDE=FQ","FILING_STATUS=OR","SCALING_FORMAT=MLN","FA_ADJUSTED=Adjusted","Sort=A","Dates=H","DateFormat=P","Fill=—","Direction=H","UseDPDF=Y")</f>
        <v>12758</v>
      </c>
      <c r="R64" s="13">
        <f>_xll.BDH("XOM US Equity","EBIT","FQ2 2012","FQ2 2012","Currency=USD","Period=FQ","BEST_FPERIOD_OVERRIDE=FQ","FILING_STATUS=OR","SCALING_FORMAT=MLN","FA_ADJUSTED=Adjusted","Sort=A","Dates=H","DateFormat=P","Fill=—","Direction=H","UseDPDF=Y")</f>
        <v>1623</v>
      </c>
      <c r="S64" s="13">
        <f>_xll.BDH("XOM US Equity","EBIT","FQ3 2012","FQ3 2012","Currency=USD","Period=FQ","BEST_FPERIOD_OVERRIDE=FQ","FILING_STATUS=OR","SCALING_FORMAT=MLN","FA_ADJUSTED=Adjusted","Sort=A","Dates=H","DateFormat=P","Fill=—","Direction=H","UseDPDF=Y")</f>
        <v>13227</v>
      </c>
      <c r="T64" s="13">
        <f>_xll.BDH("XOM US Equity","EBIT","FQ4 2012","FQ4 2012","Currency=USD","Period=FQ","BEST_FPERIOD_OVERRIDE=FQ","FILING_STATUS=OR","SCALING_FORMAT=MLN","FA_ADJUSTED=Adjusted","Sort=A","Dates=H","DateFormat=P","Fill=—","Direction=H","UseDPDF=Y")</f>
        <v>11349.9231</v>
      </c>
      <c r="U64" s="13">
        <f>_xll.BDH("XOM US Equity","EBIT","FQ1 2013","FQ1 2013","Currency=USD","Period=FQ","BEST_FPERIOD_OVERRIDE=FQ","FILING_STATUS=OR","SCALING_FORMAT=MLN","FA_ADJUSTED=Adjusted","Sort=A","Dates=H","DateFormat=P","Fill=—","Direction=H","UseDPDF=Y")</f>
        <v>11083</v>
      </c>
      <c r="V64" s="13">
        <f>_xll.BDH("XOM US Equity","EBIT","FQ2 2013","FQ2 2013","Currency=USD","Period=FQ","BEST_FPERIOD_OVERRIDE=FQ","FILING_STATUS=OR","SCALING_FORMAT=MLN","FA_ADJUSTED=Adjusted","Sort=A","Dates=H","DateFormat=P","Fill=—","Direction=H","UseDPDF=Y")</f>
        <v>9237</v>
      </c>
      <c r="W64" s="13">
        <f>_xll.BDH("XOM US Equity","EBIT","FQ3 2013","FQ3 2013","Currency=USD","Period=FQ","BEST_FPERIOD_OVERRIDE=FQ","FILING_STATUS=OR","SCALING_FORMAT=MLN","FA_ADJUSTED=Adjusted","Sort=A","Dates=H","DateFormat=P","Fill=—","Direction=H","UseDPDF=Y")</f>
        <v>10259</v>
      </c>
      <c r="X64" s="13">
        <f>_xll.BDH("XOM US Equity","EBIT","FQ4 2013","FQ4 2013","Currency=USD","Period=FQ","BEST_FPERIOD_OVERRIDE=FQ","FILING_STATUS=OR","SCALING_FORMAT=MLN","FA_ADJUSTED=Adjusted","Sort=A","Dates=H","DateFormat=P","Fill=—","Direction=H","UseDPDF=Y")</f>
        <v>9722</v>
      </c>
      <c r="Y64" s="13">
        <f>_xll.BDH("XOM US Equity","EBIT","FQ1 2014","FQ1 2014","Currency=USD","Period=FQ","BEST_FPERIOD_OVERRIDE=FQ","FILING_STATUS=OR","SCALING_FORMAT=MLN","FA_ADJUSTED=Adjusted","Sort=A","Dates=H","DateFormat=P","Fill=—","Direction=H","UseDPDF=Y")</f>
        <v>10280</v>
      </c>
      <c r="Z64" s="13">
        <f>_xll.BDH("XOM US Equity","EBIT","FQ2 2014","FQ2 2014","Currency=USD","Period=FQ","BEST_FPERIOD_OVERRIDE=FQ","FILING_STATUS=OR","SCALING_FORMAT=MLN","FA_ADJUSTED=Adjusted","Sort=A","Dates=H","DateFormat=P","Fill=—","Direction=H","UseDPDF=Y")</f>
        <v>8726</v>
      </c>
      <c r="AA64" s="13">
        <f>_xll.BDH("XOM US Equity","EBIT","FQ3 2014","FQ3 2014","Currency=USD","Period=FQ","BEST_FPERIOD_OVERRIDE=FQ","FILING_STATUS=OR","SCALING_FORMAT=MLN","FA_ADJUSTED=Adjusted","Sort=A","Dates=H","DateFormat=P","Fill=—","Direction=H","UseDPDF=Y")</f>
        <v>9574</v>
      </c>
      <c r="AB64" s="13">
        <f>_xll.BDH("XOM US Equity","EBIT","FQ4 2014","FQ4 2014","Currency=USD","Period=FQ","BEST_FPERIOD_OVERRIDE=FQ","FILING_STATUS=OR","SCALING_FORMAT=MLN","FA_ADJUSTED=Adjusted","Sort=A","Dates=H","DateFormat=P","Fill=—","Direction=H","UseDPDF=Y")</f>
        <v>5088.1538</v>
      </c>
      <c r="AC64" s="13">
        <f>_xll.BDH("XOM US Equity","EBIT","FQ1 2015","FQ1 2015","Currency=USD","Period=FQ","BEST_FPERIOD_OVERRIDE=FQ","FILING_STATUS=OR","SCALING_FORMAT=MLN","FA_ADJUSTED=Adjusted","Sort=A","Dates=H","DateFormat=P","Fill=—","Direction=H","UseDPDF=Y")</f>
        <v>3863</v>
      </c>
      <c r="AD64" s="13">
        <f>_xll.BDH("XOM US Equity","EBIT","FQ2 2015","FQ2 2015","Currency=USD","Period=FQ","BEST_FPERIOD_OVERRIDE=FQ","FILING_STATUS=OR","SCALING_FORMAT=MLN","FA_ADJUSTED=Adjusted","Sort=A","Dates=H","DateFormat=P","Fill=—","Direction=H","UseDPDF=Y")</f>
        <v>4286</v>
      </c>
      <c r="AE64" s="13">
        <f>_xll.BDH("XOM US Equity","EBIT","FQ3 2015","FQ3 2015","Currency=USD","Period=FQ","BEST_FPERIOD_OVERRIDE=FQ","FILING_STATUS=OR","SCALING_FORMAT=MLN","FA_ADJUSTED=Adjusted","Sort=A","Dates=H","DateFormat=P","Fill=—","Direction=H","UseDPDF=Y")</f>
        <v>4162</v>
      </c>
      <c r="AF64" s="13">
        <f>_xll.BDH("XOM US Equity","EBIT","FQ4 2015","FQ4 2015","Currency=USD","Period=FQ","BEST_FPERIOD_OVERRIDE=FQ","FILING_STATUS=OR","SCALING_FORMAT=MLN","FA_ADJUSTED=Adjusted","Sort=A","Dates=H","DateFormat=P","Fill=—","Direction=H","UseDPDF=Y")</f>
        <v>572</v>
      </c>
      <c r="AG64" s="13">
        <f>_xll.BDH("XOM US Equity","EBIT","FQ1 2016","FQ1 2016","Currency=USD","Period=FQ","BEST_FPERIOD_OVERRIDE=FQ","FILING_STATUS=OR","SCALING_FORMAT=MLN","FA_ADJUSTED=Adjusted","Sort=A","Dates=H","DateFormat=P","Fill=—","Direction=H","UseDPDF=Y")</f>
        <v>205</v>
      </c>
      <c r="AH64" s="13">
        <f>_xll.BDH("XOM US Equity","EBIT","FQ2 2016","FQ2 2016","Currency=USD","Period=FQ","BEST_FPERIOD_OVERRIDE=FQ","FILING_STATUS=OR","SCALING_FORMAT=MLN","FA_ADJUSTED=Adjusted","Sort=A","Dates=H","DateFormat=P","Fill=—","Direction=H","UseDPDF=Y")</f>
        <v>1137</v>
      </c>
      <c r="AI64" s="13">
        <f>_xll.BDH("XOM US Equity","EBIT","FQ3 2016","FQ3 2016","Currency=USD","Period=FQ","BEST_FPERIOD_OVERRIDE=FQ","FILING_STATUS=OR","SCALING_FORMAT=MLN","FA_ADJUSTED=Adjusted","Sort=A","Dates=H","DateFormat=P","Fill=—","Direction=H","UseDPDF=Y")</f>
        <v>1422</v>
      </c>
      <c r="AJ64" s="13">
        <f>_xll.BDH("XOM US Equity","EBIT","FQ4 2016","FQ4 2016","Currency=USD","Period=FQ","BEST_FPERIOD_OVERRIDE=FQ","FILING_STATUS=OR","SCALING_FORMAT=MLN","FA_ADJUSTED=Adjusted","Sort=A","Dates=H","DateFormat=P","Fill=—","Direction=H","UseDPDF=Y")</f>
        <v>199</v>
      </c>
      <c r="AK64" s="13">
        <f>_xll.BDH("XOM US Equity","EBIT","FQ1 2017","FQ1 2017","Currency=USD","Period=FQ","BEST_FPERIOD_OVERRIDE=FQ","FILING_STATUS=OR","SCALING_FORMAT=MLN","FA_ADJUSTED=Adjusted","Sort=A","Dates=H","DateFormat=P","Fill=—","Direction=H","UseDPDF=Y")</f>
        <v>3867</v>
      </c>
      <c r="AL64" s="13">
        <f>_xll.BDH("XOM US Equity","EBIT","FQ2 2017","FQ2 2017","Currency=USD","Period=FQ","BEST_FPERIOD_OVERRIDE=FQ","FILING_STATUS=OR","SCALING_FORMAT=MLN","FA_ADJUSTED=Adjusted","Sort=A","Dates=H","DateFormat=P","Fill=—","Direction=H","UseDPDF=Y")</f>
        <v>2263</v>
      </c>
      <c r="AM64" s="13">
        <f>_xll.BDH("XOM US Equity","EBIT","FQ3 2017","FQ3 2017","Currency=USD","Period=FQ","BEST_FPERIOD_OVERRIDE=FQ","FILING_STATUS=OR","SCALING_FORMAT=MLN","FA_ADJUSTED=Adjusted","Sort=A","Dates=H","DateFormat=P","Fill=—","Direction=H","UseDPDF=Y")</f>
        <v>3944</v>
      </c>
      <c r="AN64" s="13">
        <f>_xll.BDH("XOM US Equity","EBIT","FQ4 2017","FQ4 2017","Currency=USD","Period=FQ","BEST_FPERIOD_OVERRIDE=FQ","FILING_STATUS=OR","SCALING_FORMAT=MLN","FA_ADJUSTED=Adjusted","Sort=A","Dates=H","DateFormat=P","Fill=—","Direction=H","UseDPDF=Y")</f>
        <v>3990.7692000000002</v>
      </c>
      <c r="AO64" s="13">
        <f>_xll.BDH("XOM US Equity","EBIT","FQ1 2018","FQ1 2018","Currency=USD","Period=FQ","BEST_FPERIOD_OVERRIDE=FQ","FILING_STATUS=OR","SCALING_FORMAT=MLN","FA_ADJUSTED=Adjusted","Sort=A","Dates=H","DateFormat=P","Fill=—","Direction=H","UseDPDF=Y")</f>
        <v>5006</v>
      </c>
      <c r="AP64" s="13">
        <f>_xll.BDH("XOM US Equity","EBIT","FQ2 2018","FQ2 2018","Currency=USD","Period=FQ","BEST_FPERIOD_OVERRIDE=FQ","FILING_STATUS=OR","SCALING_FORMAT=MLN","FA_ADJUSTED=Adjusted","Sort=A","Dates=H","DateFormat=P","Fill=—","Direction=H","UseDPDF=Y")</f>
        <v>4614</v>
      </c>
    </row>
    <row r="65" spans="1:42" x14ac:dyDescent="0.25">
      <c r="A65" s="10" t="s">
        <v>189</v>
      </c>
      <c r="B65" s="10" t="s">
        <v>190</v>
      </c>
      <c r="C65" s="14">
        <f>_xll.BDH("XOM US Equity","GROSS_MARGIN","FQ3 2008","FQ3 2008","Currency=USD","Period=FQ","BEST_FPERIOD_OVERRIDE=FQ","FILING_STATUS=OR","FA_ADJUSTED=Adjusted","Sort=A","Dates=H","DateFormat=P","Fill=—","Direction=H","UseDPDF=Y")</f>
        <v>20.841799999999999</v>
      </c>
      <c r="D65" s="14">
        <f>_xll.BDH("XOM US Equity","GROSS_MARGIN","FQ4 2008","FQ4 2008","Currency=USD","Period=FQ","BEST_FPERIOD_OVERRIDE=FQ","FILING_STATUS=OR","FA_ADJUSTED=Adjusted","Sort=A","Dates=H","DateFormat=P","Fill=—","Direction=H","UseDPDF=Y")</f>
        <v>19.026</v>
      </c>
      <c r="E65" s="14">
        <f>_xll.BDH("XOM US Equity","GROSS_MARGIN","FQ1 2009","FQ1 2009","Currency=USD","Period=FQ","BEST_FPERIOD_OVERRIDE=FQ","FILING_STATUS=OR","FA_ADJUSTED=Adjusted","Sort=A","Dates=H","DateFormat=P","Fill=—","Direction=H","UseDPDF=Y")</f>
        <v>17.5305</v>
      </c>
      <c r="F65" s="14">
        <f>_xll.BDH("XOM US Equity","GROSS_MARGIN","FQ2 2009","FQ2 2009","Currency=USD","Period=FQ","BEST_FPERIOD_OVERRIDE=FQ","FILING_STATUS=OR","FA_ADJUSTED=Adjusted","Sort=A","Dates=H","DateFormat=P","Fill=—","Direction=H","UseDPDF=Y")</f>
        <v>14.5244</v>
      </c>
      <c r="G65" s="14">
        <f>_xll.BDH("XOM US Equity","GROSS_MARGIN","FQ3 2009","FQ3 2009","Currency=USD","Period=FQ","BEST_FPERIOD_OVERRIDE=FQ","FILING_STATUS=OR","FA_ADJUSTED=Adjusted","Sort=A","Dates=H","DateFormat=P","Fill=—","Direction=H","UseDPDF=Y")</f>
        <v>15.662100000000001</v>
      </c>
      <c r="H65" s="14">
        <f>_xll.BDH("XOM US Equity","GROSS_MARGIN","FQ4 2009","FQ4 2009","Currency=USD","Period=FQ","BEST_FPERIOD_OVERRIDE=FQ","FILING_STATUS=OR","FA_ADJUSTED=Adjusted","Sort=A","Dates=H","DateFormat=P","Fill=—","Direction=H","UseDPDF=Y")</f>
        <v>15.0825</v>
      </c>
      <c r="I65" s="14">
        <f>_xll.BDH("XOM US Equity","GROSS_MARGIN","FQ1 2010","FQ1 2010","Currency=USD","Period=FQ","BEST_FPERIOD_OVERRIDE=FQ","FILING_STATUS=OR","FA_ADJUSTED=Adjusted","Sort=A","Dates=H","DateFormat=P","Fill=—","Direction=H","UseDPDF=Y")</f>
        <v>16.340900000000001</v>
      </c>
      <c r="J65" s="14">
        <f>_xll.BDH("XOM US Equity","GROSS_MARGIN","FQ2 2010","FQ2 2010","Currency=USD","Period=FQ","BEST_FPERIOD_OVERRIDE=FQ","FILING_STATUS=OR","FA_ADJUSTED=Adjusted","Sort=A","Dates=H","DateFormat=P","Fill=—","Direction=H","UseDPDF=Y")</f>
        <v>16.879200000000001</v>
      </c>
      <c r="K65" s="14">
        <f>_xll.BDH("XOM US Equity","GROSS_MARGIN","FQ3 2010","FQ3 2010","Currency=USD","Period=FQ","BEST_FPERIOD_OVERRIDE=FQ","FILING_STATUS=OR","FA_ADJUSTED=Adjusted","Sort=A","Dates=H","DateFormat=P","Fill=—","Direction=H","UseDPDF=Y")</f>
        <v>16.639900000000001</v>
      </c>
      <c r="L65" s="14">
        <f>_xll.BDH("XOM US Equity","GROSS_MARGIN","FQ4 2010","FQ4 2010","Currency=USD","Period=FQ","BEST_FPERIOD_OVERRIDE=FQ","FILING_STATUS=OR","FA_ADJUSTED=Adjusted","Sort=A","Dates=H","DateFormat=P","Fill=—","Direction=H","UseDPDF=Y")</f>
        <v>16.8033</v>
      </c>
      <c r="M65" s="14">
        <f>_xll.BDH("XOM US Equity","GROSS_MARGIN","FQ1 2011","FQ1 2011","Currency=USD","Period=FQ","BEST_FPERIOD_OVERRIDE=FQ","FILING_STATUS=OR","FA_ADJUSTED=Adjusted","Sort=A","Dates=H","DateFormat=P","Fill=—","Direction=H","UseDPDF=Y")</f>
        <v>17.9148</v>
      </c>
      <c r="N65" s="14">
        <f>_xll.BDH("XOM US Equity","GROSS_MARGIN","FQ2 2011","FQ2 2011","Currency=USD","Period=FQ","BEST_FPERIOD_OVERRIDE=FQ","FILING_STATUS=OR","FA_ADJUSTED=Adjusted","Sort=A","Dates=H","DateFormat=P","Fill=—","Direction=H","UseDPDF=Y")</f>
        <v>16.709399999999999</v>
      </c>
      <c r="O65" s="14">
        <f>_xll.BDH("XOM US Equity","GROSS_MARGIN","FQ3 2011","FQ3 2011","Currency=USD","Period=FQ","BEST_FPERIOD_OVERRIDE=FQ","FILING_STATUS=OR","FA_ADJUSTED=Adjusted","Sort=A","Dates=H","DateFormat=P","Fill=—","Direction=H","UseDPDF=Y")</f>
        <v>16.443300000000001</v>
      </c>
      <c r="P65" s="14">
        <f>_xll.BDH("XOM US Equity","GROSS_MARGIN","FQ4 2011","FQ4 2011","Currency=USD","Period=FQ","BEST_FPERIOD_OVERRIDE=FQ","FILING_STATUS=OR","FA_ADJUSTED=Adjusted","Sort=A","Dates=H","DateFormat=P","Fill=—","Direction=H","UseDPDF=Y")</f>
        <v>14.665900000000001</v>
      </c>
      <c r="Q65" s="14">
        <f>_xll.BDH("XOM US Equity","GROSS_MARGIN","FQ1 2012","FQ1 2012","Currency=USD","Period=FQ","BEST_FPERIOD_OVERRIDE=FQ","FILING_STATUS=OR","FA_ADJUSTED=Adjusted","Sort=A","Dates=H","DateFormat=P","Fill=—","Direction=H","UseDPDF=Y")</f>
        <v>15.2499</v>
      </c>
      <c r="R65" s="14">
        <f>_xll.BDH("XOM US Equity","GROSS_MARGIN","FQ2 2012","FQ2 2012","Currency=USD","Period=FQ","BEST_FPERIOD_OVERRIDE=FQ","FILING_STATUS=OR","FA_ADJUSTED=Adjusted","Sort=A","Dates=H","DateFormat=P","Fill=—","Direction=H","UseDPDF=Y")</f>
        <v>14.7835</v>
      </c>
      <c r="S65" s="14">
        <f>_xll.BDH("XOM US Equity","GROSS_MARGIN","FQ3 2012","FQ3 2012","Currency=USD","Period=FQ","BEST_FPERIOD_OVERRIDE=FQ","FILING_STATUS=OR","FA_ADJUSTED=Adjusted","Sort=A","Dates=H","DateFormat=P","Fill=—","Direction=H","UseDPDF=Y")</f>
        <v>16.621099999999998</v>
      </c>
      <c r="T65" s="14">
        <f>_xll.BDH("XOM US Equity","GROSS_MARGIN","FQ4 2012","FQ4 2012","Currency=USD","Period=FQ","BEST_FPERIOD_OVERRIDE=FQ","FILING_STATUS=OR","FA_ADJUSTED=Adjusted","Sort=A","Dates=H","DateFormat=P","Fill=—","Direction=H","UseDPDF=Y")</f>
        <v>15.824</v>
      </c>
      <c r="U65" s="14">
        <f>_xll.BDH("XOM US Equity","GROSS_MARGIN","FQ1 2013","FQ1 2013","Currency=USD","Period=FQ","BEST_FPERIOD_OVERRIDE=FQ","FILING_STATUS=OR","FA_ADJUSTED=Adjusted","Sort=A","Dates=H","DateFormat=P","Fill=—","Direction=H","UseDPDF=Y")</f>
        <v>15.202999999999999</v>
      </c>
      <c r="V65" s="14">
        <f>_xll.BDH("XOM US Equity","GROSS_MARGIN","FQ2 2013","FQ2 2013","Currency=USD","Period=FQ","BEST_FPERIOD_OVERRIDE=FQ","FILING_STATUS=OR","FA_ADJUSTED=Adjusted","Sort=A","Dates=H","DateFormat=P","Fill=—","Direction=H","UseDPDF=Y")</f>
        <v>13.598000000000001</v>
      </c>
      <c r="W65" s="14">
        <f>_xll.BDH("XOM US Equity","GROSS_MARGIN","FQ3 2013","FQ3 2013","Currency=USD","Period=FQ","BEST_FPERIOD_OVERRIDE=FQ","FILING_STATUS=OR","FA_ADJUSTED=Adjusted","Sort=A","Dates=H","DateFormat=P","Fill=—","Direction=H","UseDPDF=Y")</f>
        <v>13.8248</v>
      </c>
      <c r="X65" s="14">
        <f>_xll.BDH("XOM US Equity","GROSS_MARGIN","FQ4 2013","FQ4 2013","Currency=USD","Period=FQ","BEST_FPERIOD_OVERRIDE=FQ","FILING_STATUS=OR","FA_ADJUSTED=Adjusted","Sort=A","Dates=H","DateFormat=P","Fill=—","Direction=H","UseDPDF=Y")</f>
        <v>13.882400000000001</v>
      </c>
      <c r="Y65" s="14">
        <f>_xll.BDH("XOM US Equity","GROSS_MARGIN","FQ1 2014","FQ1 2014","Currency=USD","Period=FQ","BEST_FPERIOD_OVERRIDE=FQ","FILING_STATUS=OR","FA_ADJUSTED=Adjusted","Sort=A","Dates=H","DateFormat=P","Fill=—","Direction=H","UseDPDF=Y")</f>
        <v>14.552099999999999</v>
      </c>
      <c r="Z65" s="14">
        <f>_xll.BDH("XOM US Equity","GROSS_MARGIN","FQ2 2014","FQ2 2014","Currency=USD","Period=FQ","BEST_FPERIOD_OVERRIDE=FQ","FILING_STATUS=OR","FA_ADJUSTED=Adjusted","Sort=A","Dates=H","DateFormat=P","Fill=—","Direction=H","UseDPDF=Y")</f>
        <v>12.606999999999999</v>
      </c>
      <c r="AA65" s="14">
        <f>_xll.BDH("XOM US Equity","GROSS_MARGIN","FQ3 2014","FQ3 2014","Currency=USD","Period=FQ","BEST_FPERIOD_OVERRIDE=FQ","FILING_STATUS=OR","FA_ADJUSTED=Adjusted","Sort=A","Dates=H","DateFormat=P","Fill=—","Direction=H","UseDPDF=Y")</f>
        <v>13.599600000000001</v>
      </c>
      <c r="AB65" s="14">
        <f>_xll.BDH("XOM US Equity","GROSS_MARGIN","FQ4 2014","FQ4 2014","Currency=USD","Period=FQ","BEST_FPERIOD_OVERRIDE=FQ","FILING_STATUS=OR","FA_ADJUSTED=Adjusted","Sort=A","Dates=H","DateFormat=P","Fill=—","Direction=H","UseDPDF=Y")</f>
        <v>12.048400000000001</v>
      </c>
      <c r="AC65" s="14">
        <f>_xll.BDH("XOM US Equity","GROSS_MARGIN","FQ1 2015","FQ1 2015","Currency=USD","Period=FQ","BEST_FPERIOD_OVERRIDE=FQ","FILING_STATUS=OR","FA_ADJUSTED=Adjusted","Sort=A","Dates=H","DateFormat=P","Fill=—","Direction=H","UseDPDF=Y")</f>
        <v>11.6279</v>
      </c>
      <c r="AD65" s="14">
        <f>_xll.BDH("XOM US Equity","GROSS_MARGIN","FQ2 2015","FQ2 2015","Currency=USD","Period=FQ","BEST_FPERIOD_OVERRIDE=FQ","FILING_STATUS=OR","FA_ADJUSTED=Adjusted","Sort=A","Dates=H","DateFormat=P","Fill=—","Direction=H","UseDPDF=Y")</f>
        <v>11.4489</v>
      </c>
      <c r="AE65" s="14">
        <f>_xll.BDH("XOM US Equity","GROSS_MARGIN","FQ3 2015","FQ3 2015","Currency=USD","Period=FQ","BEST_FPERIOD_OVERRIDE=FQ","FILING_STATUS=OR","FA_ADJUSTED=Adjusted","Sort=A","Dates=H","DateFormat=P","Fill=—","Direction=H","UseDPDF=Y")</f>
        <v>12.4495</v>
      </c>
      <c r="AF65" s="14">
        <f>_xll.BDH("XOM US Equity","GROSS_MARGIN","FQ4 2015","FQ4 2015","Currency=USD","Period=FQ","BEST_FPERIOD_OVERRIDE=FQ","FILING_STATUS=OR","FA_ADJUSTED=Adjusted","Sort=A","Dates=H","DateFormat=P","Fill=—","Direction=H","UseDPDF=Y")</f>
        <v>7.798</v>
      </c>
      <c r="AG65" s="14">
        <f>_xll.BDH("XOM US Equity","GROSS_MARGIN","FQ1 2016","FQ1 2016","Currency=USD","Period=FQ","BEST_FPERIOD_OVERRIDE=FQ","FILING_STATUS=OR","FA_ADJUSTED=Adjusted","Sort=A","Dates=H","DateFormat=P","Fill=—","Direction=H","UseDPDF=Y")</f>
        <v>7.4557000000000002</v>
      </c>
      <c r="AH65" s="14">
        <f>_xll.BDH("XOM US Equity","GROSS_MARGIN","FQ2 2016","FQ2 2016","Currency=USD","Period=FQ","BEST_FPERIOD_OVERRIDE=FQ","FILING_STATUS=OR","FA_ADJUSTED=Adjusted","Sort=A","Dates=H","DateFormat=P","Fill=—","Direction=H","UseDPDF=Y")</f>
        <v>8.3024000000000004</v>
      </c>
      <c r="AI65" s="14">
        <f>_xll.BDH("XOM US Equity","GROSS_MARGIN","FQ3 2016","FQ3 2016","Currency=USD","Period=FQ","BEST_FPERIOD_OVERRIDE=FQ","FILING_STATUS=OR","FA_ADJUSTED=Adjusted","Sort=A","Dates=H","DateFormat=P","Fill=—","Direction=H","UseDPDF=Y")</f>
        <v>8.7376000000000005</v>
      </c>
      <c r="AJ65" s="14">
        <f>_xll.BDH("XOM US Equity","GROSS_MARGIN","FQ4 2016","FQ4 2016","Currency=USD","Period=FQ","BEST_FPERIOD_OVERRIDE=FQ","FILING_STATUS=OR","FA_ADJUSTED=Adjusted","Sort=A","Dates=H","DateFormat=P","Fill=—","Direction=H","UseDPDF=Y")</f>
        <v>2.5220000000000002</v>
      </c>
      <c r="AK65" s="14">
        <f>_xll.BDH("XOM US Equity","GROSS_MARGIN","FQ1 2017","FQ1 2017","Currency=USD","Period=FQ","BEST_FPERIOD_OVERRIDE=FQ","FILING_STATUS=OR","FA_ADJUSTED=Adjusted","Sort=A","Dates=H","DateFormat=P","Fill=—","Direction=H","UseDPDF=Y")</f>
        <v>12.117000000000001</v>
      </c>
      <c r="AL65" s="14">
        <f>_xll.BDH("XOM US Equity","GROSS_MARGIN","FQ2 2017","FQ2 2017","Currency=USD","Period=FQ","BEST_FPERIOD_OVERRIDE=FQ","FILING_STATUS=OR","FA_ADJUSTED=Adjusted","Sort=A","Dates=H","DateFormat=P","Fill=—","Direction=H","UseDPDF=Y")</f>
        <v>9.7852999999999994</v>
      </c>
      <c r="AM65" s="14">
        <f>_xll.BDH("XOM US Equity","GROSS_MARGIN","FQ3 2017","FQ3 2017","Currency=USD","Period=FQ","BEST_FPERIOD_OVERRIDE=FQ","FILING_STATUS=OR","FA_ADJUSTED=Adjusted","Sort=A","Dates=H","DateFormat=P","Fill=—","Direction=H","UseDPDF=Y")</f>
        <v>11.8751</v>
      </c>
      <c r="AN65" s="14">
        <f>_xll.BDH("XOM US Equity","GROSS_MARGIN","FQ4 2017","FQ4 2017","Currency=USD","Period=FQ","BEST_FPERIOD_OVERRIDE=FQ","FILING_STATUS=OR","FA_ADJUSTED=Adjusted","Sort=A","Dates=H","DateFormat=P","Fill=—","Direction=H","UseDPDF=Y")</f>
        <v>6.9081999999999999</v>
      </c>
      <c r="AO65" s="14">
        <f>_xll.BDH("XOM US Equity","GROSS_MARGIN","FQ1 2018","FQ1 2018","Currency=USD","Period=FQ","BEST_FPERIOD_OVERRIDE=FQ","FILING_STATUS=OR","FA_ADJUSTED=Adjusted","Sort=A","Dates=H","DateFormat=P","Fill=—","Direction=H","UseDPDF=Y")</f>
        <v>12.286799999999999</v>
      </c>
      <c r="AP65" s="14">
        <f>_xll.BDH("XOM US Equity","GROSS_MARGIN","FQ2 2018","FQ2 2018","Currency=USD","Period=FQ","BEST_FPERIOD_OVERRIDE=FQ","FILING_STATUS=OR","FA_ADJUSTED=Adjusted","Sort=A","Dates=H","DateFormat=P","Fill=—","Direction=H","UseDPDF=Y")</f>
        <v>11.541399999999999</v>
      </c>
    </row>
    <row r="66" spans="1:42" x14ac:dyDescent="0.25">
      <c r="A66" s="10" t="s">
        <v>191</v>
      </c>
      <c r="B66" s="10" t="s">
        <v>192</v>
      </c>
      <c r="C66" s="14">
        <f>_xll.BDH("XOM US Equity","OPER_MARGIN","FQ3 2008","FQ3 2008","Currency=USD","Period=FQ","BEST_FPERIOD_OVERRIDE=FQ","FILING_STATUS=OR","FA_ADJUSTED=Adjusted","Sort=A","Dates=H","DateFormat=P","Fill=—","Direction=H","UseDPDF=Y")</f>
        <v>17.3993</v>
      </c>
      <c r="D66" s="14">
        <f>_xll.BDH("XOM US Equity","OPER_MARGIN","FQ4 2008","FQ4 2008","Currency=USD","Period=FQ","BEST_FPERIOD_OVERRIDE=FQ","FILING_STATUS=OR","FA_ADJUSTED=Adjusted","Sort=A","Dates=H","DateFormat=P","Fill=—","Direction=H","UseDPDF=Y")</f>
        <v>12.1363</v>
      </c>
      <c r="E66" s="14">
        <f>_xll.BDH("XOM US Equity","OPER_MARGIN","FQ1 2009","FQ1 2009","Currency=USD","Period=FQ","BEST_FPERIOD_OVERRIDE=FQ","FILING_STATUS=OR","FA_ADJUSTED=Adjusted","Sort=A","Dates=H","DateFormat=P","Fill=—","Direction=H","UseDPDF=Y")</f>
        <v>10.773400000000001</v>
      </c>
      <c r="F66" s="14">
        <f>_xll.BDH("XOM US Equity","OPER_MARGIN","FQ2 2009","FQ2 2009","Currency=USD","Period=FQ","BEST_FPERIOD_OVERRIDE=FQ","FILING_STATUS=OR","FA_ADJUSTED=Adjusted","Sort=A","Dates=H","DateFormat=P","Fill=—","Direction=H","UseDPDF=Y")</f>
        <v>8.4457000000000004</v>
      </c>
      <c r="G66" s="14">
        <f>_xll.BDH("XOM US Equity","OPER_MARGIN","FQ3 2009","FQ3 2009","Currency=USD","Period=FQ","BEST_FPERIOD_OVERRIDE=FQ","FILING_STATUS=OR","FA_ADJUSTED=Adjusted","Sort=A","Dates=H","DateFormat=P","Fill=—","Direction=H","UseDPDF=Y")</f>
        <v>9.6827000000000005</v>
      </c>
      <c r="H66" s="14">
        <f>_xll.BDH("XOM US Equity","OPER_MARGIN","FQ4 2009","FQ4 2009","Currency=USD","Period=FQ","BEST_FPERIOD_OVERRIDE=FQ","FILING_STATUS=OR","FA_ADJUSTED=Adjusted","Sort=A","Dates=H","DateFormat=P","Fill=—","Direction=H","UseDPDF=Y")</f>
        <v>9.3826000000000001</v>
      </c>
      <c r="I66" s="14">
        <f>_xll.BDH("XOM US Equity","OPER_MARGIN","FQ1 2010","FQ1 2010","Currency=USD","Period=FQ","BEST_FPERIOD_OVERRIDE=FQ","FILING_STATUS=OR","FA_ADJUSTED=Adjusted","Sort=A","Dates=H","DateFormat=P","Fill=—","Direction=H","UseDPDF=Y")</f>
        <v>11.105399999999999</v>
      </c>
      <c r="J66" s="14">
        <f>_xll.BDH("XOM US Equity","OPER_MARGIN","FQ2 2010","FQ2 2010","Currency=USD","Period=FQ","BEST_FPERIOD_OVERRIDE=FQ","FILING_STATUS=OR","FA_ADJUSTED=Adjusted","Sort=A","Dates=H","DateFormat=P","Fill=—","Direction=H","UseDPDF=Y")</f>
        <v>12.0464</v>
      </c>
      <c r="K66" s="14">
        <f>_xll.BDH("XOM US Equity","OPER_MARGIN","FQ3 2010","FQ3 2010","Currency=USD","Period=FQ","BEST_FPERIOD_OVERRIDE=FQ","FILING_STATUS=OR","FA_ADJUSTED=Adjusted","Sort=A","Dates=H","DateFormat=P","Fill=—","Direction=H","UseDPDF=Y")</f>
        <v>11.7033</v>
      </c>
      <c r="L66" s="14">
        <f>_xll.BDH("XOM US Equity","OPER_MARGIN","FQ4 2010","FQ4 2010","Currency=USD","Period=FQ","BEST_FPERIOD_OVERRIDE=FQ","FILING_STATUS=OR","FA_ADJUSTED=Adjusted","Sort=A","Dates=H","DateFormat=P","Fill=—","Direction=H","UseDPDF=Y")</f>
        <v>12.0885</v>
      </c>
      <c r="M66" s="14">
        <f>_xll.BDH("XOM US Equity","OPER_MARGIN","FQ1 2011","FQ1 2011","Currency=USD","Period=FQ","BEST_FPERIOD_OVERRIDE=FQ","FILING_STATUS=OR","FA_ADJUSTED=Adjusted","Sort=A","Dates=H","DateFormat=P","Fill=—","Direction=H","UseDPDF=Y")</f>
        <v>14.006</v>
      </c>
      <c r="N66" s="14">
        <f>_xll.BDH("XOM US Equity","OPER_MARGIN","FQ2 2011","FQ2 2011","Currency=USD","Period=FQ","BEST_FPERIOD_OVERRIDE=FQ","FILING_STATUS=OR","FA_ADJUSTED=Adjusted","Sort=A","Dates=H","DateFormat=P","Fill=—","Direction=H","UseDPDF=Y")</f>
        <v>12.9206</v>
      </c>
      <c r="O66" s="14">
        <f>_xll.BDH("XOM US Equity","OPER_MARGIN","FQ3 2011","FQ3 2011","Currency=USD","Period=FQ","BEST_FPERIOD_OVERRIDE=FQ","FILING_STATUS=OR","FA_ADJUSTED=Adjusted","Sort=A","Dates=H","DateFormat=P","Fill=—","Direction=H","UseDPDF=Y")</f>
        <v>12.4322</v>
      </c>
      <c r="P66" s="14">
        <f>_xll.BDH("XOM US Equity","OPER_MARGIN","FQ4 2011","FQ4 2011","Currency=USD","Period=FQ","BEST_FPERIOD_OVERRIDE=FQ","FILING_STATUS=OR","FA_ADJUSTED=Adjusted","Sort=A","Dates=H","DateFormat=P","Fill=—","Direction=H","UseDPDF=Y")</f>
        <v>10.6275</v>
      </c>
      <c r="Q66" s="14">
        <f>_xll.BDH("XOM US Equity","OPER_MARGIN","FQ1 2012","FQ1 2012","Currency=USD","Period=FQ","BEST_FPERIOD_OVERRIDE=FQ","FILING_STATUS=OR","FA_ADJUSTED=Adjusted","Sort=A","Dates=H","DateFormat=P","Fill=—","Direction=H","UseDPDF=Y")</f>
        <v>11.5253</v>
      </c>
      <c r="R66" s="14">
        <f>_xll.BDH("XOM US Equity","OPER_MARGIN","FQ2 2012","FQ2 2012","Currency=USD","Period=FQ","BEST_FPERIOD_OVERRIDE=FQ","FILING_STATUS=OR","FA_ADJUSTED=Adjusted","Sort=A","Dates=H","DateFormat=P","Fill=—","Direction=H","UseDPDF=Y")</f>
        <v>1.5499000000000001</v>
      </c>
      <c r="S66" s="14">
        <f>_xll.BDH("XOM US Equity","OPER_MARGIN","FQ3 2012","FQ3 2012","Currency=USD","Period=FQ","BEST_FPERIOD_OVERRIDE=FQ","FILING_STATUS=OR","FA_ADJUSTED=Adjusted","Sort=A","Dates=H","DateFormat=P","Fill=—","Direction=H","UseDPDF=Y")</f>
        <v>12.79</v>
      </c>
      <c r="T66" s="14">
        <f>_xll.BDH("XOM US Equity","OPER_MARGIN","FQ4 2012","FQ4 2012","Currency=USD","Period=FQ","BEST_FPERIOD_OVERRIDE=FQ","FILING_STATUS=OR","FA_ADJUSTED=Adjusted","Sort=A","Dates=H","DateFormat=P","Fill=—","Direction=H","UseDPDF=Y")</f>
        <v>11.1922</v>
      </c>
      <c r="U66" s="14">
        <f>_xll.BDH("XOM US Equity","OPER_MARGIN","FQ1 2013","FQ1 2013","Currency=USD","Period=FQ","BEST_FPERIOD_OVERRIDE=FQ","FILING_STATUS=OR","FA_ADJUSTED=Adjusted","Sort=A","Dates=H","DateFormat=P","Fill=—","Direction=H","UseDPDF=Y")</f>
        <v>11.5045</v>
      </c>
      <c r="V66" s="14">
        <f>_xll.BDH("XOM US Equity","OPER_MARGIN","FQ2 2013","FQ2 2013","Currency=USD","Period=FQ","BEST_FPERIOD_OVERRIDE=FQ","FILING_STATUS=OR","FA_ADJUSTED=Adjusted","Sort=A","Dates=H","DateFormat=P","Fill=—","Direction=H","UseDPDF=Y")</f>
        <v>9.6923999999999992</v>
      </c>
      <c r="W66" s="14">
        <f>_xll.BDH("XOM US Equity","OPER_MARGIN","FQ3 2013","FQ3 2013","Currency=USD","Period=FQ","BEST_FPERIOD_OVERRIDE=FQ","FILING_STATUS=OR","FA_ADJUSTED=Adjusted","Sort=A","Dates=H","DateFormat=P","Fill=—","Direction=H","UseDPDF=Y")</f>
        <v>10.207100000000001</v>
      </c>
      <c r="X66" s="14">
        <f>_xll.BDH("XOM US Equity","OPER_MARGIN","FQ4 2013","FQ4 2013","Currency=USD","Period=FQ","BEST_FPERIOD_OVERRIDE=FQ","FILING_STATUS=OR","FA_ADJUSTED=Adjusted","Sort=A","Dates=H","DateFormat=P","Fill=—","Direction=H","UseDPDF=Y")</f>
        <v>9.8846000000000007</v>
      </c>
      <c r="Y66" s="14">
        <f>_xll.BDH("XOM US Equity","OPER_MARGIN","FQ1 2014","FQ1 2014","Currency=USD","Period=FQ","BEST_FPERIOD_OVERRIDE=FQ","FILING_STATUS=OR","FA_ADJUSTED=Adjusted","Sort=A","Dates=H","DateFormat=P","Fill=—","Direction=H","UseDPDF=Y")</f>
        <v>10.8963</v>
      </c>
      <c r="Z66" s="14">
        <f>_xll.BDH("XOM US Equity","OPER_MARGIN","FQ2 2014","FQ2 2014","Currency=USD","Period=FQ","BEST_FPERIOD_OVERRIDE=FQ","FILING_STATUS=OR","FA_ADJUSTED=Adjusted","Sort=A","Dates=H","DateFormat=P","Fill=—","Direction=H","UseDPDF=Y")</f>
        <v>8.8780999999999999</v>
      </c>
      <c r="AA66" s="14">
        <f>_xll.BDH("XOM US Equity","OPER_MARGIN","FQ3 2014","FQ3 2014","Currency=USD","Period=FQ","BEST_FPERIOD_OVERRIDE=FQ","FILING_STATUS=OR","FA_ADJUSTED=Adjusted","Sort=A","Dates=H","DateFormat=P","Fill=—","Direction=H","UseDPDF=Y")</f>
        <v>9.968</v>
      </c>
      <c r="AB66" s="14">
        <f>_xll.BDH("XOM US Equity","OPER_MARGIN","FQ4 2014","FQ4 2014","Currency=USD","Period=FQ","BEST_FPERIOD_OVERRIDE=FQ","FILING_STATUS=OR","FA_ADJUSTED=Adjusted","Sort=A","Dates=H","DateFormat=P","Fill=—","Direction=H","UseDPDF=Y")</f>
        <v>6.6875</v>
      </c>
      <c r="AC66" s="14">
        <f>_xll.BDH("XOM US Equity","OPER_MARGIN","FQ1 2015","FQ1 2015","Currency=USD","Period=FQ","BEST_FPERIOD_OVERRIDE=FQ","FILING_STATUS=OR","FA_ADJUSTED=Adjusted","Sort=A","Dates=H","DateFormat=P","Fill=—","Direction=H","UseDPDF=Y")</f>
        <v>6.5222999999999995</v>
      </c>
      <c r="AD66" s="14">
        <f>_xll.BDH("XOM US Equity","OPER_MARGIN","FQ2 2015","FQ2 2015","Currency=USD","Period=FQ","BEST_FPERIOD_OVERRIDE=FQ","FILING_STATUS=OR","FA_ADJUSTED=Adjusted","Sort=A","Dates=H","DateFormat=P","Fill=—","Direction=H","UseDPDF=Y")</f>
        <v>6.5540000000000003</v>
      </c>
      <c r="AE66" s="14">
        <f>_xll.BDH("XOM US Equity","OPER_MARGIN","FQ3 2015","FQ3 2015","Currency=USD","Period=FQ","BEST_FPERIOD_OVERRIDE=FQ","FILING_STATUS=OR","FA_ADJUSTED=Adjusted","Sort=A","Dates=H","DateFormat=P","Fill=—","Direction=H","UseDPDF=Y")</f>
        <v>6.9522000000000004</v>
      </c>
      <c r="AF66" s="14">
        <f>_xll.BDH("XOM US Equity","OPER_MARGIN","FQ4 2015","FQ4 2015","Currency=USD","Period=FQ","BEST_FPERIOD_OVERRIDE=FQ","FILING_STATUS=OR","FA_ADJUSTED=Adjusted","Sort=A","Dates=H","DateFormat=P","Fill=—","Direction=H","UseDPDF=Y")</f>
        <v>1.0932999999999999</v>
      </c>
      <c r="AG66" s="14">
        <f>_xll.BDH("XOM US Equity","OPER_MARGIN","FQ1 2016","FQ1 2016","Currency=USD","Period=FQ","BEST_FPERIOD_OVERRIDE=FQ","FILING_STATUS=OR","FA_ADJUSTED=Adjusted","Sort=A","Dates=H","DateFormat=P","Fill=—","Direction=H","UseDPDF=Y")</f>
        <v>0.48470000000000002</v>
      </c>
      <c r="AH66" s="14">
        <f>_xll.BDH("XOM US Equity","OPER_MARGIN","FQ2 2016","FQ2 2016","Currency=USD","Period=FQ","BEST_FPERIOD_OVERRIDE=FQ","FILING_STATUS=OR","FA_ADJUSTED=Adjusted","Sort=A","Dates=H","DateFormat=P","Fill=—","Direction=H","UseDPDF=Y")</f>
        <v>2.2326999999999999</v>
      </c>
      <c r="AI66" s="14">
        <f>_xll.BDH("XOM US Equity","OPER_MARGIN","FQ3 2016","FQ3 2016","Currency=USD","Period=FQ","BEST_FPERIOD_OVERRIDE=FQ","FILING_STATUS=OR","FA_ADJUSTED=Adjusted","Sort=A","Dates=H","DateFormat=P","Fill=—","Direction=H","UseDPDF=Y")</f>
        <v>2.7702999999999998</v>
      </c>
      <c r="AJ66" s="14">
        <f>_xll.BDH("XOM US Equity","OPER_MARGIN","FQ4 2016","FQ4 2016","Currency=USD","Period=FQ","BEST_FPERIOD_OVERRIDE=FQ","FILING_STATUS=OR","FA_ADJUSTED=Adjusted","Sort=A","Dates=H","DateFormat=P","Fill=—","Direction=H","UseDPDF=Y")</f>
        <v>0.37569999999999998</v>
      </c>
      <c r="AK66" s="14">
        <f>_xll.BDH("XOM US Equity","OPER_MARGIN","FQ1 2017","FQ1 2017","Currency=USD","Period=FQ","BEST_FPERIOD_OVERRIDE=FQ","FILING_STATUS=OR","FA_ADJUSTED=Adjusted","Sort=A","Dates=H","DateFormat=P","Fill=—","Direction=H","UseDPDF=Y")</f>
        <v>6.9366000000000003</v>
      </c>
      <c r="AL66" s="14">
        <f>_xll.BDH("XOM US Equity","OPER_MARGIN","FQ2 2017","FQ2 2017","Currency=USD","Period=FQ","BEST_FPERIOD_OVERRIDE=FQ","FILING_STATUS=OR","FA_ADJUSTED=Adjusted","Sort=A","Dates=H","DateFormat=P","Fill=—","Direction=H","UseDPDF=Y")</f>
        <v>4.0970000000000004</v>
      </c>
      <c r="AM66" s="14">
        <f>_xll.BDH("XOM US Equity","OPER_MARGIN","FQ3 2017","FQ3 2017","Currency=USD","Period=FQ","BEST_FPERIOD_OVERRIDE=FQ","FILING_STATUS=OR","FA_ADJUSTED=Adjusted","Sort=A","Dates=H","DateFormat=P","Fill=—","Direction=H","UseDPDF=Y")</f>
        <v>6.7359999999999998</v>
      </c>
      <c r="AN66" s="14">
        <f>_xll.BDH("XOM US Equity","OPER_MARGIN","FQ4 2017","FQ4 2017","Currency=USD","Period=FQ","BEST_FPERIOD_OVERRIDE=FQ","FILING_STATUS=OR","FA_ADJUSTED=Adjusted","Sort=A","Dates=H","DateFormat=P","Fill=—","Direction=H","UseDPDF=Y")</f>
        <v>5.9998000000000005</v>
      </c>
      <c r="AO66" s="14">
        <f>_xll.BDH("XOM US Equity","OPER_MARGIN","FQ1 2018","FQ1 2018","Currency=USD","Period=FQ","BEST_FPERIOD_OVERRIDE=FQ","FILING_STATUS=OR","FA_ADJUSTED=Adjusted","Sort=A","Dates=H","DateFormat=P","Fill=—","Direction=H","UseDPDF=Y")</f>
        <v>7.6501999999999999</v>
      </c>
      <c r="AP66" s="14">
        <f>_xll.BDH("XOM US Equity","OPER_MARGIN","FQ2 2018","FQ2 2018","Currency=USD","Period=FQ","BEST_FPERIOD_OVERRIDE=FQ","FILING_STATUS=OR","FA_ADJUSTED=Adjusted","Sort=A","Dates=H","DateFormat=P","Fill=—","Direction=H","UseDPDF=Y")</f>
        <v>6.4570999999999996</v>
      </c>
    </row>
    <row r="67" spans="1:42" x14ac:dyDescent="0.25">
      <c r="A67" s="10" t="s">
        <v>193</v>
      </c>
      <c r="B67" s="10" t="s">
        <v>194</v>
      </c>
      <c r="C67" s="14">
        <f>_xll.BDH("XOM US Equity","PROF_MARGIN","FQ3 2008","FQ3 2008","Currency=USD","Period=FQ","BEST_FPERIOD_OVERRIDE=FQ","FILING_STATUS=OR","FA_ADJUSTED=Adjusted","Sort=A","Dates=H","DateFormat=P","Fill=—","Direction=H","UseDPDF=Y")</f>
        <v>12.0807</v>
      </c>
      <c r="D67" s="14">
        <f>_xll.BDH("XOM US Equity","PROF_MARGIN","FQ4 2008","FQ4 2008","Currency=USD","Period=FQ","BEST_FPERIOD_OVERRIDE=FQ","FILING_STATUS=OR","FA_ADJUSTED=Adjusted","Sort=A","Dates=H","DateFormat=P","Fill=—","Direction=H","UseDPDF=Y")</f>
        <v>10.6708</v>
      </c>
      <c r="E67" s="14">
        <f>_xll.BDH("XOM US Equity","PROF_MARGIN","FQ1 2009","FQ1 2009","Currency=USD","Period=FQ","BEST_FPERIOD_OVERRIDE=FQ","FILING_STATUS=OR","FA_ADJUSTED=Adjusted","Sort=A","Dates=H","DateFormat=P","Fill=—","Direction=H","UseDPDF=Y")</f>
        <v>8.0929000000000002</v>
      </c>
      <c r="F67" s="14">
        <f>_xll.BDH("XOM US Equity","PROF_MARGIN","FQ2 2009","FQ2 2009","Currency=USD","Period=FQ","BEST_FPERIOD_OVERRIDE=FQ","FILING_STATUS=OR","FA_ADJUSTED=Adjusted","Sort=A","Dates=H","DateFormat=P","Fill=—","Direction=H","UseDPDF=Y")</f>
        <v>6.2016</v>
      </c>
      <c r="G67" s="14">
        <f>_xll.BDH("XOM US Equity","PROF_MARGIN","FQ3 2009","FQ3 2009","Currency=USD","Period=FQ","BEST_FPERIOD_OVERRIDE=FQ","FILING_STATUS=OR","FA_ADJUSTED=Adjusted","Sort=A","Dates=H","DateFormat=P","Fill=—","Direction=H","UseDPDF=Y")</f>
        <v>6.4542999999999999</v>
      </c>
      <c r="H67" s="14">
        <f>_xll.BDH("XOM US Equity","PROF_MARGIN","FQ4 2009","FQ4 2009","Currency=USD","Period=FQ","BEST_FPERIOD_OVERRIDE=FQ","FILING_STATUS=OR","FA_ADJUSTED=Adjusted","Sort=A","Dates=H","DateFormat=P","Fill=—","Direction=H","UseDPDF=Y")</f>
        <v>7.5525000000000002</v>
      </c>
      <c r="I67" s="14">
        <f>_xll.BDH("XOM US Equity","PROF_MARGIN","FQ1 2010","FQ1 2010","Currency=USD","Period=FQ","BEST_FPERIOD_OVERRIDE=FQ","FILING_STATUS=OR","FA_ADJUSTED=Adjusted","Sort=A","Dates=H","DateFormat=P","Fill=—","Direction=H","UseDPDF=Y")</f>
        <v>8.1024999999999991</v>
      </c>
      <c r="J67" s="14">
        <f>_xll.BDH("XOM US Equity","PROF_MARGIN","FQ2 2010","FQ2 2010","Currency=USD","Period=FQ","BEST_FPERIOD_OVERRIDE=FQ","FILING_STATUS=OR","FA_ADJUSTED=Adjusted","Sort=A","Dates=H","DateFormat=P","Fill=—","Direction=H","UseDPDF=Y")</f>
        <v>9.6314999999999991</v>
      </c>
      <c r="K67" s="14">
        <f>_xll.BDH("XOM US Equity","PROF_MARGIN","FQ3 2010","FQ3 2010","Currency=USD","Period=FQ","BEST_FPERIOD_OVERRIDE=FQ","FILING_STATUS=OR","FA_ADJUSTED=Adjusted","Sort=A","Dates=H","DateFormat=P","Fill=—","Direction=H","UseDPDF=Y")</f>
        <v>8.6302000000000003</v>
      </c>
      <c r="L67" s="14">
        <f>_xll.BDH("XOM US Equity","PROF_MARGIN","FQ4 2010","FQ4 2010","Currency=USD","Period=FQ","BEST_FPERIOD_OVERRIDE=FQ","FILING_STATUS=OR","FA_ADJUSTED=Adjusted","Sort=A","Dates=H","DateFormat=P","Fill=—","Direction=H","UseDPDF=Y")</f>
        <v>9.9014000000000006</v>
      </c>
      <c r="M67" s="14">
        <f>_xll.BDH("XOM US Equity","PROF_MARGIN","FQ1 2011","FQ1 2011","Currency=USD","Period=FQ","BEST_FPERIOD_OVERRIDE=FQ","FILING_STATUS=OR","FA_ADJUSTED=Adjusted","Sort=A","Dates=H","DateFormat=P","Fill=—","Direction=H","UseDPDF=Y")</f>
        <v>10.5097</v>
      </c>
      <c r="N67" s="14">
        <f>_xll.BDH("XOM US Equity","PROF_MARGIN","FQ2 2011","FQ2 2011","Currency=USD","Period=FQ","BEST_FPERIOD_OVERRIDE=FQ","FILING_STATUS=OR","FA_ADJUSTED=Adjusted","Sort=A","Dates=H","DateFormat=P","Fill=—","Direction=H","UseDPDF=Y")</f>
        <v>9.4696999999999996</v>
      </c>
      <c r="O67" s="14">
        <f>_xll.BDH("XOM US Equity","PROF_MARGIN","FQ3 2011","FQ3 2011","Currency=USD","Period=FQ","BEST_FPERIOD_OVERRIDE=FQ","FILING_STATUS=OR","FA_ADJUSTED=Adjusted","Sort=A","Dates=H","DateFormat=P","Fill=—","Direction=H","UseDPDF=Y")</f>
        <v>9.2240000000000002</v>
      </c>
      <c r="P67" s="14">
        <f>_xll.BDH("XOM US Equity","PROF_MARGIN","FQ4 2011","FQ4 2011","Currency=USD","Period=FQ","BEST_FPERIOD_OVERRIDE=FQ","FILING_STATUS=OR","FA_ADJUSTED=Adjusted","Sort=A","Dates=H","DateFormat=P","Fill=—","Direction=H","UseDPDF=Y")</f>
        <v>8.7507999999999999</v>
      </c>
      <c r="Q67" s="14">
        <f>_xll.BDH("XOM US Equity","PROF_MARGIN","FQ1 2012","FQ1 2012","Currency=USD","Period=FQ","BEST_FPERIOD_OVERRIDE=FQ","FILING_STATUS=OR","FA_ADJUSTED=Adjusted","Sort=A","Dates=H","DateFormat=P","Fill=—","Direction=H","UseDPDF=Y")</f>
        <v>8.5368999999999993</v>
      </c>
      <c r="R67" s="14">
        <f>_xll.BDH("XOM US Equity","PROF_MARGIN","FQ2 2012","FQ2 2012","Currency=USD","Period=FQ","BEST_FPERIOD_OVERRIDE=FQ","FILING_STATUS=OR","FA_ADJUSTED=Adjusted","Sort=A","Dates=H","DateFormat=P","Fill=—","Direction=H","UseDPDF=Y")</f>
        <v>8.0311000000000003</v>
      </c>
      <c r="S67" s="14">
        <f>_xll.BDH("XOM US Equity","PROF_MARGIN","FQ3 2012","FQ3 2012","Currency=USD","Period=FQ","BEST_FPERIOD_OVERRIDE=FQ","FILING_STATUS=OR","FA_ADJUSTED=Adjusted","Sort=A","Dates=H","DateFormat=P","Fill=—","Direction=H","UseDPDF=Y")</f>
        <v>9.2538</v>
      </c>
      <c r="T67" s="14">
        <f>_xll.BDH("XOM US Equity","PROF_MARGIN","FQ4 2012","FQ4 2012","Currency=USD","Period=FQ","BEST_FPERIOD_OVERRIDE=FQ","FILING_STATUS=OR","FA_ADJUSTED=Adjusted","Sort=A","Dates=H","DateFormat=P","Fill=—","Direction=H","UseDPDF=Y")</f>
        <v>9.2201000000000004</v>
      </c>
      <c r="U67" s="14">
        <f>_xll.BDH("XOM US Equity","PROF_MARGIN","FQ1 2013","FQ1 2013","Currency=USD","Period=FQ","BEST_FPERIOD_OVERRIDE=FQ","FILING_STATUS=OR","FA_ADJUSTED=Adjusted","Sort=A","Dates=H","DateFormat=P","Fill=—","Direction=H","UseDPDF=Y")</f>
        <v>9.8613</v>
      </c>
      <c r="V67" s="14">
        <f>_xll.BDH("XOM US Equity","PROF_MARGIN","FQ2 2013","FQ2 2013","Currency=USD","Period=FQ","BEST_FPERIOD_OVERRIDE=FQ","FILING_STATUS=OR","FA_ADJUSTED=Adjusted","Sort=A","Dates=H","DateFormat=P","Fill=—","Direction=H","UseDPDF=Y")</f>
        <v>7.1981999999999999</v>
      </c>
      <c r="W67" s="14">
        <f>_xll.BDH("XOM US Equity","PROF_MARGIN","FQ3 2013","FQ3 2013","Currency=USD","Period=FQ","BEST_FPERIOD_OVERRIDE=FQ","FILING_STATUS=OR","FA_ADJUSTED=Adjusted","Sort=A","Dates=H","DateFormat=P","Fill=—","Direction=H","UseDPDF=Y")</f>
        <v>7.8301999999999996</v>
      </c>
      <c r="X67" s="14">
        <f>_xll.BDH("XOM US Equity","PROF_MARGIN","FQ4 2013","FQ4 2013","Currency=USD","Period=FQ","BEST_FPERIOD_OVERRIDE=FQ","FILING_STATUS=OR","FA_ADJUSTED=Adjusted","Sort=A","Dates=H","DateFormat=P","Fill=—","Direction=H","UseDPDF=Y")</f>
        <v>8.4896999999999991</v>
      </c>
      <c r="Y67" s="14">
        <f>_xll.BDH("XOM US Equity","PROF_MARGIN","FQ1 2014","FQ1 2014","Currency=USD","Period=FQ","BEST_FPERIOD_OVERRIDE=FQ","FILING_STATUS=OR","FA_ADJUSTED=Adjusted","Sort=A","Dates=H","DateFormat=P","Fill=—","Direction=H","UseDPDF=Y")</f>
        <v>9.6456</v>
      </c>
      <c r="Z67" s="14">
        <f>_xll.BDH("XOM US Equity","PROF_MARGIN","FQ2 2014","FQ2 2014","Currency=USD","Period=FQ","BEST_FPERIOD_OVERRIDE=FQ","FILING_STATUS=OR","FA_ADJUSTED=Adjusted","Sort=A","Dates=H","DateFormat=P","Fill=—","Direction=H","UseDPDF=Y")</f>
        <v>8.9329999999999998</v>
      </c>
      <c r="AA67" s="14">
        <f>_xll.BDH("XOM US Equity","PROF_MARGIN","FQ3 2014","FQ3 2014","Currency=USD","Period=FQ","BEST_FPERIOD_OVERRIDE=FQ","FILING_STATUS=OR","FA_ADJUSTED=Adjusted","Sort=A","Dates=H","DateFormat=P","Fill=—","Direction=H","UseDPDF=Y")</f>
        <v>8.4021000000000008</v>
      </c>
      <c r="AB67" s="14">
        <f>_xll.BDH("XOM US Equity","PROF_MARGIN","FQ4 2014","FQ4 2014","Currency=USD","Period=FQ","BEST_FPERIOD_OVERRIDE=FQ","FILING_STATUS=OR","FA_ADJUSTED=Adjusted","Sort=A","Dates=H","DateFormat=P","Fill=—","Direction=H","UseDPDF=Y")</f>
        <v>8.2814999999999994</v>
      </c>
      <c r="AC67" s="14">
        <f>_xll.BDH("XOM US Equity","PROF_MARGIN","FQ1 2015","FQ1 2015","Currency=USD","Period=FQ","BEST_FPERIOD_OVERRIDE=FQ","FILING_STATUS=OR","FA_ADJUSTED=Adjusted","Sort=A","Dates=H","DateFormat=P","Fill=—","Direction=H","UseDPDF=Y")</f>
        <v>8.3406000000000002</v>
      </c>
      <c r="AD67" s="14">
        <f>_xll.BDH("XOM US Equity","PROF_MARGIN","FQ2 2015","FQ2 2015","Currency=USD","Period=FQ","BEST_FPERIOD_OVERRIDE=FQ","FILING_STATUS=OR","FA_ADJUSTED=Adjusted","Sort=A","Dates=H","DateFormat=P","Fill=—","Direction=H","UseDPDF=Y")</f>
        <v>6.4071999999999996</v>
      </c>
      <c r="AE67" s="14">
        <f>_xll.BDH("XOM US Equity","PROF_MARGIN","FQ3 2015","FQ3 2015","Currency=USD","Period=FQ","BEST_FPERIOD_OVERRIDE=FQ","FILING_STATUS=OR","FA_ADJUSTED=Adjusted","Sort=A","Dates=H","DateFormat=P","Fill=—","Direction=H","UseDPDF=Y")</f>
        <v>7.0824999999999996</v>
      </c>
      <c r="AF67" s="14">
        <f>_xll.BDH("XOM US Equity","PROF_MARGIN","FQ4 2015","FQ4 2015","Currency=USD","Period=FQ","BEST_FPERIOD_OVERRIDE=FQ","FILING_STATUS=OR","FA_ADJUSTED=Adjusted","Sort=A","Dates=H","DateFormat=P","Fill=—","Direction=H","UseDPDF=Y")</f>
        <v>5.3133999999999997</v>
      </c>
      <c r="AG67" s="14">
        <f>_xll.BDH("XOM US Equity","PROF_MARGIN","FQ1 2016","FQ1 2016","Currency=USD","Period=FQ","BEST_FPERIOD_OVERRIDE=FQ","FILING_STATUS=OR","FA_ADJUSTED=Adjusted","Sort=A","Dates=H","DateFormat=P","Fill=—","Direction=H","UseDPDF=Y")</f>
        <v>4.28</v>
      </c>
      <c r="AH67" s="14">
        <f>_xll.BDH("XOM US Equity","PROF_MARGIN","FQ2 2016","FQ2 2016","Currency=USD","Period=FQ","BEST_FPERIOD_OVERRIDE=FQ","FILING_STATUS=OR","FA_ADJUSTED=Adjusted","Sort=A","Dates=H","DateFormat=P","Fill=—","Direction=H","UseDPDF=Y")</f>
        <v>3.3382000000000001</v>
      </c>
      <c r="AI67" s="14">
        <f>_xll.BDH("XOM US Equity","PROF_MARGIN","FQ3 2016","FQ3 2016","Currency=USD","Period=FQ","BEST_FPERIOD_OVERRIDE=FQ","FILING_STATUS=OR","FA_ADJUSTED=Adjusted","Sort=A","Dates=H","DateFormat=P","Fill=—","Direction=H","UseDPDF=Y")</f>
        <v>5.1627000000000001</v>
      </c>
      <c r="AJ67" s="14">
        <f>_xll.BDH("XOM US Equity","PROF_MARGIN","FQ4 2016","FQ4 2016","Currency=USD","Period=FQ","BEST_FPERIOD_OVERRIDE=FQ","FILING_STATUS=OR","FA_ADJUSTED=Adjusted","Sort=A","Dates=H","DateFormat=P","Fill=—","Direction=H","UseDPDF=Y")</f>
        <v>6.9978999999999996</v>
      </c>
      <c r="AK67" s="14">
        <f>_xll.BDH("XOM US Equity","PROF_MARGIN","FQ1 2017","FQ1 2017","Currency=USD","Period=FQ","BEST_FPERIOD_OVERRIDE=FQ","FILING_STATUS=OR","FA_ADJUSTED=Adjusted","Sort=A","Dates=H","DateFormat=P","Fill=—","Direction=H","UseDPDF=Y")</f>
        <v>7.1931000000000003</v>
      </c>
      <c r="AL67" s="14">
        <f>_xll.BDH("XOM US Equity","PROF_MARGIN","FQ2 2017","FQ2 2017","Currency=USD","Period=FQ","BEST_FPERIOD_OVERRIDE=FQ","FILING_STATUS=OR","FA_ADJUSTED=Adjusted","Sort=A","Dates=H","DateFormat=P","Fill=—","Direction=H","UseDPDF=Y")</f>
        <v>6.0648999999999997</v>
      </c>
      <c r="AM67" s="14">
        <f>_xll.BDH("XOM US Equity","PROF_MARGIN","FQ3 2017","FQ3 2017","Currency=USD","Period=FQ","BEST_FPERIOD_OVERRIDE=FQ","FILING_STATUS=OR","FA_ADJUSTED=Adjusted","Sort=A","Dates=H","DateFormat=P","Fill=—","Direction=H","UseDPDF=Y")</f>
        <v>6.7804000000000002</v>
      </c>
      <c r="AN67" s="14">
        <f>_xll.BDH("XOM US Equity","PROF_MARGIN","FQ4 2017","FQ4 2017","Currency=USD","Period=FQ","BEST_FPERIOD_OVERRIDE=FQ","FILING_STATUS=OR","FA_ADJUSTED=Adjusted","Sort=A","Dates=H","DateFormat=P","Fill=—","Direction=H","UseDPDF=Y")</f>
        <v>5.6108000000000002</v>
      </c>
      <c r="AO67" s="14">
        <f>_xll.BDH("XOM US Equity","PROF_MARGIN","FQ1 2018","FQ1 2018","Currency=USD","Period=FQ","BEST_FPERIOD_OVERRIDE=FQ","FILING_STATUS=OR","FA_ADJUSTED=Adjusted","Sort=A","Dates=H","DateFormat=P","Fill=—","Direction=H","UseDPDF=Y")</f>
        <v>7.1062000000000003</v>
      </c>
      <c r="AP67" s="14">
        <f>_xll.BDH("XOM US Equity","PROF_MARGIN","FQ2 2018","FQ2 2018","Currency=USD","Period=FQ","BEST_FPERIOD_OVERRIDE=FQ","FILING_STATUS=OR","FA_ADJUSTED=Adjusted","Sort=A","Dates=H","DateFormat=P","Fill=—","Direction=H","UseDPDF=Y")</f>
        <v>5.5278999999999998</v>
      </c>
    </row>
    <row r="68" spans="1:42" x14ac:dyDescent="0.25">
      <c r="A68" s="10" t="s">
        <v>195</v>
      </c>
      <c r="B68" s="10" t="s">
        <v>196</v>
      </c>
      <c r="C68" s="14" t="str">
        <f>_xll.BDH("XOM US Equity","ACTUAL_SALES_PER_EMPL","FQ3 2008","FQ3 2008","Currency=USD","Period=FQ","BEST_FPERIOD_OVERRIDE=FQ","FILING_STATUS=OR","FA_ADJUSTED=Adjusted","Sort=A","Dates=H","DateFormat=P","Fill=—","Direction=H","UseDPDF=Y")</f>
        <v>—</v>
      </c>
      <c r="D68" s="14">
        <f>_xll.BDH("XOM US Equity","ACTUAL_SALES_PER_EMPL","FQ4 2008","FQ4 2008","Currency=USD","Period=FQ","BEST_FPERIOD_OVERRIDE=FQ","FILING_STATUS=OR","FA_ADJUSTED=Adjusted","Sort=A","Dates=H","DateFormat=P","Fill=—","Direction=H","UseDPDF=Y")</f>
        <v>917196.49560000002</v>
      </c>
      <c r="E68" s="14" t="str">
        <f>_xll.BDH("XOM US Equity","ACTUAL_SALES_PER_EMPL","FQ1 2009","FQ1 2009","Currency=USD","Period=FQ","BEST_FPERIOD_OVERRIDE=FQ","FILING_STATUS=OR","FA_ADJUSTED=Adjusted","Sort=A","Dates=H","DateFormat=P","Fill=—","Direction=H","UseDPDF=Y")</f>
        <v>—</v>
      </c>
      <c r="F68" s="14" t="str">
        <f>_xll.BDH("XOM US Equity","ACTUAL_SALES_PER_EMPL","FQ2 2009","FQ2 2009","Currency=USD","Period=FQ","BEST_FPERIOD_OVERRIDE=FQ","FILING_STATUS=OR","FA_ADJUSTED=Adjusted","Sort=A","Dates=H","DateFormat=P","Fill=—","Direction=H","UseDPDF=Y")</f>
        <v>—</v>
      </c>
      <c r="G68" s="14" t="str">
        <f>_xll.BDH("XOM US Equity","ACTUAL_SALES_PER_EMPL","FQ3 2009","FQ3 2009","Currency=USD","Period=FQ","BEST_FPERIOD_OVERRIDE=FQ","FILING_STATUS=OR","FA_ADJUSTED=Adjusted","Sort=A","Dates=H","DateFormat=P","Fill=—","Direction=H","UseDPDF=Y")</f>
        <v>—</v>
      </c>
      <c r="H68" s="14">
        <f>_xll.BDH("XOM US Equity","ACTUAL_SALES_PER_EMPL","FQ4 2009","FQ4 2009","Currency=USD","Period=FQ","BEST_FPERIOD_OVERRIDE=FQ","FILING_STATUS=OR","FA_ADJUSTED=Adjusted","Sort=A","Dates=H","DateFormat=P","Fill=—","Direction=H","UseDPDF=Y")</f>
        <v>992639.40520000004</v>
      </c>
      <c r="I68" s="14" t="str">
        <f>_xll.BDH("XOM US Equity","ACTUAL_SALES_PER_EMPL","FQ1 2010","FQ1 2010","Currency=USD","Period=FQ","BEST_FPERIOD_OVERRIDE=FQ","FILING_STATUS=OR","FA_ADJUSTED=Adjusted","Sort=A","Dates=H","DateFormat=P","Fill=—","Direction=H","UseDPDF=Y")</f>
        <v>—</v>
      </c>
      <c r="J68" s="14" t="str">
        <f>_xll.BDH("XOM US Equity","ACTUAL_SALES_PER_EMPL","FQ2 2010","FQ2 2010","Currency=USD","Period=FQ","BEST_FPERIOD_OVERRIDE=FQ","FILING_STATUS=OR","FA_ADJUSTED=Adjusted","Sort=A","Dates=H","DateFormat=P","Fill=—","Direction=H","UseDPDF=Y")</f>
        <v>—</v>
      </c>
      <c r="K68" s="14" t="str">
        <f>_xll.BDH("XOM US Equity","ACTUAL_SALES_PER_EMPL","FQ3 2010","FQ3 2010","Currency=USD","Period=FQ","BEST_FPERIOD_OVERRIDE=FQ","FILING_STATUS=OR","FA_ADJUSTED=Adjusted","Sort=A","Dates=H","DateFormat=P","Fill=—","Direction=H","UseDPDF=Y")</f>
        <v>—</v>
      </c>
      <c r="L68" s="14">
        <f>_xll.BDH("XOM US Equity","ACTUAL_SALES_PER_EMPL","FQ4 2010","FQ4 2010","Currency=USD","Period=FQ","BEST_FPERIOD_OVERRIDE=FQ","FILING_STATUS=OR","FA_ADJUSTED=Adjusted","Sort=A","Dates=H","DateFormat=P","Fill=—","Direction=H","UseDPDF=Y")</f>
        <v>1117559.8086000001</v>
      </c>
      <c r="M68" s="14" t="str">
        <f>_xll.BDH("XOM US Equity","ACTUAL_SALES_PER_EMPL","FQ1 2011","FQ1 2011","Currency=USD","Period=FQ","BEST_FPERIOD_OVERRIDE=FQ","FILING_STATUS=OR","FA_ADJUSTED=Adjusted","Sort=A","Dates=H","DateFormat=P","Fill=—","Direction=H","UseDPDF=Y")</f>
        <v>—</v>
      </c>
      <c r="N68" s="14" t="str">
        <f>_xll.BDH("XOM US Equity","ACTUAL_SALES_PER_EMPL","FQ2 2011","FQ2 2011","Currency=USD","Period=FQ","BEST_FPERIOD_OVERRIDE=FQ","FILING_STATUS=OR","FA_ADJUSTED=Adjusted","Sort=A","Dates=H","DateFormat=P","Fill=—","Direction=H","UseDPDF=Y")</f>
        <v>—</v>
      </c>
      <c r="O68" s="14" t="str">
        <f>_xll.BDH("XOM US Equity","ACTUAL_SALES_PER_EMPL","FQ3 2011","FQ3 2011","Currency=USD","Period=FQ","BEST_FPERIOD_OVERRIDE=FQ","FILING_STATUS=OR","FA_ADJUSTED=Adjusted","Sort=A","Dates=H","DateFormat=P","Fill=—","Direction=H","UseDPDF=Y")</f>
        <v>—</v>
      </c>
      <c r="P68" s="14">
        <f>_xll.BDH("XOM US Equity","ACTUAL_SALES_PER_EMPL","FQ4 2011","FQ4 2011","Currency=USD","Period=FQ","BEST_FPERIOD_OVERRIDE=FQ","FILING_STATUS=OR","FA_ADJUSTED=Adjusted","Sort=A","Dates=H","DateFormat=P","Fill=—","Direction=H","UseDPDF=Y")</f>
        <v>1308392.2046000001</v>
      </c>
      <c r="Q68" s="14" t="str">
        <f>_xll.BDH("XOM US Equity","ACTUAL_SALES_PER_EMPL","FQ1 2012","FQ1 2012","Currency=USD","Period=FQ","BEST_FPERIOD_OVERRIDE=FQ","FILING_STATUS=OR","FA_ADJUSTED=Adjusted","Sort=A","Dates=H","DateFormat=P","Fill=—","Direction=H","UseDPDF=Y")</f>
        <v>—</v>
      </c>
      <c r="R68" s="14" t="str">
        <f>_xll.BDH("XOM US Equity","ACTUAL_SALES_PER_EMPL","FQ2 2012","FQ2 2012","Currency=USD","Period=FQ","BEST_FPERIOD_OVERRIDE=FQ","FILING_STATUS=OR","FA_ADJUSTED=Adjusted","Sort=A","Dates=H","DateFormat=P","Fill=—","Direction=H","UseDPDF=Y")</f>
        <v>—</v>
      </c>
      <c r="S68" s="14" t="str">
        <f>_xll.BDH("XOM US Equity","ACTUAL_SALES_PER_EMPL","FQ3 2012","FQ3 2012","Currency=USD","Period=FQ","BEST_FPERIOD_OVERRIDE=FQ","FILING_STATUS=OR","FA_ADJUSTED=Adjusted","Sort=A","Dates=H","DateFormat=P","Fill=—","Direction=H","UseDPDF=Y")</f>
        <v>—</v>
      </c>
      <c r="T68" s="14">
        <f>_xll.BDH("XOM US Equity","ACTUAL_SALES_PER_EMPL","FQ4 2012","FQ4 2012","Currency=USD","Period=FQ","BEST_FPERIOD_OVERRIDE=FQ","FILING_STATUS=OR","FA_ADJUSTED=Adjusted","Sort=A","Dates=H","DateFormat=P","Fill=—","Direction=H","UseDPDF=Y")</f>
        <v>1318712.6137999999</v>
      </c>
      <c r="U68" s="14" t="str">
        <f>_xll.BDH("XOM US Equity","ACTUAL_SALES_PER_EMPL","FQ1 2013","FQ1 2013","Currency=USD","Period=FQ","BEST_FPERIOD_OVERRIDE=FQ","FILING_STATUS=OR","FA_ADJUSTED=Adjusted","Sort=A","Dates=H","DateFormat=P","Fill=—","Direction=H","UseDPDF=Y")</f>
        <v>—</v>
      </c>
      <c r="V68" s="14" t="str">
        <f>_xll.BDH("XOM US Equity","ACTUAL_SALES_PER_EMPL","FQ2 2013","FQ2 2013","Currency=USD","Period=FQ","BEST_FPERIOD_OVERRIDE=FQ","FILING_STATUS=OR","FA_ADJUSTED=Adjusted","Sort=A","Dates=H","DateFormat=P","Fill=—","Direction=H","UseDPDF=Y")</f>
        <v>—</v>
      </c>
      <c r="W68" s="14" t="str">
        <f>_xll.BDH("XOM US Equity","ACTUAL_SALES_PER_EMPL","FQ3 2013","FQ3 2013","Currency=USD","Period=FQ","BEST_FPERIOD_OVERRIDE=FQ","FILING_STATUS=OR","FA_ADJUSTED=Adjusted","Sort=A","Dates=H","DateFormat=P","Fill=—","Direction=H","UseDPDF=Y")</f>
        <v>—</v>
      </c>
      <c r="X68" s="14">
        <f>_xll.BDH("XOM US Equity","ACTUAL_SALES_PER_EMPL","FQ4 2013","FQ4 2013","Currency=USD","Period=FQ","BEST_FPERIOD_OVERRIDE=FQ","FILING_STATUS=OR","FA_ADJUSTED=Adjusted","Sort=A","Dates=H","DateFormat=P","Fill=—","Direction=H","UseDPDF=Y")</f>
        <v>1311400</v>
      </c>
      <c r="Y68" s="14" t="str">
        <f>_xll.BDH("XOM US Equity","ACTUAL_SALES_PER_EMPL","FQ1 2014","FQ1 2014","Currency=USD","Period=FQ","BEST_FPERIOD_OVERRIDE=FQ","FILING_STATUS=OR","FA_ADJUSTED=Adjusted","Sort=A","Dates=H","DateFormat=P","Fill=—","Direction=H","UseDPDF=Y")</f>
        <v>—</v>
      </c>
      <c r="Z68" s="14" t="str">
        <f>_xll.BDH("XOM US Equity","ACTUAL_SALES_PER_EMPL","FQ2 2014","FQ2 2014","Currency=USD","Period=FQ","BEST_FPERIOD_OVERRIDE=FQ","FILING_STATUS=OR","FA_ADJUSTED=Adjusted","Sort=A","Dates=H","DateFormat=P","Fill=—","Direction=H","UseDPDF=Y")</f>
        <v>—</v>
      </c>
      <c r="AA68" s="14" t="str">
        <f>_xll.BDH("XOM US Equity","ACTUAL_SALES_PER_EMPL","FQ3 2014","FQ3 2014","Currency=USD","Period=FQ","BEST_FPERIOD_OVERRIDE=FQ","FILING_STATUS=OR","FA_ADJUSTED=Adjusted","Sort=A","Dates=H","DateFormat=P","Fill=—","Direction=H","UseDPDF=Y")</f>
        <v>—</v>
      </c>
      <c r="AB68" s="14">
        <f>_xll.BDH("XOM US Equity","ACTUAL_SALES_PER_EMPL","FQ4 2014","FQ4 2014","Currency=USD","Period=FQ","BEST_FPERIOD_OVERRIDE=FQ","FILING_STATUS=OR","FA_ADJUSTED=Adjusted","Sort=A","Dates=H","DateFormat=P","Fill=—","Direction=H","UseDPDF=Y")</f>
        <v>1010424.9668000001</v>
      </c>
      <c r="AC68" s="14" t="str">
        <f>_xll.BDH("XOM US Equity","ACTUAL_SALES_PER_EMPL","FQ1 2015","FQ1 2015","Currency=USD","Period=FQ","BEST_FPERIOD_OVERRIDE=FQ","FILING_STATUS=OR","FA_ADJUSTED=Adjusted","Sort=A","Dates=H","DateFormat=P","Fill=—","Direction=H","UseDPDF=Y")</f>
        <v>—</v>
      </c>
      <c r="AD68" s="14" t="str">
        <f>_xll.BDH("XOM US Equity","ACTUAL_SALES_PER_EMPL","FQ2 2015","FQ2 2015","Currency=USD","Period=FQ","BEST_FPERIOD_OVERRIDE=FQ","FILING_STATUS=OR","FA_ADJUSTED=Adjusted","Sort=A","Dates=H","DateFormat=P","Fill=—","Direction=H","UseDPDF=Y")</f>
        <v>—</v>
      </c>
      <c r="AE68" s="14" t="str">
        <f>_xll.BDH("XOM US Equity","ACTUAL_SALES_PER_EMPL","FQ3 2015","FQ3 2015","Currency=USD","Period=FQ","BEST_FPERIOD_OVERRIDE=FQ","FILING_STATUS=OR","FA_ADJUSTED=Adjusted","Sort=A","Dates=H","DateFormat=P","Fill=—","Direction=H","UseDPDF=Y")</f>
        <v>—</v>
      </c>
      <c r="AF68" s="14">
        <f>_xll.BDH("XOM US Equity","ACTUAL_SALES_PER_EMPL","FQ4 2015","FQ4 2015","Currency=USD","Period=FQ","BEST_FPERIOD_OVERRIDE=FQ","FILING_STATUS=OR","FA_ADJUSTED=Adjusted","Sort=A","Dates=H","DateFormat=P","Fill=—","Direction=H","UseDPDF=Y")</f>
        <v>711850.34010000003</v>
      </c>
      <c r="AG68" s="14" t="str">
        <f>_xll.BDH("XOM US Equity","ACTUAL_SALES_PER_EMPL","FQ1 2016","FQ1 2016","Currency=USD","Period=FQ","BEST_FPERIOD_OVERRIDE=FQ","FILING_STATUS=OR","FA_ADJUSTED=Adjusted","Sort=A","Dates=H","DateFormat=P","Fill=—","Direction=H","UseDPDF=Y")</f>
        <v>—</v>
      </c>
      <c r="AH68" s="14" t="str">
        <f>_xll.BDH("XOM US Equity","ACTUAL_SALES_PER_EMPL","FQ2 2016","FQ2 2016","Currency=USD","Period=FQ","BEST_FPERIOD_OVERRIDE=FQ","FILING_STATUS=OR","FA_ADJUSTED=Adjusted","Sort=A","Dates=H","DateFormat=P","Fill=—","Direction=H","UseDPDF=Y")</f>
        <v>—</v>
      </c>
      <c r="AI68" s="14" t="str">
        <f>_xll.BDH("XOM US Equity","ACTUAL_SALES_PER_EMPL","FQ3 2016","FQ3 2016","Currency=USD","Period=FQ","BEST_FPERIOD_OVERRIDE=FQ","FILING_STATUS=OR","FA_ADJUSTED=Adjusted","Sort=A","Dates=H","DateFormat=P","Fill=—","Direction=H","UseDPDF=Y")</f>
        <v>—</v>
      </c>
      <c r="AJ68" s="14">
        <f>_xll.BDH("XOM US Equity","ACTUAL_SALES_PER_EMPL","FQ4 2016","FQ4 2016","Currency=USD","Period=FQ","BEST_FPERIOD_OVERRIDE=FQ","FILING_STATUS=OR","FA_ADJUSTED=Adjusted","Sort=A","Dates=H","DateFormat=P","Fill=—","Direction=H","UseDPDF=Y")</f>
        <v>745049.22640000004</v>
      </c>
      <c r="AK68" s="14" t="str">
        <f>_xll.BDH("XOM US Equity","ACTUAL_SALES_PER_EMPL","FQ1 2017","FQ1 2017","Currency=USD","Period=FQ","BEST_FPERIOD_OVERRIDE=FQ","FILING_STATUS=OR","FA_ADJUSTED=Adjusted","Sort=A","Dates=H","DateFormat=P","Fill=—","Direction=H","UseDPDF=Y")</f>
        <v>—</v>
      </c>
      <c r="AL68" s="14" t="str">
        <f>_xll.BDH("XOM US Equity","ACTUAL_SALES_PER_EMPL","FQ2 2017","FQ2 2017","Currency=USD","Period=FQ","BEST_FPERIOD_OVERRIDE=FQ","FILING_STATUS=OR","FA_ADJUSTED=Adjusted","Sort=A","Dates=H","DateFormat=P","Fill=—","Direction=H","UseDPDF=Y")</f>
        <v>—</v>
      </c>
      <c r="AM68" s="14" t="str">
        <f>_xll.BDH("XOM US Equity","ACTUAL_SALES_PER_EMPL","FQ3 2017","FQ3 2017","Currency=USD","Period=FQ","BEST_FPERIOD_OVERRIDE=FQ","FILING_STATUS=OR","FA_ADJUSTED=Adjusted","Sort=A","Dates=H","DateFormat=P","Fill=—","Direction=H","UseDPDF=Y")</f>
        <v>—</v>
      </c>
      <c r="AN68" s="14">
        <f>_xll.BDH("XOM US Equity","ACTUAL_SALES_PER_EMPL","FQ4 2017","FQ4 2017","Currency=USD","Period=FQ","BEST_FPERIOD_OVERRIDE=FQ","FILING_STATUS=OR","FA_ADJUSTED=Adjusted","Sort=A","Dates=H","DateFormat=P","Fill=—","Direction=H","UseDPDF=Y")</f>
        <v>955675.28740000003</v>
      </c>
      <c r="AO68" s="14" t="str">
        <f>_xll.BDH("XOM US Equity","ACTUAL_SALES_PER_EMPL","FQ1 2018","FQ1 2018","Currency=USD","Period=FQ","BEST_FPERIOD_OVERRIDE=FQ","FILING_STATUS=OR","FA_ADJUSTED=Adjusted","Sort=A","Dates=H","DateFormat=P","Fill=—","Direction=H","UseDPDF=Y")</f>
        <v>—</v>
      </c>
      <c r="AP68" s="14" t="str">
        <f>_xll.BDH("XOM US Equity","ACTUAL_SALES_PER_EMPL","FQ2 2018","FQ2 2018","Currency=USD","Period=FQ","BEST_FPERIOD_OVERRIDE=FQ","FILING_STATUS=OR","FA_ADJUSTED=Adjusted","Sort=A","Dates=H","DateFormat=P","Fill=—","Direction=H","UseDPDF=Y")</f>
        <v>—</v>
      </c>
    </row>
    <row r="69" spans="1:42" x14ac:dyDescent="0.25">
      <c r="A69" s="10" t="s">
        <v>197</v>
      </c>
      <c r="B69" s="10" t="s">
        <v>198</v>
      </c>
      <c r="C69" s="14">
        <f>_xll.BDH("XOM US Equity","EQY_DPS","FQ3 2008","FQ3 2008","Currency=USD","Period=FQ","BEST_FPERIOD_OVERRIDE=FQ","FILING_STATUS=OR","Sort=A","Dates=H","DateFormat=P","Fill=—","Direction=H","UseDPDF=Y")</f>
        <v>0.4</v>
      </c>
      <c r="D69" s="14">
        <f>_xll.BDH("XOM US Equity","EQY_DPS","FQ4 2008","FQ4 2008","Currency=USD","Period=FQ","BEST_FPERIOD_OVERRIDE=FQ","FILING_STATUS=OR","Sort=A","Dates=H","DateFormat=P","Fill=—","Direction=H","UseDPDF=Y")</f>
        <v>0.4</v>
      </c>
      <c r="E69" s="14">
        <f>_xll.BDH("XOM US Equity","EQY_DPS","FQ1 2009","FQ1 2009","Currency=USD","Period=FQ","BEST_FPERIOD_OVERRIDE=FQ","FILING_STATUS=OR","Sort=A","Dates=H","DateFormat=P","Fill=—","Direction=H","UseDPDF=Y")</f>
        <v>0.4</v>
      </c>
      <c r="F69" s="14">
        <f>_xll.BDH("XOM US Equity","EQY_DPS","FQ2 2009","FQ2 2009","Currency=USD","Period=FQ","BEST_FPERIOD_OVERRIDE=FQ","FILING_STATUS=OR","Sort=A","Dates=H","DateFormat=P","Fill=—","Direction=H","UseDPDF=Y")</f>
        <v>0.42</v>
      </c>
      <c r="G69" s="14">
        <f>_xll.BDH("XOM US Equity","EQY_DPS","FQ3 2009","FQ3 2009","Currency=USD","Period=FQ","BEST_FPERIOD_OVERRIDE=FQ","FILING_STATUS=OR","Sort=A","Dates=H","DateFormat=P","Fill=—","Direction=H","UseDPDF=Y")</f>
        <v>0.42</v>
      </c>
      <c r="H69" s="14">
        <f>_xll.BDH("XOM US Equity","EQY_DPS","FQ4 2009","FQ4 2009","Currency=USD","Period=FQ","BEST_FPERIOD_OVERRIDE=FQ","FILING_STATUS=OR","Sort=A","Dates=H","DateFormat=P","Fill=—","Direction=H","UseDPDF=Y")</f>
        <v>0.42</v>
      </c>
      <c r="I69" s="14">
        <f>_xll.BDH("XOM US Equity","EQY_DPS","FQ1 2010","FQ1 2010","Currency=USD","Period=FQ","BEST_FPERIOD_OVERRIDE=FQ","FILING_STATUS=OR","Sort=A","Dates=H","DateFormat=P","Fill=—","Direction=H","UseDPDF=Y")</f>
        <v>0.42</v>
      </c>
      <c r="J69" s="14">
        <f>_xll.BDH("XOM US Equity","EQY_DPS","FQ2 2010","FQ2 2010","Currency=USD","Period=FQ","BEST_FPERIOD_OVERRIDE=FQ","FILING_STATUS=OR","Sort=A","Dates=H","DateFormat=P","Fill=—","Direction=H","UseDPDF=Y")</f>
        <v>0.44</v>
      </c>
      <c r="K69" s="14">
        <f>_xll.BDH("XOM US Equity","EQY_DPS","FQ3 2010","FQ3 2010","Currency=USD","Period=FQ","BEST_FPERIOD_OVERRIDE=FQ","FILING_STATUS=OR","Sort=A","Dates=H","DateFormat=P","Fill=—","Direction=H","UseDPDF=Y")</f>
        <v>0.44</v>
      </c>
      <c r="L69" s="14">
        <f>_xll.BDH("XOM US Equity","EQY_DPS","FQ4 2010","FQ4 2010","Currency=USD","Period=FQ","BEST_FPERIOD_OVERRIDE=FQ","FILING_STATUS=OR","Sort=A","Dates=H","DateFormat=P","Fill=—","Direction=H","UseDPDF=Y")</f>
        <v>0.44</v>
      </c>
      <c r="M69" s="14">
        <f>_xll.BDH("XOM US Equity","EQY_DPS","FQ1 2011","FQ1 2011","Currency=USD","Period=FQ","BEST_FPERIOD_OVERRIDE=FQ","FILING_STATUS=OR","Sort=A","Dates=H","DateFormat=P","Fill=—","Direction=H","UseDPDF=Y")</f>
        <v>0.44</v>
      </c>
      <c r="N69" s="14">
        <f>_xll.BDH("XOM US Equity","EQY_DPS","FQ2 2011","FQ2 2011","Currency=USD","Period=FQ","BEST_FPERIOD_OVERRIDE=FQ","FILING_STATUS=OR","Sort=A","Dates=H","DateFormat=P","Fill=—","Direction=H","UseDPDF=Y")</f>
        <v>0.47</v>
      </c>
      <c r="O69" s="14">
        <f>_xll.BDH("XOM US Equity","EQY_DPS","FQ3 2011","FQ3 2011","Currency=USD","Period=FQ","BEST_FPERIOD_OVERRIDE=FQ","FILING_STATUS=OR","Sort=A","Dates=H","DateFormat=P","Fill=—","Direction=H","UseDPDF=Y")</f>
        <v>0.47</v>
      </c>
      <c r="P69" s="14">
        <f>_xll.BDH("XOM US Equity","EQY_DPS","FQ4 2011","FQ4 2011","Currency=USD","Period=FQ","BEST_FPERIOD_OVERRIDE=FQ","FILING_STATUS=OR","Sort=A","Dates=H","DateFormat=P","Fill=—","Direction=H","UseDPDF=Y")</f>
        <v>0.47</v>
      </c>
      <c r="Q69" s="14">
        <f>_xll.BDH("XOM US Equity","EQY_DPS","FQ1 2012","FQ1 2012","Currency=USD","Period=FQ","BEST_FPERIOD_OVERRIDE=FQ","FILING_STATUS=OR","Sort=A","Dates=H","DateFormat=P","Fill=—","Direction=H","UseDPDF=Y")</f>
        <v>0.47</v>
      </c>
      <c r="R69" s="14">
        <f>_xll.BDH("XOM US Equity","EQY_DPS","FQ2 2012","FQ2 2012","Currency=USD","Period=FQ","BEST_FPERIOD_OVERRIDE=FQ","FILING_STATUS=OR","Sort=A","Dates=H","DateFormat=P","Fill=—","Direction=H","UseDPDF=Y")</f>
        <v>0.56999999999999995</v>
      </c>
      <c r="S69" s="14">
        <f>_xll.BDH("XOM US Equity","EQY_DPS","FQ3 2012","FQ3 2012","Currency=USD","Period=FQ","BEST_FPERIOD_OVERRIDE=FQ","FILING_STATUS=OR","Sort=A","Dates=H","DateFormat=P","Fill=—","Direction=H","UseDPDF=Y")</f>
        <v>0.56999999999999995</v>
      </c>
      <c r="T69" s="14">
        <f>_xll.BDH("XOM US Equity","EQY_DPS","FQ4 2012","FQ4 2012","Currency=USD","Period=FQ","BEST_FPERIOD_OVERRIDE=FQ","FILING_STATUS=OR","Sort=A","Dates=H","DateFormat=P","Fill=—","Direction=H","UseDPDF=Y")</f>
        <v>0.56999999999999995</v>
      </c>
      <c r="U69" s="14">
        <f>_xll.BDH("XOM US Equity","EQY_DPS","FQ1 2013","FQ1 2013","Currency=USD","Period=FQ","BEST_FPERIOD_OVERRIDE=FQ","FILING_STATUS=OR","Sort=A","Dates=H","DateFormat=P","Fill=—","Direction=H","UseDPDF=Y")</f>
        <v>0.56999999999999995</v>
      </c>
      <c r="V69" s="14">
        <f>_xll.BDH("XOM US Equity","EQY_DPS","FQ2 2013","FQ2 2013","Currency=USD","Period=FQ","BEST_FPERIOD_OVERRIDE=FQ","FILING_STATUS=OR","Sort=A","Dates=H","DateFormat=P","Fill=—","Direction=H","UseDPDF=Y")</f>
        <v>0.63</v>
      </c>
      <c r="W69" s="14">
        <f>_xll.BDH("XOM US Equity","EQY_DPS","FQ3 2013","FQ3 2013","Currency=USD","Period=FQ","BEST_FPERIOD_OVERRIDE=FQ","FILING_STATUS=OR","Sort=A","Dates=H","DateFormat=P","Fill=—","Direction=H","UseDPDF=Y")</f>
        <v>0.63</v>
      </c>
      <c r="X69" s="14">
        <f>_xll.BDH("XOM US Equity","EQY_DPS","FQ4 2013","FQ4 2013","Currency=USD","Period=FQ","BEST_FPERIOD_OVERRIDE=FQ","FILING_STATUS=OR","Sort=A","Dates=H","DateFormat=P","Fill=—","Direction=H","UseDPDF=Y")</f>
        <v>0.63</v>
      </c>
      <c r="Y69" s="14">
        <f>_xll.BDH("XOM US Equity","EQY_DPS","FQ1 2014","FQ1 2014","Currency=USD","Period=FQ","BEST_FPERIOD_OVERRIDE=FQ","FILING_STATUS=OR","Sort=A","Dates=H","DateFormat=P","Fill=—","Direction=H","UseDPDF=Y")</f>
        <v>0.63</v>
      </c>
      <c r="Z69" s="14">
        <f>_xll.BDH("XOM US Equity","EQY_DPS","FQ2 2014","FQ2 2014","Currency=USD","Period=FQ","BEST_FPERIOD_OVERRIDE=FQ","FILING_STATUS=OR","Sort=A","Dates=H","DateFormat=P","Fill=—","Direction=H","UseDPDF=Y")</f>
        <v>0.69</v>
      </c>
      <c r="AA69" s="14">
        <f>_xll.BDH("XOM US Equity","EQY_DPS","FQ3 2014","FQ3 2014","Currency=USD","Period=FQ","BEST_FPERIOD_OVERRIDE=FQ","FILING_STATUS=OR","Sort=A","Dates=H","DateFormat=P","Fill=—","Direction=H","UseDPDF=Y")</f>
        <v>0.69</v>
      </c>
      <c r="AB69" s="14">
        <f>_xll.BDH("XOM US Equity","EQY_DPS","FQ4 2014","FQ4 2014","Currency=USD","Period=FQ","BEST_FPERIOD_OVERRIDE=FQ","FILING_STATUS=OR","Sort=A","Dates=H","DateFormat=P","Fill=—","Direction=H","UseDPDF=Y")</f>
        <v>0.69</v>
      </c>
      <c r="AC69" s="14">
        <f>_xll.BDH("XOM US Equity","EQY_DPS","FQ1 2015","FQ1 2015","Currency=USD","Period=FQ","BEST_FPERIOD_OVERRIDE=FQ","FILING_STATUS=OR","Sort=A","Dates=H","DateFormat=P","Fill=—","Direction=H","UseDPDF=Y")</f>
        <v>0.69</v>
      </c>
      <c r="AD69" s="14">
        <f>_xll.BDH("XOM US Equity","EQY_DPS","FQ2 2015","FQ2 2015","Currency=USD","Period=FQ","BEST_FPERIOD_OVERRIDE=FQ","FILING_STATUS=OR","Sort=A","Dates=H","DateFormat=P","Fill=—","Direction=H","UseDPDF=Y")</f>
        <v>0.73</v>
      </c>
      <c r="AE69" s="14">
        <f>_xll.BDH("XOM US Equity","EQY_DPS","FQ3 2015","FQ3 2015","Currency=USD","Period=FQ","BEST_FPERIOD_OVERRIDE=FQ","FILING_STATUS=OR","Sort=A","Dates=H","DateFormat=P","Fill=—","Direction=H","UseDPDF=Y")</f>
        <v>0.73</v>
      </c>
      <c r="AF69" s="14">
        <f>_xll.BDH("XOM US Equity","EQY_DPS","FQ4 2015","FQ4 2015","Currency=USD","Period=FQ","BEST_FPERIOD_OVERRIDE=FQ","FILING_STATUS=OR","Sort=A","Dates=H","DateFormat=P","Fill=—","Direction=H","UseDPDF=Y")</f>
        <v>0.73</v>
      </c>
      <c r="AG69" s="14">
        <f>_xll.BDH("XOM US Equity","EQY_DPS","FQ1 2016","FQ1 2016","Currency=USD","Period=FQ","BEST_FPERIOD_OVERRIDE=FQ","FILING_STATUS=OR","Sort=A","Dates=H","DateFormat=P","Fill=—","Direction=H","UseDPDF=Y")</f>
        <v>0.73</v>
      </c>
      <c r="AH69" s="14">
        <f>_xll.BDH("XOM US Equity","EQY_DPS","FQ2 2016","FQ2 2016","Currency=USD","Period=FQ","BEST_FPERIOD_OVERRIDE=FQ","FILING_STATUS=OR","Sort=A","Dates=H","DateFormat=P","Fill=—","Direction=H","UseDPDF=Y")</f>
        <v>0.75</v>
      </c>
      <c r="AI69" s="14">
        <f>_xll.BDH("XOM US Equity","EQY_DPS","FQ3 2016","FQ3 2016","Currency=USD","Period=FQ","BEST_FPERIOD_OVERRIDE=FQ","FILING_STATUS=OR","Sort=A","Dates=H","DateFormat=P","Fill=—","Direction=H","UseDPDF=Y")</f>
        <v>0.75</v>
      </c>
      <c r="AJ69" s="14">
        <f>_xll.BDH("XOM US Equity","EQY_DPS","FQ4 2016","FQ4 2016","Currency=USD","Period=FQ","BEST_FPERIOD_OVERRIDE=FQ","FILING_STATUS=OR","Sort=A","Dates=H","DateFormat=P","Fill=—","Direction=H","UseDPDF=Y")</f>
        <v>0.75</v>
      </c>
      <c r="AK69" s="14">
        <f>_xll.BDH("XOM US Equity","EQY_DPS","FQ1 2017","FQ1 2017","Currency=USD","Period=FQ","BEST_FPERIOD_OVERRIDE=FQ","FILING_STATUS=OR","Sort=A","Dates=H","DateFormat=P","Fill=—","Direction=H","UseDPDF=Y")</f>
        <v>0.75</v>
      </c>
      <c r="AL69" s="14">
        <f>_xll.BDH("XOM US Equity","EQY_DPS","FQ2 2017","FQ2 2017","Currency=USD","Period=FQ","BEST_FPERIOD_OVERRIDE=FQ","FILING_STATUS=OR","Sort=A","Dates=H","DateFormat=P","Fill=—","Direction=H","UseDPDF=Y")</f>
        <v>0.77</v>
      </c>
      <c r="AM69" s="14">
        <f>_xll.BDH("XOM US Equity","EQY_DPS","FQ3 2017","FQ3 2017","Currency=USD","Period=FQ","BEST_FPERIOD_OVERRIDE=FQ","FILING_STATUS=OR","Sort=A","Dates=H","DateFormat=P","Fill=—","Direction=H","UseDPDF=Y")</f>
        <v>0.77</v>
      </c>
      <c r="AN69" s="14">
        <f>_xll.BDH("XOM US Equity","EQY_DPS","FQ4 2017","FQ4 2017","Currency=USD","Period=FQ","BEST_FPERIOD_OVERRIDE=FQ","FILING_STATUS=OR","Sort=A","Dates=H","DateFormat=P","Fill=—","Direction=H","UseDPDF=Y")</f>
        <v>0.77</v>
      </c>
      <c r="AO69" s="14">
        <f>_xll.BDH("XOM US Equity","EQY_DPS","FQ1 2018","FQ1 2018","Currency=USD","Period=FQ","BEST_FPERIOD_OVERRIDE=FQ","FILING_STATUS=OR","Sort=A","Dates=H","DateFormat=P","Fill=—","Direction=H","UseDPDF=Y")</f>
        <v>0.77</v>
      </c>
      <c r="AP69" s="14">
        <f>_xll.BDH("XOM US Equity","EQY_DPS","FQ2 2018","FQ2 2018","Currency=USD","Period=FQ","BEST_FPERIOD_OVERRIDE=FQ","FILING_STATUS=OR","Sort=A","Dates=H","DateFormat=P","Fill=—","Direction=H","UseDPDF=Y")</f>
        <v>0.82</v>
      </c>
    </row>
    <row r="70" spans="1:42" x14ac:dyDescent="0.25">
      <c r="A70" s="10" t="s">
        <v>199</v>
      </c>
      <c r="B70" s="10" t="s">
        <v>200</v>
      </c>
      <c r="C70" s="13">
        <f>_xll.BDH("XOM US Equity","IS_TOT_CASH_COM_DVD","FQ3 2008","FQ3 2008","Currency=USD","Period=FQ","BEST_FPERIOD_OVERRIDE=FQ","FILING_STATUS=OR","SCALING_FORMAT=MLN","Sort=A","Dates=H","DateFormat=P","Fill=—","Direction=H","UseDPDF=Y")</f>
        <v>2040.8</v>
      </c>
      <c r="D70" s="13">
        <f>_xll.BDH("XOM US Equity","IS_TOT_CASH_COM_DVD","FQ4 2008","FQ4 2008","Currency=USD","Period=FQ","BEST_FPERIOD_OVERRIDE=FQ","FILING_STATUS=OR","SCALING_FORMAT=MLN","Sort=A","Dates=H","DateFormat=P","Fill=—","Direction=H","UseDPDF=Y")</f>
        <v>2081.4499999999998</v>
      </c>
      <c r="E70" s="13">
        <f>_xll.BDH("XOM US Equity","IS_TOT_CASH_COM_DVD","FQ1 2009","FQ1 2009","Currency=USD","Period=FQ","BEST_FPERIOD_OVERRIDE=FQ","FILING_STATUS=OR","SCALING_FORMAT=MLN","Sort=A","Dates=H","DateFormat=P","Fill=—","Direction=H","UseDPDF=Y")</f>
        <v>1974.8</v>
      </c>
      <c r="F70" s="13">
        <f>_xll.BDH("XOM US Equity","IS_TOT_CASH_COM_DVD","FQ2 2009","FQ2 2009","Currency=USD","Period=FQ","BEST_FPERIOD_OVERRIDE=FQ","FILING_STATUS=OR","SCALING_FORMAT=MLN","Sort=A","Dates=H","DateFormat=P","Fill=—","Direction=H","UseDPDF=Y")</f>
        <v>2039</v>
      </c>
      <c r="G70" s="13">
        <f>_xll.BDH("XOM US Equity","IS_TOT_CASH_COM_DVD","FQ3 2009","FQ3 2009","Currency=USD","Period=FQ","BEST_FPERIOD_OVERRIDE=FQ","FILING_STATUS=OR","SCALING_FORMAT=MLN","Sort=A","Dates=H","DateFormat=P","Fill=—","Direction=H","UseDPDF=Y")</f>
        <v>2009.28</v>
      </c>
      <c r="H70" s="13">
        <f>_xll.BDH("XOM US Equity","IS_TOT_CASH_COM_DVD","FQ4 2009","FQ4 2009","Currency=USD","Period=FQ","BEST_FPERIOD_OVERRIDE=FQ","FILING_STATUS=OR","SCALING_FORMAT=MLN","Sort=A","Dates=H","DateFormat=P","Fill=—","Direction=H","UseDPDF=Y")</f>
        <v>1999.92</v>
      </c>
      <c r="I70" s="13">
        <f>_xll.BDH("XOM US Equity","IS_TOT_CASH_COM_DVD","FQ1 2010","FQ1 2010","Currency=USD","Period=FQ","BEST_FPERIOD_OVERRIDE=FQ","FILING_STATUS=OR","SCALING_FORMAT=MLN","Sort=A","Dates=H","DateFormat=P","Fill=—","Direction=H","UseDPDF=Y")</f>
        <v>1983.24</v>
      </c>
      <c r="J70" s="13">
        <f>_xll.BDH("XOM US Equity","IS_TOT_CASH_COM_DVD","FQ2 2010","FQ2 2010","Currency=USD","Period=FQ","BEST_FPERIOD_OVERRIDE=FQ","FILING_STATUS=OR","SCALING_FORMAT=MLN","Sort=A","Dates=H","DateFormat=P","Fill=—","Direction=H","UseDPDF=Y")</f>
        <v>2075.04</v>
      </c>
      <c r="K70" s="13">
        <f>_xll.BDH("XOM US Equity","IS_TOT_CASH_COM_DVD","FQ3 2010","FQ3 2010","Currency=USD","Period=FQ","BEST_FPERIOD_OVERRIDE=FQ","FILING_STATUS=OR","SCALING_FORMAT=MLN","Sort=A","Dates=H","DateFormat=P","Fill=—","Direction=H","UseDPDF=Y")</f>
        <v>2233.44</v>
      </c>
      <c r="L70" s="13">
        <f>_xll.BDH("XOM US Equity","IS_TOT_CASH_COM_DVD","FQ4 2010","FQ4 2010","Currency=USD","Period=FQ","BEST_FPERIOD_OVERRIDE=FQ","FILING_STATUS=OR","SCALING_FORMAT=MLN","Sort=A","Dates=H","DateFormat=P","Fill=—","Direction=H","UseDPDF=Y")</f>
        <v>2212</v>
      </c>
      <c r="M70" s="13">
        <f>_xll.BDH("XOM US Equity","IS_TOT_CASH_COM_DVD","FQ1 2011","FQ1 2011","Currency=USD","Period=FQ","BEST_FPERIOD_OVERRIDE=FQ","FILING_STATUS=OR","SCALING_FORMAT=MLN","Sort=A","Dates=H","DateFormat=P","Fill=—","Direction=H","UseDPDF=Y")</f>
        <v>2188</v>
      </c>
      <c r="N70" s="13">
        <f>_xll.BDH("XOM US Equity","IS_TOT_CASH_COM_DVD","FQ2 2011","FQ2 2011","Currency=USD","Period=FQ","BEST_FPERIOD_OVERRIDE=FQ","FILING_STATUS=OR","SCALING_FORMAT=MLN","Sort=A","Dates=H","DateFormat=P","Fill=—","Direction=H","UseDPDF=Y")</f>
        <v>2305.8200000000002</v>
      </c>
      <c r="O70" s="13">
        <f>_xll.BDH("XOM US Equity","IS_TOT_CASH_COM_DVD","FQ3 2011","FQ3 2011","Currency=USD","Period=FQ","BEST_FPERIOD_OVERRIDE=FQ","FILING_STATUS=OR","SCALING_FORMAT=MLN","Sort=A","Dates=H","DateFormat=P","Fill=—","Direction=H","UseDPDF=Y")</f>
        <v>2274.33</v>
      </c>
      <c r="P70" s="13">
        <f>_xll.BDH("XOM US Equity","IS_TOT_CASH_COM_DVD","FQ4 2011","FQ4 2011","Currency=USD","Period=FQ","BEST_FPERIOD_OVERRIDE=FQ","FILING_STATUS=OR","SCALING_FORMAT=MLN","Sort=A","Dates=H","DateFormat=P","Fill=—","Direction=H","UseDPDF=Y")</f>
        <v>2247</v>
      </c>
      <c r="Q70" s="13">
        <f>_xll.BDH("XOM US Equity","IS_TOT_CASH_COM_DVD","FQ1 2012","FQ1 2012","Currency=USD","Period=FQ","BEST_FPERIOD_OVERRIDE=FQ","FILING_STATUS=OR","SCALING_FORMAT=MLN","Sort=A","Dates=H","DateFormat=P","Fill=—","Direction=H","UseDPDF=Y")</f>
        <v>2317</v>
      </c>
      <c r="R70" s="13">
        <f>_xll.BDH("XOM US Equity","IS_TOT_CASH_COM_DVD","FQ2 2012","FQ2 2012","Currency=USD","Period=FQ","BEST_FPERIOD_OVERRIDE=FQ","FILING_STATUS=OR","SCALING_FORMAT=MLN","Sort=A","Dates=H","DateFormat=P","Fill=—","Direction=H","UseDPDF=Y")</f>
        <v>2653.92</v>
      </c>
      <c r="S70" s="13">
        <f>_xll.BDH("XOM US Equity","IS_TOT_CASH_COM_DVD","FQ3 2012","FQ3 2012","Currency=USD","Period=FQ","BEST_FPERIOD_OVERRIDE=FQ","FILING_STATUS=OR","SCALING_FORMAT=MLN","Sort=A","Dates=H","DateFormat=P","Fill=—","Direction=H","UseDPDF=Y")</f>
        <v>2695</v>
      </c>
      <c r="T70" s="13">
        <f>_xll.BDH("XOM US Equity","IS_TOT_CASH_COM_DVD","FQ4 2012","FQ4 2012","Currency=USD","Period=FQ","BEST_FPERIOD_OVERRIDE=FQ","FILING_STATUS=OR","SCALING_FORMAT=MLN","Sort=A","Dates=H","DateFormat=P","Fill=—","Direction=H","UseDPDF=Y")</f>
        <v>2592</v>
      </c>
      <c r="U70" s="13">
        <f>_xll.BDH("XOM US Equity","IS_TOT_CASH_COM_DVD","FQ1 2013","FQ1 2013","Currency=USD","Period=FQ","BEST_FPERIOD_OVERRIDE=FQ","FILING_STATUS=OR","SCALING_FORMAT=MLN","Sort=A","Dates=H","DateFormat=P","Fill=—","Direction=H","UseDPDF=Y")</f>
        <v>2666</v>
      </c>
      <c r="V70" s="13">
        <f>_xll.BDH("XOM US Equity","IS_TOT_CASH_COM_DVD","FQ2 2013","FQ2 2013","Currency=USD","Period=FQ","BEST_FPERIOD_OVERRIDE=FQ","FILING_STATUS=OR","SCALING_FORMAT=MLN","Sort=A","Dates=H","DateFormat=P","Fill=—","Direction=H","UseDPDF=Y")</f>
        <v>2874</v>
      </c>
      <c r="W70" s="13">
        <f>_xll.BDH("XOM US Equity","IS_TOT_CASH_COM_DVD","FQ3 2013","FQ3 2013","Currency=USD","Period=FQ","BEST_FPERIOD_OVERRIDE=FQ","FILING_STATUS=OR","SCALING_FORMAT=MLN","Sort=A","Dates=H","DateFormat=P","Fill=—","Direction=H","UseDPDF=Y")</f>
        <v>2768.85</v>
      </c>
      <c r="X70" s="13">
        <f>_xll.BDH("XOM US Equity","IS_TOT_CASH_COM_DVD","FQ4 2013","FQ4 2013","Currency=USD","Period=FQ","BEST_FPERIOD_OVERRIDE=FQ","FILING_STATUS=OR","SCALING_FORMAT=MLN","Sort=A","Dates=H","DateFormat=P","Fill=—","Direction=H","UseDPDF=Y")</f>
        <v>2750</v>
      </c>
      <c r="Y70" s="13">
        <f>_xll.BDH("XOM US Equity","IS_TOT_CASH_COM_DVD","FQ1 2014","FQ1 2014","Currency=USD","Period=FQ","BEST_FPERIOD_OVERRIDE=FQ","FILING_STATUS=OR","SCALING_FORMAT=MLN","Sort=A","Dates=H","DateFormat=P","Fill=—","Direction=H","UseDPDF=Y")</f>
        <v>2790</v>
      </c>
      <c r="Z70" s="13">
        <f>_xll.BDH("XOM US Equity","IS_TOT_CASH_COM_DVD","FQ2 2014","FQ2 2014","Currency=USD","Period=FQ","BEST_FPERIOD_OVERRIDE=FQ","FILING_STATUS=OR","SCALING_FORMAT=MLN","Sort=A","Dates=H","DateFormat=P","Fill=—","Direction=H","UseDPDF=Y")</f>
        <v>3039</v>
      </c>
      <c r="AA70" s="13">
        <f>_xll.BDH("XOM US Equity","IS_TOT_CASH_COM_DVD","FQ3 2014","FQ3 2014","Currency=USD","Period=FQ","BEST_FPERIOD_OVERRIDE=FQ","FILING_STATUS=OR","SCALING_FORMAT=MLN","Sort=A","Dates=H","DateFormat=P","Fill=—","Direction=H","UseDPDF=Y")</f>
        <v>2944.23</v>
      </c>
      <c r="AB70" s="13">
        <f>_xll.BDH("XOM US Equity","IS_TOT_CASH_COM_DVD","FQ4 2014","FQ4 2014","Currency=USD","Period=FQ","BEST_FPERIOD_OVERRIDE=FQ","FILING_STATUS=OR","SCALING_FORMAT=MLN","Sort=A","Dates=H","DateFormat=P","Fill=—","Direction=H","UseDPDF=Y")</f>
        <v>2924</v>
      </c>
      <c r="AC70" s="13">
        <f>_xll.BDH("XOM US Equity","IS_TOT_CASH_COM_DVD","FQ1 2015","FQ1 2015","Currency=USD","Period=FQ","BEST_FPERIOD_OVERRIDE=FQ","FILING_STATUS=OR","SCALING_FORMAT=MLN","Sort=A","Dates=H","DateFormat=P","Fill=—","Direction=H","UseDPDF=Y")</f>
        <v>2950</v>
      </c>
      <c r="AD70" s="13">
        <f>_xll.BDH("XOM US Equity","IS_TOT_CASH_COM_DVD","FQ2 2015","FQ2 2015","Currency=USD","Period=FQ","BEST_FPERIOD_OVERRIDE=FQ","FILING_STATUS=OR","SCALING_FORMAT=MLN","Sort=A","Dates=H","DateFormat=P","Fill=—","Direction=H","UseDPDF=Y")</f>
        <v>3066</v>
      </c>
      <c r="AE70" s="13">
        <f>_xll.BDH("XOM US Equity","IS_TOT_CASH_COM_DVD","FQ3 2015","FQ3 2015","Currency=USD","Period=FQ","BEST_FPERIOD_OVERRIDE=FQ","FILING_STATUS=OR","SCALING_FORMAT=MLN","Sort=A","Dates=H","DateFormat=P","Fill=—","Direction=H","UseDPDF=Y")</f>
        <v>3060</v>
      </c>
      <c r="AF70" s="13">
        <f>_xll.BDH("XOM US Equity","IS_TOT_CASH_COM_DVD","FQ4 2015","FQ4 2015","Currency=USD","Period=FQ","BEST_FPERIOD_OVERRIDE=FQ","FILING_STATUS=OR","SCALING_FORMAT=MLN","Sort=A","Dates=H","DateFormat=P","Fill=—","Direction=H","UseDPDF=Y")</f>
        <v>3054</v>
      </c>
      <c r="AG70" s="13">
        <f>_xll.BDH("XOM US Equity","IS_TOT_CASH_COM_DVD","FQ1 2016","FQ1 2016","Currency=USD","Period=FQ","BEST_FPERIOD_OVERRIDE=FQ","FILING_STATUS=OR","SCALING_FORMAT=MLN","Sort=A","Dates=H","DateFormat=P","Fill=—","Direction=H","UseDPDF=Y")</f>
        <v>3100</v>
      </c>
      <c r="AH70" s="13">
        <f>_xll.BDH("XOM US Equity","IS_TOT_CASH_COM_DVD","FQ2 2016","FQ2 2016","Currency=USD","Period=FQ","BEST_FPERIOD_OVERRIDE=FQ","FILING_STATUS=OR","SCALING_FORMAT=MLN","Sort=A","Dates=H","DateFormat=P","Fill=—","Direction=H","UseDPDF=Y")</f>
        <v>3133</v>
      </c>
      <c r="AI70" s="13">
        <f>_xll.BDH("XOM US Equity","IS_TOT_CASH_COM_DVD","FQ3 2016","FQ3 2016","Currency=USD","Period=FQ","BEST_FPERIOD_OVERRIDE=FQ","FILING_STATUS=OR","SCALING_FORMAT=MLN","Sort=A","Dates=H","DateFormat=P","Fill=—","Direction=H","UseDPDF=Y")</f>
        <v>3133</v>
      </c>
      <c r="AJ70" s="13">
        <f>_xll.BDH("XOM US Equity","IS_TOT_CASH_COM_DVD","FQ4 2016","FQ4 2016","Currency=USD","Period=FQ","BEST_FPERIOD_OVERRIDE=FQ","FILING_STATUS=OR","SCALING_FORMAT=MLN","Sort=A","Dates=H","DateFormat=P","Fill=—","Direction=H","UseDPDF=Y")</f>
        <v>3133</v>
      </c>
      <c r="AK70" s="13">
        <f>_xll.BDH("XOM US Equity","IS_TOT_CASH_COM_DVD","FQ1 2017","FQ1 2017","Currency=USD","Period=FQ","BEST_FPERIOD_OVERRIDE=FQ","FILING_STATUS=OR","SCALING_FORMAT=MLN","Sort=A","Dates=H","DateFormat=P","Fill=—","Direction=H","UseDPDF=Y")</f>
        <v>3134</v>
      </c>
      <c r="AL70" s="13">
        <f>_xll.BDH("XOM US Equity","IS_TOT_CASH_COM_DVD","FQ2 2017","FQ2 2017","Currency=USD","Period=FQ","BEST_FPERIOD_OVERRIDE=FQ","FILING_STATUS=OR","SCALING_FORMAT=MLN","Sort=A","Dates=H","DateFormat=P","Fill=—","Direction=H","UseDPDF=Y")</f>
        <v>3289</v>
      </c>
      <c r="AM70" s="13">
        <f>_xll.BDH("XOM US Equity","IS_TOT_CASH_COM_DVD","FQ3 2017","FQ3 2017","Currency=USD","Period=FQ","BEST_FPERIOD_OVERRIDE=FQ","FILING_STATUS=OR","SCALING_FORMAT=MLN","Sort=A","Dates=H","DateFormat=P","Fill=—","Direction=H","UseDPDF=Y")</f>
        <v>3289</v>
      </c>
      <c r="AN70" s="13">
        <f>_xll.BDH("XOM US Equity","IS_TOT_CASH_COM_DVD","FQ4 2017","FQ4 2017","Currency=USD","Period=FQ","BEST_FPERIOD_OVERRIDE=FQ","FILING_STATUS=OR","SCALING_FORMAT=MLN","Sort=A","Dates=H","DateFormat=P","Fill=—","Direction=H","UseDPDF=Y")</f>
        <v>3289</v>
      </c>
      <c r="AO70" s="13">
        <f>_xll.BDH("XOM US Equity","IS_TOT_CASH_COM_DVD","FQ1 2018","FQ1 2018","Currency=USD","Period=FQ","BEST_FPERIOD_OVERRIDE=FQ","FILING_STATUS=OR","SCALING_FORMAT=MLN","Sort=A","Dates=H","DateFormat=P","Fill=—","Direction=H","UseDPDF=Y")</f>
        <v>3334</v>
      </c>
      <c r="AP70" s="13">
        <f>_xll.BDH("XOM US Equity","IS_TOT_CASH_COM_DVD","FQ2 2018","FQ2 2018","Currency=USD","Period=FQ","BEST_FPERIOD_OVERRIDE=FQ","FILING_STATUS=OR","SCALING_FORMAT=MLN","Sort=A","Dates=H","DateFormat=P","Fill=—","Direction=H","UseDPDF=Y")</f>
        <v>3502</v>
      </c>
    </row>
    <row r="71" spans="1:42" x14ac:dyDescent="0.25">
      <c r="A71" s="10" t="s">
        <v>201</v>
      </c>
      <c r="B71" s="10" t="s">
        <v>202</v>
      </c>
      <c r="C71" s="13">
        <f>_xll.BDH("XOM US Equity","IS_DEPR_EXP","FQ3 2008","FQ3 2008","Currency=USD","Period=FQ","BEST_FPERIOD_OVERRIDE=FQ","FILING_STATUS=OR","SCALING_FORMAT=MLN","Sort=A","Dates=H","DateFormat=P","Fill=—","Direction=H","UseDPDF=Y")</f>
        <v>3008</v>
      </c>
      <c r="D71" s="13">
        <f>_xll.BDH("XOM US Equity","IS_DEPR_EXP","FQ4 2008","FQ4 2008","Currency=USD","Period=FQ","BEST_FPERIOD_OVERRIDE=FQ","FILING_STATUS=OR","SCALING_FORMAT=MLN","Sort=A","Dates=H","DateFormat=P","Fill=—","Direction=H","UseDPDF=Y")</f>
        <v>3177</v>
      </c>
      <c r="E71" s="13">
        <f>_xll.BDH("XOM US Equity","IS_DEPR_EXP","FQ1 2009","FQ1 2009","Currency=USD","Period=FQ","BEST_FPERIOD_OVERRIDE=FQ","FILING_STATUS=OR","SCALING_FORMAT=MLN","Sort=A","Dates=H","DateFormat=P","Fill=—","Direction=H","UseDPDF=Y")</f>
        <v>2793</v>
      </c>
      <c r="F71" s="13">
        <f>_xll.BDH("XOM US Equity","IS_DEPR_EXP","FQ2 2009","FQ2 2009","Currency=USD","Period=FQ","BEST_FPERIOD_OVERRIDE=FQ","FILING_STATUS=OR","SCALING_FORMAT=MLN","Sort=A","Dates=H","DateFormat=P","Fill=—","Direction=H","UseDPDF=Y")</f>
        <v>3004</v>
      </c>
      <c r="G71" s="13">
        <f>_xll.BDH("XOM US Equity","IS_DEPR_EXP","FQ3 2009","FQ3 2009","Currency=USD","Period=FQ","BEST_FPERIOD_OVERRIDE=FQ","FILING_STATUS=OR","SCALING_FORMAT=MLN","Sort=A","Dates=H","DateFormat=P","Fill=—","Direction=H","UseDPDF=Y")</f>
        <v>2927</v>
      </c>
      <c r="H71" s="13">
        <f>_xll.BDH("XOM US Equity","IS_DEPR_EXP","FQ4 2009","FQ4 2009","Currency=USD","Period=FQ","BEST_FPERIOD_OVERRIDE=FQ","FILING_STATUS=OR","SCALING_FORMAT=MLN","Sort=A","Dates=H","DateFormat=P","Fill=—","Direction=H","UseDPDF=Y")</f>
        <v>3193</v>
      </c>
      <c r="I71" s="13">
        <f>_xll.BDH("XOM US Equity","IS_DEPR_EXP","FQ1 2010","FQ1 2010","Currency=USD","Period=FQ","BEST_FPERIOD_OVERRIDE=FQ","FILING_STATUS=OR","SCALING_FORMAT=MLN","Sort=A","Dates=H","DateFormat=P","Fill=—","Direction=H","UseDPDF=Y")</f>
        <v>3280</v>
      </c>
      <c r="J71" s="13">
        <f>_xll.BDH("XOM US Equity","IS_DEPR_EXP","FQ2 2010","FQ2 2010","Currency=USD","Period=FQ","BEST_FPERIOD_OVERRIDE=FQ","FILING_STATUS=OR","SCALING_FORMAT=MLN","Sort=A","Dates=H","DateFormat=P","Fill=—","Direction=H","UseDPDF=Y")</f>
        <v>3366</v>
      </c>
      <c r="K71" s="13">
        <f>_xll.BDH("XOM US Equity","IS_DEPR_EXP","FQ3 2010","FQ3 2010","Currency=USD","Period=FQ","BEST_FPERIOD_OVERRIDE=FQ","FILING_STATUS=OR","SCALING_FORMAT=MLN","Sort=A","Dates=H","DateFormat=P","Fill=—","Direction=H","UseDPDF=Y")</f>
        <v>3844</v>
      </c>
      <c r="L71" s="13">
        <f>_xll.BDH("XOM US Equity","IS_DEPR_EXP","FQ4 2010","FQ4 2010","Currency=USD","Period=FQ","BEST_FPERIOD_OVERRIDE=FQ","FILING_STATUS=OR","SCALING_FORMAT=MLN","Sort=A","Dates=H","DateFormat=P","Fill=—","Direction=H","UseDPDF=Y")</f>
        <v>4270</v>
      </c>
      <c r="M71" s="13">
        <f>_xll.BDH("XOM US Equity","IS_DEPR_EXP","FQ1 2011","FQ1 2011","Currency=USD","Period=FQ","BEST_FPERIOD_OVERRIDE=FQ","FILING_STATUS=OR","SCALING_FORMAT=MLN","Sort=A","Dates=H","DateFormat=P","Fill=—","Direction=H","UseDPDF=Y")</f>
        <v>3761</v>
      </c>
      <c r="N71" s="13">
        <f>_xll.BDH("XOM US Equity","IS_DEPR_EXP","FQ2 2011","FQ2 2011","Currency=USD","Period=FQ","BEST_FPERIOD_OVERRIDE=FQ","FILING_STATUS=OR","SCALING_FORMAT=MLN","Sort=A","Dates=H","DateFormat=P","Fill=—","Direction=H","UseDPDF=Y")</f>
        <v>3881</v>
      </c>
      <c r="O71" s="13">
        <f>_xll.BDH("XOM US Equity","IS_DEPR_EXP","FQ3 2011","FQ3 2011","Currency=USD","Period=FQ","BEST_FPERIOD_OVERRIDE=FQ","FILING_STATUS=OR","SCALING_FORMAT=MLN","Sort=A","Dates=H","DateFormat=P","Fill=—","Direction=H","UseDPDF=Y")</f>
        <v>3866</v>
      </c>
      <c r="P71" s="13">
        <f>_xll.BDH("XOM US Equity","IS_DEPR_EXP","FQ4 2011","FQ4 2011","Currency=USD","Period=FQ","BEST_FPERIOD_OVERRIDE=FQ","FILING_STATUS=OR","SCALING_FORMAT=MLN","Sort=A","Dates=H","DateFormat=P","Fill=—","Direction=H","UseDPDF=Y")</f>
        <v>4075</v>
      </c>
      <c r="Q71" s="13">
        <f>_xll.BDH("XOM US Equity","IS_DEPR_EXP","FQ1 2012","FQ1 2012","Currency=USD","Period=FQ","BEST_FPERIOD_OVERRIDE=FQ","FILING_STATUS=OR","SCALING_FORMAT=MLN","Sort=A","Dates=H","DateFormat=P","Fill=—","Direction=H","UseDPDF=Y")</f>
        <v>3842</v>
      </c>
      <c r="R71" s="13">
        <f>_xll.BDH("XOM US Equity","IS_DEPR_EXP","FQ2 2012","FQ2 2012","Currency=USD","Period=FQ","BEST_FPERIOD_OVERRIDE=FQ","FILING_STATUS=OR","SCALING_FORMAT=MLN","Sort=A","Dates=H","DateFormat=P","Fill=—","Direction=H","UseDPDF=Y")</f>
        <v>3899</v>
      </c>
      <c r="S71" s="13">
        <f>_xll.BDH("XOM US Equity","IS_DEPR_EXP","FQ3 2012","FQ3 2012","Currency=USD","Period=FQ","BEST_FPERIOD_OVERRIDE=FQ","FILING_STATUS=OR","SCALING_FORMAT=MLN","Sort=A","Dates=H","DateFormat=P","Fill=—","Direction=H","UseDPDF=Y")</f>
        <v>4037</v>
      </c>
      <c r="T71" s="13">
        <f>_xll.BDH("XOM US Equity","IS_DEPR_EXP","FQ4 2012","FQ4 2012","Currency=USD","Period=FQ","BEST_FPERIOD_OVERRIDE=FQ","FILING_STATUS=OR","SCALING_FORMAT=MLN","Sort=A","Dates=H","DateFormat=P","Fill=—","Direction=H","UseDPDF=Y")</f>
        <v>4110</v>
      </c>
      <c r="U71" s="13">
        <f>_xll.BDH("XOM US Equity","IS_DEPR_EXP","FQ1 2013","FQ1 2013","Currency=USD","Period=FQ","BEST_FPERIOD_OVERRIDE=FQ","FILING_STATUS=OR","SCALING_FORMAT=MLN","Sort=A","Dates=H","DateFormat=P","Fill=—","Direction=H","UseDPDF=Y")</f>
        <v>4100</v>
      </c>
      <c r="V71" s="13">
        <f>_xll.BDH("XOM US Equity","IS_DEPR_EXP","FQ2 2013","FQ2 2013","Currency=USD","Period=FQ","BEST_FPERIOD_OVERRIDE=FQ","FILING_STATUS=OR","SCALING_FORMAT=MLN","Sort=A","Dates=H","DateFormat=P","Fill=—","Direction=H","UseDPDF=Y")</f>
        <v>300</v>
      </c>
      <c r="W71" s="13">
        <f>_xll.BDH("XOM US Equity","IS_DEPR_EXP","FQ3 2013","FQ3 2013","Currency=USD","Period=FQ","BEST_FPERIOD_OVERRIDE=FQ","FILING_STATUS=OR","SCALING_FORMAT=MLN","Sort=A","Dates=H","DateFormat=P","Fill=—","Direction=H","UseDPDF=Y")</f>
        <v>4287</v>
      </c>
      <c r="X71" s="13">
        <f>_xll.BDH("XOM US Equity","IS_DEPR_EXP","FQ4 2013","FQ4 2013","Currency=USD","Period=FQ","BEST_FPERIOD_OVERRIDE=FQ","FILING_STATUS=OR","SCALING_FORMAT=MLN","Sort=A","Dates=H","DateFormat=P","Fill=—","Direction=H","UseDPDF=Y")</f>
        <v>4380</v>
      </c>
      <c r="Y71" s="13">
        <f>_xll.BDH("XOM US Equity","IS_DEPR_EXP","FQ1 2014","FQ1 2014","Currency=USD","Period=FQ","BEST_FPERIOD_OVERRIDE=FQ","FILING_STATUS=OR","SCALING_FORMAT=MLN","Sort=A","Dates=H","DateFormat=P","Fill=—","Direction=H","UseDPDF=Y")</f>
        <v>4192</v>
      </c>
      <c r="Z71" s="13">
        <f>_xll.BDH("XOM US Equity","IS_DEPR_EXP","FQ2 2014","FQ2 2014","Currency=USD","Period=FQ","BEST_FPERIOD_OVERRIDE=FQ","FILING_STATUS=OR","SCALING_FORMAT=MLN","Sort=A","Dates=H","DateFormat=P","Fill=—","Direction=H","UseDPDF=Y")</f>
        <v>4285</v>
      </c>
      <c r="AA71" s="13">
        <f>_xll.BDH("XOM US Equity","IS_DEPR_EXP","FQ3 2014","FQ3 2014","Currency=USD","Period=FQ","BEST_FPERIOD_OVERRIDE=FQ","FILING_STATUS=OR","SCALING_FORMAT=MLN","Sort=A","Dates=H","DateFormat=P","Fill=—","Direction=H","UseDPDF=Y")</f>
        <v>4300</v>
      </c>
      <c r="AB71" s="13">
        <f>_xll.BDH("XOM US Equity","IS_DEPR_EXP","FQ4 2014","FQ4 2014","Currency=USD","Period=FQ","BEST_FPERIOD_OVERRIDE=FQ","FILING_STATUS=OR","SCALING_FORMAT=MLN","Sort=A","Dates=H","DateFormat=P","Fill=—","Direction=H","UseDPDF=Y")</f>
        <v>4458</v>
      </c>
      <c r="AC71" s="13">
        <f>_xll.BDH("XOM US Equity","IS_DEPR_EXP","FQ1 2015","FQ1 2015","Currency=USD","Period=FQ","BEST_FPERIOD_OVERRIDE=FQ","FILING_STATUS=OR","SCALING_FORMAT=MLN","Sort=A","Dates=H","DateFormat=P","Fill=—","Direction=H","UseDPDF=Y")</f>
        <v>4300</v>
      </c>
      <c r="AD71" s="13">
        <f>_xll.BDH("XOM US Equity","IS_DEPR_EXP","FQ2 2015","FQ2 2015","Currency=USD","Period=FQ","BEST_FPERIOD_OVERRIDE=FQ","FILING_STATUS=OR","SCALING_FORMAT=MLN","Sort=A","Dates=H","DateFormat=P","Fill=—","Direction=H","UseDPDF=Y")</f>
        <v>4451</v>
      </c>
      <c r="AE71" s="13">
        <f>_xll.BDH("XOM US Equity","IS_DEPR_EXP","FQ3 2015","FQ3 2015","Currency=USD","Period=FQ","BEST_FPERIOD_OVERRIDE=FQ","FILING_STATUS=OR","SCALING_FORMAT=MLN","Sort=A","Dates=H","DateFormat=P","Fill=—","Direction=H","UseDPDF=Y")</f>
        <v>4542</v>
      </c>
      <c r="AF71" s="13">
        <f>_xll.BDH("XOM US Equity","IS_DEPR_EXP","FQ4 2015","FQ4 2015","Currency=USD","Period=FQ","BEST_FPERIOD_OVERRIDE=FQ","FILING_STATUS=OR","SCALING_FORMAT=MLN","Sort=A","Dates=H","DateFormat=P","Fill=—","Direction=H","UseDPDF=Y")</f>
        <v>4755</v>
      </c>
      <c r="AG71" s="13">
        <f>_xll.BDH("XOM US Equity","IS_DEPR_EXP","FQ1 2016","FQ1 2016","Currency=USD","Period=FQ","BEST_FPERIOD_OVERRIDE=FQ","FILING_STATUS=OR","SCALING_FORMAT=MLN","Sort=A","Dates=H","DateFormat=P","Fill=—","Direction=H","UseDPDF=Y")</f>
        <v>4765</v>
      </c>
      <c r="AH71" s="13">
        <f>_xll.BDH("XOM US Equity","IS_DEPR_EXP","FQ2 2016","FQ2 2016","Currency=USD","Period=FQ","BEST_FPERIOD_OVERRIDE=FQ","FILING_STATUS=OR","SCALING_FORMAT=MLN","Sort=A","Dates=H","DateFormat=P","Fill=—","Direction=H","UseDPDF=Y")</f>
        <v>4821</v>
      </c>
      <c r="AI71" s="13">
        <f>_xll.BDH("XOM US Equity","IS_DEPR_EXP","FQ3 2016","FQ3 2016","Currency=USD","Period=FQ","BEST_FPERIOD_OVERRIDE=FQ","FILING_STATUS=OR","SCALING_FORMAT=MLN","Sort=A","Dates=H","DateFormat=P","Fill=—","Direction=H","UseDPDF=Y")</f>
        <v>4605</v>
      </c>
      <c r="AJ71" s="13">
        <f>_xll.BDH("XOM US Equity","IS_DEPR_EXP","FQ4 2016","FQ4 2016","Currency=USD","Period=FQ","BEST_FPERIOD_OVERRIDE=FQ","FILING_STATUS=OR","SCALING_FORMAT=MLN","Sort=A","Dates=H","DateFormat=P","Fill=—","Direction=H","UseDPDF=Y")</f>
        <v>8117</v>
      </c>
      <c r="AK71" s="13">
        <f>_xll.BDH("XOM US Equity","IS_DEPR_EXP","FQ1 2017","FQ1 2017","Currency=USD","Period=FQ","BEST_FPERIOD_OVERRIDE=FQ","FILING_STATUS=OR","SCALING_FORMAT=MLN","Sort=A","Dates=H","DateFormat=P","Fill=—","Direction=H","UseDPDF=Y")</f>
        <v>4519</v>
      </c>
      <c r="AL71" s="13">
        <f>_xll.BDH("XOM US Equity","IS_DEPR_EXP","FQ2 2017","FQ2 2017","Currency=USD","Period=FQ","BEST_FPERIOD_OVERRIDE=FQ","FILING_STATUS=OR","SCALING_FORMAT=MLN","Sort=A","Dates=H","DateFormat=P","Fill=—","Direction=H","UseDPDF=Y")</f>
        <v>4652</v>
      </c>
      <c r="AM71" s="13">
        <f>_xll.BDH("XOM US Equity","IS_DEPR_EXP","FQ3 2017","FQ3 2017","Currency=USD","Period=FQ","BEST_FPERIOD_OVERRIDE=FQ","FILING_STATUS=OR","SCALING_FORMAT=MLN","Sort=A","Dates=H","DateFormat=P","Fill=—","Direction=H","UseDPDF=Y")</f>
        <v>4880</v>
      </c>
      <c r="AN71" s="13">
        <f>_xll.BDH("XOM US Equity","IS_DEPR_EXP","FQ4 2017","FQ4 2017","Currency=USD","Period=FQ","BEST_FPERIOD_OVERRIDE=FQ","FILING_STATUS=OR","SCALING_FORMAT=MLN","Sort=A","Dates=H","DateFormat=P","Fill=—","Direction=H","UseDPDF=Y")</f>
        <v>5842</v>
      </c>
      <c r="AO71" s="13">
        <f>_xll.BDH("XOM US Equity","IS_DEPR_EXP","FQ1 2018","FQ1 2018","Currency=USD","Period=FQ","BEST_FPERIOD_OVERRIDE=FQ","FILING_STATUS=OR","SCALING_FORMAT=MLN","Sort=A","Dates=H","DateFormat=P","Fill=—","Direction=H","UseDPDF=Y")</f>
        <v>4470</v>
      </c>
      <c r="AP71" s="13">
        <f>_xll.BDH("XOM US Equity","IS_DEPR_EXP","FQ2 2018","FQ2 2018","Currency=USD","Period=FQ","BEST_FPERIOD_OVERRIDE=FQ","FILING_STATUS=OR","SCALING_FORMAT=MLN","Sort=A","Dates=H","DateFormat=P","Fill=—","Direction=H","UseDPDF=Y")</f>
        <v>4589</v>
      </c>
    </row>
    <row r="72" spans="1:42" x14ac:dyDescent="0.25">
      <c r="A72" s="7" t="s">
        <v>203</v>
      </c>
      <c r="B72" s="7"/>
      <c r="C72" s="7" t="s">
        <v>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204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205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x14ac:dyDescent="0.25">
      <c r="A7" s="10" t="s">
        <v>206</v>
      </c>
      <c r="B7" s="10" t="s">
        <v>207</v>
      </c>
      <c r="C7" s="13">
        <f>_xll.BDH("XOM US Equity","C&amp;CE_AND_STI_DETAILED","FQ3 2008","FQ3 2008","Currency=USD","Period=FQ","BEST_FPERIOD_OVERRIDE=FQ","FILING_STATUS=OR","SCALING_FORMAT=MLN","Sort=A","Dates=H","DateFormat=P","Fill=—","Direction=H","UseDPDF=Y")</f>
        <v>38434</v>
      </c>
      <c r="D7" s="13">
        <f>_xll.BDH("XOM US Equity","C&amp;CE_AND_STI_DETAILED","FQ4 2008","FQ4 2008","Currency=USD","Period=FQ","BEST_FPERIOD_OVERRIDE=FQ","FILING_STATUS=OR","SCALING_FORMAT=MLN","Sort=A","Dates=H","DateFormat=P","Fill=—","Direction=H","UseDPDF=Y")</f>
        <v>32007</v>
      </c>
      <c r="E7" s="13">
        <f>_xll.BDH("XOM US Equity","C&amp;CE_AND_STI_DETAILED","FQ1 2009","FQ1 2009","Currency=USD","Period=FQ","BEST_FPERIOD_OVERRIDE=FQ","FILING_STATUS=OR","SCALING_FORMAT=MLN","Sort=A","Dates=H","DateFormat=P","Fill=—","Direction=H","UseDPDF=Y")</f>
        <v>25140</v>
      </c>
      <c r="F7" s="13">
        <f>_xll.BDH("XOM US Equity","C&amp;CE_AND_STI_DETAILED","FQ2 2009","FQ2 2009","Currency=USD","Period=FQ","BEST_FPERIOD_OVERRIDE=FQ","FILING_STATUS=OR","SCALING_FORMAT=MLN","Sort=A","Dates=H","DateFormat=P","Fill=—","Direction=H","UseDPDF=Y")</f>
        <v>15729</v>
      </c>
      <c r="G7" s="13">
        <f>_xll.BDH("XOM US Equity","C&amp;CE_AND_STI_DETAILED","FQ3 2009","FQ3 2009","Currency=USD","Period=FQ","BEST_FPERIOD_OVERRIDE=FQ","FILING_STATUS=OR","SCALING_FORMAT=MLN","Sort=A","Dates=H","DateFormat=P","Fill=—","Direction=H","UseDPDF=Y")</f>
        <v>12623</v>
      </c>
      <c r="H7" s="13">
        <f>_xll.BDH("XOM US Equity","C&amp;CE_AND_STI_DETAILED","FQ4 2009","FQ4 2009","Currency=USD","Period=FQ","BEST_FPERIOD_OVERRIDE=FQ","FILING_STATUS=OR","SCALING_FORMAT=MLN","Sort=A","Dates=H","DateFormat=P","Fill=—","Direction=H","UseDPDF=Y")</f>
        <v>10862</v>
      </c>
      <c r="I7" s="13">
        <f>_xll.BDH("XOM US Equity","C&amp;CE_AND_STI_DETAILED","FQ1 2010","FQ1 2010","Currency=USD","Period=FQ","BEST_FPERIOD_OVERRIDE=FQ","FILING_STATUS=OR","SCALING_FORMAT=MLN","Sort=A","Dates=H","DateFormat=P","Fill=—","Direction=H","UseDPDF=Y")</f>
        <v>13827</v>
      </c>
      <c r="J7" s="13">
        <f>_xll.BDH("XOM US Equity","C&amp;CE_AND_STI_DETAILED","FQ2 2010","FQ2 2010","Currency=USD","Period=FQ","BEST_FPERIOD_OVERRIDE=FQ","FILING_STATUS=OR","SCALING_FORMAT=MLN","Sort=A","Dates=H","DateFormat=P","Fill=—","Direction=H","UseDPDF=Y")</f>
        <v>13267</v>
      </c>
      <c r="K7" s="13">
        <f>_xll.BDH("XOM US Equity","C&amp;CE_AND_STI_DETAILED","FQ3 2010","FQ3 2010","Currency=USD","Period=FQ","BEST_FPERIOD_OVERRIDE=FQ","FILING_STATUS=OR","SCALING_FORMAT=MLN","Sort=A","Dates=H","DateFormat=P","Fill=—","Direction=H","UseDPDF=Y")</f>
        <v>12259</v>
      </c>
      <c r="L7" s="13">
        <f>_xll.BDH("XOM US Equity","C&amp;CE_AND_STI_DETAILED","FQ4 2010","FQ4 2010","Currency=USD","Period=FQ","BEST_FPERIOD_OVERRIDE=FQ","FILING_STATUS=OR","SCALING_FORMAT=MLN","Sort=A","Dates=H","DateFormat=P","Fill=—","Direction=H","UseDPDF=Y")</f>
        <v>7827</v>
      </c>
      <c r="M7" s="13">
        <f>_xll.BDH("XOM US Equity","C&amp;CE_AND_STI_DETAILED","FQ1 2011","FQ1 2011","Currency=USD","Period=FQ","BEST_FPERIOD_OVERRIDE=FQ","FILING_STATUS=OR","SCALING_FORMAT=MLN","Sort=A","Dates=H","DateFormat=P","Fill=—","Direction=H","UseDPDF=Y")</f>
        <v>12833</v>
      </c>
      <c r="N7" s="13">
        <f>_xll.BDH("XOM US Equity","C&amp;CE_AND_STI_DETAILED","FQ2 2011","FQ2 2011","Currency=USD","Period=FQ","BEST_FPERIOD_OVERRIDE=FQ","FILING_STATUS=OR","SCALING_FORMAT=MLN","Sort=A","Dates=H","DateFormat=P","Fill=—","Direction=H","UseDPDF=Y")</f>
        <v>10041</v>
      </c>
      <c r="O7" s="13">
        <f>_xll.BDH("XOM US Equity","C&amp;CE_AND_STI_DETAILED","FQ3 2011","FQ3 2011","Currency=USD","Period=FQ","BEST_FPERIOD_OVERRIDE=FQ","FILING_STATUS=OR","SCALING_FORMAT=MLN","Sort=A","Dates=H","DateFormat=P","Fill=—","Direction=H","UseDPDF=Y")</f>
        <v>11022</v>
      </c>
      <c r="P7" s="13">
        <f>_xll.BDH("XOM US Equity","C&amp;CE_AND_STI_DETAILED","FQ4 2011","FQ4 2011","Currency=USD","Period=FQ","BEST_FPERIOD_OVERRIDE=FQ","FILING_STATUS=OR","SCALING_FORMAT=MLN","Sort=A","Dates=H","DateFormat=P","Fill=—","Direction=H","UseDPDF=Y")</f>
        <v>12664</v>
      </c>
      <c r="Q7" s="13">
        <f>_xll.BDH("XOM US Equity","C&amp;CE_AND_STI_DETAILED","FQ1 2012","FQ1 2012","Currency=USD","Period=FQ","BEST_FPERIOD_OVERRIDE=FQ","FILING_STATUS=OR","SCALING_FORMAT=MLN","Sort=A","Dates=H","DateFormat=P","Fill=—","Direction=H","UseDPDF=Y")</f>
        <v>18670</v>
      </c>
      <c r="R7" s="13">
        <f>_xll.BDH("XOM US Equity","C&amp;CE_AND_STI_DETAILED","FQ2 2012","FQ2 2012","Currency=USD","Period=FQ","BEST_FPERIOD_OVERRIDE=FQ","FILING_STATUS=OR","SCALING_FORMAT=MLN","Sort=A","Dates=H","DateFormat=P","Fill=—","Direction=H","UseDPDF=Y")</f>
        <v>17802</v>
      </c>
      <c r="S7" s="13">
        <f>_xll.BDH("XOM US Equity","C&amp;CE_AND_STI_DETAILED","FQ3 2012","FQ3 2012","Currency=USD","Period=FQ","BEST_FPERIOD_OVERRIDE=FQ","FILING_STATUS=OR","SCALING_FORMAT=MLN","Sort=A","Dates=H","DateFormat=P","Fill=—","Direction=H","UseDPDF=Y")</f>
        <v>13055</v>
      </c>
      <c r="T7" s="13">
        <f>_xll.BDH("XOM US Equity","C&amp;CE_AND_STI_DETAILED","FQ4 2012","FQ4 2012","Currency=USD","Period=FQ","BEST_FPERIOD_OVERRIDE=FQ","FILING_STATUS=OR","SCALING_FORMAT=MLN","Sort=A","Dates=H","DateFormat=P","Fill=—","Direction=H","UseDPDF=Y")</f>
        <v>9582</v>
      </c>
      <c r="U7" s="13">
        <f>_xll.BDH("XOM US Equity","C&amp;CE_AND_STI_DETAILED","FQ1 2013","FQ1 2013","Currency=USD","Period=FQ","BEST_FPERIOD_OVERRIDE=FQ","FILING_STATUS=OR","SCALING_FORMAT=MLN","Sort=A","Dates=H","DateFormat=P","Fill=—","Direction=H","UseDPDF=Y")</f>
        <v>6214</v>
      </c>
      <c r="V7" s="13">
        <f>_xll.BDH("XOM US Equity","C&amp;CE_AND_STI_DETAILED","FQ2 2013","FQ2 2013","Currency=USD","Period=FQ","BEST_FPERIOD_OVERRIDE=FQ","FILING_STATUS=OR","SCALING_FORMAT=MLN","Sort=A","Dates=H","DateFormat=P","Fill=—","Direction=H","UseDPDF=Y")</f>
        <v>4609</v>
      </c>
      <c r="W7" s="13">
        <f>_xll.BDH("XOM US Equity","C&amp;CE_AND_STI_DETAILED","FQ3 2013","FQ3 2013","Currency=USD","Period=FQ","BEST_FPERIOD_OVERRIDE=FQ","FILING_STATUS=OR","SCALING_FORMAT=MLN","Sort=A","Dates=H","DateFormat=P","Fill=—","Direction=H","UseDPDF=Y")</f>
        <v>5310</v>
      </c>
      <c r="X7" s="13">
        <f>_xll.BDH("XOM US Equity","C&amp;CE_AND_STI_DETAILED","FQ4 2013","FQ4 2013","Currency=USD","Period=FQ","BEST_FPERIOD_OVERRIDE=FQ","FILING_STATUS=OR","SCALING_FORMAT=MLN","Sort=A","Dates=H","DateFormat=P","Fill=—","Direction=H","UseDPDF=Y")</f>
        <v>4644</v>
      </c>
      <c r="Y7" s="13">
        <f>_xll.BDH("XOM US Equity","C&amp;CE_AND_STI_DETAILED","FQ1 2014","FQ1 2014","Currency=USD","Period=FQ","BEST_FPERIOD_OVERRIDE=FQ","FILING_STATUS=OR","SCALING_FORMAT=MLN","Sort=A","Dates=H","DateFormat=P","Fill=—","Direction=H","UseDPDF=Y")</f>
        <v>5601</v>
      </c>
      <c r="Z7" s="13">
        <f>_xll.BDH("XOM US Equity","C&amp;CE_AND_STI_DETAILED","FQ2 2014","FQ2 2014","Currency=USD","Period=FQ","BEST_FPERIOD_OVERRIDE=FQ","FILING_STATUS=OR","SCALING_FORMAT=MLN","Sort=A","Dates=H","DateFormat=P","Fill=—","Direction=H","UseDPDF=Y")</f>
        <v>6083</v>
      </c>
      <c r="AA7" s="13">
        <f>_xll.BDH("XOM US Equity","C&amp;CE_AND_STI_DETAILED","FQ3 2014","FQ3 2014","Currency=USD","Period=FQ","BEST_FPERIOD_OVERRIDE=FQ","FILING_STATUS=OR","SCALING_FORMAT=MLN","Sort=A","Dates=H","DateFormat=P","Fill=—","Direction=H","UseDPDF=Y")</f>
        <v>4962</v>
      </c>
      <c r="AB7" s="13">
        <f>_xll.BDH("XOM US Equity","C&amp;CE_AND_STI_DETAILED","FQ4 2014","FQ4 2014","Currency=USD","Period=FQ","BEST_FPERIOD_OVERRIDE=FQ","FILING_STATUS=OR","SCALING_FORMAT=MLN","Sort=A","Dates=H","DateFormat=P","Fill=—","Direction=H","UseDPDF=Y")</f>
        <v>4616</v>
      </c>
      <c r="AC7" s="13">
        <f>_xll.BDH("XOM US Equity","C&amp;CE_AND_STI_DETAILED","FQ1 2015","FQ1 2015","Currency=USD","Period=FQ","BEST_FPERIOD_OVERRIDE=FQ","FILING_STATUS=OR","SCALING_FORMAT=MLN","Sort=A","Dates=H","DateFormat=P","Fill=—","Direction=H","UseDPDF=Y")</f>
        <v>5184</v>
      </c>
      <c r="AD7" s="13">
        <f>_xll.BDH("XOM US Equity","C&amp;CE_AND_STI_DETAILED","FQ2 2015","FQ2 2015","Currency=USD","Period=FQ","BEST_FPERIOD_OVERRIDE=FQ","FILING_STATUS=OR","SCALING_FORMAT=MLN","Sort=A","Dates=H","DateFormat=P","Fill=—","Direction=H","UseDPDF=Y")</f>
        <v>4343</v>
      </c>
      <c r="AE7" s="13">
        <f>_xll.BDH("XOM US Equity","C&amp;CE_AND_STI_DETAILED","FQ3 2015","FQ3 2015","Currency=USD","Period=FQ","BEST_FPERIOD_OVERRIDE=FQ","FILING_STATUS=OR","SCALING_FORMAT=MLN","Sort=A","Dates=H","DateFormat=P","Fill=—","Direction=H","UseDPDF=Y")</f>
        <v>4296</v>
      </c>
      <c r="AF7" s="13">
        <f>_xll.BDH("XOM US Equity","C&amp;CE_AND_STI_DETAILED","FQ4 2015","FQ4 2015","Currency=USD","Period=FQ","BEST_FPERIOD_OVERRIDE=FQ","FILING_STATUS=OR","SCALING_FORMAT=MLN","Sort=A","Dates=H","DateFormat=P","Fill=—","Direction=H","UseDPDF=Y")</f>
        <v>3705</v>
      </c>
      <c r="AG7" s="13">
        <f>_xll.BDH("XOM US Equity","C&amp;CE_AND_STI_DETAILED","FQ1 2016","FQ1 2016","Currency=USD","Period=FQ","BEST_FPERIOD_OVERRIDE=FQ","FILING_STATUS=OR","SCALING_FORMAT=MLN","Sort=A","Dates=H","DateFormat=P","Fill=—","Direction=H","UseDPDF=Y")</f>
        <v>4846</v>
      </c>
      <c r="AH7" s="13">
        <f>_xll.BDH("XOM US Equity","C&amp;CE_AND_STI_DETAILED","FQ2 2016","FQ2 2016","Currency=USD","Period=FQ","BEST_FPERIOD_OVERRIDE=FQ","FILING_STATUS=OR","SCALING_FORMAT=MLN","Sort=A","Dates=H","DateFormat=P","Fill=—","Direction=H","UseDPDF=Y")</f>
        <v>4358</v>
      </c>
      <c r="AI7" s="13">
        <f>_xll.BDH("XOM US Equity","C&amp;CE_AND_STI_DETAILED","FQ3 2016","FQ3 2016","Currency=USD","Period=FQ","BEST_FPERIOD_OVERRIDE=FQ","FILING_STATUS=OR","SCALING_FORMAT=MLN","Sort=A","Dates=H","DateFormat=P","Fill=—","Direction=H","UseDPDF=Y")</f>
        <v>5093</v>
      </c>
      <c r="AJ7" s="13">
        <f>_xll.BDH("XOM US Equity","C&amp;CE_AND_STI_DETAILED","FQ4 2016","FQ4 2016","Currency=USD","Period=FQ","BEST_FPERIOD_OVERRIDE=FQ","FILING_STATUS=OR","SCALING_FORMAT=MLN","Sort=A","Dates=H","DateFormat=P","Fill=—","Direction=H","UseDPDF=Y")</f>
        <v>3657</v>
      </c>
      <c r="AK7" s="13">
        <f>_xll.BDH("XOM US Equity","C&amp;CE_AND_STI_DETAILED","FQ1 2017","FQ1 2017","Currency=USD","Period=FQ","BEST_FPERIOD_OVERRIDE=FQ","FILING_STATUS=OR","SCALING_FORMAT=MLN","Sort=A","Dates=H","DateFormat=P","Fill=—","Direction=H","UseDPDF=Y")</f>
        <v>4897</v>
      </c>
      <c r="AL7" s="13">
        <f>_xll.BDH("XOM US Equity","C&amp;CE_AND_STI_DETAILED","FQ2 2017","FQ2 2017","Currency=USD","Period=FQ","BEST_FPERIOD_OVERRIDE=FQ","FILING_STATUS=OR","SCALING_FORMAT=MLN","Sort=A","Dates=H","DateFormat=P","Fill=—","Direction=H","UseDPDF=Y")</f>
        <v>4042</v>
      </c>
      <c r="AM7" s="13">
        <f>_xll.BDH("XOM US Equity","C&amp;CE_AND_STI_DETAILED","FQ3 2017","FQ3 2017","Currency=USD","Period=FQ","BEST_FPERIOD_OVERRIDE=FQ","FILING_STATUS=OR","SCALING_FORMAT=MLN","Sort=A","Dates=H","DateFormat=P","Fill=—","Direction=H","UseDPDF=Y")</f>
        <v>4266</v>
      </c>
      <c r="AN7" s="13">
        <f>_xll.BDH("XOM US Equity","C&amp;CE_AND_STI_DETAILED","FQ4 2017","FQ4 2017","Currency=USD","Period=FQ","BEST_FPERIOD_OVERRIDE=FQ","FILING_STATUS=OR","SCALING_FORMAT=MLN","Sort=A","Dates=H","DateFormat=P","Fill=—","Direction=H","UseDPDF=Y")</f>
        <v>3177</v>
      </c>
      <c r="AO7" s="13">
        <f>_xll.BDH("XOM US Equity","C&amp;CE_AND_STI_DETAILED","FQ1 2018","FQ1 2018","Currency=USD","Period=FQ","BEST_FPERIOD_OVERRIDE=FQ","FILING_STATUS=OR","SCALING_FORMAT=MLN","Sort=A","Dates=H","DateFormat=P","Fill=—","Direction=H","UseDPDF=Y")</f>
        <v>4125</v>
      </c>
      <c r="AP7" s="13">
        <f>_xll.BDH("XOM US Equity","C&amp;CE_AND_STI_DETAILED","FQ2 2018","FQ2 2018","Currency=USD","Period=FQ","BEST_FPERIOD_OVERRIDE=FQ","FILING_STATUS=OR","SCALING_FORMAT=MLN","Sort=A","Dates=H","DateFormat=P","Fill=—","Direction=H","UseDPDF=Y")</f>
        <v>3430</v>
      </c>
    </row>
    <row r="8" spans="1:42" x14ac:dyDescent="0.25">
      <c r="A8" s="10" t="s">
        <v>208</v>
      </c>
      <c r="B8" s="10" t="s">
        <v>209</v>
      </c>
      <c r="C8" s="13">
        <f>_xll.BDH("XOM US Equity","BS_CASH_NEAR_CASH_ITEM","FQ3 2008","FQ3 2008","Currency=USD","Period=FQ","BEST_FPERIOD_OVERRIDE=FQ","FILING_STATUS=OR","SCALING_FORMAT=MLN","Sort=A","Dates=H","DateFormat=P","Fill=—","Direction=H","UseDPDF=Y")</f>
        <v>36674</v>
      </c>
      <c r="D8" s="13">
        <f>_xll.BDH("XOM US Equity","BS_CASH_NEAR_CASH_ITEM","FQ4 2008","FQ4 2008","Currency=USD","Period=FQ","BEST_FPERIOD_OVERRIDE=FQ","FILING_STATUS=OR","SCALING_FORMAT=MLN","Sort=A","Dates=H","DateFormat=P","Fill=—","Direction=H","UseDPDF=Y")</f>
        <v>31437</v>
      </c>
      <c r="E8" s="13">
        <f>_xll.BDH("XOM US Equity","BS_CASH_NEAR_CASH_ITEM","FQ1 2009","FQ1 2009","Currency=USD","Period=FQ","BEST_FPERIOD_OVERRIDE=FQ","FILING_STATUS=OR","SCALING_FORMAT=MLN","Sort=A","Dates=H","DateFormat=P","Fill=—","Direction=H","UseDPDF=Y")</f>
        <v>24972</v>
      </c>
      <c r="F8" s="13">
        <f>_xll.BDH("XOM US Equity","BS_CASH_NEAR_CASH_ITEM","FQ2 2009","FQ2 2009","Currency=USD","Period=FQ","BEST_FPERIOD_OVERRIDE=FQ","FILING_STATUS=OR","SCALING_FORMAT=MLN","Sort=A","Dates=H","DateFormat=P","Fill=—","Direction=H","UseDPDF=Y")</f>
        <v>15576</v>
      </c>
      <c r="G8" s="13">
        <f>_xll.BDH("XOM US Equity","BS_CASH_NEAR_CASH_ITEM","FQ3 2009","FQ3 2009","Currency=USD","Period=FQ","BEST_FPERIOD_OVERRIDE=FQ","FILING_STATUS=OR","SCALING_FORMAT=MLN","Sort=A","Dates=H","DateFormat=P","Fill=—","Direction=H","UseDPDF=Y")</f>
        <v>12472</v>
      </c>
      <c r="H8" s="13">
        <f>_xll.BDH("XOM US Equity","BS_CASH_NEAR_CASH_ITEM","FQ4 2009","FQ4 2009","Currency=USD","Period=FQ","BEST_FPERIOD_OVERRIDE=FQ","FILING_STATUS=OR","SCALING_FORMAT=MLN","Sort=A","Dates=H","DateFormat=P","Fill=—","Direction=H","UseDPDF=Y")</f>
        <v>10693</v>
      </c>
      <c r="I8" s="13">
        <f>_xll.BDH("XOM US Equity","BS_CASH_NEAR_CASH_ITEM","FQ1 2010","FQ1 2010","Currency=USD","Period=FQ","BEST_FPERIOD_OVERRIDE=FQ","FILING_STATUS=OR","SCALING_FORMAT=MLN","Sort=A","Dates=H","DateFormat=P","Fill=—","Direction=H","UseDPDF=Y")</f>
        <v>13742</v>
      </c>
      <c r="J8" s="13">
        <f>_xll.BDH("XOM US Equity","BS_CASH_NEAR_CASH_ITEM","FQ2 2010","FQ2 2010","Currency=USD","Period=FQ","BEST_FPERIOD_OVERRIDE=FQ","FILING_STATUS=OR","SCALING_FORMAT=MLN","Sort=A","Dates=H","DateFormat=P","Fill=—","Direction=H","UseDPDF=Y")</f>
        <v>13252</v>
      </c>
      <c r="K8" s="13">
        <f>_xll.BDH("XOM US Equity","BS_CASH_NEAR_CASH_ITEM","FQ3 2010","FQ3 2010","Currency=USD","Period=FQ","BEST_FPERIOD_OVERRIDE=FQ","FILING_STATUS=OR","SCALING_FORMAT=MLN","Sort=A","Dates=H","DateFormat=P","Fill=—","Direction=H","UseDPDF=Y")</f>
        <v>12244</v>
      </c>
      <c r="L8" s="13">
        <f>_xll.BDH("XOM US Equity","BS_CASH_NEAR_CASH_ITEM","FQ4 2010","FQ4 2010","Currency=USD","Period=FQ","BEST_FPERIOD_OVERRIDE=FQ","FILING_STATUS=OR","SCALING_FORMAT=MLN","Sort=A","Dates=H","DateFormat=P","Fill=—","Direction=H","UseDPDF=Y")</f>
        <v>7825</v>
      </c>
      <c r="M8" s="13">
        <f>_xll.BDH("XOM US Equity","BS_CASH_NEAR_CASH_ITEM","FQ1 2011","FQ1 2011","Currency=USD","Period=FQ","BEST_FPERIOD_OVERRIDE=FQ","FILING_STATUS=OR","SCALING_FORMAT=MLN","Sort=A","Dates=H","DateFormat=P","Fill=—","Direction=H","UseDPDF=Y")</f>
        <v>12833</v>
      </c>
      <c r="N8" s="13">
        <f>_xll.BDH("XOM US Equity","BS_CASH_NEAR_CASH_ITEM","FQ2 2011","FQ2 2011","Currency=USD","Period=FQ","BEST_FPERIOD_OVERRIDE=FQ","FILING_STATUS=OR","SCALING_FORMAT=MLN","Sort=A","Dates=H","DateFormat=P","Fill=—","Direction=H","UseDPDF=Y")</f>
        <v>8287</v>
      </c>
      <c r="O8" s="13">
        <f>_xll.BDH("XOM US Equity","BS_CASH_NEAR_CASH_ITEM","FQ3 2011","FQ3 2011","Currency=USD","Period=FQ","BEST_FPERIOD_OVERRIDE=FQ","FILING_STATUS=OR","SCALING_FORMAT=MLN","Sort=A","Dates=H","DateFormat=P","Fill=—","Direction=H","UseDPDF=Y")</f>
        <v>11022</v>
      </c>
      <c r="P8" s="13">
        <f>_xll.BDH("XOM US Equity","BS_CASH_NEAR_CASH_ITEM","FQ4 2011","FQ4 2011","Currency=USD","Period=FQ","BEST_FPERIOD_OVERRIDE=FQ","FILING_STATUS=OR","SCALING_FORMAT=MLN","Sort=A","Dates=H","DateFormat=P","Fill=—","Direction=H","UseDPDF=Y")</f>
        <v>12664</v>
      </c>
      <c r="Q8" s="13">
        <f>_xll.BDH("XOM US Equity","BS_CASH_NEAR_CASH_ITEM","FQ1 2012","FQ1 2012","Currency=USD","Period=FQ","BEST_FPERIOD_OVERRIDE=FQ","FILING_STATUS=OR","SCALING_FORMAT=MLN","Sort=A","Dates=H","DateFormat=P","Fill=—","Direction=H","UseDPDF=Y")</f>
        <v>18670</v>
      </c>
      <c r="R8" s="13">
        <f>_xll.BDH("XOM US Equity","BS_CASH_NEAR_CASH_ITEM","FQ2 2012","FQ2 2012","Currency=USD","Period=FQ","BEST_FPERIOD_OVERRIDE=FQ","FILING_STATUS=OR","SCALING_FORMAT=MLN","Sort=A","Dates=H","DateFormat=P","Fill=—","Direction=H","UseDPDF=Y")</f>
        <v>17802</v>
      </c>
      <c r="S8" s="13">
        <f>_xll.BDH("XOM US Equity","BS_CASH_NEAR_CASH_ITEM","FQ3 2012","FQ3 2012","Currency=USD","Period=FQ","BEST_FPERIOD_OVERRIDE=FQ","FILING_STATUS=OR","SCALING_FORMAT=MLN","Sort=A","Dates=H","DateFormat=P","Fill=—","Direction=H","UseDPDF=Y")</f>
        <v>13055</v>
      </c>
      <c r="T8" s="13">
        <f>_xll.BDH("XOM US Equity","BS_CASH_NEAR_CASH_ITEM","FQ4 2012","FQ4 2012","Currency=USD","Period=FQ","BEST_FPERIOD_OVERRIDE=FQ","FILING_STATUS=OR","SCALING_FORMAT=MLN","Sort=A","Dates=H","DateFormat=P","Fill=—","Direction=H","UseDPDF=Y")</f>
        <v>9582</v>
      </c>
      <c r="U8" s="13">
        <f>_xll.BDH("XOM US Equity","BS_CASH_NEAR_CASH_ITEM","FQ1 2013","FQ1 2013","Currency=USD","Period=FQ","BEST_FPERIOD_OVERRIDE=FQ","FILING_STATUS=OR","SCALING_FORMAT=MLN","Sort=A","Dates=H","DateFormat=P","Fill=—","Direction=H","UseDPDF=Y")</f>
        <v>6214</v>
      </c>
      <c r="V8" s="13">
        <f>_xll.BDH("XOM US Equity","BS_CASH_NEAR_CASH_ITEM","FQ2 2013","FQ2 2013","Currency=USD","Period=FQ","BEST_FPERIOD_OVERRIDE=FQ","FILING_STATUS=OR","SCALING_FORMAT=MLN","Sort=A","Dates=H","DateFormat=P","Fill=—","Direction=H","UseDPDF=Y")</f>
        <v>4609</v>
      </c>
      <c r="W8" s="13">
        <f>_xll.BDH("XOM US Equity","BS_CASH_NEAR_CASH_ITEM","FQ3 2013","FQ3 2013","Currency=USD","Period=FQ","BEST_FPERIOD_OVERRIDE=FQ","FILING_STATUS=OR","SCALING_FORMAT=MLN","Sort=A","Dates=H","DateFormat=P","Fill=—","Direction=H","UseDPDF=Y")</f>
        <v>5310</v>
      </c>
      <c r="X8" s="13">
        <f>_xll.BDH("XOM US Equity","BS_CASH_NEAR_CASH_ITEM","FQ4 2013","FQ4 2013","Currency=USD","Period=FQ","BEST_FPERIOD_OVERRIDE=FQ","FILING_STATUS=OR","SCALING_FORMAT=MLN","Sort=A","Dates=H","DateFormat=P","Fill=—","Direction=H","UseDPDF=Y")</f>
        <v>4644</v>
      </c>
      <c r="Y8" s="13">
        <f>_xll.BDH("XOM US Equity","BS_CASH_NEAR_CASH_ITEM","FQ1 2014","FQ1 2014","Currency=USD","Period=FQ","BEST_FPERIOD_OVERRIDE=FQ","FILING_STATUS=OR","SCALING_FORMAT=MLN","Sort=A","Dates=H","DateFormat=P","Fill=—","Direction=H","UseDPDF=Y")</f>
        <v>5601</v>
      </c>
      <c r="Z8" s="13">
        <f>_xll.BDH("XOM US Equity","BS_CASH_NEAR_CASH_ITEM","FQ2 2014","FQ2 2014","Currency=USD","Period=FQ","BEST_FPERIOD_OVERRIDE=FQ","FILING_STATUS=OR","SCALING_FORMAT=MLN","Sort=A","Dates=H","DateFormat=P","Fill=—","Direction=H","UseDPDF=Y")</f>
        <v>6083</v>
      </c>
      <c r="AA8" s="13">
        <f>_xll.BDH("XOM US Equity","BS_CASH_NEAR_CASH_ITEM","FQ3 2014","FQ3 2014","Currency=USD","Period=FQ","BEST_FPERIOD_OVERRIDE=FQ","FILING_STATUS=OR","SCALING_FORMAT=MLN","Sort=A","Dates=H","DateFormat=P","Fill=—","Direction=H","UseDPDF=Y")</f>
        <v>4962</v>
      </c>
      <c r="AB8" s="13">
        <f>_xll.BDH("XOM US Equity","BS_CASH_NEAR_CASH_ITEM","FQ4 2014","FQ4 2014","Currency=USD","Period=FQ","BEST_FPERIOD_OVERRIDE=FQ","FILING_STATUS=OR","SCALING_FORMAT=MLN","Sort=A","Dates=H","DateFormat=P","Fill=—","Direction=H","UseDPDF=Y")</f>
        <v>4616</v>
      </c>
      <c r="AC8" s="13">
        <f>_xll.BDH("XOM US Equity","BS_CASH_NEAR_CASH_ITEM","FQ1 2015","FQ1 2015","Currency=USD","Period=FQ","BEST_FPERIOD_OVERRIDE=FQ","FILING_STATUS=OR","SCALING_FORMAT=MLN","Sort=A","Dates=H","DateFormat=P","Fill=—","Direction=H","UseDPDF=Y")</f>
        <v>5184</v>
      </c>
      <c r="AD8" s="13">
        <f>_xll.BDH("XOM US Equity","BS_CASH_NEAR_CASH_ITEM","FQ2 2015","FQ2 2015","Currency=USD","Period=FQ","BEST_FPERIOD_OVERRIDE=FQ","FILING_STATUS=OR","SCALING_FORMAT=MLN","Sort=A","Dates=H","DateFormat=P","Fill=—","Direction=H","UseDPDF=Y")</f>
        <v>4343</v>
      </c>
      <c r="AE8" s="13">
        <f>_xll.BDH("XOM US Equity","BS_CASH_NEAR_CASH_ITEM","FQ3 2015","FQ3 2015","Currency=USD","Period=FQ","BEST_FPERIOD_OVERRIDE=FQ","FILING_STATUS=OR","SCALING_FORMAT=MLN","Sort=A","Dates=H","DateFormat=P","Fill=—","Direction=H","UseDPDF=Y")</f>
        <v>4296</v>
      </c>
      <c r="AF8" s="13">
        <f>_xll.BDH("XOM US Equity","BS_CASH_NEAR_CASH_ITEM","FQ4 2015","FQ4 2015","Currency=USD","Period=FQ","BEST_FPERIOD_OVERRIDE=FQ","FILING_STATUS=OR","SCALING_FORMAT=MLN","Sort=A","Dates=H","DateFormat=P","Fill=—","Direction=H","UseDPDF=Y")</f>
        <v>3705</v>
      </c>
      <c r="AG8" s="13">
        <f>_xll.BDH("XOM US Equity","BS_CASH_NEAR_CASH_ITEM","FQ1 2016","FQ1 2016","Currency=USD","Period=FQ","BEST_FPERIOD_OVERRIDE=FQ","FILING_STATUS=OR","SCALING_FORMAT=MLN","Sort=A","Dates=H","DateFormat=P","Fill=—","Direction=H","UseDPDF=Y")</f>
        <v>4846</v>
      </c>
      <c r="AH8" s="13">
        <f>_xll.BDH("XOM US Equity","BS_CASH_NEAR_CASH_ITEM","FQ2 2016","FQ2 2016","Currency=USD","Period=FQ","BEST_FPERIOD_OVERRIDE=FQ","FILING_STATUS=OR","SCALING_FORMAT=MLN","Sort=A","Dates=H","DateFormat=P","Fill=—","Direction=H","UseDPDF=Y")</f>
        <v>4358</v>
      </c>
      <c r="AI8" s="13">
        <f>_xll.BDH("XOM US Equity","BS_CASH_NEAR_CASH_ITEM","FQ3 2016","FQ3 2016","Currency=USD","Period=FQ","BEST_FPERIOD_OVERRIDE=FQ","FILING_STATUS=OR","SCALING_FORMAT=MLN","Sort=A","Dates=H","DateFormat=P","Fill=—","Direction=H","UseDPDF=Y")</f>
        <v>5093</v>
      </c>
      <c r="AJ8" s="13">
        <f>_xll.BDH("XOM US Equity","BS_CASH_NEAR_CASH_ITEM","FQ4 2016","FQ4 2016","Currency=USD","Period=FQ","BEST_FPERIOD_OVERRIDE=FQ","FILING_STATUS=OR","SCALING_FORMAT=MLN","Sort=A","Dates=H","DateFormat=P","Fill=—","Direction=H","UseDPDF=Y")</f>
        <v>3657</v>
      </c>
      <c r="AK8" s="13">
        <f>_xll.BDH("XOM US Equity","BS_CASH_NEAR_CASH_ITEM","FQ1 2017","FQ1 2017","Currency=USD","Period=FQ","BEST_FPERIOD_OVERRIDE=FQ","FILING_STATUS=OR","SCALING_FORMAT=MLN","Sort=A","Dates=H","DateFormat=P","Fill=—","Direction=H","UseDPDF=Y")</f>
        <v>4897</v>
      </c>
      <c r="AL8" s="13">
        <f>_xll.BDH("XOM US Equity","BS_CASH_NEAR_CASH_ITEM","FQ2 2017","FQ2 2017","Currency=USD","Period=FQ","BEST_FPERIOD_OVERRIDE=FQ","FILING_STATUS=OR","SCALING_FORMAT=MLN","Sort=A","Dates=H","DateFormat=P","Fill=—","Direction=H","UseDPDF=Y")</f>
        <v>4042</v>
      </c>
      <c r="AM8" s="13">
        <f>_xll.BDH("XOM US Equity","BS_CASH_NEAR_CASH_ITEM","FQ3 2017","FQ3 2017","Currency=USD","Period=FQ","BEST_FPERIOD_OVERRIDE=FQ","FILING_STATUS=OR","SCALING_FORMAT=MLN","Sort=A","Dates=H","DateFormat=P","Fill=—","Direction=H","UseDPDF=Y")</f>
        <v>4266</v>
      </c>
      <c r="AN8" s="13">
        <f>_xll.BDH("XOM US Equity","BS_CASH_NEAR_CASH_ITEM","FQ4 2017","FQ4 2017","Currency=USD","Period=FQ","BEST_FPERIOD_OVERRIDE=FQ","FILING_STATUS=OR","SCALING_FORMAT=MLN","Sort=A","Dates=H","DateFormat=P","Fill=—","Direction=H","UseDPDF=Y")</f>
        <v>3177</v>
      </c>
      <c r="AO8" s="13">
        <f>_xll.BDH("XOM US Equity","BS_CASH_NEAR_CASH_ITEM","FQ1 2018","FQ1 2018","Currency=USD","Period=FQ","BEST_FPERIOD_OVERRIDE=FQ","FILING_STATUS=OR","SCALING_FORMAT=MLN","Sort=A","Dates=H","DateFormat=P","Fill=—","Direction=H","UseDPDF=Y")</f>
        <v>4125</v>
      </c>
      <c r="AP8" s="13">
        <f>_xll.BDH("XOM US Equity","BS_CASH_NEAR_CASH_ITEM","FQ2 2018","FQ2 2018","Currency=USD","Period=FQ","BEST_FPERIOD_OVERRIDE=FQ","FILING_STATUS=OR","SCALING_FORMAT=MLN","Sort=A","Dates=H","DateFormat=P","Fill=—","Direction=H","UseDPDF=Y")</f>
        <v>3430</v>
      </c>
    </row>
    <row r="9" spans="1:42" x14ac:dyDescent="0.25">
      <c r="A9" s="10" t="s">
        <v>210</v>
      </c>
      <c r="B9" s="10" t="s">
        <v>211</v>
      </c>
      <c r="C9" s="13">
        <f>_xll.BDH("XOM US Equity","BS_MKT_SEC_OTHER_ST_INVEST","FQ3 2008","FQ3 2008","Currency=USD","Period=FQ","BEST_FPERIOD_OVERRIDE=FQ","FILING_STATUS=OR","SCALING_FORMAT=MLN","Sort=A","Dates=H","DateFormat=P","Fill=—","Direction=H","UseDPDF=Y")</f>
        <v>1760</v>
      </c>
      <c r="D9" s="13">
        <f>_xll.BDH("XOM US Equity","BS_MKT_SEC_OTHER_ST_INVEST","FQ4 2008","FQ4 2008","Currency=USD","Period=FQ","BEST_FPERIOD_OVERRIDE=FQ","FILING_STATUS=OR","SCALING_FORMAT=MLN","Sort=A","Dates=H","DateFormat=P","Fill=—","Direction=H","UseDPDF=Y")</f>
        <v>570</v>
      </c>
      <c r="E9" s="13">
        <f>_xll.BDH("XOM US Equity","BS_MKT_SEC_OTHER_ST_INVEST","FQ1 2009","FQ1 2009","Currency=USD","Period=FQ","BEST_FPERIOD_OVERRIDE=FQ","FILING_STATUS=OR","SCALING_FORMAT=MLN","Sort=A","Dates=H","DateFormat=P","Fill=—","Direction=H","UseDPDF=Y")</f>
        <v>168</v>
      </c>
      <c r="F9" s="13">
        <f>_xll.BDH("XOM US Equity","BS_MKT_SEC_OTHER_ST_INVEST","FQ2 2009","FQ2 2009","Currency=USD","Period=FQ","BEST_FPERIOD_OVERRIDE=FQ","FILING_STATUS=OR","SCALING_FORMAT=MLN","Sort=A","Dates=H","DateFormat=P","Fill=—","Direction=H","UseDPDF=Y")</f>
        <v>153</v>
      </c>
      <c r="G9" s="13">
        <f>_xll.BDH("XOM US Equity","BS_MKT_SEC_OTHER_ST_INVEST","FQ3 2009","FQ3 2009","Currency=USD","Period=FQ","BEST_FPERIOD_OVERRIDE=FQ","FILING_STATUS=OR","SCALING_FORMAT=MLN","Sort=A","Dates=H","DateFormat=P","Fill=—","Direction=H","UseDPDF=Y")</f>
        <v>151</v>
      </c>
      <c r="H9" s="13">
        <f>_xll.BDH("XOM US Equity","BS_MKT_SEC_OTHER_ST_INVEST","FQ4 2009","FQ4 2009","Currency=USD","Period=FQ","BEST_FPERIOD_OVERRIDE=FQ","FILING_STATUS=OR","SCALING_FORMAT=MLN","Sort=A","Dates=H","DateFormat=P","Fill=—","Direction=H","UseDPDF=Y")</f>
        <v>169</v>
      </c>
      <c r="I9" s="13">
        <f>_xll.BDH("XOM US Equity","BS_MKT_SEC_OTHER_ST_INVEST","FQ1 2010","FQ1 2010","Currency=USD","Period=FQ","BEST_FPERIOD_OVERRIDE=FQ","FILING_STATUS=OR","SCALING_FORMAT=MLN","Sort=A","Dates=H","DateFormat=P","Fill=—","Direction=H","UseDPDF=Y")</f>
        <v>85</v>
      </c>
      <c r="J9" s="13">
        <f>_xll.BDH("XOM US Equity","BS_MKT_SEC_OTHER_ST_INVEST","FQ2 2010","FQ2 2010","Currency=USD","Period=FQ","BEST_FPERIOD_OVERRIDE=FQ","FILING_STATUS=OR","SCALING_FORMAT=MLN","Sort=A","Dates=H","DateFormat=P","Fill=—","Direction=H","UseDPDF=Y")</f>
        <v>15</v>
      </c>
      <c r="K9" s="13">
        <f>_xll.BDH("XOM US Equity","BS_MKT_SEC_OTHER_ST_INVEST","FQ3 2010","FQ3 2010","Currency=USD","Period=FQ","BEST_FPERIOD_OVERRIDE=FQ","FILING_STATUS=OR","SCALING_FORMAT=MLN","Sort=A","Dates=H","DateFormat=P","Fill=—","Direction=H","UseDPDF=Y")</f>
        <v>15</v>
      </c>
      <c r="L9" s="13">
        <f>_xll.BDH("XOM US Equity","BS_MKT_SEC_OTHER_ST_INVEST","FQ4 2010","FQ4 2010","Currency=USD","Period=FQ","BEST_FPERIOD_OVERRIDE=FQ","FILING_STATUS=OR","SCALING_FORMAT=MLN","Sort=A","Dates=H","DateFormat=P","Fill=—","Direction=H","UseDPDF=Y")</f>
        <v>2</v>
      </c>
      <c r="M9" s="13">
        <f>_xll.BDH("XOM US Equity","BS_MKT_SEC_OTHER_ST_INVEST","FQ1 2011","FQ1 2011","Currency=USD","Period=FQ","BEST_FPERIOD_OVERRIDE=FQ","FILING_STATUS=OR","SCALING_FORMAT=MLN","Sort=A","Dates=H","DateFormat=P","Fill=—","Direction=H","UseDPDF=Y")</f>
        <v>0</v>
      </c>
      <c r="N9" s="13">
        <f>_xll.BDH("XOM US Equity","BS_MKT_SEC_OTHER_ST_INVEST","FQ2 2011","FQ2 2011","Currency=USD","Period=FQ","BEST_FPERIOD_OVERRIDE=FQ","FILING_STATUS=OR","SCALING_FORMAT=MLN","Sort=A","Dates=H","DateFormat=P","Fill=—","Direction=H","UseDPDF=Y")</f>
        <v>1754</v>
      </c>
      <c r="O9" s="13">
        <f>_xll.BDH("XOM US Equity","BS_MKT_SEC_OTHER_ST_INVEST","FQ3 2011","FQ3 2011","Currency=USD","Period=FQ","BEST_FPERIOD_OVERRIDE=FQ","FILING_STATUS=OR","SCALING_FORMAT=MLN","Sort=A","Dates=H","DateFormat=P","Fill=—","Direction=H","UseDPDF=Y")</f>
        <v>0</v>
      </c>
      <c r="P9" s="13">
        <f>_xll.BDH("XOM US Equity","BS_MKT_SEC_OTHER_ST_INVEST","FQ4 2011","FQ4 2011","Currency=USD","Period=FQ","BEST_FPERIOD_OVERRIDE=FQ","FILING_STATUS=OR","SCALING_FORMAT=MLN","Sort=A","Dates=H","DateFormat=P","Fill=—","Direction=H","UseDPDF=Y")</f>
        <v>0</v>
      </c>
      <c r="Q9" s="13">
        <f>_xll.BDH("XOM US Equity","BS_MKT_SEC_OTHER_ST_INVEST","FQ1 2012","FQ1 2012","Currency=USD","Period=FQ","BEST_FPERIOD_OVERRIDE=FQ","FILING_STATUS=OR","SCALING_FORMAT=MLN","Sort=A","Dates=H","DateFormat=P","Fill=—","Direction=H","UseDPDF=Y")</f>
        <v>0</v>
      </c>
      <c r="R9" s="13">
        <f>_xll.BDH("XOM US Equity","BS_MKT_SEC_OTHER_ST_INVEST","FQ2 2012","FQ2 2012","Currency=USD","Period=FQ","BEST_FPERIOD_OVERRIDE=FQ","FILING_STATUS=OR","SCALING_FORMAT=MLN","Sort=A","Dates=H","DateFormat=P","Fill=—","Direction=H","UseDPDF=Y")</f>
        <v>0</v>
      </c>
      <c r="S9" s="13">
        <f>_xll.BDH("XOM US Equity","BS_MKT_SEC_OTHER_ST_INVEST","FQ3 2012","FQ3 2012","Currency=USD","Period=FQ","BEST_FPERIOD_OVERRIDE=FQ","FILING_STATUS=OR","SCALING_FORMAT=MLN","Sort=A","Dates=H","DateFormat=P","Fill=—","Direction=H","UseDPDF=Y")</f>
        <v>0</v>
      </c>
      <c r="T9" s="13">
        <f>_xll.BDH("XOM US Equity","BS_MKT_SEC_OTHER_ST_INVEST","FQ4 2012","FQ4 2012","Currency=USD","Period=FQ","BEST_FPERIOD_OVERRIDE=FQ","FILING_STATUS=OR","SCALING_FORMAT=MLN","Sort=A","Dates=H","DateFormat=P","Fill=—","Direction=H","UseDPDF=Y")</f>
        <v>0</v>
      </c>
      <c r="U9" s="13">
        <f>_xll.BDH("XOM US Equity","BS_MKT_SEC_OTHER_ST_INVEST","FQ1 2013","FQ1 2013","Currency=USD","Period=FQ","BEST_FPERIOD_OVERRIDE=FQ","FILING_STATUS=OR","SCALING_FORMAT=MLN","Sort=A","Dates=H","DateFormat=P","Fill=—","Direction=H","UseDPDF=Y")</f>
        <v>0</v>
      </c>
      <c r="V9" s="13">
        <f>_xll.BDH("XOM US Equity","BS_MKT_SEC_OTHER_ST_INVEST","FQ2 2013","FQ2 2013","Currency=USD","Period=FQ","BEST_FPERIOD_OVERRIDE=FQ","FILING_STATUS=OR","SCALING_FORMAT=MLN","Sort=A","Dates=H","DateFormat=P","Fill=—","Direction=H","UseDPDF=Y")</f>
        <v>0</v>
      </c>
      <c r="W9" s="13">
        <f>_xll.BDH("XOM US Equity","BS_MKT_SEC_OTHER_ST_INVEST","FQ3 2013","FQ3 2013","Currency=USD","Period=FQ","BEST_FPERIOD_OVERRIDE=FQ","FILING_STATUS=OR","SCALING_FORMAT=MLN","Sort=A","Dates=H","DateFormat=P","Fill=—","Direction=H","UseDPDF=Y")</f>
        <v>0</v>
      </c>
      <c r="X9" s="13">
        <f>_xll.BDH("XOM US Equity","BS_MKT_SEC_OTHER_ST_INVEST","FQ4 2013","FQ4 2013","Currency=USD","Period=FQ","BEST_FPERIOD_OVERRIDE=FQ","FILING_STATUS=OR","SCALING_FORMAT=MLN","Sort=A","Dates=H","DateFormat=P","Fill=—","Direction=H","UseDPDF=Y")</f>
        <v>0</v>
      </c>
      <c r="Y9" s="13">
        <f>_xll.BDH("XOM US Equity","BS_MKT_SEC_OTHER_ST_INVEST","FQ1 2014","FQ1 2014","Currency=USD","Period=FQ","BEST_FPERIOD_OVERRIDE=FQ","FILING_STATUS=OR","SCALING_FORMAT=MLN","Sort=A","Dates=H","DateFormat=P","Fill=—","Direction=H","UseDPDF=Y")</f>
        <v>0</v>
      </c>
      <c r="Z9" s="13">
        <f>_xll.BDH("XOM US Equity","BS_MKT_SEC_OTHER_ST_INVEST","FQ2 2014","FQ2 2014","Currency=USD","Period=FQ","BEST_FPERIOD_OVERRIDE=FQ","FILING_STATUS=OR","SCALING_FORMAT=MLN","Sort=A","Dates=H","DateFormat=P","Fill=—","Direction=H","UseDPDF=Y")</f>
        <v>0</v>
      </c>
      <c r="AA9" s="13">
        <f>_xll.BDH("XOM US Equity","BS_MKT_SEC_OTHER_ST_INVEST","FQ3 2014","FQ3 2014","Currency=USD","Period=FQ","BEST_FPERIOD_OVERRIDE=FQ","FILING_STATUS=OR","SCALING_FORMAT=MLN","Sort=A","Dates=H","DateFormat=P","Fill=—","Direction=H","UseDPDF=Y")</f>
        <v>0</v>
      </c>
      <c r="AB9" s="13">
        <f>_xll.BDH("XOM US Equity","BS_MKT_SEC_OTHER_ST_INVEST","FQ4 2014","FQ4 2014","Currency=USD","Period=FQ","BEST_FPERIOD_OVERRIDE=FQ","FILING_STATUS=OR","SCALING_FORMAT=MLN","Sort=A","Dates=H","DateFormat=P","Fill=—","Direction=H","UseDPDF=Y")</f>
        <v>0</v>
      </c>
      <c r="AC9" s="13">
        <f>_xll.BDH("XOM US Equity","BS_MKT_SEC_OTHER_ST_INVEST","FQ1 2015","FQ1 2015","Currency=USD","Period=FQ","BEST_FPERIOD_OVERRIDE=FQ","FILING_STATUS=OR","SCALING_FORMAT=MLN","Sort=A","Dates=H","DateFormat=P","Fill=—","Direction=H","UseDPDF=Y")</f>
        <v>0</v>
      </c>
      <c r="AD9" s="13">
        <f>_xll.BDH("XOM US Equity","BS_MKT_SEC_OTHER_ST_INVEST","FQ2 2015","FQ2 2015","Currency=USD","Period=FQ","BEST_FPERIOD_OVERRIDE=FQ","FILING_STATUS=OR","SCALING_FORMAT=MLN","Sort=A","Dates=H","DateFormat=P","Fill=—","Direction=H","UseDPDF=Y")</f>
        <v>0</v>
      </c>
      <c r="AE9" s="13">
        <f>_xll.BDH("XOM US Equity","BS_MKT_SEC_OTHER_ST_INVEST","FQ3 2015","FQ3 2015","Currency=USD","Period=FQ","BEST_FPERIOD_OVERRIDE=FQ","FILING_STATUS=OR","SCALING_FORMAT=MLN","Sort=A","Dates=H","DateFormat=P","Fill=—","Direction=H","UseDPDF=Y")</f>
        <v>0</v>
      </c>
      <c r="AF9" s="13">
        <f>_xll.BDH("XOM US Equity","BS_MKT_SEC_OTHER_ST_INVEST","FQ4 2015","FQ4 2015","Currency=USD","Period=FQ","BEST_FPERIOD_OVERRIDE=FQ","FILING_STATUS=OR","SCALING_FORMAT=MLN","Sort=A","Dates=H","DateFormat=P","Fill=—","Direction=H","UseDPDF=Y")</f>
        <v>0</v>
      </c>
      <c r="AG9" s="13">
        <f>_xll.BDH("XOM US Equity","BS_MKT_SEC_OTHER_ST_INVEST","FQ1 2016","FQ1 2016","Currency=USD","Period=FQ","BEST_FPERIOD_OVERRIDE=FQ","FILING_STATUS=OR","SCALING_FORMAT=MLN","Sort=A","Dates=H","DateFormat=P","Fill=—","Direction=H","UseDPDF=Y")</f>
        <v>0</v>
      </c>
      <c r="AH9" s="13">
        <f>_xll.BDH("XOM US Equity","BS_MKT_SEC_OTHER_ST_INVEST","FQ2 2016","FQ2 2016","Currency=USD","Period=FQ","BEST_FPERIOD_OVERRIDE=FQ","FILING_STATUS=OR","SCALING_FORMAT=MLN","Sort=A","Dates=H","DateFormat=P","Fill=—","Direction=H","UseDPDF=Y")</f>
        <v>0</v>
      </c>
      <c r="AI9" s="13">
        <f>_xll.BDH("XOM US Equity","BS_MKT_SEC_OTHER_ST_INVEST","FQ3 2016","FQ3 2016","Currency=USD","Period=FQ","BEST_FPERIOD_OVERRIDE=FQ","FILING_STATUS=OR","SCALING_FORMAT=MLN","Sort=A","Dates=H","DateFormat=P","Fill=—","Direction=H","UseDPDF=Y")</f>
        <v>0</v>
      </c>
      <c r="AJ9" s="13">
        <f>_xll.BDH("XOM US Equity","BS_MKT_SEC_OTHER_ST_INVEST","FQ4 2016","FQ4 2016","Currency=USD","Period=FQ","BEST_FPERIOD_OVERRIDE=FQ","FILING_STATUS=OR","SCALING_FORMAT=MLN","Sort=A","Dates=H","DateFormat=P","Fill=—","Direction=H","UseDPDF=Y")</f>
        <v>0</v>
      </c>
      <c r="AK9" s="13">
        <f>_xll.BDH("XOM US Equity","BS_MKT_SEC_OTHER_ST_INVEST","FQ1 2017","FQ1 2017","Currency=USD","Period=FQ","BEST_FPERIOD_OVERRIDE=FQ","FILING_STATUS=OR","SCALING_FORMAT=MLN","Sort=A","Dates=H","DateFormat=P","Fill=—","Direction=H","UseDPDF=Y")</f>
        <v>0</v>
      </c>
      <c r="AL9" s="13">
        <f>_xll.BDH("XOM US Equity","BS_MKT_SEC_OTHER_ST_INVEST","FQ2 2017","FQ2 2017","Currency=USD","Period=FQ","BEST_FPERIOD_OVERRIDE=FQ","FILING_STATUS=OR","SCALING_FORMAT=MLN","Sort=A","Dates=H","DateFormat=P","Fill=—","Direction=H","UseDPDF=Y")</f>
        <v>0</v>
      </c>
      <c r="AM9" s="13">
        <f>_xll.BDH("XOM US Equity","BS_MKT_SEC_OTHER_ST_INVEST","FQ3 2017","FQ3 2017","Currency=USD","Period=FQ","BEST_FPERIOD_OVERRIDE=FQ","FILING_STATUS=OR","SCALING_FORMAT=MLN","Sort=A","Dates=H","DateFormat=P","Fill=—","Direction=H","UseDPDF=Y")</f>
        <v>0</v>
      </c>
      <c r="AN9" s="13">
        <f>_xll.BDH("XOM US Equity","BS_MKT_SEC_OTHER_ST_INVEST","FQ4 2017","FQ4 2017","Currency=USD","Period=FQ","BEST_FPERIOD_OVERRIDE=FQ","FILING_STATUS=OR","SCALING_FORMAT=MLN","Sort=A","Dates=H","DateFormat=P","Fill=—","Direction=H","UseDPDF=Y")</f>
        <v>0</v>
      </c>
      <c r="AO9" s="13">
        <f>_xll.BDH("XOM US Equity","BS_MKT_SEC_OTHER_ST_INVEST","FQ1 2018","FQ1 2018","Currency=USD","Period=FQ","BEST_FPERIOD_OVERRIDE=FQ","FILING_STATUS=OR","SCALING_FORMAT=MLN","Sort=A","Dates=H","DateFormat=P","Fill=—","Direction=H","UseDPDF=Y")</f>
        <v>0</v>
      </c>
      <c r="AP9" s="13">
        <f>_xll.BDH("XOM US Equity","BS_MKT_SEC_OTHER_ST_INVEST","FQ2 2018","FQ2 2018","Currency=USD","Period=FQ","BEST_FPERIOD_OVERRIDE=FQ","FILING_STATUS=OR","SCALING_FORMAT=MLN","Sort=A","Dates=H","DateFormat=P","Fill=—","Direction=H","UseDPDF=Y")</f>
        <v>0</v>
      </c>
    </row>
    <row r="10" spans="1:42" x14ac:dyDescent="0.25">
      <c r="A10" s="10" t="s">
        <v>212</v>
      </c>
      <c r="B10" s="10" t="s">
        <v>213</v>
      </c>
      <c r="C10" s="13">
        <f>_xll.BDH("XOM US Equity","BS_ACCT_NOTE_RCV","FQ3 2008","FQ3 2008","Currency=USD","Period=FQ","BEST_FPERIOD_OVERRIDE=FQ","FILING_STATUS=OR","SCALING_FORMAT=MLN","Sort=A","Dates=H","DateFormat=P","Fill=—","Direction=H","UseDPDF=Y")</f>
        <v>35251</v>
      </c>
      <c r="D10" s="13">
        <f>_xll.BDH("XOM US Equity","BS_ACCT_NOTE_RCV","FQ4 2008","FQ4 2008","Currency=USD","Period=FQ","BEST_FPERIOD_OVERRIDE=FQ","FILING_STATUS=OR","SCALING_FORMAT=MLN","Sort=A","Dates=H","DateFormat=P","Fill=—","Direction=H","UseDPDF=Y")</f>
        <v>24702</v>
      </c>
      <c r="E10" s="13">
        <f>_xll.BDH("XOM US Equity","BS_ACCT_NOTE_RCV","FQ1 2009","FQ1 2009","Currency=USD","Period=FQ","BEST_FPERIOD_OVERRIDE=FQ","FILING_STATUS=OR","SCALING_FORMAT=MLN","Sort=A","Dates=H","DateFormat=P","Fill=—","Direction=H","UseDPDF=Y")</f>
        <v>22942</v>
      </c>
      <c r="F10" s="13">
        <f>_xll.BDH("XOM US Equity","BS_ACCT_NOTE_RCV","FQ2 2009","FQ2 2009","Currency=USD","Period=FQ","BEST_FPERIOD_OVERRIDE=FQ","FILING_STATUS=OR","SCALING_FORMAT=MLN","Sort=A","Dates=H","DateFormat=P","Fill=—","Direction=H","UseDPDF=Y")</f>
        <v>26862</v>
      </c>
      <c r="G10" s="13">
        <f>_xll.BDH("XOM US Equity","BS_ACCT_NOTE_RCV","FQ3 2009","FQ3 2009","Currency=USD","Period=FQ","BEST_FPERIOD_OVERRIDE=FQ","FILING_STATUS=OR","SCALING_FORMAT=MLN","Sort=A","Dates=H","DateFormat=P","Fill=—","Direction=H","UseDPDF=Y")</f>
        <v>26937</v>
      </c>
      <c r="H10" s="13">
        <f>_xll.BDH("XOM US Equity","BS_ACCT_NOTE_RCV","FQ4 2009","FQ4 2009","Currency=USD","Period=FQ","BEST_FPERIOD_OVERRIDE=FQ","FILING_STATUS=OR","SCALING_FORMAT=MLN","Sort=A","Dates=H","DateFormat=P","Fill=—","Direction=H","UseDPDF=Y")</f>
        <v>27645</v>
      </c>
      <c r="I10" s="13">
        <f>_xll.BDH("XOM US Equity","BS_ACCT_NOTE_RCV","FQ1 2010","FQ1 2010","Currency=USD","Period=FQ","BEST_FPERIOD_OVERRIDE=FQ","FILING_STATUS=OR","SCALING_FORMAT=MLN","Sort=A","Dates=H","DateFormat=P","Fill=—","Direction=H","UseDPDF=Y")</f>
        <v>29052</v>
      </c>
      <c r="J10" s="13">
        <f>_xll.BDH("XOM US Equity","BS_ACCT_NOTE_RCV","FQ2 2010","FQ2 2010","Currency=USD","Period=FQ","BEST_FPERIOD_OVERRIDE=FQ","FILING_STATUS=OR","SCALING_FORMAT=MLN","Sort=A","Dates=H","DateFormat=P","Fill=—","Direction=H","UseDPDF=Y")</f>
        <v>29206</v>
      </c>
      <c r="K10" s="13">
        <f>_xll.BDH("XOM US Equity","BS_ACCT_NOTE_RCV","FQ3 2010","FQ3 2010","Currency=USD","Period=FQ","BEST_FPERIOD_OVERRIDE=FQ","FILING_STATUS=OR","SCALING_FORMAT=MLN","Sort=A","Dates=H","DateFormat=P","Fill=—","Direction=H","UseDPDF=Y")</f>
        <v>30244</v>
      </c>
      <c r="L10" s="13">
        <f>_xll.BDH("XOM US Equity","BS_ACCT_NOTE_RCV","FQ4 2010","FQ4 2010","Currency=USD","Period=FQ","BEST_FPERIOD_OVERRIDE=FQ","FILING_STATUS=OR","SCALING_FORMAT=MLN","Sort=A","Dates=H","DateFormat=P","Fill=—","Direction=H","UseDPDF=Y")</f>
        <v>32284</v>
      </c>
      <c r="M10" s="13">
        <f>_xll.BDH("XOM US Equity","BS_ACCT_NOTE_RCV","FQ1 2011","FQ1 2011","Currency=USD","Period=FQ","BEST_FPERIOD_OVERRIDE=FQ","FILING_STATUS=OR","SCALING_FORMAT=MLN","Sort=A","Dates=H","DateFormat=P","Fill=—","Direction=H","UseDPDF=Y")</f>
        <v>35146</v>
      </c>
      <c r="N10" s="13">
        <f>_xll.BDH("XOM US Equity","BS_ACCT_NOTE_RCV","FQ2 2011","FQ2 2011","Currency=USD","Period=FQ","BEST_FPERIOD_OVERRIDE=FQ","FILING_STATUS=OR","SCALING_FORMAT=MLN","Sort=A","Dates=H","DateFormat=P","Fill=—","Direction=H","UseDPDF=Y")</f>
        <v>35331</v>
      </c>
      <c r="O10" s="13">
        <f>_xll.BDH("XOM US Equity","BS_ACCT_NOTE_RCV","FQ3 2011","FQ3 2011","Currency=USD","Period=FQ","BEST_FPERIOD_OVERRIDE=FQ","FILING_STATUS=OR","SCALING_FORMAT=MLN","Sort=A","Dates=H","DateFormat=P","Fill=—","Direction=H","UseDPDF=Y")</f>
        <v>34368</v>
      </c>
      <c r="P10" s="13">
        <f>_xll.BDH("XOM US Equity","BS_ACCT_NOTE_RCV","FQ4 2011","FQ4 2011","Currency=USD","Period=FQ","BEST_FPERIOD_OVERRIDE=FQ","FILING_STATUS=OR","SCALING_FORMAT=MLN","Sort=A","Dates=H","DateFormat=P","Fill=—","Direction=H","UseDPDF=Y")</f>
        <v>38642</v>
      </c>
      <c r="Q10" s="13">
        <f>_xll.BDH("XOM US Equity","BS_ACCT_NOTE_RCV","FQ1 2012","FQ1 2012","Currency=USD","Period=FQ","BEST_FPERIOD_OVERRIDE=FQ","FILING_STATUS=OR","SCALING_FORMAT=MLN","Sort=A","Dates=H","DateFormat=P","Fill=—","Direction=H","UseDPDF=Y")</f>
        <v>35844</v>
      </c>
      <c r="R10" s="13">
        <f>_xll.BDH("XOM US Equity","BS_ACCT_NOTE_RCV","FQ2 2012","FQ2 2012","Currency=USD","Period=FQ","BEST_FPERIOD_OVERRIDE=FQ","FILING_STATUS=OR","SCALING_FORMAT=MLN","Sort=A","Dates=H","DateFormat=P","Fill=—","Direction=H","UseDPDF=Y")</f>
        <v>33741</v>
      </c>
      <c r="S10" s="13">
        <f>_xll.BDH("XOM US Equity","BS_ACCT_NOTE_RCV","FQ3 2012","FQ3 2012","Currency=USD","Period=FQ","BEST_FPERIOD_OVERRIDE=FQ","FILING_STATUS=OR","SCALING_FORMAT=MLN","Sort=A","Dates=H","DateFormat=P","Fill=—","Direction=H","UseDPDF=Y")</f>
        <v>36635</v>
      </c>
      <c r="T10" s="13">
        <f>_xll.BDH("XOM US Equity","BS_ACCT_NOTE_RCV","FQ4 2012","FQ4 2012","Currency=USD","Period=FQ","BEST_FPERIOD_OVERRIDE=FQ","FILING_STATUS=OR","SCALING_FORMAT=MLN","Sort=A","Dates=H","DateFormat=P","Fill=—","Direction=H","UseDPDF=Y")</f>
        <v>34987</v>
      </c>
      <c r="U10" s="13">
        <f>_xll.BDH("XOM US Equity","BS_ACCT_NOTE_RCV","FQ1 2013","FQ1 2013","Currency=USD","Period=FQ","BEST_FPERIOD_OVERRIDE=FQ","FILING_STATUS=OR","SCALING_FORMAT=MLN","Sort=A","Dates=H","DateFormat=P","Fill=—","Direction=H","UseDPDF=Y")</f>
        <v>34291</v>
      </c>
      <c r="V10" s="13">
        <f>_xll.BDH("XOM US Equity","BS_ACCT_NOTE_RCV","FQ2 2013","FQ2 2013","Currency=USD","Period=FQ","BEST_FPERIOD_OVERRIDE=FQ","FILING_STATUS=OR","SCALING_FORMAT=MLN","Sort=A","Dates=H","DateFormat=P","Fill=—","Direction=H","UseDPDF=Y")</f>
        <v>35340</v>
      </c>
      <c r="W10" s="13">
        <f>_xll.BDH("XOM US Equity","BS_ACCT_NOTE_RCV","FQ3 2013","FQ3 2013","Currency=USD","Period=FQ","BEST_FPERIOD_OVERRIDE=FQ","FILING_STATUS=OR","SCALING_FORMAT=MLN","Sort=A","Dates=H","DateFormat=P","Fill=—","Direction=H","UseDPDF=Y")</f>
        <v>33230</v>
      </c>
      <c r="X10" s="13">
        <f>_xll.BDH("XOM US Equity","BS_ACCT_NOTE_RCV","FQ4 2013","FQ4 2013","Currency=USD","Period=FQ","BEST_FPERIOD_OVERRIDE=FQ","FILING_STATUS=OR","SCALING_FORMAT=MLN","Sort=A","Dates=H","DateFormat=P","Fill=—","Direction=H","UseDPDF=Y")</f>
        <v>33152</v>
      </c>
      <c r="Y10" s="13">
        <f>_xll.BDH("XOM US Equity","BS_ACCT_NOTE_RCV","FQ1 2014","FQ1 2014","Currency=USD","Period=FQ","BEST_FPERIOD_OVERRIDE=FQ","FILING_STATUS=OR","SCALING_FORMAT=MLN","Sort=A","Dates=H","DateFormat=P","Fill=—","Direction=H","UseDPDF=Y")</f>
        <v>32480</v>
      </c>
      <c r="Z10" s="13">
        <f>_xll.BDH("XOM US Equity","BS_ACCT_NOTE_RCV","FQ2 2014","FQ2 2014","Currency=USD","Period=FQ","BEST_FPERIOD_OVERRIDE=FQ","FILING_STATUS=OR","SCALING_FORMAT=MLN","Sort=A","Dates=H","DateFormat=P","Fill=—","Direction=H","UseDPDF=Y")</f>
        <v>34182</v>
      </c>
      <c r="AA10" s="13">
        <f>_xll.BDH("XOM US Equity","BS_ACCT_NOTE_RCV","FQ3 2014","FQ3 2014","Currency=USD","Period=FQ","BEST_FPERIOD_OVERRIDE=FQ","FILING_STATUS=OR","SCALING_FORMAT=MLN","Sort=A","Dates=H","DateFormat=P","Fill=—","Direction=H","UseDPDF=Y")</f>
        <v>30963</v>
      </c>
      <c r="AB10" s="13">
        <f>_xll.BDH("XOM US Equity","BS_ACCT_NOTE_RCV","FQ4 2014","FQ4 2014","Currency=USD","Period=FQ","BEST_FPERIOD_OVERRIDE=FQ","FILING_STATUS=OR","SCALING_FORMAT=MLN","Sort=A","Dates=H","DateFormat=P","Fill=—","Direction=H","UseDPDF=Y")</f>
        <v>28009</v>
      </c>
      <c r="AC10" s="13">
        <f>_xll.BDH("XOM US Equity","BS_ACCT_NOTE_RCV","FQ1 2015","FQ1 2015","Currency=USD","Period=FQ","BEST_FPERIOD_OVERRIDE=FQ","FILING_STATUS=OR","SCALING_FORMAT=MLN","Sort=A","Dates=H","DateFormat=P","Fill=—","Direction=H","UseDPDF=Y")</f>
        <v>25031</v>
      </c>
      <c r="AD10" s="13">
        <f>_xll.BDH("XOM US Equity","BS_ACCT_NOTE_RCV","FQ2 2015","FQ2 2015","Currency=USD","Period=FQ","BEST_FPERIOD_OVERRIDE=FQ","FILING_STATUS=OR","SCALING_FORMAT=MLN","Sort=A","Dates=H","DateFormat=P","Fill=—","Direction=H","UseDPDF=Y")</f>
        <v>25957</v>
      </c>
      <c r="AE10" s="13">
        <f>_xll.BDH("XOM US Equity","BS_ACCT_NOTE_RCV","FQ3 2015","FQ3 2015","Currency=USD","Period=FQ","BEST_FPERIOD_OVERRIDE=FQ","FILING_STATUS=OR","SCALING_FORMAT=MLN","Sort=A","Dates=H","DateFormat=P","Fill=—","Direction=H","UseDPDF=Y")</f>
        <v>22157</v>
      </c>
      <c r="AF10" s="13">
        <f>_xll.BDH("XOM US Equity","BS_ACCT_NOTE_RCV","FQ4 2015","FQ4 2015","Currency=USD","Period=FQ","BEST_FPERIOD_OVERRIDE=FQ","FILING_STATUS=OR","SCALING_FORMAT=MLN","Sort=A","Dates=H","DateFormat=P","Fill=—","Direction=H","UseDPDF=Y")</f>
        <v>19875</v>
      </c>
      <c r="AG10" s="13">
        <f>_xll.BDH("XOM US Equity","BS_ACCT_NOTE_RCV","FQ1 2016","FQ1 2016","Currency=USD","Period=FQ","BEST_FPERIOD_OVERRIDE=FQ","FILING_STATUS=OR","SCALING_FORMAT=MLN","Sort=A","Dates=H","DateFormat=P","Fill=—","Direction=H","UseDPDF=Y")</f>
        <v>19814</v>
      </c>
      <c r="AH10" s="13">
        <f>_xll.BDH("XOM US Equity","BS_ACCT_NOTE_RCV","FQ2 2016","FQ2 2016","Currency=USD","Period=FQ","BEST_FPERIOD_OVERRIDE=FQ","FILING_STATUS=OR","SCALING_FORMAT=MLN","Sort=A","Dates=H","DateFormat=P","Fill=—","Direction=H","UseDPDF=Y")</f>
        <v>21827</v>
      </c>
      <c r="AI10" s="13">
        <f>_xll.BDH("XOM US Equity","BS_ACCT_NOTE_RCV","FQ3 2016","FQ3 2016","Currency=USD","Period=FQ","BEST_FPERIOD_OVERRIDE=FQ","FILING_STATUS=OR","SCALING_FORMAT=MLN","Sort=A","Dates=H","DateFormat=P","Fill=—","Direction=H","UseDPDF=Y")</f>
        <v>20388</v>
      </c>
      <c r="AJ10" s="13">
        <f>_xll.BDH("XOM US Equity","BS_ACCT_NOTE_RCV","FQ4 2016","FQ4 2016","Currency=USD","Period=FQ","BEST_FPERIOD_OVERRIDE=FQ","FILING_STATUS=OR","SCALING_FORMAT=MLN","Sort=A","Dates=H","DateFormat=P","Fill=—","Direction=H","UseDPDF=Y")</f>
        <v>21394</v>
      </c>
      <c r="AK10" s="13">
        <f>_xll.BDH("XOM US Equity","BS_ACCT_NOTE_RCV","FQ1 2017","FQ1 2017","Currency=USD","Period=FQ","BEST_FPERIOD_OVERRIDE=FQ","FILING_STATUS=OR","SCALING_FORMAT=MLN","Sort=A","Dates=H","DateFormat=P","Fill=—","Direction=H","UseDPDF=Y")</f>
        <v>21842</v>
      </c>
      <c r="AL10" s="13">
        <f>_xll.BDH("XOM US Equity","BS_ACCT_NOTE_RCV","FQ2 2017","FQ2 2017","Currency=USD","Period=FQ","BEST_FPERIOD_OVERRIDE=FQ","FILING_STATUS=OR","SCALING_FORMAT=MLN","Sort=A","Dates=H","DateFormat=P","Fill=—","Direction=H","UseDPDF=Y")</f>
        <v>21289</v>
      </c>
      <c r="AM10" s="13">
        <f>_xll.BDH("XOM US Equity","BS_ACCT_NOTE_RCV","FQ3 2017","FQ3 2017","Currency=USD","Period=FQ","BEST_FPERIOD_OVERRIDE=FQ","FILING_STATUS=OR","SCALING_FORMAT=MLN","Sort=A","Dates=H","DateFormat=P","Fill=—","Direction=H","UseDPDF=Y")</f>
        <v>23263</v>
      </c>
      <c r="AN10" s="13">
        <f>_xll.BDH("XOM US Equity","BS_ACCT_NOTE_RCV","FQ4 2017","FQ4 2017","Currency=USD","Period=FQ","BEST_FPERIOD_OVERRIDE=FQ","FILING_STATUS=OR","SCALING_FORMAT=MLN","Sort=A","Dates=H","DateFormat=P","Fill=—","Direction=H","UseDPDF=Y")</f>
        <v>25597</v>
      </c>
      <c r="AO10" s="13">
        <f>_xll.BDH("XOM US Equity","BS_ACCT_NOTE_RCV","FQ1 2018","FQ1 2018","Currency=USD","Period=FQ","BEST_FPERIOD_OVERRIDE=FQ","FILING_STATUS=OR","SCALING_FORMAT=MLN","Sort=A","Dates=H","DateFormat=P","Fill=—","Direction=H","UseDPDF=Y")</f>
        <v>24686</v>
      </c>
      <c r="AP10" s="13">
        <f>_xll.BDH("XOM US Equity","BS_ACCT_NOTE_RCV","FQ2 2018","FQ2 2018","Currency=USD","Period=FQ","BEST_FPERIOD_OVERRIDE=FQ","FILING_STATUS=OR","SCALING_FORMAT=MLN","Sort=A","Dates=H","DateFormat=P","Fill=—","Direction=H","UseDPDF=Y")</f>
        <v>26993</v>
      </c>
    </row>
    <row r="11" spans="1:42" x14ac:dyDescent="0.25">
      <c r="A11" s="10" t="s">
        <v>214</v>
      </c>
      <c r="B11" s="10" t="s">
        <v>215</v>
      </c>
      <c r="C11" s="13" t="str">
        <f>_xll.BDH("XOM US Equity","BS_ACCTS_REC_EXCL_NOTES_REC","FQ3 2008","FQ3 2008","Currency=USD","Period=FQ","BEST_FPERIOD_OVERRIDE=FQ","FILING_STATUS=OR","SCALING_FORMAT=MLN","Sort=A","Dates=H","DateFormat=P","Fill=—","Direction=H","UseDPDF=Y")</f>
        <v>—</v>
      </c>
      <c r="D11" s="13" t="str">
        <f>_xll.BDH("XOM US Equity","BS_ACCTS_REC_EXCL_NOTES_REC","FQ4 2008","FQ4 2008","Currency=USD","Period=FQ","BEST_FPERIOD_OVERRIDE=FQ","FILING_STATUS=OR","SCALING_FORMAT=MLN","Sort=A","Dates=H","DateFormat=P","Fill=—","Direction=H","UseDPDF=Y")</f>
        <v>—</v>
      </c>
      <c r="E11" s="13" t="str">
        <f>_xll.BDH("XOM US Equity","BS_ACCTS_REC_EXCL_NOTES_REC","FQ1 2009","FQ1 2009","Currency=USD","Period=FQ","BEST_FPERIOD_OVERRIDE=FQ","FILING_STATUS=OR","SCALING_FORMAT=MLN","Sort=A","Dates=H","DateFormat=P","Fill=—","Direction=H","UseDPDF=Y")</f>
        <v>—</v>
      </c>
      <c r="F11" s="13" t="str">
        <f>_xll.BDH("XOM US Equity","BS_ACCTS_REC_EXCL_NOTES_REC","FQ2 2009","FQ2 2009","Currency=USD","Period=FQ","BEST_FPERIOD_OVERRIDE=FQ","FILING_STATUS=OR","SCALING_FORMAT=MLN","Sort=A","Dates=H","DateFormat=P","Fill=—","Direction=H","UseDPDF=Y")</f>
        <v>—</v>
      </c>
      <c r="G11" s="13" t="str">
        <f>_xll.BDH("XOM US Equity","BS_ACCTS_REC_EXCL_NOTES_REC","FQ3 2009","FQ3 2009","Currency=USD","Period=FQ","BEST_FPERIOD_OVERRIDE=FQ","FILING_STATUS=OR","SCALING_FORMAT=MLN","Sort=A","Dates=H","DateFormat=P","Fill=—","Direction=H","UseDPDF=Y")</f>
        <v>—</v>
      </c>
      <c r="H11" s="13">
        <f>_xll.BDH("XOM US Equity","BS_ACCTS_REC_EXCL_NOTES_REC","FQ4 2009","FQ4 2009","Currency=USD","Period=FQ","BEST_FPERIOD_OVERRIDE=FQ","FILING_STATUS=OR","SCALING_FORMAT=MLN","Sort=A","Dates=H","DateFormat=P","Fill=—","Direction=H","UseDPDF=Y")</f>
        <v>22186</v>
      </c>
      <c r="I11" s="13" t="str">
        <f>_xll.BDH("XOM US Equity","BS_ACCTS_REC_EXCL_NOTES_REC","FQ1 2010","FQ1 2010","Currency=USD","Period=FQ","BEST_FPERIOD_OVERRIDE=FQ","FILING_STATUS=OR","SCALING_FORMAT=MLN","Sort=A","Dates=H","DateFormat=P","Fill=—","Direction=H","UseDPDF=Y")</f>
        <v>—</v>
      </c>
      <c r="J11" s="13" t="str">
        <f>_xll.BDH("XOM US Equity","BS_ACCTS_REC_EXCL_NOTES_REC","FQ2 2010","FQ2 2010","Currency=USD","Period=FQ","BEST_FPERIOD_OVERRIDE=FQ","FILING_STATUS=OR","SCALING_FORMAT=MLN","Sort=A","Dates=H","DateFormat=P","Fill=—","Direction=H","UseDPDF=Y")</f>
        <v>—</v>
      </c>
      <c r="K11" s="13" t="str">
        <f>_xll.BDH("XOM US Equity","BS_ACCTS_REC_EXCL_NOTES_REC","FQ3 2010","FQ3 2010","Currency=USD","Period=FQ","BEST_FPERIOD_OVERRIDE=FQ","FILING_STATUS=OR","SCALING_FORMAT=MLN","Sort=A","Dates=H","DateFormat=P","Fill=—","Direction=H","UseDPDF=Y")</f>
        <v>—</v>
      </c>
      <c r="L11" s="13">
        <f>_xll.BDH("XOM US Equity","BS_ACCTS_REC_EXCL_NOTES_REC","FQ4 2010","FQ4 2010","Currency=USD","Period=FQ","BEST_FPERIOD_OVERRIDE=FQ","FILING_STATUS=OR","SCALING_FORMAT=MLN","Sort=A","Dates=H","DateFormat=P","Fill=—","Direction=H","UseDPDF=Y")</f>
        <v>25439</v>
      </c>
      <c r="M11" s="13" t="str">
        <f>_xll.BDH("XOM US Equity","BS_ACCTS_REC_EXCL_NOTES_REC","FQ1 2011","FQ1 2011","Currency=USD","Period=FQ","BEST_FPERIOD_OVERRIDE=FQ","FILING_STATUS=OR","SCALING_FORMAT=MLN","Sort=A","Dates=H","DateFormat=P","Fill=—","Direction=H","UseDPDF=Y")</f>
        <v>—</v>
      </c>
      <c r="N11" s="13" t="str">
        <f>_xll.BDH("XOM US Equity","BS_ACCTS_REC_EXCL_NOTES_REC","FQ2 2011","FQ2 2011","Currency=USD","Period=FQ","BEST_FPERIOD_OVERRIDE=FQ","FILING_STATUS=OR","SCALING_FORMAT=MLN","Sort=A","Dates=H","DateFormat=P","Fill=—","Direction=H","UseDPDF=Y")</f>
        <v>—</v>
      </c>
      <c r="O11" s="13" t="str">
        <f>_xll.BDH("XOM US Equity","BS_ACCTS_REC_EXCL_NOTES_REC","FQ3 2011","FQ3 2011","Currency=USD","Period=FQ","BEST_FPERIOD_OVERRIDE=FQ","FILING_STATUS=OR","SCALING_FORMAT=MLN","Sort=A","Dates=H","DateFormat=P","Fill=—","Direction=H","UseDPDF=Y")</f>
        <v>—</v>
      </c>
      <c r="P11" s="13">
        <f>_xll.BDH("XOM US Equity","BS_ACCTS_REC_EXCL_NOTES_REC","FQ4 2011","FQ4 2011","Currency=USD","Period=FQ","BEST_FPERIOD_OVERRIDE=FQ","FILING_STATUS=OR","SCALING_FORMAT=MLN","Sort=A","Dates=H","DateFormat=P","Fill=—","Direction=H","UseDPDF=Y")</f>
        <v>30044</v>
      </c>
      <c r="Q11" s="13" t="str">
        <f>_xll.BDH("XOM US Equity","BS_ACCTS_REC_EXCL_NOTES_REC","FQ1 2012","FQ1 2012","Currency=USD","Period=FQ","BEST_FPERIOD_OVERRIDE=FQ","FILING_STATUS=OR","SCALING_FORMAT=MLN","Sort=A","Dates=H","DateFormat=P","Fill=—","Direction=H","UseDPDF=Y")</f>
        <v>—</v>
      </c>
      <c r="R11" s="13" t="str">
        <f>_xll.BDH("XOM US Equity","BS_ACCTS_REC_EXCL_NOTES_REC","FQ2 2012","FQ2 2012","Currency=USD","Period=FQ","BEST_FPERIOD_OVERRIDE=FQ","FILING_STATUS=OR","SCALING_FORMAT=MLN","Sort=A","Dates=H","DateFormat=P","Fill=—","Direction=H","UseDPDF=Y")</f>
        <v>—</v>
      </c>
      <c r="S11" s="13" t="str">
        <f>_xll.BDH("XOM US Equity","BS_ACCTS_REC_EXCL_NOTES_REC","FQ3 2012","FQ3 2012","Currency=USD","Period=FQ","BEST_FPERIOD_OVERRIDE=FQ","FILING_STATUS=OR","SCALING_FORMAT=MLN","Sort=A","Dates=H","DateFormat=P","Fill=—","Direction=H","UseDPDF=Y")</f>
        <v>—</v>
      </c>
      <c r="T11" s="13">
        <f>_xll.BDH("XOM US Equity","BS_ACCTS_REC_EXCL_NOTES_REC","FQ4 2012","FQ4 2012","Currency=USD","Period=FQ","BEST_FPERIOD_OVERRIDE=FQ","FILING_STATUS=OR","SCALING_FORMAT=MLN","Sort=A","Dates=H","DateFormat=P","Fill=—","Direction=H","UseDPDF=Y")</f>
        <v>28373</v>
      </c>
      <c r="U11" s="13" t="str">
        <f>_xll.BDH("XOM US Equity","BS_ACCTS_REC_EXCL_NOTES_REC","FQ1 2013","FQ1 2013","Currency=USD","Period=FQ","BEST_FPERIOD_OVERRIDE=FQ","FILING_STATUS=OR","SCALING_FORMAT=MLN","Sort=A","Dates=H","DateFormat=P","Fill=—","Direction=H","UseDPDF=Y")</f>
        <v>—</v>
      </c>
      <c r="V11" s="13" t="str">
        <f>_xll.BDH("XOM US Equity","BS_ACCTS_REC_EXCL_NOTES_REC","FQ2 2013","FQ2 2013","Currency=USD","Period=FQ","BEST_FPERIOD_OVERRIDE=FQ","FILING_STATUS=OR","SCALING_FORMAT=MLN","Sort=A","Dates=H","DateFormat=P","Fill=—","Direction=H","UseDPDF=Y")</f>
        <v>—</v>
      </c>
      <c r="W11" s="13" t="str">
        <f>_xll.BDH("XOM US Equity","BS_ACCTS_REC_EXCL_NOTES_REC","FQ3 2013","FQ3 2013","Currency=USD","Period=FQ","BEST_FPERIOD_OVERRIDE=FQ","FILING_STATUS=OR","SCALING_FORMAT=MLN","Sort=A","Dates=H","DateFormat=P","Fill=—","Direction=H","UseDPDF=Y")</f>
        <v>—</v>
      </c>
      <c r="X11" s="13">
        <f>_xll.BDH("XOM US Equity","BS_ACCTS_REC_EXCL_NOTES_REC","FQ4 2013","FQ4 2013","Currency=USD","Period=FQ","BEST_FPERIOD_OVERRIDE=FQ","FILING_STATUS=OR","SCALING_FORMAT=MLN","Sort=A","Dates=H","DateFormat=P","Fill=—","Direction=H","UseDPDF=Y")</f>
        <v>25993</v>
      </c>
      <c r="Y11" s="13" t="str">
        <f>_xll.BDH("XOM US Equity","BS_ACCTS_REC_EXCL_NOTES_REC","FQ1 2014","FQ1 2014","Currency=USD","Period=FQ","BEST_FPERIOD_OVERRIDE=FQ","FILING_STATUS=OR","SCALING_FORMAT=MLN","Sort=A","Dates=H","DateFormat=P","Fill=—","Direction=H","UseDPDF=Y")</f>
        <v>—</v>
      </c>
      <c r="Z11" s="13" t="str">
        <f>_xll.BDH("XOM US Equity","BS_ACCTS_REC_EXCL_NOTES_REC","FQ2 2014","FQ2 2014","Currency=USD","Period=FQ","BEST_FPERIOD_OVERRIDE=FQ","FILING_STATUS=OR","SCALING_FORMAT=MLN","Sort=A","Dates=H","DateFormat=P","Fill=—","Direction=H","UseDPDF=Y")</f>
        <v>—</v>
      </c>
      <c r="AA11" s="13" t="str">
        <f>_xll.BDH("XOM US Equity","BS_ACCTS_REC_EXCL_NOTES_REC","FQ3 2014","FQ3 2014","Currency=USD","Period=FQ","BEST_FPERIOD_OVERRIDE=FQ","FILING_STATUS=OR","SCALING_FORMAT=MLN","Sort=A","Dates=H","DateFormat=P","Fill=—","Direction=H","UseDPDF=Y")</f>
        <v>—</v>
      </c>
      <c r="AB11" s="13">
        <f>_xll.BDH("XOM US Equity","BS_ACCTS_REC_EXCL_NOTES_REC","FQ4 2014","FQ4 2014","Currency=USD","Period=FQ","BEST_FPERIOD_OVERRIDE=FQ","FILING_STATUS=OR","SCALING_FORMAT=MLN","Sort=A","Dates=H","DateFormat=P","Fill=—","Direction=H","UseDPDF=Y")</f>
        <v>18541</v>
      </c>
      <c r="AC11" s="13" t="str">
        <f>_xll.BDH("XOM US Equity","BS_ACCTS_REC_EXCL_NOTES_REC","FQ1 2015","FQ1 2015","Currency=USD","Period=FQ","BEST_FPERIOD_OVERRIDE=FQ","FILING_STATUS=OR","SCALING_FORMAT=MLN","Sort=A","Dates=H","DateFormat=P","Fill=—","Direction=H","UseDPDF=Y")</f>
        <v>—</v>
      </c>
      <c r="AD11" s="13" t="str">
        <f>_xll.BDH("XOM US Equity","BS_ACCTS_REC_EXCL_NOTES_REC","FQ2 2015","FQ2 2015","Currency=USD","Period=FQ","BEST_FPERIOD_OVERRIDE=FQ","FILING_STATUS=OR","SCALING_FORMAT=MLN","Sort=A","Dates=H","DateFormat=P","Fill=—","Direction=H","UseDPDF=Y")</f>
        <v>—</v>
      </c>
      <c r="AE11" s="13" t="str">
        <f>_xll.BDH("XOM US Equity","BS_ACCTS_REC_EXCL_NOTES_REC","FQ3 2015","FQ3 2015","Currency=USD","Period=FQ","BEST_FPERIOD_OVERRIDE=FQ","FILING_STATUS=OR","SCALING_FORMAT=MLN","Sort=A","Dates=H","DateFormat=P","Fill=—","Direction=H","UseDPDF=Y")</f>
        <v>—</v>
      </c>
      <c r="AF11" s="13">
        <f>_xll.BDH("XOM US Equity","BS_ACCTS_REC_EXCL_NOTES_REC","FQ4 2015","FQ4 2015","Currency=USD","Period=FQ","BEST_FPERIOD_OVERRIDE=FQ","FILING_STATUS=OR","SCALING_FORMAT=MLN","Sort=A","Dates=H","DateFormat=P","Fill=—","Direction=H","UseDPDF=Y")</f>
        <v>13243</v>
      </c>
      <c r="AG11" s="13" t="str">
        <f>_xll.BDH("XOM US Equity","BS_ACCTS_REC_EXCL_NOTES_REC","FQ1 2016","FQ1 2016","Currency=USD","Period=FQ","BEST_FPERIOD_OVERRIDE=FQ","FILING_STATUS=OR","SCALING_FORMAT=MLN","Sort=A","Dates=H","DateFormat=P","Fill=—","Direction=H","UseDPDF=Y")</f>
        <v>—</v>
      </c>
      <c r="AH11" s="13" t="str">
        <f>_xll.BDH("XOM US Equity","BS_ACCTS_REC_EXCL_NOTES_REC","FQ2 2016","FQ2 2016","Currency=USD","Period=FQ","BEST_FPERIOD_OVERRIDE=FQ","FILING_STATUS=OR","SCALING_FORMAT=MLN","Sort=A","Dates=H","DateFormat=P","Fill=—","Direction=H","UseDPDF=Y")</f>
        <v>—</v>
      </c>
      <c r="AI11" s="13" t="str">
        <f>_xll.BDH("XOM US Equity","BS_ACCTS_REC_EXCL_NOTES_REC","FQ3 2016","FQ3 2016","Currency=USD","Period=FQ","BEST_FPERIOD_OVERRIDE=FQ","FILING_STATUS=OR","SCALING_FORMAT=MLN","Sort=A","Dates=H","DateFormat=P","Fill=—","Direction=H","UseDPDF=Y")</f>
        <v>—</v>
      </c>
      <c r="AJ11" s="13">
        <f>_xll.BDH("XOM US Equity","BS_ACCTS_REC_EXCL_NOTES_REC","FQ4 2016","FQ4 2016","Currency=USD","Period=FQ","BEST_FPERIOD_OVERRIDE=FQ","FILING_STATUS=OR","SCALING_FORMAT=MLN","Sort=A","Dates=H","DateFormat=P","Fill=—","Direction=H","UseDPDF=Y")</f>
        <v>16033</v>
      </c>
      <c r="AK11" s="13" t="str">
        <f>_xll.BDH("XOM US Equity","BS_ACCTS_REC_EXCL_NOTES_REC","FQ1 2017","FQ1 2017","Currency=USD","Period=FQ","BEST_FPERIOD_OVERRIDE=FQ","FILING_STATUS=OR","SCALING_FORMAT=MLN","Sort=A","Dates=H","DateFormat=P","Fill=—","Direction=H","UseDPDF=Y")</f>
        <v>—</v>
      </c>
      <c r="AL11" s="13" t="str">
        <f>_xll.BDH("XOM US Equity","BS_ACCTS_REC_EXCL_NOTES_REC","FQ2 2017","FQ2 2017","Currency=USD","Period=FQ","BEST_FPERIOD_OVERRIDE=FQ","FILING_STATUS=OR","SCALING_FORMAT=MLN","Sort=A","Dates=H","DateFormat=P","Fill=—","Direction=H","UseDPDF=Y")</f>
        <v>—</v>
      </c>
      <c r="AM11" s="13" t="str">
        <f>_xll.BDH("XOM US Equity","BS_ACCTS_REC_EXCL_NOTES_REC","FQ3 2017","FQ3 2017","Currency=USD","Period=FQ","BEST_FPERIOD_OVERRIDE=FQ","FILING_STATUS=OR","SCALING_FORMAT=MLN","Sort=A","Dates=H","DateFormat=P","Fill=—","Direction=H","UseDPDF=Y")</f>
        <v>—</v>
      </c>
      <c r="AN11" s="13">
        <f>_xll.BDH("XOM US Equity","BS_ACCTS_REC_EXCL_NOTES_REC","FQ4 2017","FQ4 2017","Currency=USD","Period=FQ","BEST_FPERIOD_OVERRIDE=FQ","FILING_STATUS=OR","SCALING_FORMAT=MLN","Sort=A","Dates=H","DateFormat=P","Fill=—","Direction=H","UseDPDF=Y")</f>
        <v>21274</v>
      </c>
      <c r="AO11" s="13" t="str">
        <f>_xll.BDH("XOM US Equity","BS_ACCTS_REC_EXCL_NOTES_REC","FQ1 2018","FQ1 2018","Currency=USD","Period=FQ","BEST_FPERIOD_OVERRIDE=FQ","FILING_STATUS=OR","SCALING_FORMAT=MLN","Sort=A","Dates=H","DateFormat=P","Fill=—","Direction=H","UseDPDF=Y")</f>
        <v>—</v>
      </c>
      <c r="AP11" s="13" t="str">
        <f>_xll.BDH("XOM US Equity","BS_ACCTS_REC_EXCL_NOTES_REC","FQ2 2018","FQ2 2018","Currency=USD","Period=FQ","BEST_FPERIOD_OVERRIDE=FQ","FILING_STATUS=OR","SCALING_FORMAT=MLN","Sort=A","Dates=H","DateFormat=P","Fill=—","Direction=H","UseDPDF=Y")</f>
        <v>—</v>
      </c>
    </row>
    <row r="12" spans="1:42" x14ac:dyDescent="0.25">
      <c r="A12" s="10" t="s">
        <v>216</v>
      </c>
      <c r="B12" s="10" t="s">
        <v>217</v>
      </c>
      <c r="C12" s="13" t="str">
        <f>_xll.BDH("XOM US Equity","NOTES_RECEIVABLE","FQ3 2008","FQ3 2008","Currency=USD","Period=FQ","BEST_FPERIOD_OVERRIDE=FQ","FILING_STATUS=OR","SCALING_FORMAT=MLN","Sort=A","Dates=H","DateFormat=P","Fill=—","Direction=H","UseDPDF=Y")</f>
        <v>—</v>
      </c>
      <c r="D12" s="13" t="str">
        <f>_xll.BDH("XOM US Equity","NOTES_RECEIVABLE","FQ4 2008","FQ4 2008","Currency=USD","Period=FQ","BEST_FPERIOD_OVERRIDE=FQ","FILING_STATUS=OR","SCALING_FORMAT=MLN","Sort=A","Dates=H","DateFormat=P","Fill=—","Direction=H","UseDPDF=Y")</f>
        <v>—</v>
      </c>
      <c r="E12" s="13" t="str">
        <f>_xll.BDH("XOM US Equity","NOTES_RECEIVABLE","FQ1 2009","FQ1 2009","Currency=USD","Period=FQ","BEST_FPERIOD_OVERRIDE=FQ","FILING_STATUS=OR","SCALING_FORMAT=MLN","Sort=A","Dates=H","DateFormat=P","Fill=—","Direction=H","UseDPDF=Y")</f>
        <v>—</v>
      </c>
      <c r="F12" s="13" t="str">
        <f>_xll.BDH("XOM US Equity","NOTES_RECEIVABLE","FQ2 2009","FQ2 2009","Currency=USD","Period=FQ","BEST_FPERIOD_OVERRIDE=FQ","FILING_STATUS=OR","SCALING_FORMAT=MLN","Sort=A","Dates=H","DateFormat=P","Fill=—","Direction=H","UseDPDF=Y")</f>
        <v>—</v>
      </c>
      <c r="G12" s="13" t="str">
        <f>_xll.BDH("XOM US Equity","NOTES_RECEIVABLE","FQ3 2009","FQ3 2009","Currency=USD","Period=FQ","BEST_FPERIOD_OVERRIDE=FQ","FILING_STATUS=OR","SCALING_FORMAT=MLN","Sort=A","Dates=H","DateFormat=P","Fill=—","Direction=H","UseDPDF=Y")</f>
        <v>—</v>
      </c>
      <c r="H12" s="13">
        <f>_xll.BDH("XOM US Equity","NOTES_RECEIVABLE","FQ4 2009","FQ4 2009","Currency=USD","Period=FQ","BEST_FPERIOD_OVERRIDE=FQ","FILING_STATUS=OR","SCALING_FORMAT=MLN","Sort=A","Dates=H","DateFormat=P","Fill=—","Direction=H","UseDPDF=Y")</f>
        <v>5459</v>
      </c>
      <c r="I12" s="13" t="str">
        <f>_xll.BDH("XOM US Equity","NOTES_RECEIVABLE","FQ1 2010","FQ1 2010","Currency=USD","Period=FQ","BEST_FPERIOD_OVERRIDE=FQ","FILING_STATUS=OR","SCALING_FORMAT=MLN","Sort=A","Dates=H","DateFormat=P","Fill=—","Direction=H","UseDPDF=Y")</f>
        <v>—</v>
      </c>
      <c r="J12" s="13" t="str">
        <f>_xll.BDH("XOM US Equity","NOTES_RECEIVABLE","FQ2 2010","FQ2 2010","Currency=USD","Period=FQ","BEST_FPERIOD_OVERRIDE=FQ","FILING_STATUS=OR","SCALING_FORMAT=MLN","Sort=A","Dates=H","DateFormat=P","Fill=—","Direction=H","UseDPDF=Y")</f>
        <v>—</v>
      </c>
      <c r="K12" s="13" t="str">
        <f>_xll.BDH("XOM US Equity","NOTES_RECEIVABLE","FQ3 2010","FQ3 2010","Currency=USD","Period=FQ","BEST_FPERIOD_OVERRIDE=FQ","FILING_STATUS=OR","SCALING_FORMAT=MLN","Sort=A","Dates=H","DateFormat=P","Fill=—","Direction=H","UseDPDF=Y")</f>
        <v>—</v>
      </c>
      <c r="L12" s="13">
        <f>_xll.BDH("XOM US Equity","NOTES_RECEIVABLE","FQ4 2010","FQ4 2010","Currency=USD","Period=FQ","BEST_FPERIOD_OVERRIDE=FQ","FILING_STATUS=OR","SCALING_FORMAT=MLN","Sort=A","Dates=H","DateFormat=P","Fill=—","Direction=H","UseDPDF=Y")</f>
        <v>6845</v>
      </c>
      <c r="M12" s="13" t="str">
        <f>_xll.BDH("XOM US Equity","NOTES_RECEIVABLE","FQ1 2011","FQ1 2011","Currency=USD","Period=FQ","BEST_FPERIOD_OVERRIDE=FQ","FILING_STATUS=OR","SCALING_FORMAT=MLN","Sort=A","Dates=H","DateFormat=P","Fill=—","Direction=H","UseDPDF=Y")</f>
        <v>—</v>
      </c>
      <c r="N12" s="13" t="str">
        <f>_xll.BDH("XOM US Equity","NOTES_RECEIVABLE","FQ2 2011","FQ2 2011","Currency=USD","Period=FQ","BEST_FPERIOD_OVERRIDE=FQ","FILING_STATUS=OR","SCALING_FORMAT=MLN","Sort=A","Dates=H","DateFormat=P","Fill=—","Direction=H","UseDPDF=Y")</f>
        <v>—</v>
      </c>
      <c r="O12" s="13" t="str">
        <f>_xll.BDH("XOM US Equity","NOTES_RECEIVABLE","FQ3 2011","FQ3 2011","Currency=USD","Period=FQ","BEST_FPERIOD_OVERRIDE=FQ","FILING_STATUS=OR","SCALING_FORMAT=MLN","Sort=A","Dates=H","DateFormat=P","Fill=—","Direction=H","UseDPDF=Y")</f>
        <v>—</v>
      </c>
      <c r="P12" s="13">
        <f>_xll.BDH("XOM US Equity","NOTES_RECEIVABLE","FQ4 2011","FQ4 2011","Currency=USD","Period=FQ","BEST_FPERIOD_OVERRIDE=FQ","FILING_STATUS=OR","SCALING_FORMAT=MLN","Sort=A","Dates=H","DateFormat=P","Fill=—","Direction=H","UseDPDF=Y")</f>
        <v>8598</v>
      </c>
      <c r="Q12" s="13" t="str">
        <f>_xll.BDH("XOM US Equity","NOTES_RECEIVABLE","FQ1 2012","FQ1 2012","Currency=USD","Period=FQ","BEST_FPERIOD_OVERRIDE=FQ","FILING_STATUS=OR","SCALING_FORMAT=MLN","Sort=A","Dates=H","DateFormat=P","Fill=—","Direction=H","UseDPDF=Y")</f>
        <v>—</v>
      </c>
      <c r="R12" s="13" t="str">
        <f>_xll.BDH("XOM US Equity","NOTES_RECEIVABLE","FQ2 2012","FQ2 2012","Currency=USD","Period=FQ","BEST_FPERIOD_OVERRIDE=FQ","FILING_STATUS=OR","SCALING_FORMAT=MLN","Sort=A","Dates=H","DateFormat=P","Fill=—","Direction=H","UseDPDF=Y")</f>
        <v>—</v>
      </c>
      <c r="S12" s="13" t="str">
        <f>_xll.BDH("XOM US Equity","NOTES_RECEIVABLE","FQ3 2012","FQ3 2012","Currency=USD","Period=FQ","BEST_FPERIOD_OVERRIDE=FQ","FILING_STATUS=OR","SCALING_FORMAT=MLN","Sort=A","Dates=H","DateFormat=P","Fill=—","Direction=H","UseDPDF=Y")</f>
        <v>—</v>
      </c>
      <c r="T12" s="13">
        <f>_xll.BDH("XOM US Equity","NOTES_RECEIVABLE","FQ4 2012","FQ4 2012","Currency=USD","Period=FQ","BEST_FPERIOD_OVERRIDE=FQ","FILING_STATUS=OR","SCALING_FORMAT=MLN","Sort=A","Dates=H","DateFormat=P","Fill=—","Direction=H","UseDPDF=Y")</f>
        <v>6614</v>
      </c>
      <c r="U12" s="13" t="str">
        <f>_xll.BDH("XOM US Equity","NOTES_RECEIVABLE","FQ1 2013","FQ1 2013","Currency=USD","Period=FQ","BEST_FPERIOD_OVERRIDE=FQ","FILING_STATUS=OR","SCALING_FORMAT=MLN","Sort=A","Dates=H","DateFormat=P","Fill=—","Direction=H","UseDPDF=Y")</f>
        <v>—</v>
      </c>
      <c r="V12" s="13" t="str">
        <f>_xll.BDH("XOM US Equity","NOTES_RECEIVABLE","FQ2 2013","FQ2 2013","Currency=USD","Period=FQ","BEST_FPERIOD_OVERRIDE=FQ","FILING_STATUS=OR","SCALING_FORMAT=MLN","Sort=A","Dates=H","DateFormat=P","Fill=—","Direction=H","UseDPDF=Y")</f>
        <v>—</v>
      </c>
      <c r="W12" s="13" t="str">
        <f>_xll.BDH("XOM US Equity","NOTES_RECEIVABLE","FQ3 2013","FQ3 2013","Currency=USD","Period=FQ","BEST_FPERIOD_OVERRIDE=FQ","FILING_STATUS=OR","SCALING_FORMAT=MLN","Sort=A","Dates=H","DateFormat=P","Fill=—","Direction=H","UseDPDF=Y")</f>
        <v>—</v>
      </c>
      <c r="X12" s="13">
        <f>_xll.BDH("XOM US Equity","NOTES_RECEIVABLE","FQ4 2013","FQ4 2013","Currency=USD","Period=FQ","BEST_FPERIOD_OVERRIDE=FQ","FILING_STATUS=OR","SCALING_FORMAT=MLN","Sort=A","Dates=H","DateFormat=P","Fill=—","Direction=H","UseDPDF=Y")</f>
        <v>7159</v>
      </c>
      <c r="Y12" s="13" t="str">
        <f>_xll.BDH("XOM US Equity","NOTES_RECEIVABLE","FQ1 2014","FQ1 2014","Currency=USD","Period=FQ","BEST_FPERIOD_OVERRIDE=FQ","FILING_STATUS=OR","SCALING_FORMAT=MLN","Sort=A","Dates=H","DateFormat=P","Fill=—","Direction=H","UseDPDF=Y")</f>
        <v>—</v>
      </c>
      <c r="Z12" s="13" t="str">
        <f>_xll.BDH("XOM US Equity","NOTES_RECEIVABLE","FQ2 2014","FQ2 2014","Currency=USD","Period=FQ","BEST_FPERIOD_OVERRIDE=FQ","FILING_STATUS=OR","SCALING_FORMAT=MLN","Sort=A","Dates=H","DateFormat=P","Fill=—","Direction=H","UseDPDF=Y")</f>
        <v>—</v>
      </c>
      <c r="AA12" s="13" t="str">
        <f>_xll.BDH("XOM US Equity","NOTES_RECEIVABLE","FQ3 2014","FQ3 2014","Currency=USD","Period=FQ","BEST_FPERIOD_OVERRIDE=FQ","FILING_STATUS=OR","SCALING_FORMAT=MLN","Sort=A","Dates=H","DateFormat=P","Fill=—","Direction=H","UseDPDF=Y")</f>
        <v>—</v>
      </c>
      <c r="AB12" s="13">
        <f>_xll.BDH("XOM US Equity","NOTES_RECEIVABLE","FQ4 2014","FQ4 2014","Currency=USD","Period=FQ","BEST_FPERIOD_OVERRIDE=FQ","FILING_STATUS=OR","SCALING_FORMAT=MLN","Sort=A","Dates=H","DateFormat=P","Fill=—","Direction=H","UseDPDF=Y")</f>
        <v>9468</v>
      </c>
      <c r="AC12" s="13" t="str">
        <f>_xll.BDH("XOM US Equity","NOTES_RECEIVABLE","FQ1 2015","FQ1 2015","Currency=USD","Period=FQ","BEST_FPERIOD_OVERRIDE=FQ","FILING_STATUS=OR","SCALING_FORMAT=MLN","Sort=A","Dates=H","DateFormat=P","Fill=—","Direction=H","UseDPDF=Y")</f>
        <v>—</v>
      </c>
      <c r="AD12" s="13" t="str">
        <f>_xll.BDH("XOM US Equity","NOTES_RECEIVABLE","FQ2 2015","FQ2 2015","Currency=USD","Period=FQ","BEST_FPERIOD_OVERRIDE=FQ","FILING_STATUS=OR","SCALING_FORMAT=MLN","Sort=A","Dates=H","DateFormat=P","Fill=—","Direction=H","UseDPDF=Y")</f>
        <v>—</v>
      </c>
      <c r="AE12" s="13" t="str">
        <f>_xll.BDH("XOM US Equity","NOTES_RECEIVABLE","FQ3 2015","FQ3 2015","Currency=USD","Period=FQ","BEST_FPERIOD_OVERRIDE=FQ","FILING_STATUS=OR","SCALING_FORMAT=MLN","Sort=A","Dates=H","DateFormat=P","Fill=—","Direction=H","UseDPDF=Y")</f>
        <v>—</v>
      </c>
      <c r="AF12" s="13">
        <f>_xll.BDH("XOM US Equity","NOTES_RECEIVABLE","FQ4 2015","FQ4 2015","Currency=USD","Period=FQ","BEST_FPERIOD_OVERRIDE=FQ","FILING_STATUS=OR","SCALING_FORMAT=MLN","Sort=A","Dates=H","DateFormat=P","Fill=—","Direction=H","UseDPDF=Y")</f>
        <v>6632</v>
      </c>
      <c r="AG12" s="13" t="str">
        <f>_xll.BDH("XOM US Equity","NOTES_RECEIVABLE","FQ1 2016","FQ1 2016","Currency=USD","Period=FQ","BEST_FPERIOD_OVERRIDE=FQ","FILING_STATUS=OR","SCALING_FORMAT=MLN","Sort=A","Dates=H","DateFormat=P","Fill=—","Direction=H","UseDPDF=Y")</f>
        <v>—</v>
      </c>
      <c r="AH12" s="13" t="str">
        <f>_xll.BDH("XOM US Equity","NOTES_RECEIVABLE","FQ2 2016","FQ2 2016","Currency=USD","Period=FQ","BEST_FPERIOD_OVERRIDE=FQ","FILING_STATUS=OR","SCALING_FORMAT=MLN","Sort=A","Dates=H","DateFormat=P","Fill=—","Direction=H","UseDPDF=Y")</f>
        <v>—</v>
      </c>
      <c r="AI12" s="13" t="str">
        <f>_xll.BDH("XOM US Equity","NOTES_RECEIVABLE","FQ3 2016","FQ3 2016","Currency=USD","Period=FQ","BEST_FPERIOD_OVERRIDE=FQ","FILING_STATUS=OR","SCALING_FORMAT=MLN","Sort=A","Dates=H","DateFormat=P","Fill=—","Direction=H","UseDPDF=Y")</f>
        <v>—</v>
      </c>
      <c r="AJ12" s="13">
        <f>_xll.BDH("XOM US Equity","NOTES_RECEIVABLE","FQ4 2016","FQ4 2016","Currency=USD","Period=FQ","BEST_FPERIOD_OVERRIDE=FQ","FILING_STATUS=OR","SCALING_FORMAT=MLN","Sort=A","Dates=H","DateFormat=P","Fill=—","Direction=H","UseDPDF=Y")</f>
        <v>5361</v>
      </c>
      <c r="AK12" s="13" t="str">
        <f>_xll.BDH("XOM US Equity","NOTES_RECEIVABLE","FQ1 2017","FQ1 2017","Currency=USD","Period=FQ","BEST_FPERIOD_OVERRIDE=FQ","FILING_STATUS=OR","SCALING_FORMAT=MLN","Sort=A","Dates=H","DateFormat=P","Fill=—","Direction=H","UseDPDF=Y")</f>
        <v>—</v>
      </c>
      <c r="AL12" s="13" t="str">
        <f>_xll.BDH("XOM US Equity","NOTES_RECEIVABLE","FQ2 2017","FQ2 2017","Currency=USD","Period=FQ","BEST_FPERIOD_OVERRIDE=FQ","FILING_STATUS=OR","SCALING_FORMAT=MLN","Sort=A","Dates=H","DateFormat=P","Fill=—","Direction=H","UseDPDF=Y")</f>
        <v>—</v>
      </c>
      <c r="AM12" s="13" t="str">
        <f>_xll.BDH("XOM US Equity","NOTES_RECEIVABLE","FQ3 2017","FQ3 2017","Currency=USD","Period=FQ","BEST_FPERIOD_OVERRIDE=FQ","FILING_STATUS=OR","SCALING_FORMAT=MLN","Sort=A","Dates=H","DateFormat=P","Fill=—","Direction=H","UseDPDF=Y")</f>
        <v>—</v>
      </c>
      <c r="AN12" s="13">
        <f>_xll.BDH("XOM US Equity","NOTES_RECEIVABLE","FQ4 2017","FQ4 2017","Currency=USD","Period=FQ","BEST_FPERIOD_OVERRIDE=FQ","FILING_STATUS=OR","SCALING_FORMAT=MLN","Sort=A","Dates=H","DateFormat=P","Fill=—","Direction=H","UseDPDF=Y")</f>
        <v>4323</v>
      </c>
      <c r="AO12" s="13" t="str">
        <f>_xll.BDH("XOM US Equity","NOTES_RECEIVABLE","FQ1 2018","FQ1 2018","Currency=USD","Period=FQ","BEST_FPERIOD_OVERRIDE=FQ","FILING_STATUS=OR","SCALING_FORMAT=MLN","Sort=A","Dates=H","DateFormat=P","Fill=—","Direction=H","UseDPDF=Y")</f>
        <v>—</v>
      </c>
      <c r="AP12" s="13" t="str">
        <f>_xll.BDH("XOM US Equity","NOTES_RECEIVABLE","FQ2 2018","FQ2 2018","Currency=USD","Period=FQ","BEST_FPERIOD_OVERRIDE=FQ","FILING_STATUS=OR","SCALING_FORMAT=MLN","Sort=A","Dates=H","DateFormat=P","Fill=—","Direction=H","UseDPDF=Y")</f>
        <v>—</v>
      </c>
    </row>
    <row r="13" spans="1:42" x14ac:dyDescent="0.25">
      <c r="A13" s="10" t="s">
        <v>218</v>
      </c>
      <c r="B13" s="10" t="s">
        <v>219</v>
      </c>
      <c r="C13" s="13">
        <f>_xll.BDH("XOM US Equity","BS_INVENTORIES","FQ3 2008","FQ3 2008","Currency=USD","Period=FQ","BEST_FPERIOD_OVERRIDE=FQ","FILING_STATUS=OR","SCALING_FORMAT=MLN","Sort=A","Dates=H","DateFormat=P","Fill=—","Direction=H","UseDPDF=Y")</f>
        <v>15940</v>
      </c>
      <c r="D13" s="13">
        <f>_xll.BDH("XOM US Equity","BS_INVENTORIES","FQ4 2008","FQ4 2008","Currency=USD","Period=FQ","BEST_FPERIOD_OVERRIDE=FQ","FILING_STATUS=OR","SCALING_FORMAT=MLN","Sort=A","Dates=H","DateFormat=P","Fill=—","Direction=H","UseDPDF=Y")</f>
        <v>11646</v>
      </c>
      <c r="E13" s="13">
        <f>_xll.BDH("XOM US Equity","BS_INVENTORIES","FQ1 2009","FQ1 2009","Currency=USD","Period=FQ","BEST_FPERIOD_OVERRIDE=FQ","FILING_STATUS=OR","SCALING_FORMAT=MLN","Sort=A","Dates=H","DateFormat=P","Fill=—","Direction=H","UseDPDF=Y")</f>
        <v>12717</v>
      </c>
      <c r="F13" s="13">
        <f>_xll.BDH("XOM US Equity","BS_INVENTORIES","FQ2 2009","FQ2 2009","Currency=USD","Period=FQ","BEST_FPERIOD_OVERRIDE=FQ","FILING_STATUS=OR","SCALING_FORMAT=MLN","Sort=A","Dates=H","DateFormat=P","Fill=—","Direction=H","UseDPDF=Y")</f>
        <v>12441</v>
      </c>
      <c r="G13" s="13">
        <f>_xll.BDH("XOM US Equity","BS_INVENTORIES","FQ3 2009","FQ3 2009","Currency=USD","Period=FQ","BEST_FPERIOD_OVERRIDE=FQ","FILING_STATUS=OR","SCALING_FORMAT=MLN","Sort=A","Dates=H","DateFormat=P","Fill=—","Direction=H","UseDPDF=Y")</f>
        <v>12585</v>
      </c>
      <c r="H13" s="13">
        <f>_xll.BDH("XOM US Equity","BS_INVENTORIES","FQ4 2009","FQ4 2009","Currency=USD","Period=FQ","BEST_FPERIOD_OVERRIDE=FQ","FILING_STATUS=OR","SCALING_FORMAT=MLN","Sort=A","Dates=H","DateFormat=P","Fill=—","Direction=H","UseDPDF=Y")</f>
        <v>11553</v>
      </c>
      <c r="I13" s="13">
        <f>_xll.BDH("XOM US Equity","BS_INVENTORIES","FQ1 2010","FQ1 2010","Currency=USD","Period=FQ","BEST_FPERIOD_OVERRIDE=FQ","FILING_STATUS=OR","SCALING_FORMAT=MLN","Sort=A","Dates=H","DateFormat=P","Fill=—","Direction=H","UseDPDF=Y")</f>
        <v>13488</v>
      </c>
      <c r="J13" s="13">
        <f>_xll.BDH("XOM US Equity","BS_INVENTORIES","FQ2 2010","FQ2 2010","Currency=USD","Period=FQ","BEST_FPERIOD_OVERRIDE=FQ","FILING_STATUS=OR","SCALING_FORMAT=MLN","Sort=A","Dates=H","DateFormat=P","Fill=—","Direction=H","UseDPDF=Y")</f>
        <v>13439</v>
      </c>
      <c r="K13" s="13">
        <f>_xll.BDH("XOM US Equity","BS_INVENTORIES","FQ3 2010","FQ3 2010","Currency=USD","Period=FQ","BEST_FPERIOD_OVERRIDE=FQ","FILING_STATUS=OR","SCALING_FORMAT=MLN","Sort=A","Dates=H","DateFormat=P","Fill=—","Direction=H","UseDPDF=Y")</f>
        <v>14302</v>
      </c>
      <c r="L13" s="13">
        <f>_xll.BDH("XOM US Equity","BS_INVENTORIES","FQ4 2010","FQ4 2010","Currency=USD","Period=FQ","BEST_FPERIOD_OVERRIDE=FQ","FILING_STATUS=OR","SCALING_FORMAT=MLN","Sort=A","Dates=H","DateFormat=P","Fill=—","Direction=H","UseDPDF=Y")</f>
        <v>12976</v>
      </c>
      <c r="M13" s="13">
        <f>_xll.BDH("XOM US Equity","BS_INVENTORIES","FQ1 2011","FQ1 2011","Currency=USD","Period=FQ","BEST_FPERIOD_OVERRIDE=FQ","FILING_STATUS=OR","SCALING_FORMAT=MLN","Sort=A","Dates=H","DateFormat=P","Fill=—","Direction=H","UseDPDF=Y")</f>
        <v>16262</v>
      </c>
      <c r="N13" s="13">
        <f>_xll.BDH("XOM US Equity","BS_INVENTORIES","FQ2 2011","FQ2 2011","Currency=USD","Period=FQ","BEST_FPERIOD_OVERRIDE=FQ","FILING_STATUS=OR","SCALING_FORMAT=MLN","Sort=A","Dates=H","DateFormat=P","Fill=—","Direction=H","UseDPDF=Y")</f>
        <v>19048</v>
      </c>
      <c r="O13" s="13">
        <f>_xll.BDH("XOM US Equity","BS_INVENTORIES","FQ3 2011","FQ3 2011","Currency=USD","Period=FQ","BEST_FPERIOD_OVERRIDE=FQ","FILING_STATUS=OR","SCALING_FORMAT=MLN","Sort=A","Dates=H","DateFormat=P","Fill=—","Direction=H","UseDPDF=Y")</f>
        <v>16730</v>
      </c>
      <c r="P13" s="13">
        <f>_xll.BDH("XOM US Equity","BS_INVENTORIES","FQ4 2011","FQ4 2011","Currency=USD","Period=FQ","BEST_FPERIOD_OVERRIDE=FQ","FILING_STATUS=OR","SCALING_FORMAT=MLN","Sort=A","Dates=H","DateFormat=P","Fill=—","Direction=H","UseDPDF=Y")</f>
        <v>15024</v>
      </c>
      <c r="Q13" s="13">
        <f>_xll.BDH("XOM US Equity","BS_INVENTORIES","FQ1 2012","FQ1 2012","Currency=USD","Period=FQ","BEST_FPERIOD_OVERRIDE=FQ","FILING_STATUS=OR","SCALING_FORMAT=MLN","Sort=A","Dates=H","DateFormat=P","Fill=—","Direction=H","UseDPDF=Y")</f>
        <v>14749</v>
      </c>
      <c r="R13" s="13">
        <f>_xll.BDH("XOM US Equity","BS_INVENTORIES","FQ2 2012","FQ2 2012","Currency=USD","Period=FQ","BEST_FPERIOD_OVERRIDE=FQ","FILING_STATUS=OR","SCALING_FORMAT=MLN","Sort=A","Dates=H","DateFormat=P","Fill=—","Direction=H","UseDPDF=Y")</f>
        <v>15158</v>
      </c>
      <c r="S13" s="13">
        <f>_xll.BDH("XOM US Equity","BS_INVENTORIES","FQ3 2012","FQ3 2012","Currency=USD","Period=FQ","BEST_FPERIOD_OVERRIDE=FQ","FILING_STATUS=OR","SCALING_FORMAT=MLN","Sort=A","Dates=H","DateFormat=P","Fill=—","Direction=H","UseDPDF=Y")</f>
        <v>16575</v>
      </c>
      <c r="T13" s="13">
        <f>_xll.BDH("XOM US Equity","BS_INVENTORIES","FQ4 2012","FQ4 2012","Currency=USD","Period=FQ","BEST_FPERIOD_OVERRIDE=FQ","FILING_STATUS=OR","SCALING_FORMAT=MLN","Sort=A","Dates=H","DateFormat=P","Fill=—","Direction=H","UseDPDF=Y")</f>
        <v>14542</v>
      </c>
      <c r="U13" s="13">
        <f>_xll.BDH("XOM US Equity","BS_INVENTORIES","FQ1 2013","FQ1 2013","Currency=USD","Period=FQ","BEST_FPERIOD_OVERRIDE=FQ","FILING_STATUS=OR","SCALING_FORMAT=MLN","Sort=A","Dates=H","DateFormat=P","Fill=—","Direction=H","UseDPDF=Y")</f>
        <v>16231</v>
      </c>
      <c r="V13" s="13">
        <f>_xll.BDH("XOM US Equity","BS_INVENTORIES","FQ2 2013","FQ2 2013","Currency=USD","Period=FQ","BEST_FPERIOD_OVERRIDE=FQ","FILING_STATUS=OR","SCALING_FORMAT=MLN","Sort=A","Dates=H","DateFormat=P","Fill=—","Direction=H","UseDPDF=Y")</f>
        <v>17197</v>
      </c>
      <c r="W13" s="13">
        <f>_xll.BDH("XOM US Equity","BS_INVENTORIES","FQ3 2013","FQ3 2013","Currency=USD","Period=FQ","BEST_FPERIOD_OVERRIDE=FQ","FILING_STATUS=OR","SCALING_FORMAT=MLN","Sort=A","Dates=H","DateFormat=P","Fill=—","Direction=H","UseDPDF=Y")</f>
        <v>16867</v>
      </c>
      <c r="X13" s="13">
        <f>_xll.BDH("XOM US Equity","BS_INVENTORIES","FQ4 2013","FQ4 2013","Currency=USD","Period=FQ","BEST_FPERIOD_OVERRIDE=FQ","FILING_STATUS=OR","SCALING_FORMAT=MLN","Sort=A","Dates=H","DateFormat=P","Fill=—","Direction=H","UseDPDF=Y")</f>
        <v>16135</v>
      </c>
      <c r="Y13" s="13">
        <f>_xll.BDH("XOM US Equity","BS_INVENTORIES","FQ1 2014","FQ1 2014","Currency=USD","Period=FQ","BEST_FPERIOD_OVERRIDE=FQ","FILING_STATUS=OR","SCALING_FORMAT=MLN","Sort=A","Dates=H","DateFormat=P","Fill=—","Direction=H","UseDPDF=Y")</f>
        <v>18568</v>
      </c>
      <c r="Z13" s="13">
        <f>_xll.BDH("XOM US Equity","BS_INVENTORIES","FQ2 2014","FQ2 2014","Currency=USD","Period=FQ","BEST_FPERIOD_OVERRIDE=FQ","FILING_STATUS=OR","SCALING_FORMAT=MLN","Sort=A","Dates=H","DateFormat=P","Fill=—","Direction=H","UseDPDF=Y")</f>
        <v>18177</v>
      </c>
      <c r="AA13" s="13">
        <f>_xll.BDH("XOM US Equity","BS_INVENTORIES","FQ3 2014","FQ3 2014","Currency=USD","Period=FQ","BEST_FPERIOD_OVERRIDE=FQ","FILING_STATUS=OR","SCALING_FORMAT=MLN","Sort=A","Dates=H","DateFormat=P","Fill=—","Direction=H","UseDPDF=Y")</f>
        <v>17761</v>
      </c>
      <c r="AB13" s="13">
        <f>_xll.BDH("XOM US Equity","BS_INVENTORIES","FQ4 2014","FQ4 2014","Currency=USD","Period=FQ","BEST_FPERIOD_OVERRIDE=FQ","FILING_STATUS=OR","SCALING_FORMAT=MLN","Sort=A","Dates=H","DateFormat=P","Fill=—","Direction=H","UseDPDF=Y")</f>
        <v>16678</v>
      </c>
      <c r="AC13" s="13">
        <f>_xll.BDH("XOM US Equity","BS_INVENTORIES","FQ1 2015","FQ1 2015","Currency=USD","Period=FQ","BEST_FPERIOD_OVERRIDE=FQ","FILING_STATUS=OR","SCALING_FORMAT=MLN","Sort=A","Dates=H","DateFormat=P","Fill=—","Direction=H","UseDPDF=Y")</f>
        <v>16102</v>
      </c>
      <c r="AD13" s="13">
        <f>_xll.BDH("XOM US Equity","BS_INVENTORIES","FQ2 2015","FQ2 2015","Currency=USD","Period=FQ","BEST_FPERIOD_OVERRIDE=FQ","FILING_STATUS=OR","SCALING_FORMAT=MLN","Sort=A","Dates=H","DateFormat=P","Fill=—","Direction=H","UseDPDF=Y")</f>
        <v>16663</v>
      </c>
      <c r="AE13" s="13">
        <f>_xll.BDH("XOM US Equity","BS_INVENTORIES","FQ3 2015","FQ3 2015","Currency=USD","Period=FQ","BEST_FPERIOD_OVERRIDE=FQ","FILING_STATUS=OR","SCALING_FORMAT=MLN","Sort=A","Dates=H","DateFormat=P","Fill=—","Direction=H","UseDPDF=Y")</f>
        <v>16584</v>
      </c>
      <c r="AF13" s="13">
        <f>_xll.BDH("XOM US Equity","BS_INVENTORIES","FQ4 2015","FQ4 2015","Currency=USD","Period=FQ","BEST_FPERIOD_OVERRIDE=FQ","FILING_STATUS=OR","SCALING_FORMAT=MLN","Sort=A","Dates=H","DateFormat=P","Fill=—","Direction=H","UseDPDF=Y")</f>
        <v>16245</v>
      </c>
      <c r="AG13" s="13">
        <f>_xll.BDH("XOM US Equity","BS_INVENTORIES","FQ1 2016","FQ1 2016","Currency=USD","Period=FQ","BEST_FPERIOD_OVERRIDE=FQ","FILING_STATUS=OR","SCALING_FORMAT=MLN","Sort=A","Dates=H","DateFormat=P","Fill=—","Direction=H","UseDPDF=Y")</f>
        <v>16223</v>
      </c>
      <c r="AH13" s="13">
        <f>_xll.BDH("XOM US Equity","BS_INVENTORIES","FQ2 2016","FQ2 2016","Currency=USD","Period=FQ","BEST_FPERIOD_OVERRIDE=FQ","FILING_STATUS=OR","SCALING_FORMAT=MLN","Sort=A","Dates=H","DateFormat=P","Fill=—","Direction=H","UseDPDF=Y")</f>
        <v>15875</v>
      </c>
      <c r="AI13" s="13">
        <f>_xll.BDH("XOM US Equity","BS_INVENTORIES","FQ3 2016","FQ3 2016","Currency=USD","Period=FQ","BEST_FPERIOD_OVERRIDE=FQ","FILING_STATUS=OR","SCALING_FORMAT=MLN","Sort=A","Dates=H","DateFormat=P","Fill=—","Direction=H","UseDPDF=Y")</f>
        <v>15342</v>
      </c>
      <c r="AJ13" s="13">
        <f>_xll.BDH("XOM US Equity","BS_INVENTORIES","FQ4 2016","FQ4 2016","Currency=USD","Period=FQ","BEST_FPERIOD_OVERRIDE=FQ","FILING_STATUS=OR","SCALING_FORMAT=MLN","Sort=A","Dates=H","DateFormat=P","Fill=—","Direction=H","UseDPDF=Y")</f>
        <v>15080</v>
      </c>
      <c r="AK13" s="13">
        <f>_xll.BDH("XOM US Equity","BS_INVENTORIES","FQ1 2017","FQ1 2017","Currency=USD","Period=FQ","BEST_FPERIOD_OVERRIDE=FQ","FILING_STATUS=OR","SCALING_FORMAT=MLN","Sort=A","Dates=H","DateFormat=P","Fill=—","Direction=H","UseDPDF=Y")</f>
        <v>14873</v>
      </c>
      <c r="AL13" s="13">
        <f>_xll.BDH("XOM US Equity","BS_INVENTORIES","FQ2 2017","FQ2 2017","Currency=USD","Period=FQ","BEST_FPERIOD_OVERRIDE=FQ","FILING_STATUS=OR","SCALING_FORMAT=MLN","Sort=A","Dates=H","DateFormat=P","Fill=—","Direction=H","UseDPDF=Y")</f>
        <v>15305</v>
      </c>
      <c r="AM13" s="13">
        <f>_xll.BDH("XOM US Equity","BS_INVENTORIES","FQ3 2017","FQ3 2017","Currency=USD","Period=FQ","BEST_FPERIOD_OVERRIDE=FQ","FILING_STATUS=OR","SCALING_FORMAT=MLN","Sort=A","Dates=H","DateFormat=P","Fill=—","Direction=H","UseDPDF=Y")</f>
        <v>16743</v>
      </c>
      <c r="AN13" s="13">
        <f>_xll.BDH("XOM US Equity","BS_INVENTORIES","FQ4 2017","FQ4 2017","Currency=USD","Period=FQ","BEST_FPERIOD_OVERRIDE=FQ","FILING_STATUS=OR","SCALING_FORMAT=MLN","Sort=A","Dates=H","DateFormat=P","Fill=—","Direction=H","UseDPDF=Y")</f>
        <v>16992</v>
      </c>
      <c r="AO13" s="13">
        <f>_xll.BDH("XOM US Equity","BS_INVENTORIES","FQ1 2018","FQ1 2018","Currency=USD","Period=FQ","BEST_FPERIOD_OVERRIDE=FQ","FILING_STATUS=OR","SCALING_FORMAT=MLN","Sort=A","Dates=H","DateFormat=P","Fill=—","Direction=H","UseDPDF=Y")</f>
        <v>18048</v>
      </c>
      <c r="AP13" s="13">
        <f>_xll.BDH("XOM US Equity","BS_INVENTORIES","FQ2 2018","FQ2 2018","Currency=USD","Period=FQ","BEST_FPERIOD_OVERRIDE=FQ","FILING_STATUS=OR","SCALING_FORMAT=MLN","Sort=A","Dates=H","DateFormat=P","Fill=—","Direction=H","UseDPDF=Y")</f>
        <v>18483</v>
      </c>
    </row>
    <row r="14" spans="1:42" x14ac:dyDescent="0.25">
      <c r="A14" s="10" t="s">
        <v>220</v>
      </c>
      <c r="B14" s="10" t="s">
        <v>221</v>
      </c>
      <c r="C14" s="13">
        <f>_xll.BDH("XOM US Equity","INVTRY_RAW_MATERIALS","FQ3 2008","FQ3 2008","Currency=USD","Period=FQ","BEST_FPERIOD_OVERRIDE=FQ","FILING_STATUS=OR","SCALING_FORMAT=MLN","Sort=A","Dates=H","DateFormat=P","Fill=—","Direction=H","UseDPDF=Y")</f>
        <v>2430</v>
      </c>
      <c r="D14" s="13">
        <f>_xll.BDH("XOM US Equity","INVTRY_RAW_MATERIALS","FQ4 2008","FQ4 2008","Currency=USD","Period=FQ","BEST_FPERIOD_OVERRIDE=FQ","FILING_STATUS=OR","SCALING_FORMAT=MLN","Sort=A","Dates=H","DateFormat=P","Fill=—","Direction=H","UseDPDF=Y")</f>
        <v>2315</v>
      </c>
      <c r="E14" s="13">
        <f>_xll.BDH("XOM US Equity","INVTRY_RAW_MATERIALS","FQ1 2009","FQ1 2009","Currency=USD","Period=FQ","BEST_FPERIOD_OVERRIDE=FQ","FILING_STATUS=OR","SCALING_FORMAT=MLN","Sort=A","Dates=H","DateFormat=P","Fill=—","Direction=H","UseDPDF=Y")</f>
        <v>0</v>
      </c>
      <c r="F14" s="13">
        <f>_xll.BDH("XOM US Equity","INVTRY_RAW_MATERIALS","FQ2 2009","FQ2 2009","Currency=USD","Period=FQ","BEST_FPERIOD_OVERRIDE=FQ","FILING_STATUS=OR","SCALING_FORMAT=MLN","Sort=A","Dates=H","DateFormat=P","Fill=—","Direction=H","UseDPDF=Y")</f>
        <v>0</v>
      </c>
      <c r="G14" s="13">
        <f>_xll.BDH("XOM US Equity","INVTRY_RAW_MATERIALS","FQ3 2009","FQ3 2009","Currency=USD","Period=FQ","BEST_FPERIOD_OVERRIDE=FQ","FILING_STATUS=OR","SCALING_FORMAT=MLN","Sort=A","Dates=H","DateFormat=P","Fill=—","Direction=H","UseDPDF=Y")</f>
        <v>0</v>
      </c>
      <c r="H14" s="13">
        <f>_xll.BDH("XOM US Equity","INVTRY_RAW_MATERIALS","FQ4 2009","FQ4 2009","Currency=USD","Period=FQ","BEST_FPERIOD_OVERRIDE=FQ","FILING_STATUS=OR","SCALING_FORMAT=MLN","Sort=A","Dates=H","DateFormat=P","Fill=—","Direction=H","UseDPDF=Y")</f>
        <v>0</v>
      </c>
      <c r="I14" s="13">
        <f>_xll.BDH("XOM US Equity","INVTRY_RAW_MATERIALS","FQ1 2010","FQ1 2010","Currency=USD","Period=FQ","BEST_FPERIOD_OVERRIDE=FQ","FILING_STATUS=OR","SCALING_FORMAT=MLN","Sort=A","Dates=H","DateFormat=P","Fill=—","Direction=H","UseDPDF=Y")</f>
        <v>0</v>
      </c>
      <c r="J14" s="13">
        <f>_xll.BDH("XOM US Equity","INVTRY_RAW_MATERIALS","FQ2 2010","FQ2 2010","Currency=USD","Period=FQ","BEST_FPERIOD_OVERRIDE=FQ","FILING_STATUS=OR","SCALING_FORMAT=MLN","Sort=A","Dates=H","DateFormat=P","Fill=—","Direction=H","UseDPDF=Y")</f>
        <v>0</v>
      </c>
      <c r="K14" s="13">
        <f>_xll.BDH("XOM US Equity","INVTRY_RAW_MATERIALS","FQ3 2010","FQ3 2010","Currency=USD","Period=FQ","BEST_FPERIOD_OVERRIDE=FQ","FILING_STATUS=OR","SCALING_FORMAT=MLN","Sort=A","Dates=H","DateFormat=P","Fill=—","Direction=H","UseDPDF=Y")</f>
        <v>0</v>
      </c>
      <c r="L14" s="13">
        <f>_xll.BDH("XOM US Equity","INVTRY_RAW_MATERIALS","FQ4 2010","FQ4 2010","Currency=USD","Period=FQ","BEST_FPERIOD_OVERRIDE=FQ","FILING_STATUS=OR","SCALING_FORMAT=MLN","Sort=A","Dates=H","DateFormat=P","Fill=—","Direction=H","UseDPDF=Y")</f>
        <v>0</v>
      </c>
      <c r="M14" s="13">
        <f>_xll.BDH("XOM US Equity","INVTRY_RAW_MATERIALS","FQ1 2011","FQ1 2011","Currency=USD","Period=FQ","BEST_FPERIOD_OVERRIDE=FQ","FILING_STATUS=OR","SCALING_FORMAT=MLN","Sort=A","Dates=H","DateFormat=P","Fill=—","Direction=H","UseDPDF=Y")</f>
        <v>0</v>
      </c>
      <c r="N14" s="13">
        <f>_xll.BDH("XOM US Equity","INVTRY_RAW_MATERIALS","FQ2 2011","FQ2 2011","Currency=USD","Period=FQ","BEST_FPERIOD_OVERRIDE=FQ","FILING_STATUS=OR","SCALING_FORMAT=MLN","Sort=A","Dates=H","DateFormat=P","Fill=—","Direction=H","UseDPDF=Y")</f>
        <v>0</v>
      </c>
      <c r="O14" s="13">
        <f>_xll.BDH("XOM US Equity","INVTRY_RAW_MATERIALS","FQ3 2011","FQ3 2011","Currency=USD","Period=FQ","BEST_FPERIOD_OVERRIDE=FQ","FILING_STATUS=OR","SCALING_FORMAT=MLN","Sort=A","Dates=H","DateFormat=P","Fill=—","Direction=H","UseDPDF=Y")</f>
        <v>0</v>
      </c>
      <c r="P14" s="13">
        <f>_xll.BDH("XOM US Equity","INVTRY_RAW_MATERIALS","FQ4 2011","FQ4 2011","Currency=USD","Period=FQ","BEST_FPERIOD_OVERRIDE=FQ","FILING_STATUS=OR","SCALING_FORMAT=MLN","Sort=A","Dates=H","DateFormat=P","Fill=—","Direction=H","UseDPDF=Y")</f>
        <v>0</v>
      </c>
      <c r="Q14" s="13">
        <f>_xll.BDH("XOM US Equity","INVTRY_RAW_MATERIALS","FQ1 2012","FQ1 2012","Currency=USD","Period=FQ","BEST_FPERIOD_OVERRIDE=FQ","FILING_STATUS=OR","SCALING_FORMAT=MLN","Sort=A","Dates=H","DateFormat=P","Fill=—","Direction=H","UseDPDF=Y")</f>
        <v>0</v>
      </c>
      <c r="R14" s="13">
        <f>_xll.BDH("XOM US Equity","INVTRY_RAW_MATERIALS","FQ2 2012","FQ2 2012","Currency=USD","Period=FQ","BEST_FPERIOD_OVERRIDE=FQ","FILING_STATUS=OR","SCALING_FORMAT=MLN","Sort=A","Dates=H","DateFormat=P","Fill=—","Direction=H","UseDPDF=Y")</f>
        <v>0</v>
      </c>
      <c r="S14" s="13">
        <f>_xll.BDH("XOM US Equity","INVTRY_RAW_MATERIALS","FQ3 2012","FQ3 2012","Currency=USD","Period=FQ","BEST_FPERIOD_OVERRIDE=FQ","FILING_STATUS=OR","SCALING_FORMAT=MLN","Sort=A","Dates=H","DateFormat=P","Fill=—","Direction=H","UseDPDF=Y")</f>
        <v>0</v>
      </c>
      <c r="T14" s="13">
        <f>_xll.BDH("XOM US Equity","INVTRY_RAW_MATERIALS","FQ4 2012","FQ4 2012","Currency=USD","Period=FQ","BEST_FPERIOD_OVERRIDE=FQ","FILING_STATUS=OR","SCALING_FORMAT=MLN","Sort=A","Dates=H","DateFormat=P","Fill=—","Direction=H","UseDPDF=Y")</f>
        <v>0</v>
      </c>
      <c r="U14" s="13">
        <f>_xll.BDH("XOM US Equity","INVTRY_RAW_MATERIALS","FQ1 2013","FQ1 2013","Currency=USD","Period=FQ","BEST_FPERIOD_OVERRIDE=FQ","FILING_STATUS=OR","SCALING_FORMAT=MLN","Sort=A","Dates=H","DateFormat=P","Fill=—","Direction=H","UseDPDF=Y")</f>
        <v>0</v>
      </c>
      <c r="V14" s="13">
        <f>_xll.BDH("XOM US Equity","INVTRY_RAW_MATERIALS","FQ2 2013","FQ2 2013","Currency=USD","Period=FQ","BEST_FPERIOD_OVERRIDE=FQ","FILING_STATUS=OR","SCALING_FORMAT=MLN","Sort=A","Dates=H","DateFormat=P","Fill=—","Direction=H","UseDPDF=Y")</f>
        <v>0</v>
      </c>
      <c r="W14" s="13">
        <f>_xll.BDH("XOM US Equity","INVTRY_RAW_MATERIALS","FQ3 2013","FQ3 2013","Currency=USD","Period=FQ","BEST_FPERIOD_OVERRIDE=FQ","FILING_STATUS=OR","SCALING_FORMAT=MLN","Sort=A","Dates=H","DateFormat=P","Fill=—","Direction=H","UseDPDF=Y")</f>
        <v>0</v>
      </c>
      <c r="X14" s="13">
        <f>_xll.BDH("XOM US Equity","INVTRY_RAW_MATERIALS","FQ4 2013","FQ4 2013","Currency=USD","Period=FQ","BEST_FPERIOD_OVERRIDE=FQ","FILING_STATUS=OR","SCALING_FORMAT=MLN","Sort=A","Dates=H","DateFormat=P","Fill=—","Direction=H","UseDPDF=Y")</f>
        <v>0</v>
      </c>
      <c r="Y14" s="13">
        <f>_xll.BDH("XOM US Equity","INVTRY_RAW_MATERIALS","FQ1 2014","FQ1 2014","Currency=USD","Period=FQ","BEST_FPERIOD_OVERRIDE=FQ","FILING_STATUS=OR","SCALING_FORMAT=MLN","Sort=A","Dates=H","DateFormat=P","Fill=—","Direction=H","UseDPDF=Y")</f>
        <v>0</v>
      </c>
      <c r="Z14" s="13">
        <f>_xll.BDH("XOM US Equity","INVTRY_RAW_MATERIALS","FQ2 2014","FQ2 2014","Currency=USD","Period=FQ","BEST_FPERIOD_OVERRIDE=FQ","FILING_STATUS=OR","SCALING_FORMAT=MLN","Sort=A","Dates=H","DateFormat=P","Fill=—","Direction=H","UseDPDF=Y")</f>
        <v>0</v>
      </c>
      <c r="AA14" s="13">
        <f>_xll.BDH("XOM US Equity","INVTRY_RAW_MATERIALS","FQ3 2014","FQ3 2014","Currency=USD","Period=FQ","BEST_FPERIOD_OVERRIDE=FQ","FILING_STATUS=OR","SCALING_FORMAT=MLN","Sort=A","Dates=H","DateFormat=P","Fill=—","Direction=H","UseDPDF=Y")</f>
        <v>0</v>
      </c>
      <c r="AB14" s="13">
        <f>_xll.BDH("XOM US Equity","INVTRY_RAW_MATERIALS","FQ4 2014","FQ4 2014","Currency=USD","Period=FQ","BEST_FPERIOD_OVERRIDE=FQ","FILING_STATUS=OR","SCALING_FORMAT=MLN","Sort=A","Dates=H","DateFormat=P","Fill=—","Direction=H","UseDPDF=Y")</f>
        <v>0</v>
      </c>
      <c r="AC14" s="13">
        <f>_xll.BDH("XOM US Equity","INVTRY_RAW_MATERIALS","FQ1 2015","FQ1 2015","Currency=USD","Period=FQ","BEST_FPERIOD_OVERRIDE=FQ","FILING_STATUS=OR","SCALING_FORMAT=MLN","Sort=A","Dates=H","DateFormat=P","Fill=—","Direction=H","UseDPDF=Y")</f>
        <v>0</v>
      </c>
      <c r="AD14" s="13">
        <f>_xll.BDH("XOM US Equity","INVTRY_RAW_MATERIALS","FQ2 2015","FQ2 2015","Currency=USD","Period=FQ","BEST_FPERIOD_OVERRIDE=FQ","FILING_STATUS=OR","SCALING_FORMAT=MLN","Sort=A","Dates=H","DateFormat=P","Fill=—","Direction=H","UseDPDF=Y")</f>
        <v>0</v>
      </c>
      <c r="AE14" s="13">
        <f>_xll.BDH("XOM US Equity","INVTRY_RAW_MATERIALS","FQ3 2015","FQ3 2015","Currency=USD","Period=FQ","BEST_FPERIOD_OVERRIDE=FQ","FILING_STATUS=OR","SCALING_FORMAT=MLN","Sort=A","Dates=H","DateFormat=P","Fill=—","Direction=H","UseDPDF=Y")</f>
        <v>0</v>
      </c>
      <c r="AF14" s="13">
        <f>_xll.BDH("XOM US Equity","INVTRY_RAW_MATERIALS","FQ4 2015","FQ4 2015","Currency=USD","Period=FQ","BEST_FPERIOD_OVERRIDE=FQ","FILING_STATUS=OR","SCALING_FORMAT=MLN","Sort=A","Dates=H","DateFormat=P","Fill=—","Direction=H","UseDPDF=Y")</f>
        <v>0</v>
      </c>
      <c r="AG14" s="13">
        <f>_xll.BDH("XOM US Equity","INVTRY_RAW_MATERIALS","FQ1 2016","FQ1 2016","Currency=USD","Period=FQ","BEST_FPERIOD_OVERRIDE=FQ","FILING_STATUS=OR","SCALING_FORMAT=MLN","Sort=A","Dates=H","DateFormat=P","Fill=—","Direction=H","UseDPDF=Y")</f>
        <v>0</v>
      </c>
      <c r="AH14" s="13">
        <f>_xll.BDH("XOM US Equity","INVTRY_RAW_MATERIALS","FQ2 2016","FQ2 2016","Currency=USD","Period=FQ","BEST_FPERIOD_OVERRIDE=FQ","FILING_STATUS=OR","SCALING_FORMAT=MLN","Sort=A","Dates=H","DateFormat=P","Fill=—","Direction=H","UseDPDF=Y")</f>
        <v>0</v>
      </c>
      <c r="AI14" s="13">
        <f>_xll.BDH("XOM US Equity","INVTRY_RAW_MATERIALS","FQ3 2016","FQ3 2016","Currency=USD","Period=FQ","BEST_FPERIOD_OVERRIDE=FQ","FILING_STATUS=OR","SCALING_FORMAT=MLN","Sort=A","Dates=H","DateFormat=P","Fill=—","Direction=H","UseDPDF=Y")</f>
        <v>0</v>
      </c>
      <c r="AJ14" s="13">
        <f>_xll.BDH("XOM US Equity","INVTRY_RAW_MATERIALS","FQ4 2016","FQ4 2016","Currency=USD","Period=FQ","BEST_FPERIOD_OVERRIDE=FQ","FILING_STATUS=OR","SCALING_FORMAT=MLN","Sort=A","Dates=H","DateFormat=P","Fill=—","Direction=H","UseDPDF=Y")</f>
        <v>0</v>
      </c>
      <c r="AK14" s="13">
        <f>_xll.BDH("XOM US Equity","INVTRY_RAW_MATERIALS","FQ1 2017","FQ1 2017","Currency=USD","Period=FQ","BEST_FPERIOD_OVERRIDE=FQ","FILING_STATUS=OR","SCALING_FORMAT=MLN","Sort=A","Dates=H","DateFormat=P","Fill=—","Direction=H","UseDPDF=Y")</f>
        <v>0</v>
      </c>
      <c r="AL14" s="13">
        <f>_xll.BDH("XOM US Equity","INVTRY_RAW_MATERIALS","FQ2 2017","FQ2 2017","Currency=USD","Period=FQ","BEST_FPERIOD_OVERRIDE=FQ","FILING_STATUS=OR","SCALING_FORMAT=MLN","Sort=A","Dates=H","DateFormat=P","Fill=—","Direction=H","UseDPDF=Y")</f>
        <v>0</v>
      </c>
      <c r="AM14" s="13">
        <f>_xll.BDH("XOM US Equity","INVTRY_RAW_MATERIALS","FQ3 2017","FQ3 2017","Currency=USD","Period=FQ","BEST_FPERIOD_OVERRIDE=FQ","FILING_STATUS=OR","SCALING_FORMAT=MLN","Sort=A","Dates=H","DateFormat=P","Fill=—","Direction=H","UseDPDF=Y")</f>
        <v>0</v>
      </c>
      <c r="AN14" s="13">
        <f>_xll.BDH("XOM US Equity","INVTRY_RAW_MATERIALS","FQ4 2017","FQ4 2017","Currency=USD","Period=FQ","BEST_FPERIOD_OVERRIDE=FQ","FILING_STATUS=OR","SCALING_FORMAT=MLN","Sort=A","Dates=H","DateFormat=P","Fill=—","Direction=H","UseDPDF=Y")</f>
        <v>0</v>
      </c>
      <c r="AO14" s="13">
        <f>_xll.BDH("XOM US Equity","INVTRY_RAW_MATERIALS","FQ1 2018","FQ1 2018","Currency=USD","Period=FQ","BEST_FPERIOD_OVERRIDE=FQ","FILING_STATUS=OR","SCALING_FORMAT=MLN","Sort=A","Dates=H","DateFormat=P","Fill=—","Direction=H","UseDPDF=Y")</f>
        <v>0</v>
      </c>
      <c r="AP14" s="13">
        <f>_xll.BDH("XOM US Equity","INVTRY_RAW_MATERIALS","FQ2 2018","FQ2 2018","Currency=USD","Period=FQ","BEST_FPERIOD_OVERRIDE=FQ","FILING_STATUS=OR","SCALING_FORMAT=MLN","Sort=A","Dates=H","DateFormat=P","Fill=—","Direction=H","UseDPDF=Y")</f>
        <v>0</v>
      </c>
    </row>
    <row r="15" spans="1:42" x14ac:dyDescent="0.25">
      <c r="A15" s="10" t="s">
        <v>222</v>
      </c>
      <c r="B15" s="10" t="s">
        <v>223</v>
      </c>
      <c r="C15" s="13">
        <f>_xll.BDH("XOM US Equity","INVTRY_IN_PROGRESS","FQ3 2008","FQ3 2008","Currency=USD","Period=FQ","BEST_FPERIOD_OVERRIDE=FQ","FILING_STATUS=OR","SCALING_FORMAT=MLN","Sort=A","Dates=H","DateFormat=P","Fill=—","Direction=H","UseDPDF=Y")</f>
        <v>0</v>
      </c>
      <c r="D15" s="13">
        <f>_xll.BDH("XOM US Equity","INVTRY_IN_PROGRESS","FQ4 2008","FQ4 2008","Currency=USD","Period=FQ","BEST_FPERIOD_OVERRIDE=FQ","FILING_STATUS=OR","SCALING_FORMAT=MLN","Sort=A","Dates=H","DateFormat=P","Fill=—","Direction=H","UseDPDF=Y")</f>
        <v>0</v>
      </c>
      <c r="E15" s="13">
        <f>_xll.BDH("XOM US Equity","INVTRY_IN_PROGRESS","FQ1 2009","FQ1 2009","Currency=USD","Period=FQ","BEST_FPERIOD_OVERRIDE=FQ","FILING_STATUS=OR","SCALING_FORMAT=MLN","Sort=A","Dates=H","DateFormat=P","Fill=—","Direction=H","UseDPDF=Y")</f>
        <v>0</v>
      </c>
      <c r="F15" s="13">
        <f>_xll.BDH("XOM US Equity","INVTRY_IN_PROGRESS","FQ2 2009","FQ2 2009","Currency=USD","Period=FQ","BEST_FPERIOD_OVERRIDE=FQ","FILING_STATUS=OR","SCALING_FORMAT=MLN","Sort=A","Dates=H","DateFormat=P","Fill=—","Direction=H","UseDPDF=Y")</f>
        <v>0</v>
      </c>
      <c r="G15" s="13">
        <f>_xll.BDH("XOM US Equity","INVTRY_IN_PROGRESS","FQ3 2009","FQ3 2009","Currency=USD","Period=FQ","BEST_FPERIOD_OVERRIDE=FQ","FILING_STATUS=OR","SCALING_FORMAT=MLN","Sort=A","Dates=H","DateFormat=P","Fill=—","Direction=H","UseDPDF=Y")</f>
        <v>0</v>
      </c>
      <c r="H15" s="13">
        <f>_xll.BDH("XOM US Equity","INVTRY_IN_PROGRESS","FQ4 2009","FQ4 2009","Currency=USD","Period=FQ","BEST_FPERIOD_OVERRIDE=FQ","FILING_STATUS=OR","SCALING_FORMAT=MLN","Sort=A","Dates=H","DateFormat=P","Fill=—","Direction=H","UseDPDF=Y")</f>
        <v>0</v>
      </c>
      <c r="I15" s="13">
        <f>_xll.BDH("XOM US Equity","INVTRY_IN_PROGRESS","FQ1 2010","FQ1 2010","Currency=USD","Period=FQ","BEST_FPERIOD_OVERRIDE=FQ","FILING_STATUS=OR","SCALING_FORMAT=MLN","Sort=A","Dates=H","DateFormat=P","Fill=—","Direction=H","UseDPDF=Y")</f>
        <v>0</v>
      </c>
      <c r="J15" s="13">
        <f>_xll.BDH("XOM US Equity","INVTRY_IN_PROGRESS","FQ2 2010","FQ2 2010","Currency=USD","Period=FQ","BEST_FPERIOD_OVERRIDE=FQ","FILING_STATUS=OR","SCALING_FORMAT=MLN","Sort=A","Dates=H","DateFormat=P","Fill=—","Direction=H","UseDPDF=Y")</f>
        <v>0</v>
      </c>
      <c r="K15" s="13">
        <f>_xll.BDH("XOM US Equity","INVTRY_IN_PROGRESS","FQ3 2010","FQ3 2010","Currency=USD","Period=FQ","BEST_FPERIOD_OVERRIDE=FQ","FILING_STATUS=OR","SCALING_FORMAT=MLN","Sort=A","Dates=H","DateFormat=P","Fill=—","Direction=H","UseDPDF=Y")</f>
        <v>0</v>
      </c>
      <c r="L15" s="13">
        <f>_xll.BDH("XOM US Equity","INVTRY_IN_PROGRESS","FQ4 2010","FQ4 2010","Currency=USD","Period=FQ","BEST_FPERIOD_OVERRIDE=FQ","FILING_STATUS=OR","SCALING_FORMAT=MLN","Sort=A","Dates=H","DateFormat=P","Fill=—","Direction=H","UseDPDF=Y")</f>
        <v>0</v>
      </c>
      <c r="M15" s="13">
        <f>_xll.BDH("XOM US Equity","INVTRY_IN_PROGRESS","FQ1 2011","FQ1 2011","Currency=USD","Period=FQ","BEST_FPERIOD_OVERRIDE=FQ","FILING_STATUS=OR","SCALING_FORMAT=MLN","Sort=A","Dates=H","DateFormat=P","Fill=—","Direction=H","UseDPDF=Y")</f>
        <v>0</v>
      </c>
      <c r="N15" s="13">
        <f>_xll.BDH("XOM US Equity","INVTRY_IN_PROGRESS","FQ2 2011","FQ2 2011","Currency=USD","Period=FQ","BEST_FPERIOD_OVERRIDE=FQ","FILING_STATUS=OR","SCALING_FORMAT=MLN","Sort=A","Dates=H","DateFormat=P","Fill=—","Direction=H","UseDPDF=Y")</f>
        <v>0</v>
      </c>
      <c r="O15" s="13">
        <f>_xll.BDH("XOM US Equity","INVTRY_IN_PROGRESS","FQ3 2011","FQ3 2011","Currency=USD","Period=FQ","BEST_FPERIOD_OVERRIDE=FQ","FILING_STATUS=OR","SCALING_FORMAT=MLN","Sort=A","Dates=H","DateFormat=P","Fill=—","Direction=H","UseDPDF=Y")</f>
        <v>0</v>
      </c>
      <c r="P15" s="13">
        <f>_xll.BDH("XOM US Equity","INVTRY_IN_PROGRESS","FQ4 2011","FQ4 2011","Currency=USD","Period=FQ","BEST_FPERIOD_OVERRIDE=FQ","FILING_STATUS=OR","SCALING_FORMAT=MLN","Sort=A","Dates=H","DateFormat=P","Fill=—","Direction=H","UseDPDF=Y")</f>
        <v>0</v>
      </c>
      <c r="Q15" s="13">
        <f>_xll.BDH("XOM US Equity","INVTRY_IN_PROGRESS","FQ1 2012","FQ1 2012","Currency=USD","Period=FQ","BEST_FPERIOD_OVERRIDE=FQ","FILING_STATUS=OR","SCALING_FORMAT=MLN","Sort=A","Dates=H","DateFormat=P","Fill=—","Direction=H","UseDPDF=Y")</f>
        <v>0</v>
      </c>
      <c r="R15" s="13">
        <f>_xll.BDH("XOM US Equity","INVTRY_IN_PROGRESS","FQ2 2012","FQ2 2012","Currency=USD","Period=FQ","BEST_FPERIOD_OVERRIDE=FQ","FILING_STATUS=OR","SCALING_FORMAT=MLN","Sort=A","Dates=H","DateFormat=P","Fill=—","Direction=H","UseDPDF=Y")</f>
        <v>0</v>
      </c>
      <c r="S15" s="13">
        <f>_xll.BDH("XOM US Equity","INVTRY_IN_PROGRESS","FQ3 2012","FQ3 2012","Currency=USD","Period=FQ","BEST_FPERIOD_OVERRIDE=FQ","FILING_STATUS=OR","SCALING_FORMAT=MLN","Sort=A","Dates=H","DateFormat=P","Fill=—","Direction=H","UseDPDF=Y")</f>
        <v>0</v>
      </c>
      <c r="T15" s="13">
        <f>_xll.BDH("XOM US Equity","INVTRY_IN_PROGRESS","FQ4 2012","FQ4 2012","Currency=USD","Period=FQ","BEST_FPERIOD_OVERRIDE=FQ","FILING_STATUS=OR","SCALING_FORMAT=MLN","Sort=A","Dates=H","DateFormat=P","Fill=—","Direction=H","UseDPDF=Y")</f>
        <v>0</v>
      </c>
      <c r="U15" s="13">
        <f>_xll.BDH("XOM US Equity","INVTRY_IN_PROGRESS","FQ1 2013","FQ1 2013","Currency=USD","Period=FQ","BEST_FPERIOD_OVERRIDE=FQ","FILING_STATUS=OR","SCALING_FORMAT=MLN","Sort=A","Dates=H","DateFormat=P","Fill=—","Direction=H","UseDPDF=Y")</f>
        <v>0</v>
      </c>
      <c r="V15" s="13">
        <f>_xll.BDH("XOM US Equity","INVTRY_IN_PROGRESS","FQ2 2013","FQ2 2013","Currency=USD","Period=FQ","BEST_FPERIOD_OVERRIDE=FQ","FILING_STATUS=OR","SCALING_FORMAT=MLN","Sort=A","Dates=H","DateFormat=P","Fill=—","Direction=H","UseDPDF=Y")</f>
        <v>0</v>
      </c>
      <c r="W15" s="13">
        <f>_xll.BDH("XOM US Equity","INVTRY_IN_PROGRESS","FQ3 2013","FQ3 2013","Currency=USD","Period=FQ","BEST_FPERIOD_OVERRIDE=FQ","FILING_STATUS=OR","SCALING_FORMAT=MLN","Sort=A","Dates=H","DateFormat=P","Fill=—","Direction=H","UseDPDF=Y")</f>
        <v>0</v>
      </c>
      <c r="X15" s="13">
        <f>_xll.BDH("XOM US Equity","INVTRY_IN_PROGRESS","FQ4 2013","FQ4 2013","Currency=USD","Period=FQ","BEST_FPERIOD_OVERRIDE=FQ","FILING_STATUS=OR","SCALING_FORMAT=MLN","Sort=A","Dates=H","DateFormat=P","Fill=—","Direction=H","UseDPDF=Y")</f>
        <v>0</v>
      </c>
      <c r="Y15" s="13">
        <f>_xll.BDH("XOM US Equity","INVTRY_IN_PROGRESS","FQ1 2014","FQ1 2014","Currency=USD","Period=FQ","BEST_FPERIOD_OVERRIDE=FQ","FILING_STATUS=OR","SCALING_FORMAT=MLN","Sort=A","Dates=H","DateFormat=P","Fill=—","Direction=H","UseDPDF=Y")</f>
        <v>0</v>
      </c>
      <c r="Z15" s="13">
        <f>_xll.BDH("XOM US Equity","INVTRY_IN_PROGRESS","FQ2 2014","FQ2 2014","Currency=USD","Period=FQ","BEST_FPERIOD_OVERRIDE=FQ","FILING_STATUS=OR","SCALING_FORMAT=MLN","Sort=A","Dates=H","DateFormat=P","Fill=—","Direction=H","UseDPDF=Y")</f>
        <v>0</v>
      </c>
      <c r="AA15" s="13">
        <f>_xll.BDH("XOM US Equity","INVTRY_IN_PROGRESS","FQ3 2014","FQ3 2014","Currency=USD","Period=FQ","BEST_FPERIOD_OVERRIDE=FQ","FILING_STATUS=OR","SCALING_FORMAT=MLN","Sort=A","Dates=H","DateFormat=P","Fill=—","Direction=H","UseDPDF=Y")</f>
        <v>0</v>
      </c>
      <c r="AB15" s="13">
        <f>_xll.BDH("XOM US Equity","INVTRY_IN_PROGRESS","FQ4 2014","FQ4 2014","Currency=USD","Period=FQ","BEST_FPERIOD_OVERRIDE=FQ","FILING_STATUS=OR","SCALING_FORMAT=MLN","Sort=A","Dates=H","DateFormat=P","Fill=—","Direction=H","UseDPDF=Y")</f>
        <v>0</v>
      </c>
      <c r="AC15" s="13">
        <f>_xll.BDH("XOM US Equity","INVTRY_IN_PROGRESS","FQ1 2015","FQ1 2015","Currency=USD","Period=FQ","BEST_FPERIOD_OVERRIDE=FQ","FILING_STATUS=OR","SCALING_FORMAT=MLN","Sort=A","Dates=H","DateFormat=P","Fill=—","Direction=H","UseDPDF=Y")</f>
        <v>0</v>
      </c>
      <c r="AD15" s="13">
        <f>_xll.BDH("XOM US Equity","INVTRY_IN_PROGRESS","FQ2 2015","FQ2 2015","Currency=USD","Period=FQ","BEST_FPERIOD_OVERRIDE=FQ","FILING_STATUS=OR","SCALING_FORMAT=MLN","Sort=A","Dates=H","DateFormat=P","Fill=—","Direction=H","UseDPDF=Y")</f>
        <v>0</v>
      </c>
      <c r="AE15" s="13">
        <f>_xll.BDH("XOM US Equity","INVTRY_IN_PROGRESS","FQ3 2015","FQ3 2015","Currency=USD","Period=FQ","BEST_FPERIOD_OVERRIDE=FQ","FILING_STATUS=OR","SCALING_FORMAT=MLN","Sort=A","Dates=H","DateFormat=P","Fill=—","Direction=H","UseDPDF=Y")</f>
        <v>0</v>
      </c>
      <c r="AF15" s="13">
        <f>_xll.BDH("XOM US Equity","INVTRY_IN_PROGRESS","FQ4 2015","FQ4 2015","Currency=USD","Period=FQ","BEST_FPERIOD_OVERRIDE=FQ","FILING_STATUS=OR","SCALING_FORMAT=MLN","Sort=A","Dates=H","DateFormat=P","Fill=—","Direction=H","UseDPDF=Y")</f>
        <v>0</v>
      </c>
      <c r="AG15" s="13">
        <f>_xll.BDH("XOM US Equity","INVTRY_IN_PROGRESS","FQ1 2016","FQ1 2016","Currency=USD","Period=FQ","BEST_FPERIOD_OVERRIDE=FQ","FILING_STATUS=OR","SCALING_FORMAT=MLN","Sort=A","Dates=H","DateFormat=P","Fill=—","Direction=H","UseDPDF=Y")</f>
        <v>0</v>
      </c>
      <c r="AH15" s="13">
        <f>_xll.BDH("XOM US Equity","INVTRY_IN_PROGRESS","FQ2 2016","FQ2 2016","Currency=USD","Period=FQ","BEST_FPERIOD_OVERRIDE=FQ","FILING_STATUS=OR","SCALING_FORMAT=MLN","Sort=A","Dates=H","DateFormat=P","Fill=—","Direction=H","UseDPDF=Y")</f>
        <v>0</v>
      </c>
      <c r="AI15" s="13">
        <f>_xll.BDH("XOM US Equity","INVTRY_IN_PROGRESS","FQ3 2016","FQ3 2016","Currency=USD","Period=FQ","BEST_FPERIOD_OVERRIDE=FQ","FILING_STATUS=OR","SCALING_FORMAT=MLN","Sort=A","Dates=H","DateFormat=P","Fill=—","Direction=H","UseDPDF=Y")</f>
        <v>0</v>
      </c>
      <c r="AJ15" s="13">
        <f>_xll.BDH("XOM US Equity","INVTRY_IN_PROGRESS","FQ4 2016","FQ4 2016","Currency=USD","Period=FQ","BEST_FPERIOD_OVERRIDE=FQ","FILING_STATUS=OR","SCALING_FORMAT=MLN","Sort=A","Dates=H","DateFormat=P","Fill=—","Direction=H","UseDPDF=Y")</f>
        <v>0</v>
      </c>
      <c r="AK15" s="13">
        <f>_xll.BDH("XOM US Equity","INVTRY_IN_PROGRESS","FQ1 2017","FQ1 2017","Currency=USD","Period=FQ","BEST_FPERIOD_OVERRIDE=FQ","FILING_STATUS=OR","SCALING_FORMAT=MLN","Sort=A","Dates=H","DateFormat=P","Fill=—","Direction=H","UseDPDF=Y")</f>
        <v>0</v>
      </c>
      <c r="AL15" s="13">
        <f>_xll.BDH("XOM US Equity","INVTRY_IN_PROGRESS","FQ2 2017","FQ2 2017","Currency=USD","Period=FQ","BEST_FPERIOD_OVERRIDE=FQ","FILING_STATUS=OR","SCALING_FORMAT=MLN","Sort=A","Dates=H","DateFormat=P","Fill=—","Direction=H","UseDPDF=Y")</f>
        <v>0</v>
      </c>
      <c r="AM15" s="13">
        <f>_xll.BDH("XOM US Equity","INVTRY_IN_PROGRESS","FQ3 2017","FQ3 2017","Currency=USD","Period=FQ","BEST_FPERIOD_OVERRIDE=FQ","FILING_STATUS=OR","SCALING_FORMAT=MLN","Sort=A","Dates=H","DateFormat=P","Fill=—","Direction=H","UseDPDF=Y")</f>
        <v>0</v>
      </c>
      <c r="AN15" s="13">
        <f>_xll.BDH("XOM US Equity","INVTRY_IN_PROGRESS","FQ4 2017","FQ4 2017","Currency=USD","Period=FQ","BEST_FPERIOD_OVERRIDE=FQ","FILING_STATUS=OR","SCALING_FORMAT=MLN","Sort=A","Dates=H","DateFormat=P","Fill=—","Direction=H","UseDPDF=Y")</f>
        <v>0</v>
      </c>
      <c r="AO15" s="13">
        <f>_xll.BDH("XOM US Equity","INVTRY_IN_PROGRESS","FQ1 2018","FQ1 2018","Currency=USD","Period=FQ","BEST_FPERIOD_OVERRIDE=FQ","FILING_STATUS=OR","SCALING_FORMAT=MLN","Sort=A","Dates=H","DateFormat=P","Fill=—","Direction=H","UseDPDF=Y")</f>
        <v>0</v>
      </c>
      <c r="AP15" s="13">
        <f>_xll.BDH("XOM US Equity","INVTRY_IN_PROGRESS","FQ2 2018","FQ2 2018","Currency=USD","Period=FQ","BEST_FPERIOD_OVERRIDE=FQ","FILING_STATUS=OR","SCALING_FORMAT=MLN","Sort=A","Dates=H","DateFormat=P","Fill=—","Direction=H","UseDPDF=Y")</f>
        <v>0</v>
      </c>
    </row>
    <row r="16" spans="1:42" x14ac:dyDescent="0.25">
      <c r="A16" s="10" t="s">
        <v>224</v>
      </c>
      <c r="B16" s="10" t="s">
        <v>225</v>
      </c>
      <c r="C16" s="13">
        <f>_xll.BDH("XOM US Equity","INVTRY_FINISHED_GOODS","FQ3 2008","FQ3 2008","Currency=USD","Period=FQ","BEST_FPERIOD_OVERRIDE=FQ","FILING_STATUS=OR","SCALING_FORMAT=MLN","Sort=A","Dates=H","DateFormat=P","Fill=—","Direction=H","UseDPDF=Y")</f>
        <v>13510</v>
      </c>
      <c r="D16" s="13">
        <f>_xll.BDH("XOM US Equity","INVTRY_FINISHED_GOODS","FQ4 2008","FQ4 2008","Currency=USD","Period=FQ","BEST_FPERIOD_OVERRIDE=FQ","FILING_STATUS=OR","SCALING_FORMAT=MLN","Sort=A","Dates=H","DateFormat=P","Fill=—","Direction=H","UseDPDF=Y")</f>
        <v>9331</v>
      </c>
      <c r="E16" s="13">
        <f>_xll.BDH("XOM US Equity","INVTRY_FINISHED_GOODS","FQ1 2009","FQ1 2009","Currency=USD","Period=FQ","BEST_FPERIOD_OVERRIDE=FQ","FILING_STATUS=OR","SCALING_FORMAT=MLN","Sort=A","Dates=H","DateFormat=P","Fill=—","Direction=H","UseDPDF=Y")</f>
        <v>10296</v>
      </c>
      <c r="F16" s="13">
        <f>_xll.BDH("XOM US Equity","INVTRY_FINISHED_GOODS","FQ2 2009","FQ2 2009","Currency=USD","Period=FQ","BEST_FPERIOD_OVERRIDE=FQ","FILING_STATUS=OR","SCALING_FORMAT=MLN","Sort=A","Dates=H","DateFormat=P","Fill=—","Direction=H","UseDPDF=Y")</f>
        <v>9855</v>
      </c>
      <c r="G16" s="13">
        <f>_xll.BDH("XOM US Equity","INVTRY_FINISHED_GOODS","FQ3 2009","FQ3 2009","Currency=USD","Period=FQ","BEST_FPERIOD_OVERRIDE=FQ","FILING_STATUS=OR","SCALING_FORMAT=MLN","Sort=A","Dates=H","DateFormat=P","Fill=—","Direction=H","UseDPDF=Y")</f>
        <v>9860</v>
      </c>
      <c r="H16" s="13">
        <f>_xll.BDH("XOM US Equity","INVTRY_FINISHED_GOODS","FQ4 2009","FQ4 2009","Currency=USD","Period=FQ","BEST_FPERIOD_OVERRIDE=FQ","FILING_STATUS=OR","SCALING_FORMAT=MLN","Sort=A","Dates=H","DateFormat=P","Fill=—","Direction=H","UseDPDF=Y")</f>
        <v>8718</v>
      </c>
      <c r="I16" s="13">
        <f>_xll.BDH("XOM US Equity","INVTRY_FINISHED_GOODS","FQ1 2010","FQ1 2010","Currency=USD","Period=FQ","BEST_FPERIOD_OVERRIDE=FQ","FILING_STATUS=OR","SCALING_FORMAT=MLN","Sort=A","Dates=H","DateFormat=P","Fill=—","Direction=H","UseDPDF=Y")</f>
        <v>10631</v>
      </c>
      <c r="J16" s="13">
        <f>_xll.BDH("XOM US Equity","INVTRY_FINISHED_GOODS","FQ2 2010","FQ2 2010","Currency=USD","Period=FQ","BEST_FPERIOD_OVERRIDE=FQ","FILING_STATUS=OR","SCALING_FORMAT=MLN","Sort=A","Dates=H","DateFormat=P","Fill=—","Direction=H","UseDPDF=Y")</f>
        <v>10439</v>
      </c>
      <c r="K16" s="13">
        <f>_xll.BDH("XOM US Equity","INVTRY_FINISHED_GOODS","FQ3 2010","FQ3 2010","Currency=USD","Period=FQ","BEST_FPERIOD_OVERRIDE=FQ","FILING_STATUS=OR","SCALING_FORMAT=MLN","Sort=A","Dates=H","DateFormat=P","Fill=—","Direction=H","UseDPDF=Y")</f>
        <v>11154</v>
      </c>
      <c r="L16" s="13">
        <f>_xll.BDH("XOM US Equity","INVTRY_FINISHED_GOODS","FQ4 2010","FQ4 2010","Currency=USD","Period=FQ","BEST_FPERIOD_OVERRIDE=FQ","FILING_STATUS=OR","SCALING_FORMAT=MLN","Sort=A","Dates=H","DateFormat=P","Fill=—","Direction=H","UseDPDF=Y")</f>
        <v>9852</v>
      </c>
      <c r="M16" s="13">
        <f>_xll.BDH("XOM US Equity","INVTRY_FINISHED_GOODS","FQ1 2011","FQ1 2011","Currency=USD","Period=FQ","BEST_FPERIOD_OVERRIDE=FQ","FILING_STATUS=OR","SCALING_FORMAT=MLN","Sort=A","Dates=H","DateFormat=P","Fill=—","Direction=H","UseDPDF=Y")</f>
        <v>13026</v>
      </c>
      <c r="N16" s="13">
        <f>_xll.BDH("XOM US Equity","INVTRY_FINISHED_GOODS","FQ2 2011","FQ2 2011","Currency=USD","Period=FQ","BEST_FPERIOD_OVERRIDE=FQ","FILING_STATUS=OR","SCALING_FORMAT=MLN","Sort=A","Dates=H","DateFormat=P","Fill=—","Direction=H","UseDPDF=Y")</f>
        <v>15762</v>
      </c>
      <c r="O16" s="13">
        <f>_xll.BDH("XOM US Equity","INVTRY_FINISHED_GOODS","FQ3 2011","FQ3 2011","Currency=USD","Period=FQ","BEST_FPERIOD_OVERRIDE=FQ","FILING_STATUS=OR","SCALING_FORMAT=MLN","Sort=A","Dates=H","DateFormat=P","Fill=—","Direction=H","UseDPDF=Y")</f>
        <v>13398</v>
      </c>
      <c r="P16" s="13">
        <f>_xll.BDH("XOM US Equity","INVTRY_FINISHED_GOODS","FQ4 2011","FQ4 2011","Currency=USD","Period=FQ","BEST_FPERIOD_OVERRIDE=FQ","FILING_STATUS=OR","SCALING_FORMAT=MLN","Sort=A","Dates=H","DateFormat=P","Fill=—","Direction=H","UseDPDF=Y")</f>
        <v>11665</v>
      </c>
      <c r="Q16" s="13">
        <f>_xll.BDH("XOM US Equity","INVTRY_FINISHED_GOODS","FQ1 2012","FQ1 2012","Currency=USD","Period=FQ","BEST_FPERIOD_OVERRIDE=FQ","FILING_STATUS=OR","SCALING_FORMAT=MLN","Sort=A","Dates=H","DateFormat=P","Fill=—","Direction=H","UseDPDF=Y")</f>
        <v>11343</v>
      </c>
      <c r="R16" s="13">
        <f>_xll.BDH("XOM US Equity","INVTRY_FINISHED_GOODS","FQ2 2012","FQ2 2012","Currency=USD","Period=FQ","BEST_FPERIOD_OVERRIDE=FQ","FILING_STATUS=OR","SCALING_FORMAT=MLN","Sort=A","Dates=H","DateFormat=P","Fill=—","Direction=H","UseDPDF=Y")</f>
        <v>11729</v>
      </c>
      <c r="S16" s="13">
        <f>_xll.BDH("XOM US Equity","INVTRY_FINISHED_GOODS","FQ3 2012","FQ3 2012","Currency=USD","Period=FQ","BEST_FPERIOD_OVERRIDE=FQ","FILING_STATUS=OR","SCALING_FORMAT=MLN","Sort=A","Dates=H","DateFormat=P","Fill=—","Direction=H","UseDPDF=Y")</f>
        <v>13010</v>
      </c>
      <c r="T16" s="13">
        <f>_xll.BDH("XOM US Equity","INVTRY_FINISHED_GOODS","FQ4 2012","FQ4 2012","Currency=USD","Period=FQ","BEST_FPERIOD_OVERRIDE=FQ","FILING_STATUS=OR","SCALING_FORMAT=MLN","Sort=A","Dates=H","DateFormat=P","Fill=—","Direction=H","UseDPDF=Y")</f>
        <v>10836</v>
      </c>
      <c r="U16" s="13">
        <f>_xll.BDH("XOM US Equity","INVTRY_FINISHED_GOODS","FQ1 2013","FQ1 2013","Currency=USD","Period=FQ","BEST_FPERIOD_OVERRIDE=FQ","FILING_STATUS=OR","SCALING_FORMAT=MLN","Sort=A","Dates=H","DateFormat=P","Fill=—","Direction=H","UseDPDF=Y")</f>
        <v>12446</v>
      </c>
      <c r="V16" s="13">
        <f>_xll.BDH("XOM US Equity","INVTRY_FINISHED_GOODS","FQ2 2013","FQ2 2013","Currency=USD","Period=FQ","BEST_FPERIOD_OVERRIDE=FQ","FILING_STATUS=OR","SCALING_FORMAT=MLN","Sort=A","Dates=H","DateFormat=P","Fill=—","Direction=H","UseDPDF=Y")</f>
        <v>13373</v>
      </c>
      <c r="W16" s="13">
        <f>_xll.BDH("XOM US Equity","INVTRY_FINISHED_GOODS","FQ3 2013","FQ3 2013","Currency=USD","Period=FQ","BEST_FPERIOD_OVERRIDE=FQ","FILING_STATUS=OR","SCALING_FORMAT=MLN","Sort=A","Dates=H","DateFormat=P","Fill=—","Direction=H","UseDPDF=Y")</f>
        <v>12829</v>
      </c>
      <c r="X16" s="13">
        <f>_xll.BDH("XOM US Equity","INVTRY_FINISHED_GOODS","FQ4 2013","FQ4 2013","Currency=USD","Period=FQ","BEST_FPERIOD_OVERRIDE=FQ","FILING_STATUS=OR","SCALING_FORMAT=MLN","Sort=A","Dates=H","DateFormat=P","Fill=—","Direction=H","UseDPDF=Y")</f>
        <v>12117</v>
      </c>
      <c r="Y16" s="13">
        <f>_xll.BDH("XOM US Equity","INVTRY_FINISHED_GOODS","FQ1 2014","FQ1 2014","Currency=USD","Period=FQ","BEST_FPERIOD_OVERRIDE=FQ","FILING_STATUS=OR","SCALING_FORMAT=MLN","Sort=A","Dates=H","DateFormat=P","Fill=—","Direction=H","UseDPDF=Y")</f>
        <v>14439</v>
      </c>
      <c r="Z16" s="13">
        <f>_xll.BDH("XOM US Equity","INVTRY_FINISHED_GOODS","FQ2 2014","FQ2 2014","Currency=USD","Period=FQ","BEST_FPERIOD_OVERRIDE=FQ","FILING_STATUS=OR","SCALING_FORMAT=MLN","Sort=A","Dates=H","DateFormat=P","Fill=—","Direction=H","UseDPDF=Y")</f>
        <v>13944</v>
      </c>
      <c r="AA16" s="13">
        <f>_xll.BDH("XOM US Equity","INVTRY_FINISHED_GOODS","FQ3 2014","FQ3 2014","Currency=USD","Period=FQ","BEST_FPERIOD_OVERRIDE=FQ","FILING_STATUS=OR","SCALING_FORMAT=MLN","Sort=A","Dates=H","DateFormat=P","Fill=—","Direction=H","UseDPDF=Y")</f>
        <v>13441</v>
      </c>
      <c r="AB16" s="13">
        <f>_xll.BDH("XOM US Equity","INVTRY_FINISHED_GOODS","FQ4 2014","FQ4 2014","Currency=USD","Period=FQ","BEST_FPERIOD_OVERRIDE=FQ","FILING_STATUS=OR","SCALING_FORMAT=MLN","Sort=A","Dates=H","DateFormat=P","Fill=—","Direction=H","UseDPDF=Y")</f>
        <v>12384</v>
      </c>
      <c r="AC16" s="13">
        <f>_xll.BDH("XOM US Equity","INVTRY_FINISHED_GOODS","FQ1 2015","FQ1 2015","Currency=USD","Period=FQ","BEST_FPERIOD_OVERRIDE=FQ","FILING_STATUS=OR","SCALING_FORMAT=MLN","Sort=A","Dates=H","DateFormat=P","Fill=—","Direction=H","UseDPDF=Y")</f>
        <v>11792</v>
      </c>
      <c r="AD16" s="13">
        <f>_xll.BDH("XOM US Equity","INVTRY_FINISHED_GOODS","FQ2 2015","FQ2 2015","Currency=USD","Period=FQ","BEST_FPERIOD_OVERRIDE=FQ","FILING_STATUS=OR","SCALING_FORMAT=MLN","Sort=A","Dates=H","DateFormat=P","Fill=—","Direction=H","UseDPDF=Y")</f>
        <v>12299</v>
      </c>
      <c r="AE16" s="13">
        <f>_xll.BDH("XOM US Equity","INVTRY_FINISHED_GOODS","FQ3 2015","FQ3 2015","Currency=USD","Period=FQ","BEST_FPERIOD_OVERRIDE=FQ","FILING_STATUS=OR","SCALING_FORMAT=MLN","Sort=A","Dates=H","DateFormat=P","Fill=—","Direction=H","UseDPDF=Y")</f>
        <v>12249</v>
      </c>
      <c r="AF16" s="13">
        <f>_xll.BDH("XOM US Equity","INVTRY_FINISHED_GOODS","FQ4 2015","FQ4 2015","Currency=USD","Period=FQ","BEST_FPERIOD_OVERRIDE=FQ","FILING_STATUS=OR","SCALING_FORMAT=MLN","Sort=A","Dates=H","DateFormat=P","Fill=—","Direction=H","UseDPDF=Y")</f>
        <v>12037</v>
      </c>
      <c r="AG16" s="13">
        <f>_xll.BDH("XOM US Equity","INVTRY_FINISHED_GOODS","FQ1 2016","FQ1 2016","Currency=USD","Period=FQ","BEST_FPERIOD_OVERRIDE=FQ","FILING_STATUS=OR","SCALING_FORMAT=MLN","Sort=A","Dates=H","DateFormat=P","Fill=—","Direction=H","UseDPDF=Y")</f>
        <v>11837</v>
      </c>
      <c r="AH16" s="13">
        <f>_xll.BDH("XOM US Equity","INVTRY_FINISHED_GOODS","FQ2 2016","FQ2 2016","Currency=USD","Period=FQ","BEST_FPERIOD_OVERRIDE=FQ","FILING_STATUS=OR","SCALING_FORMAT=MLN","Sort=A","Dates=H","DateFormat=P","Fill=—","Direction=H","UseDPDF=Y")</f>
        <v>11543</v>
      </c>
      <c r="AI16" s="13">
        <f>_xll.BDH("XOM US Equity","INVTRY_FINISHED_GOODS","FQ3 2016","FQ3 2016","Currency=USD","Period=FQ","BEST_FPERIOD_OVERRIDE=FQ","FILING_STATUS=OR","SCALING_FORMAT=MLN","Sort=A","Dates=H","DateFormat=P","Fill=—","Direction=H","UseDPDF=Y")</f>
        <v>10981</v>
      </c>
      <c r="AJ16" s="13">
        <f>_xll.BDH("XOM US Equity","INVTRY_FINISHED_GOODS","FQ4 2016","FQ4 2016","Currency=USD","Period=FQ","BEST_FPERIOD_OVERRIDE=FQ","FILING_STATUS=OR","SCALING_FORMAT=MLN","Sort=A","Dates=H","DateFormat=P","Fill=—","Direction=H","UseDPDF=Y")</f>
        <v>10877</v>
      </c>
      <c r="AK16" s="13">
        <f>_xll.BDH("XOM US Equity","INVTRY_FINISHED_GOODS","FQ1 2017","FQ1 2017","Currency=USD","Period=FQ","BEST_FPERIOD_OVERRIDE=FQ","FILING_STATUS=OR","SCALING_FORMAT=MLN","Sort=A","Dates=H","DateFormat=P","Fill=—","Direction=H","UseDPDF=Y")</f>
        <v>10686</v>
      </c>
      <c r="AL16" s="13">
        <f>_xll.BDH("XOM US Equity","INVTRY_FINISHED_GOODS","FQ2 2017","FQ2 2017","Currency=USD","Period=FQ","BEST_FPERIOD_OVERRIDE=FQ","FILING_STATUS=OR","SCALING_FORMAT=MLN","Sort=A","Dates=H","DateFormat=P","Fill=—","Direction=H","UseDPDF=Y")</f>
        <v>11135</v>
      </c>
      <c r="AM16" s="13">
        <f>_xll.BDH("XOM US Equity","INVTRY_FINISHED_GOODS","FQ3 2017","FQ3 2017","Currency=USD","Period=FQ","BEST_FPERIOD_OVERRIDE=FQ","FILING_STATUS=OR","SCALING_FORMAT=MLN","Sort=A","Dates=H","DateFormat=P","Fill=—","Direction=H","UseDPDF=Y")</f>
        <v>12488</v>
      </c>
      <c r="AN16" s="13">
        <f>_xll.BDH("XOM US Equity","INVTRY_FINISHED_GOODS","FQ4 2017","FQ4 2017","Currency=USD","Period=FQ","BEST_FPERIOD_OVERRIDE=FQ","FILING_STATUS=OR","SCALING_FORMAT=MLN","Sort=A","Dates=H","DateFormat=P","Fill=—","Direction=H","UseDPDF=Y")</f>
        <v>12871</v>
      </c>
      <c r="AO16" s="13">
        <f>_xll.BDH("XOM US Equity","INVTRY_FINISHED_GOODS","FQ1 2018","FQ1 2018","Currency=USD","Period=FQ","BEST_FPERIOD_OVERRIDE=FQ","FILING_STATUS=OR","SCALING_FORMAT=MLN","Sort=A","Dates=H","DateFormat=P","Fill=—","Direction=H","UseDPDF=Y")</f>
        <v>13879</v>
      </c>
      <c r="AP16" s="13">
        <f>_xll.BDH("XOM US Equity","INVTRY_FINISHED_GOODS","FQ2 2018","FQ2 2018","Currency=USD","Period=FQ","BEST_FPERIOD_OVERRIDE=FQ","FILING_STATUS=OR","SCALING_FORMAT=MLN","Sort=A","Dates=H","DateFormat=P","Fill=—","Direction=H","UseDPDF=Y")</f>
        <v>14373</v>
      </c>
    </row>
    <row r="17" spans="1:42" x14ac:dyDescent="0.25">
      <c r="A17" s="10" t="s">
        <v>226</v>
      </c>
      <c r="B17" s="10" t="s">
        <v>227</v>
      </c>
      <c r="C17" s="13">
        <f>_xll.BDH("XOM US Equity","BS_OTHER_INV","FQ3 2008","FQ3 2008","Currency=USD","Period=FQ","BEST_FPERIOD_OVERRIDE=FQ","FILING_STATUS=OR","SCALING_FORMAT=MLN","Sort=A","Dates=H","DateFormat=P","Fill=—","Direction=H","UseDPDF=Y")</f>
        <v>0</v>
      </c>
      <c r="D17" s="13">
        <f>_xll.BDH("XOM US Equity","BS_OTHER_INV","FQ4 2008","FQ4 2008","Currency=USD","Period=FQ","BEST_FPERIOD_OVERRIDE=FQ","FILING_STATUS=OR","SCALING_FORMAT=MLN","Sort=A","Dates=H","DateFormat=P","Fill=—","Direction=H","UseDPDF=Y")</f>
        <v>0</v>
      </c>
      <c r="E17" s="13">
        <f>_xll.BDH("XOM US Equity","BS_OTHER_INV","FQ1 2009","FQ1 2009","Currency=USD","Period=FQ","BEST_FPERIOD_OVERRIDE=FQ","FILING_STATUS=OR","SCALING_FORMAT=MLN","Sort=A","Dates=H","DateFormat=P","Fill=—","Direction=H","UseDPDF=Y")</f>
        <v>2421</v>
      </c>
      <c r="F17" s="13">
        <f>_xll.BDH("XOM US Equity","BS_OTHER_INV","FQ2 2009","FQ2 2009","Currency=USD","Period=FQ","BEST_FPERIOD_OVERRIDE=FQ","FILING_STATUS=OR","SCALING_FORMAT=MLN","Sort=A","Dates=H","DateFormat=P","Fill=—","Direction=H","UseDPDF=Y")</f>
        <v>2586</v>
      </c>
      <c r="G17" s="13">
        <f>_xll.BDH("XOM US Equity","BS_OTHER_INV","FQ3 2009","FQ3 2009","Currency=USD","Period=FQ","BEST_FPERIOD_OVERRIDE=FQ","FILING_STATUS=OR","SCALING_FORMAT=MLN","Sort=A","Dates=H","DateFormat=P","Fill=—","Direction=H","UseDPDF=Y")</f>
        <v>2725</v>
      </c>
      <c r="H17" s="13">
        <f>_xll.BDH("XOM US Equity","BS_OTHER_INV","FQ4 2009","FQ4 2009","Currency=USD","Period=FQ","BEST_FPERIOD_OVERRIDE=FQ","FILING_STATUS=OR","SCALING_FORMAT=MLN","Sort=A","Dates=H","DateFormat=P","Fill=—","Direction=H","UseDPDF=Y")</f>
        <v>2835</v>
      </c>
      <c r="I17" s="13">
        <f>_xll.BDH("XOM US Equity","BS_OTHER_INV","FQ1 2010","FQ1 2010","Currency=USD","Period=FQ","BEST_FPERIOD_OVERRIDE=FQ","FILING_STATUS=OR","SCALING_FORMAT=MLN","Sort=A","Dates=H","DateFormat=P","Fill=—","Direction=H","UseDPDF=Y")</f>
        <v>2857</v>
      </c>
      <c r="J17" s="13">
        <f>_xll.BDH("XOM US Equity","BS_OTHER_INV","FQ2 2010","FQ2 2010","Currency=USD","Period=FQ","BEST_FPERIOD_OVERRIDE=FQ","FILING_STATUS=OR","SCALING_FORMAT=MLN","Sort=A","Dates=H","DateFormat=P","Fill=—","Direction=H","UseDPDF=Y")</f>
        <v>3000</v>
      </c>
      <c r="K17" s="13">
        <f>_xll.BDH("XOM US Equity","BS_OTHER_INV","FQ3 2010","FQ3 2010","Currency=USD","Period=FQ","BEST_FPERIOD_OVERRIDE=FQ","FILING_STATUS=OR","SCALING_FORMAT=MLN","Sort=A","Dates=H","DateFormat=P","Fill=—","Direction=H","UseDPDF=Y")</f>
        <v>3148</v>
      </c>
      <c r="L17" s="13">
        <f>_xll.BDH("XOM US Equity","BS_OTHER_INV","FQ4 2010","FQ4 2010","Currency=USD","Period=FQ","BEST_FPERIOD_OVERRIDE=FQ","FILING_STATUS=OR","SCALING_FORMAT=MLN","Sort=A","Dates=H","DateFormat=P","Fill=—","Direction=H","UseDPDF=Y")</f>
        <v>3124</v>
      </c>
      <c r="M17" s="13">
        <f>_xll.BDH("XOM US Equity","BS_OTHER_INV","FQ1 2011","FQ1 2011","Currency=USD","Period=FQ","BEST_FPERIOD_OVERRIDE=FQ","FILING_STATUS=OR","SCALING_FORMAT=MLN","Sort=A","Dates=H","DateFormat=P","Fill=—","Direction=H","UseDPDF=Y")</f>
        <v>3236</v>
      </c>
      <c r="N17" s="13">
        <f>_xll.BDH("XOM US Equity","BS_OTHER_INV","FQ2 2011","FQ2 2011","Currency=USD","Period=FQ","BEST_FPERIOD_OVERRIDE=FQ","FILING_STATUS=OR","SCALING_FORMAT=MLN","Sort=A","Dates=H","DateFormat=P","Fill=—","Direction=H","UseDPDF=Y")</f>
        <v>3286</v>
      </c>
      <c r="O17" s="13">
        <f>_xll.BDH("XOM US Equity","BS_OTHER_INV","FQ3 2011","FQ3 2011","Currency=USD","Period=FQ","BEST_FPERIOD_OVERRIDE=FQ","FILING_STATUS=OR","SCALING_FORMAT=MLN","Sort=A","Dates=H","DateFormat=P","Fill=—","Direction=H","UseDPDF=Y")</f>
        <v>3332</v>
      </c>
      <c r="P17" s="13">
        <f>_xll.BDH("XOM US Equity","BS_OTHER_INV","FQ4 2011","FQ4 2011","Currency=USD","Period=FQ","BEST_FPERIOD_OVERRIDE=FQ","FILING_STATUS=OR","SCALING_FORMAT=MLN","Sort=A","Dates=H","DateFormat=P","Fill=—","Direction=H","UseDPDF=Y")</f>
        <v>3359</v>
      </c>
      <c r="Q17" s="13">
        <f>_xll.BDH("XOM US Equity","BS_OTHER_INV","FQ1 2012","FQ1 2012","Currency=USD","Period=FQ","BEST_FPERIOD_OVERRIDE=FQ","FILING_STATUS=OR","SCALING_FORMAT=MLN","Sort=A","Dates=H","DateFormat=P","Fill=—","Direction=H","UseDPDF=Y")</f>
        <v>3406</v>
      </c>
      <c r="R17" s="13">
        <f>_xll.BDH("XOM US Equity","BS_OTHER_INV","FQ2 2012","FQ2 2012","Currency=USD","Period=FQ","BEST_FPERIOD_OVERRIDE=FQ","FILING_STATUS=OR","SCALING_FORMAT=MLN","Sort=A","Dates=H","DateFormat=P","Fill=—","Direction=H","UseDPDF=Y")</f>
        <v>3429</v>
      </c>
      <c r="S17" s="13">
        <f>_xll.BDH("XOM US Equity","BS_OTHER_INV","FQ3 2012","FQ3 2012","Currency=USD","Period=FQ","BEST_FPERIOD_OVERRIDE=FQ","FILING_STATUS=OR","SCALING_FORMAT=MLN","Sort=A","Dates=H","DateFormat=P","Fill=—","Direction=H","UseDPDF=Y")</f>
        <v>3565</v>
      </c>
      <c r="T17" s="13">
        <f>_xll.BDH("XOM US Equity","BS_OTHER_INV","FQ4 2012","FQ4 2012","Currency=USD","Period=FQ","BEST_FPERIOD_OVERRIDE=FQ","FILING_STATUS=OR","SCALING_FORMAT=MLN","Sort=A","Dates=H","DateFormat=P","Fill=—","Direction=H","UseDPDF=Y")</f>
        <v>3706</v>
      </c>
      <c r="U17" s="13">
        <f>_xll.BDH("XOM US Equity","BS_OTHER_INV","FQ1 2013","FQ1 2013","Currency=USD","Period=FQ","BEST_FPERIOD_OVERRIDE=FQ","FILING_STATUS=OR","SCALING_FORMAT=MLN","Sort=A","Dates=H","DateFormat=P","Fill=—","Direction=H","UseDPDF=Y")</f>
        <v>3785</v>
      </c>
      <c r="V17" s="13">
        <f>_xll.BDH("XOM US Equity","BS_OTHER_INV","FQ2 2013","FQ2 2013","Currency=USD","Period=FQ","BEST_FPERIOD_OVERRIDE=FQ","FILING_STATUS=OR","SCALING_FORMAT=MLN","Sort=A","Dates=H","DateFormat=P","Fill=—","Direction=H","UseDPDF=Y")</f>
        <v>3824</v>
      </c>
      <c r="W17" s="13">
        <f>_xll.BDH("XOM US Equity","BS_OTHER_INV","FQ3 2013","FQ3 2013","Currency=USD","Period=FQ","BEST_FPERIOD_OVERRIDE=FQ","FILING_STATUS=OR","SCALING_FORMAT=MLN","Sort=A","Dates=H","DateFormat=P","Fill=—","Direction=H","UseDPDF=Y")</f>
        <v>4038</v>
      </c>
      <c r="X17" s="13">
        <f>_xll.BDH("XOM US Equity","BS_OTHER_INV","FQ4 2013","FQ4 2013","Currency=USD","Period=FQ","BEST_FPERIOD_OVERRIDE=FQ","FILING_STATUS=OR","SCALING_FORMAT=MLN","Sort=A","Dates=H","DateFormat=P","Fill=—","Direction=H","UseDPDF=Y")</f>
        <v>4018</v>
      </c>
      <c r="Y17" s="13">
        <f>_xll.BDH("XOM US Equity","BS_OTHER_INV","FQ1 2014","FQ1 2014","Currency=USD","Period=FQ","BEST_FPERIOD_OVERRIDE=FQ","FILING_STATUS=OR","SCALING_FORMAT=MLN","Sort=A","Dates=H","DateFormat=P","Fill=—","Direction=H","UseDPDF=Y")</f>
        <v>4129</v>
      </c>
      <c r="Z17" s="13">
        <f>_xll.BDH("XOM US Equity","BS_OTHER_INV","FQ2 2014","FQ2 2014","Currency=USD","Period=FQ","BEST_FPERIOD_OVERRIDE=FQ","FILING_STATUS=OR","SCALING_FORMAT=MLN","Sort=A","Dates=H","DateFormat=P","Fill=—","Direction=H","UseDPDF=Y")</f>
        <v>4233</v>
      </c>
      <c r="AA17" s="13">
        <f>_xll.BDH("XOM US Equity","BS_OTHER_INV","FQ3 2014","FQ3 2014","Currency=USD","Period=FQ","BEST_FPERIOD_OVERRIDE=FQ","FILING_STATUS=OR","SCALING_FORMAT=MLN","Sort=A","Dates=H","DateFormat=P","Fill=—","Direction=H","UseDPDF=Y")</f>
        <v>4320</v>
      </c>
      <c r="AB17" s="13">
        <f>_xll.BDH("XOM US Equity","BS_OTHER_INV","FQ4 2014","FQ4 2014","Currency=USD","Period=FQ","BEST_FPERIOD_OVERRIDE=FQ","FILING_STATUS=OR","SCALING_FORMAT=MLN","Sort=A","Dates=H","DateFormat=P","Fill=—","Direction=H","UseDPDF=Y")</f>
        <v>4294</v>
      </c>
      <c r="AC17" s="13">
        <f>_xll.BDH("XOM US Equity","BS_OTHER_INV","FQ1 2015","FQ1 2015","Currency=USD","Period=FQ","BEST_FPERIOD_OVERRIDE=FQ","FILING_STATUS=OR","SCALING_FORMAT=MLN","Sort=A","Dates=H","DateFormat=P","Fill=—","Direction=H","UseDPDF=Y")</f>
        <v>4310</v>
      </c>
      <c r="AD17" s="13">
        <f>_xll.BDH("XOM US Equity","BS_OTHER_INV","FQ2 2015","FQ2 2015","Currency=USD","Period=FQ","BEST_FPERIOD_OVERRIDE=FQ","FILING_STATUS=OR","SCALING_FORMAT=MLN","Sort=A","Dates=H","DateFormat=P","Fill=—","Direction=H","UseDPDF=Y")</f>
        <v>4364</v>
      </c>
      <c r="AE17" s="13">
        <f>_xll.BDH("XOM US Equity","BS_OTHER_INV","FQ3 2015","FQ3 2015","Currency=USD","Period=FQ","BEST_FPERIOD_OVERRIDE=FQ","FILING_STATUS=OR","SCALING_FORMAT=MLN","Sort=A","Dates=H","DateFormat=P","Fill=—","Direction=H","UseDPDF=Y")</f>
        <v>4335</v>
      </c>
      <c r="AF17" s="13">
        <f>_xll.BDH("XOM US Equity","BS_OTHER_INV","FQ4 2015","FQ4 2015","Currency=USD","Period=FQ","BEST_FPERIOD_OVERRIDE=FQ","FILING_STATUS=OR","SCALING_FORMAT=MLN","Sort=A","Dates=H","DateFormat=P","Fill=—","Direction=H","UseDPDF=Y")</f>
        <v>4208</v>
      </c>
      <c r="AG17" s="13">
        <f>_xll.BDH("XOM US Equity","BS_OTHER_INV","FQ1 2016","FQ1 2016","Currency=USD","Period=FQ","BEST_FPERIOD_OVERRIDE=FQ","FILING_STATUS=OR","SCALING_FORMAT=MLN","Sort=A","Dates=H","DateFormat=P","Fill=—","Direction=H","UseDPDF=Y")</f>
        <v>4386</v>
      </c>
      <c r="AH17" s="13">
        <f>_xll.BDH("XOM US Equity","BS_OTHER_INV","FQ2 2016","FQ2 2016","Currency=USD","Period=FQ","BEST_FPERIOD_OVERRIDE=FQ","FILING_STATUS=OR","SCALING_FORMAT=MLN","Sort=A","Dates=H","DateFormat=P","Fill=—","Direction=H","UseDPDF=Y")</f>
        <v>4332</v>
      </c>
      <c r="AI17" s="13">
        <f>_xll.BDH("XOM US Equity","BS_OTHER_INV","FQ3 2016","FQ3 2016","Currency=USD","Period=FQ","BEST_FPERIOD_OVERRIDE=FQ","FILING_STATUS=OR","SCALING_FORMAT=MLN","Sort=A","Dates=H","DateFormat=P","Fill=—","Direction=H","UseDPDF=Y")</f>
        <v>4361</v>
      </c>
      <c r="AJ17" s="13">
        <f>_xll.BDH("XOM US Equity","BS_OTHER_INV","FQ4 2016","FQ4 2016","Currency=USD","Period=FQ","BEST_FPERIOD_OVERRIDE=FQ","FILING_STATUS=OR","SCALING_FORMAT=MLN","Sort=A","Dates=H","DateFormat=P","Fill=—","Direction=H","UseDPDF=Y")</f>
        <v>4203</v>
      </c>
      <c r="AK17" s="13">
        <f>_xll.BDH("XOM US Equity","BS_OTHER_INV","FQ1 2017","FQ1 2017","Currency=USD","Period=FQ","BEST_FPERIOD_OVERRIDE=FQ","FILING_STATUS=OR","SCALING_FORMAT=MLN","Sort=A","Dates=H","DateFormat=P","Fill=—","Direction=H","UseDPDF=Y")</f>
        <v>4187</v>
      </c>
      <c r="AL17" s="13">
        <f>_xll.BDH("XOM US Equity","BS_OTHER_INV","FQ2 2017","FQ2 2017","Currency=USD","Period=FQ","BEST_FPERIOD_OVERRIDE=FQ","FILING_STATUS=OR","SCALING_FORMAT=MLN","Sort=A","Dates=H","DateFormat=P","Fill=—","Direction=H","UseDPDF=Y")</f>
        <v>4170</v>
      </c>
      <c r="AM17" s="13">
        <f>_xll.BDH("XOM US Equity","BS_OTHER_INV","FQ3 2017","FQ3 2017","Currency=USD","Period=FQ","BEST_FPERIOD_OVERRIDE=FQ","FILING_STATUS=OR","SCALING_FORMAT=MLN","Sort=A","Dates=H","DateFormat=P","Fill=—","Direction=H","UseDPDF=Y")</f>
        <v>4255</v>
      </c>
      <c r="AN17" s="13">
        <f>_xll.BDH("XOM US Equity","BS_OTHER_INV","FQ4 2017","FQ4 2017","Currency=USD","Period=FQ","BEST_FPERIOD_OVERRIDE=FQ","FILING_STATUS=OR","SCALING_FORMAT=MLN","Sort=A","Dates=H","DateFormat=P","Fill=—","Direction=H","UseDPDF=Y")</f>
        <v>4121</v>
      </c>
      <c r="AO17" s="13">
        <f>_xll.BDH("XOM US Equity","BS_OTHER_INV","FQ1 2018","FQ1 2018","Currency=USD","Period=FQ","BEST_FPERIOD_OVERRIDE=FQ","FILING_STATUS=OR","SCALING_FORMAT=MLN","Sort=A","Dates=H","DateFormat=P","Fill=—","Direction=H","UseDPDF=Y")</f>
        <v>4169</v>
      </c>
      <c r="AP17" s="13">
        <f>_xll.BDH("XOM US Equity","BS_OTHER_INV","FQ2 2018","FQ2 2018","Currency=USD","Period=FQ","BEST_FPERIOD_OVERRIDE=FQ","FILING_STATUS=OR","SCALING_FORMAT=MLN","Sort=A","Dates=H","DateFormat=P","Fill=—","Direction=H","UseDPDF=Y")</f>
        <v>4110</v>
      </c>
    </row>
    <row r="18" spans="1:42" x14ac:dyDescent="0.25">
      <c r="A18" s="10" t="s">
        <v>228</v>
      </c>
      <c r="B18" s="10" t="s">
        <v>229</v>
      </c>
      <c r="C18" s="13">
        <f>_xll.BDH("XOM US Equity","OTHER_CURRENT_ASSETS_DETAILED","FQ3 2008","FQ3 2008","Currency=USD","Period=FQ","BEST_FPERIOD_OVERRIDE=FQ","FILING_STATUS=OR","SCALING_FORMAT=MLN","Sort=A","Dates=H","DateFormat=P","Fill=—","Direction=H","UseDPDF=Y")</f>
        <v>6396</v>
      </c>
      <c r="D18" s="13">
        <f>_xll.BDH("XOM US Equity","OTHER_CURRENT_ASSETS_DETAILED","FQ4 2008","FQ4 2008","Currency=USD","Period=FQ","BEST_FPERIOD_OVERRIDE=FQ","FILING_STATUS=OR","SCALING_FORMAT=MLN","Sort=A","Dates=H","DateFormat=P","Fill=—","Direction=H","UseDPDF=Y")</f>
        <v>3911</v>
      </c>
      <c r="E18" s="13">
        <f>_xll.BDH("XOM US Equity","OTHER_CURRENT_ASSETS_DETAILED","FQ1 2009","FQ1 2009","Currency=USD","Period=FQ","BEST_FPERIOD_OVERRIDE=FQ","FILING_STATUS=OR","SCALING_FORMAT=MLN","Sort=A","Dates=H","DateFormat=P","Fill=—","Direction=H","UseDPDF=Y")</f>
        <v>4019</v>
      </c>
      <c r="F18" s="13">
        <f>_xll.BDH("XOM US Equity","OTHER_CURRENT_ASSETS_DETAILED","FQ2 2009","FQ2 2009","Currency=USD","Period=FQ","BEST_FPERIOD_OVERRIDE=FQ","FILING_STATUS=OR","SCALING_FORMAT=MLN","Sort=A","Dates=H","DateFormat=P","Fill=—","Direction=H","UseDPDF=Y")</f>
        <v>4464</v>
      </c>
      <c r="G18" s="13">
        <f>_xll.BDH("XOM US Equity","OTHER_CURRENT_ASSETS_DETAILED","FQ3 2009","FQ3 2009","Currency=USD","Period=FQ","BEST_FPERIOD_OVERRIDE=FQ","FILING_STATUS=OR","SCALING_FORMAT=MLN","Sort=A","Dates=H","DateFormat=P","Fill=—","Direction=H","UseDPDF=Y")</f>
        <v>5179</v>
      </c>
      <c r="H18" s="13">
        <f>_xll.BDH("XOM US Equity","OTHER_CURRENT_ASSETS_DETAILED","FQ4 2009","FQ4 2009","Currency=USD","Period=FQ","BEST_FPERIOD_OVERRIDE=FQ","FILING_STATUS=OR","SCALING_FORMAT=MLN","Sort=A","Dates=H","DateFormat=P","Fill=—","Direction=H","UseDPDF=Y")</f>
        <v>5175</v>
      </c>
      <c r="I18" s="13">
        <f>_xll.BDH("XOM US Equity","OTHER_CURRENT_ASSETS_DETAILED","FQ1 2010","FQ1 2010","Currency=USD","Period=FQ","BEST_FPERIOD_OVERRIDE=FQ","FILING_STATUS=OR","SCALING_FORMAT=MLN","Sort=A","Dates=H","DateFormat=P","Fill=—","Direction=H","UseDPDF=Y")</f>
        <v>5329</v>
      </c>
      <c r="J18" s="13">
        <f>_xll.BDH("XOM US Equity","OTHER_CURRENT_ASSETS_DETAILED","FQ2 2010","FQ2 2010","Currency=USD","Period=FQ","BEST_FPERIOD_OVERRIDE=FQ","FILING_STATUS=OR","SCALING_FORMAT=MLN","Sort=A","Dates=H","DateFormat=P","Fill=—","Direction=H","UseDPDF=Y")</f>
        <v>6304</v>
      </c>
      <c r="K18" s="13">
        <f>_xll.BDH("XOM US Equity","OTHER_CURRENT_ASSETS_DETAILED","FQ3 2010","FQ3 2010","Currency=USD","Period=FQ","BEST_FPERIOD_OVERRIDE=FQ","FILING_STATUS=OR","SCALING_FORMAT=MLN","Sort=A","Dates=H","DateFormat=P","Fill=—","Direction=H","UseDPDF=Y")</f>
        <v>5828</v>
      </c>
      <c r="L18" s="13">
        <f>_xll.BDH("XOM US Equity","OTHER_CURRENT_ASSETS_DETAILED","FQ4 2010","FQ4 2010","Currency=USD","Period=FQ","BEST_FPERIOD_OVERRIDE=FQ","FILING_STATUS=OR","SCALING_FORMAT=MLN","Sort=A","Dates=H","DateFormat=P","Fill=—","Direction=H","UseDPDF=Y")</f>
        <v>5897</v>
      </c>
      <c r="M18" s="13">
        <f>_xll.BDH("XOM US Equity","OTHER_CURRENT_ASSETS_DETAILED","FQ1 2011","FQ1 2011","Currency=USD","Period=FQ","BEST_FPERIOD_OVERRIDE=FQ","FILING_STATUS=OR","SCALING_FORMAT=MLN","Sort=A","Dates=H","DateFormat=P","Fill=—","Direction=H","UseDPDF=Y")</f>
        <v>7781</v>
      </c>
      <c r="N18" s="13">
        <f>_xll.BDH("XOM US Equity","OTHER_CURRENT_ASSETS_DETAILED","FQ2 2011","FQ2 2011","Currency=USD","Period=FQ","BEST_FPERIOD_OVERRIDE=FQ","FILING_STATUS=OR","SCALING_FORMAT=MLN","Sort=A","Dates=H","DateFormat=P","Fill=—","Direction=H","UseDPDF=Y")</f>
        <v>7885</v>
      </c>
      <c r="O18" s="13">
        <f>_xll.BDH("XOM US Equity","OTHER_CURRENT_ASSETS_DETAILED","FQ3 2011","FQ3 2011","Currency=USD","Period=FQ","BEST_FPERIOD_OVERRIDE=FQ","FILING_STATUS=OR","SCALING_FORMAT=MLN","Sort=A","Dates=H","DateFormat=P","Fill=—","Direction=H","UseDPDF=Y")</f>
        <v>7256</v>
      </c>
      <c r="P18" s="13">
        <f>_xll.BDH("XOM US Equity","OTHER_CURRENT_ASSETS_DETAILED","FQ4 2011","FQ4 2011","Currency=USD","Period=FQ","BEST_FPERIOD_OVERRIDE=FQ","FILING_STATUS=OR","SCALING_FORMAT=MLN","Sort=A","Dates=H","DateFormat=P","Fill=—","Direction=H","UseDPDF=Y")</f>
        <v>6633</v>
      </c>
      <c r="Q18" s="13">
        <f>_xll.BDH("XOM US Equity","OTHER_CURRENT_ASSETS_DETAILED","FQ1 2012","FQ1 2012","Currency=USD","Period=FQ","BEST_FPERIOD_OVERRIDE=FQ","FILING_STATUS=OR","SCALING_FORMAT=MLN","Sort=A","Dates=H","DateFormat=P","Fill=—","Direction=H","UseDPDF=Y")</f>
        <v>6897</v>
      </c>
      <c r="R18" s="13">
        <f>_xll.BDH("XOM US Equity","OTHER_CURRENT_ASSETS_DETAILED","FQ2 2012","FQ2 2012","Currency=USD","Period=FQ","BEST_FPERIOD_OVERRIDE=FQ","FILING_STATUS=OR","SCALING_FORMAT=MLN","Sort=A","Dates=H","DateFormat=P","Fill=—","Direction=H","UseDPDF=Y")</f>
        <v>6096</v>
      </c>
      <c r="S18" s="13">
        <f>_xll.BDH("XOM US Equity","OTHER_CURRENT_ASSETS_DETAILED","FQ3 2012","FQ3 2012","Currency=USD","Period=FQ","BEST_FPERIOD_OVERRIDE=FQ","FILING_STATUS=OR","SCALING_FORMAT=MLN","Sort=A","Dates=H","DateFormat=P","Fill=—","Direction=H","UseDPDF=Y")</f>
        <v>5873</v>
      </c>
      <c r="T18" s="13">
        <f>_xll.BDH("XOM US Equity","OTHER_CURRENT_ASSETS_DETAILED","FQ4 2012","FQ4 2012","Currency=USD","Period=FQ","BEST_FPERIOD_OVERRIDE=FQ","FILING_STATUS=OR","SCALING_FORMAT=MLN","Sort=A","Dates=H","DateFormat=P","Fill=—","Direction=H","UseDPDF=Y")</f>
        <v>5349</v>
      </c>
      <c r="U18" s="13">
        <f>_xll.BDH("XOM US Equity","OTHER_CURRENT_ASSETS_DETAILED","FQ1 2013","FQ1 2013","Currency=USD","Period=FQ","BEST_FPERIOD_OVERRIDE=FQ","FILING_STATUS=OR","SCALING_FORMAT=MLN","Sort=A","Dates=H","DateFormat=P","Fill=—","Direction=H","UseDPDF=Y")</f>
        <v>5858</v>
      </c>
      <c r="V18" s="13">
        <f>_xll.BDH("XOM US Equity","OTHER_CURRENT_ASSETS_DETAILED","FQ2 2013","FQ2 2013","Currency=USD","Period=FQ","BEST_FPERIOD_OVERRIDE=FQ","FILING_STATUS=OR","SCALING_FORMAT=MLN","Sort=A","Dates=H","DateFormat=P","Fill=—","Direction=H","UseDPDF=Y")</f>
        <v>5698</v>
      </c>
      <c r="W18" s="13">
        <f>_xll.BDH("XOM US Equity","OTHER_CURRENT_ASSETS_DETAILED","FQ3 2013","FQ3 2013","Currency=USD","Period=FQ","BEST_FPERIOD_OVERRIDE=FQ","FILING_STATUS=OR","SCALING_FORMAT=MLN","Sort=A","Dates=H","DateFormat=P","Fill=—","Direction=H","UseDPDF=Y")</f>
        <v>5896</v>
      </c>
      <c r="X18" s="13">
        <f>_xll.BDH("XOM US Equity","OTHER_CURRENT_ASSETS_DETAILED","FQ4 2013","FQ4 2013","Currency=USD","Period=FQ","BEST_FPERIOD_OVERRIDE=FQ","FILING_STATUS=OR","SCALING_FORMAT=MLN","Sort=A","Dates=H","DateFormat=P","Fill=—","Direction=H","UseDPDF=Y")</f>
        <v>5377</v>
      </c>
      <c r="Y18" s="13">
        <f>_xll.BDH("XOM US Equity","OTHER_CURRENT_ASSETS_DETAILED","FQ1 2014","FQ1 2014","Currency=USD","Period=FQ","BEST_FPERIOD_OVERRIDE=FQ","FILING_STATUS=OR","SCALING_FORMAT=MLN","Sort=A","Dates=H","DateFormat=P","Fill=—","Direction=H","UseDPDF=Y")</f>
        <v>5215</v>
      </c>
      <c r="Z18" s="13">
        <f>_xll.BDH("XOM US Equity","OTHER_CURRENT_ASSETS_DETAILED","FQ2 2014","FQ2 2014","Currency=USD","Period=FQ","BEST_FPERIOD_OVERRIDE=FQ","FILING_STATUS=OR","SCALING_FORMAT=MLN","Sort=A","Dates=H","DateFormat=P","Fill=—","Direction=H","UseDPDF=Y")</f>
        <v>5571</v>
      </c>
      <c r="AA18" s="13">
        <f>_xll.BDH("XOM US Equity","OTHER_CURRENT_ASSETS_DETAILED","FQ3 2014","FQ3 2014","Currency=USD","Period=FQ","BEST_FPERIOD_OVERRIDE=FQ","FILING_STATUS=OR","SCALING_FORMAT=MLN","Sort=A","Dates=H","DateFormat=P","Fill=—","Direction=H","UseDPDF=Y")</f>
        <v>4909</v>
      </c>
      <c r="AB18" s="13">
        <f>_xll.BDH("XOM US Equity","OTHER_CURRENT_ASSETS_DETAILED","FQ4 2014","FQ4 2014","Currency=USD","Period=FQ","BEST_FPERIOD_OVERRIDE=FQ","FILING_STATUS=OR","SCALING_FORMAT=MLN","Sort=A","Dates=H","DateFormat=P","Fill=—","Direction=H","UseDPDF=Y")</f>
        <v>3607</v>
      </c>
      <c r="AC18" s="13">
        <f>_xll.BDH("XOM US Equity","OTHER_CURRENT_ASSETS_DETAILED","FQ1 2015","FQ1 2015","Currency=USD","Period=FQ","BEST_FPERIOD_OVERRIDE=FQ","FILING_STATUS=OR","SCALING_FORMAT=MLN","Sort=A","Dates=H","DateFormat=P","Fill=—","Direction=H","UseDPDF=Y")</f>
        <v>4341</v>
      </c>
      <c r="AD18" s="13">
        <f>_xll.BDH("XOM US Equity","OTHER_CURRENT_ASSETS_DETAILED","FQ2 2015","FQ2 2015","Currency=USD","Period=FQ","BEST_FPERIOD_OVERRIDE=FQ","FILING_STATUS=OR","SCALING_FORMAT=MLN","Sort=A","Dates=H","DateFormat=P","Fill=—","Direction=H","UseDPDF=Y")</f>
        <v>4684</v>
      </c>
      <c r="AE18" s="13">
        <f>_xll.BDH("XOM US Equity","OTHER_CURRENT_ASSETS_DETAILED","FQ3 2015","FQ3 2015","Currency=USD","Period=FQ","BEST_FPERIOD_OVERRIDE=FQ","FILING_STATUS=OR","SCALING_FORMAT=MLN","Sort=A","Dates=H","DateFormat=P","Fill=—","Direction=H","UseDPDF=Y")</f>
        <v>4197</v>
      </c>
      <c r="AF18" s="13">
        <f>_xll.BDH("XOM US Equity","OTHER_CURRENT_ASSETS_DETAILED","FQ4 2015","FQ4 2015","Currency=USD","Period=FQ","BEST_FPERIOD_OVERRIDE=FQ","FILING_STATUS=OR","SCALING_FORMAT=MLN","Sort=A","Dates=H","DateFormat=P","Fill=—","Direction=H","UseDPDF=Y")</f>
        <v>2798</v>
      </c>
      <c r="AG18" s="13">
        <f>_xll.BDH("XOM US Equity","OTHER_CURRENT_ASSETS_DETAILED","FQ1 2016","FQ1 2016","Currency=USD","Period=FQ","BEST_FPERIOD_OVERRIDE=FQ","FILING_STATUS=OR","SCALING_FORMAT=MLN","Sort=A","Dates=H","DateFormat=P","Fill=—","Direction=H","UseDPDF=Y")</f>
        <v>3368</v>
      </c>
      <c r="AH18" s="13">
        <f>_xll.BDH("XOM US Equity","OTHER_CURRENT_ASSETS_DETAILED","FQ2 2016","FQ2 2016","Currency=USD","Period=FQ","BEST_FPERIOD_OVERRIDE=FQ","FILING_STATUS=OR","SCALING_FORMAT=MLN","Sort=A","Dates=H","DateFormat=P","Fill=—","Direction=H","UseDPDF=Y")</f>
        <v>3768</v>
      </c>
      <c r="AI18" s="13">
        <f>_xll.BDH("XOM US Equity","OTHER_CURRENT_ASSETS_DETAILED","FQ3 2016","FQ3 2016","Currency=USD","Period=FQ","BEST_FPERIOD_OVERRIDE=FQ","FILING_STATUS=OR","SCALING_FORMAT=MLN","Sort=A","Dates=H","DateFormat=P","Fill=—","Direction=H","UseDPDF=Y")</f>
        <v>2122</v>
      </c>
      <c r="AJ18" s="13">
        <f>_xll.BDH("XOM US Equity","OTHER_CURRENT_ASSETS_DETAILED","FQ4 2016","FQ4 2016","Currency=USD","Period=FQ","BEST_FPERIOD_OVERRIDE=FQ","FILING_STATUS=OR","SCALING_FORMAT=MLN","Sort=A","Dates=H","DateFormat=P","Fill=—","Direction=H","UseDPDF=Y")</f>
        <v>1285</v>
      </c>
      <c r="AK18" s="13">
        <f>_xll.BDH("XOM US Equity","OTHER_CURRENT_ASSETS_DETAILED","FQ1 2017","FQ1 2017","Currency=USD","Period=FQ","BEST_FPERIOD_OVERRIDE=FQ","FILING_STATUS=OR","SCALING_FORMAT=MLN","Sort=A","Dates=H","DateFormat=P","Fill=—","Direction=H","UseDPDF=Y")</f>
        <v>1519</v>
      </c>
      <c r="AL18" s="13">
        <f>_xll.BDH("XOM US Equity","OTHER_CURRENT_ASSETS_DETAILED","FQ2 2017","FQ2 2017","Currency=USD","Period=FQ","BEST_FPERIOD_OVERRIDE=FQ","FILING_STATUS=OR","SCALING_FORMAT=MLN","Sort=A","Dates=H","DateFormat=P","Fill=—","Direction=H","UseDPDF=Y")</f>
        <v>1544</v>
      </c>
      <c r="AM18" s="13">
        <f>_xll.BDH("XOM US Equity","OTHER_CURRENT_ASSETS_DETAILED","FQ3 2017","FQ3 2017","Currency=USD","Period=FQ","BEST_FPERIOD_OVERRIDE=FQ","FILING_STATUS=OR","SCALING_FORMAT=MLN","Sort=A","Dates=H","DateFormat=P","Fill=—","Direction=H","UseDPDF=Y")</f>
        <v>1480</v>
      </c>
      <c r="AN18" s="13">
        <f>_xll.BDH("XOM US Equity","OTHER_CURRENT_ASSETS_DETAILED","FQ4 2017","FQ4 2017","Currency=USD","Period=FQ","BEST_FPERIOD_OVERRIDE=FQ","FILING_STATUS=OR","SCALING_FORMAT=MLN","Sort=A","Dates=H","DateFormat=P","Fill=—","Direction=H","UseDPDF=Y")</f>
        <v>1368</v>
      </c>
      <c r="AO18" s="13">
        <f>_xll.BDH("XOM US Equity","OTHER_CURRENT_ASSETS_DETAILED","FQ1 2018","FQ1 2018","Currency=USD","Period=FQ","BEST_FPERIOD_OVERRIDE=FQ","FILING_STATUS=OR","SCALING_FORMAT=MLN","Sort=A","Dates=H","DateFormat=P","Fill=—","Direction=H","UseDPDF=Y")</f>
        <v>1456</v>
      </c>
      <c r="AP18" s="13">
        <f>_xll.BDH("XOM US Equity","OTHER_CURRENT_ASSETS_DETAILED","FQ2 2018","FQ2 2018","Currency=USD","Period=FQ","BEST_FPERIOD_OVERRIDE=FQ","FILING_STATUS=OR","SCALING_FORMAT=MLN","Sort=A","Dates=H","DateFormat=P","Fill=—","Direction=H","UseDPDF=Y")</f>
        <v>1649</v>
      </c>
    </row>
    <row r="19" spans="1:42" x14ac:dyDescent="0.25">
      <c r="A19" s="10" t="s">
        <v>230</v>
      </c>
      <c r="B19" s="10" t="s">
        <v>231</v>
      </c>
      <c r="C19" s="13" t="str">
        <f>_xll.BDH("XOM US Equity","BS_DERIV_&amp;_HEDGING_ASSETS_ST","FQ3 2008","FQ3 2008","Currency=USD","Period=FQ","BEST_FPERIOD_OVERRIDE=FQ","FILING_STATUS=OR","SCALING_FORMAT=MLN","Sort=A","Dates=H","DateFormat=P","Fill=—","Direction=H","UseDPDF=Y")</f>
        <v>—</v>
      </c>
      <c r="D19" s="13" t="str">
        <f>_xll.BDH("XOM US Equity","BS_DERIV_&amp;_HEDGING_ASSETS_ST","FQ4 2008","FQ4 2008","Currency=USD","Period=FQ","BEST_FPERIOD_OVERRIDE=FQ","FILING_STATUS=OR","SCALING_FORMAT=MLN","Sort=A","Dates=H","DateFormat=P","Fill=—","Direction=H","UseDPDF=Y")</f>
        <v>—</v>
      </c>
      <c r="E19" s="13" t="str">
        <f>_xll.BDH("XOM US Equity","BS_DERIV_&amp;_HEDGING_ASSETS_ST","FQ1 2009","FQ1 2009","Currency=USD","Period=FQ","BEST_FPERIOD_OVERRIDE=FQ","FILING_STATUS=OR","SCALING_FORMAT=MLN","Sort=A","Dates=H","DateFormat=P","Fill=—","Direction=H","UseDPDF=Y")</f>
        <v>—</v>
      </c>
      <c r="F19" s="13" t="str">
        <f>_xll.BDH("XOM US Equity","BS_DERIV_&amp;_HEDGING_ASSETS_ST","FQ2 2009","FQ2 2009","Currency=USD","Period=FQ","BEST_FPERIOD_OVERRIDE=FQ","FILING_STATUS=OR","SCALING_FORMAT=MLN","Sort=A","Dates=H","DateFormat=P","Fill=—","Direction=H","UseDPDF=Y")</f>
        <v>—</v>
      </c>
      <c r="G19" s="13" t="str">
        <f>_xll.BDH("XOM US Equity","BS_DERIV_&amp;_HEDGING_ASSETS_ST","FQ3 2009","FQ3 2009","Currency=USD","Period=FQ","BEST_FPERIOD_OVERRIDE=FQ","FILING_STATUS=OR","SCALING_FORMAT=MLN","Sort=A","Dates=H","DateFormat=P","Fill=—","Direction=H","UseDPDF=Y")</f>
        <v>—</v>
      </c>
      <c r="H19" s="13" t="str">
        <f>_xll.BDH("XOM US Equity","BS_DERIV_&amp;_HEDGING_ASSETS_ST","FQ4 2009","FQ4 2009","Currency=USD","Period=FQ","BEST_FPERIOD_OVERRIDE=FQ","FILING_STATUS=OR","SCALING_FORMAT=MLN","Sort=A","Dates=H","DateFormat=P","Fill=—","Direction=H","UseDPDF=Y")</f>
        <v>—</v>
      </c>
      <c r="I19" s="13" t="str">
        <f>_xll.BDH("XOM US Equity","BS_DERIV_&amp;_HEDGING_ASSETS_ST","FQ1 2010","FQ1 2010","Currency=USD","Period=FQ","BEST_FPERIOD_OVERRIDE=FQ","FILING_STATUS=OR","SCALING_FORMAT=MLN","Sort=A","Dates=H","DateFormat=P","Fill=—","Direction=H","UseDPDF=Y")</f>
        <v>—</v>
      </c>
      <c r="J19" s="13">
        <f>_xll.BDH("XOM US Equity","BS_DERIV_&amp;_HEDGING_ASSETS_ST","FQ2 2010","FQ2 2010","Currency=USD","Period=FQ","BEST_FPERIOD_OVERRIDE=FQ","FILING_STATUS=OR","SCALING_FORMAT=MLN","Sort=A","Dates=H","DateFormat=P","Fill=—","Direction=H","UseDPDF=Y")</f>
        <v>999</v>
      </c>
      <c r="K19" s="13">
        <f>_xll.BDH("XOM US Equity","BS_DERIV_&amp;_HEDGING_ASSETS_ST","FQ3 2010","FQ3 2010","Currency=USD","Period=FQ","BEST_FPERIOD_OVERRIDE=FQ","FILING_STATUS=OR","SCALING_FORMAT=MLN","Sort=A","Dates=H","DateFormat=P","Fill=—","Direction=H","UseDPDF=Y")</f>
        <v>792</v>
      </c>
      <c r="L19" s="13" t="str">
        <f>_xll.BDH("XOM US Equity","BS_DERIV_&amp;_HEDGING_ASSETS_ST","FQ4 2010","FQ4 2010","Currency=USD","Period=FQ","BEST_FPERIOD_OVERRIDE=FQ","FILING_STATUS=OR","SCALING_FORMAT=MLN","Sort=A","Dates=H","DateFormat=P","Fill=—","Direction=H","UseDPDF=Y")</f>
        <v>—</v>
      </c>
      <c r="M19" s="13" t="str">
        <f>_xll.BDH("XOM US Equity","BS_DERIV_&amp;_HEDGING_ASSETS_ST","FQ1 2011","FQ1 2011","Currency=USD","Period=FQ","BEST_FPERIOD_OVERRIDE=FQ","FILING_STATUS=OR","SCALING_FORMAT=MLN","Sort=A","Dates=H","DateFormat=P","Fill=—","Direction=H","UseDPDF=Y")</f>
        <v>—</v>
      </c>
      <c r="N19" s="13" t="str">
        <f>_xll.BDH("XOM US Equity","BS_DERIV_&amp;_HEDGING_ASSETS_ST","FQ2 2011","FQ2 2011","Currency=USD","Period=FQ","BEST_FPERIOD_OVERRIDE=FQ","FILING_STATUS=OR","SCALING_FORMAT=MLN","Sort=A","Dates=H","DateFormat=P","Fill=—","Direction=H","UseDPDF=Y")</f>
        <v>—</v>
      </c>
      <c r="O19" s="13" t="str">
        <f>_xll.BDH("XOM US Equity","BS_DERIV_&amp;_HEDGING_ASSETS_ST","FQ3 2011","FQ3 2011","Currency=USD","Period=FQ","BEST_FPERIOD_OVERRIDE=FQ","FILING_STATUS=OR","SCALING_FORMAT=MLN","Sort=A","Dates=H","DateFormat=P","Fill=—","Direction=H","UseDPDF=Y")</f>
        <v>—</v>
      </c>
      <c r="P19" s="13" t="str">
        <f>_xll.BDH("XOM US Equity","BS_DERIV_&amp;_HEDGING_ASSETS_ST","FQ4 2011","FQ4 2011","Currency=USD","Period=FQ","BEST_FPERIOD_OVERRIDE=FQ","FILING_STATUS=OR","SCALING_FORMAT=MLN","Sort=A","Dates=H","DateFormat=P","Fill=—","Direction=H","UseDPDF=Y")</f>
        <v>—</v>
      </c>
      <c r="Q19" s="13" t="str">
        <f>_xll.BDH("XOM US Equity","BS_DERIV_&amp;_HEDGING_ASSETS_ST","FQ1 2012","FQ1 2012","Currency=USD","Period=FQ","BEST_FPERIOD_OVERRIDE=FQ","FILING_STATUS=OR","SCALING_FORMAT=MLN","Sort=A","Dates=H","DateFormat=P","Fill=—","Direction=H","UseDPDF=Y")</f>
        <v>—</v>
      </c>
      <c r="R19" s="13" t="str">
        <f>_xll.BDH("XOM US Equity","BS_DERIV_&amp;_HEDGING_ASSETS_ST","FQ2 2012","FQ2 2012","Currency=USD","Period=FQ","BEST_FPERIOD_OVERRIDE=FQ","FILING_STATUS=OR","SCALING_FORMAT=MLN","Sort=A","Dates=H","DateFormat=P","Fill=—","Direction=H","UseDPDF=Y")</f>
        <v>—</v>
      </c>
      <c r="S19" s="13" t="str">
        <f>_xll.BDH("XOM US Equity","BS_DERIV_&amp;_HEDGING_ASSETS_ST","FQ3 2012","FQ3 2012","Currency=USD","Period=FQ","BEST_FPERIOD_OVERRIDE=FQ","FILING_STATUS=OR","SCALING_FORMAT=MLN","Sort=A","Dates=H","DateFormat=P","Fill=—","Direction=H","UseDPDF=Y")</f>
        <v>—</v>
      </c>
      <c r="T19" s="13" t="str">
        <f>_xll.BDH("XOM US Equity","BS_DERIV_&amp;_HEDGING_ASSETS_ST","FQ4 2012","FQ4 2012","Currency=USD","Period=FQ","BEST_FPERIOD_OVERRIDE=FQ","FILING_STATUS=OR","SCALING_FORMAT=MLN","Sort=A","Dates=H","DateFormat=P","Fill=—","Direction=H","UseDPDF=Y")</f>
        <v>—</v>
      </c>
      <c r="U19" s="13" t="str">
        <f>_xll.BDH("XOM US Equity","BS_DERIV_&amp;_HEDGING_ASSETS_ST","FQ1 2013","FQ1 2013","Currency=USD","Period=FQ","BEST_FPERIOD_OVERRIDE=FQ","FILING_STATUS=OR","SCALING_FORMAT=MLN","Sort=A","Dates=H","DateFormat=P","Fill=—","Direction=H","UseDPDF=Y")</f>
        <v>—</v>
      </c>
      <c r="V19" s="13" t="str">
        <f>_xll.BDH("XOM US Equity","BS_DERIV_&amp;_HEDGING_ASSETS_ST","FQ2 2013","FQ2 2013","Currency=USD","Period=FQ","BEST_FPERIOD_OVERRIDE=FQ","FILING_STATUS=OR","SCALING_FORMAT=MLN","Sort=A","Dates=H","DateFormat=P","Fill=—","Direction=H","UseDPDF=Y")</f>
        <v>—</v>
      </c>
      <c r="W19" s="13" t="str">
        <f>_xll.BDH("XOM US Equity","BS_DERIV_&amp;_HEDGING_ASSETS_ST","FQ3 2013","FQ3 2013","Currency=USD","Period=FQ","BEST_FPERIOD_OVERRIDE=FQ","FILING_STATUS=OR","SCALING_FORMAT=MLN","Sort=A","Dates=H","DateFormat=P","Fill=—","Direction=H","UseDPDF=Y")</f>
        <v>—</v>
      </c>
      <c r="X19" s="13" t="str">
        <f>_xll.BDH("XOM US Equity","BS_DERIV_&amp;_HEDGING_ASSETS_ST","FQ4 2013","FQ4 2013","Currency=USD","Period=FQ","BEST_FPERIOD_OVERRIDE=FQ","FILING_STATUS=OR","SCALING_FORMAT=MLN","Sort=A","Dates=H","DateFormat=P","Fill=—","Direction=H","UseDPDF=Y")</f>
        <v>—</v>
      </c>
      <c r="Y19" s="13" t="str">
        <f>_xll.BDH("XOM US Equity","BS_DERIV_&amp;_HEDGING_ASSETS_ST","FQ1 2014","FQ1 2014","Currency=USD","Period=FQ","BEST_FPERIOD_OVERRIDE=FQ","FILING_STATUS=OR","SCALING_FORMAT=MLN","Sort=A","Dates=H","DateFormat=P","Fill=—","Direction=H","UseDPDF=Y")</f>
        <v>—</v>
      </c>
      <c r="Z19" s="13" t="str">
        <f>_xll.BDH("XOM US Equity","BS_DERIV_&amp;_HEDGING_ASSETS_ST","FQ2 2014","FQ2 2014","Currency=USD","Period=FQ","BEST_FPERIOD_OVERRIDE=FQ","FILING_STATUS=OR","SCALING_FORMAT=MLN","Sort=A","Dates=H","DateFormat=P","Fill=—","Direction=H","UseDPDF=Y")</f>
        <v>#N/A Requesting Data...</v>
      </c>
      <c r="AA19" s="13" t="str">
        <f>_xll.BDH("XOM US Equity","BS_DERIV_&amp;_HEDGING_ASSETS_ST","FQ3 2014","FQ3 2014","Currency=USD","Period=FQ","BEST_FPERIOD_OVERRIDE=FQ","FILING_STATUS=OR","SCALING_FORMAT=MLN","Sort=A","Dates=H","DateFormat=P","Fill=—","Direction=H","UseDPDF=Y")</f>
        <v>—</v>
      </c>
      <c r="AB19" s="13" t="str">
        <f>_xll.BDH("XOM US Equity","BS_DERIV_&amp;_HEDGING_ASSETS_ST","FQ4 2014","FQ4 2014","Currency=USD","Period=FQ","BEST_FPERIOD_OVERRIDE=FQ","FILING_STATUS=OR","SCALING_FORMAT=MLN","Sort=A","Dates=H","DateFormat=P","Fill=—","Direction=H","UseDPDF=Y")</f>
        <v>—</v>
      </c>
      <c r="AC19" s="13" t="str">
        <f>_xll.BDH("XOM US Equity","BS_DERIV_&amp;_HEDGING_ASSETS_ST","FQ1 2015","FQ1 2015","Currency=USD","Period=FQ","BEST_FPERIOD_OVERRIDE=FQ","FILING_STATUS=OR","SCALING_FORMAT=MLN","Sort=A","Dates=H","DateFormat=P","Fill=—","Direction=H","UseDPDF=Y")</f>
        <v>—</v>
      </c>
      <c r="AD19" s="13" t="str">
        <f>_xll.BDH("XOM US Equity","BS_DERIV_&amp;_HEDGING_ASSETS_ST","FQ2 2015","FQ2 2015","Currency=USD","Period=FQ","BEST_FPERIOD_OVERRIDE=FQ","FILING_STATUS=OR","SCALING_FORMAT=MLN","Sort=A","Dates=H","DateFormat=P","Fill=—","Direction=H","UseDPDF=Y")</f>
        <v>—</v>
      </c>
      <c r="AE19" s="13" t="str">
        <f>_xll.BDH("XOM US Equity","BS_DERIV_&amp;_HEDGING_ASSETS_ST","FQ3 2015","FQ3 2015","Currency=USD","Period=FQ","BEST_FPERIOD_OVERRIDE=FQ","FILING_STATUS=OR","SCALING_FORMAT=MLN","Sort=A","Dates=H","DateFormat=P","Fill=—","Direction=H","UseDPDF=Y")</f>
        <v>—</v>
      </c>
      <c r="AF19" s="13" t="str">
        <f>_xll.BDH("XOM US Equity","BS_DERIV_&amp;_HEDGING_ASSETS_ST","FQ4 2015","FQ4 2015","Currency=USD","Period=FQ","BEST_FPERIOD_OVERRIDE=FQ","FILING_STATUS=OR","SCALING_FORMAT=MLN","Sort=A","Dates=H","DateFormat=P","Fill=—","Direction=H","UseDPDF=Y")</f>
        <v>—</v>
      </c>
      <c r="AG19" s="13" t="str">
        <f>_xll.BDH("XOM US Equity","BS_DERIV_&amp;_HEDGING_ASSETS_ST","FQ1 2016","FQ1 2016","Currency=USD","Period=FQ","BEST_FPERIOD_OVERRIDE=FQ","FILING_STATUS=OR","SCALING_FORMAT=MLN","Sort=A","Dates=H","DateFormat=P","Fill=—","Direction=H","UseDPDF=Y")</f>
        <v>—</v>
      </c>
      <c r="AH19" s="13" t="str">
        <f>_xll.BDH("XOM US Equity","BS_DERIV_&amp;_HEDGING_ASSETS_ST","FQ2 2016","FQ2 2016","Currency=USD","Period=FQ","BEST_FPERIOD_OVERRIDE=FQ","FILING_STATUS=OR","SCALING_FORMAT=MLN","Sort=A","Dates=H","DateFormat=P","Fill=—","Direction=H","UseDPDF=Y")</f>
        <v>—</v>
      </c>
      <c r="AI19" s="13" t="str">
        <f>_xll.BDH("XOM US Equity","BS_DERIV_&amp;_HEDGING_ASSETS_ST","FQ3 2016","FQ3 2016","Currency=USD","Period=FQ","BEST_FPERIOD_OVERRIDE=FQ","FILING_STATUS=OR","SCALING_FORMAT=MLN","Sort=A","Dates=H","DateFormat=P","Fill=—","Direction=H","UseDPDF=Y")</f>
        <v>—</v>
      </c>
      <c r="AJ19" s="13" t="str">
        <f>_xll.BDH("XOM US Equity","BS_DERIV_&amp;_HEDGING_ASSETS_ST","FQ4 2016","FQ4 2016","Currency=USD","Period=FQ","BEST_FPERIOD_OVERRIDE=FQ","FILING_STATUS=OR","SCALING_FORMAT=MLN","Sort=A","Dates=H","DateFormat=P","Fill=—","Direction=H","UseDPDF=Y")</f>
        <v>—</v>
      </c>
      <c r="AK19" s="13" t="str">
        <f>_xll.BDH("XOM US Equity","BS_DERIV_&amp;_HEDGING_ASSETS_ST","FQ1 2017","FQ1 2017","Currency=USD","Period=FQ","BEST_FPERIOD_OVERRIDE=FQ","FILING_STATUS=OR","SCALING_FORMAT=MLN","Sort=A","Dates=H","DateFormat=P","Fill=—","Direction=H","UseDPDF=Y")</f>
        <v>—</v>
      </c>
      <c r="AL19" s="13" t="str">
        <f>_xll.BDH("XOM US Equity","BS_DERIV_&amp;_HEDGING_ASSETS_ST","FQ2 2017","FQ2 2017","Currency=USD","Period=FQ","BEST_FPERIOD_OVERRIDE=FQ","FILING_STATUS=OR","SCALING_FORMAT=MLN","Sort=A","Dates=H","DateFormat=P","Fill=—","Direction=H","UseDPDF=Y")</f>
        <v>—</v>
      </c>
      <c r="AM19" s="13" t="str">
        <f>_xll.BDH("XOM US Equity","BS_DERIV_&amp;_HEDGING_ASSETS_ST","FQ3 2017","FQ3 2017","Currency=USD","Period=FQ","BEST_FPERIOD_OVERRIDE=FQ","FILING_STATUS=OR","SCALING_FORMAT=MLN","Sort=A","Dates=H","DateFormat=P","Fill=—","Direction=H","UseDPDF=Y")</f>
        <v>—</v>
      </c>
      <c r="AN19" s="13" t="str">
        <f>_xll.BDH("XOM US Equity","BS_DERIV_&amp;_HEDGING_ASSETS_ST","FQ4 2017","FQ4 2017","Currency=USD","Period=FQ","BEST_FPERIOD_OVERRIDE=FQ","FILING_STATUS=OR","SCALING_FORMAT=MLN","Sort=A","Dates=H","DateFormat=P","Fill=—","Direction=H","UseDPDF=Y")</f>
        <v>—</v>
      </c>
      <c r="AO19" s="13" t="str">
        <f>_xll.BDH("XOM US Equity","BS_DERIV_&amp;_HEDGING_ASSETS_ST","FQ1 2018","FQ1 2018","Currency=USD","Period=FQ","BEST_FPERIOD_OVERRIDE=FQ","FILING_STATUS=OR","SCALING_FORMAT=MLN","Sort=A","Dates=H","DateFormat=P","Fill=—","Direction=H","UseDPDF=Y")</f>
        <v>—</v>
      </c>
      <c r="AP19" s="13" t="str">
        <f>_xll.BDH("XOM US Equity","BS_DERIV_&amp;_HEDGING_ASSETS_ST","FQ2 2018","FQ2 2018","Currency=USD","Period=FQ","BEST_FPERIOD_OVERRIDE=FQ","FILING_STATUS=OR","SCALING_FORMAT=MLN","Sort=A","Dates=H","DateFormat=P","Fill=—","Direction=H","UseDPDF=Y")</f>
        <v>—</v>
      </c>
    </row>
    <row r="20" spans="1:42" x14ac:dyDescent="0.25">
      <c r="A20" s="10" t="s">
        <v>232</v>
      </c>
      <c r="B20" s="10" t="s">
        <v>233</v>
      </c>
      <c r="C20" s="13" t="str">
        <f>_xll.BDH("XOM US Equity","BS_DEFERRED_TAX_ASSETS_ST","FQ3 2008","FQ3 2008","Currency=USD","Period=FQ","BEST_FPERIOD_OVERRIDE=FQ","FILING_STATUS=OR","SCALING_FORMAT=MLN","Sort=A","Dates=H","DateFormat=P","Fill=—","Direction=H","UseDPDF=Y")</f>
        <v>—</v>
      </c>
      <c r="D20" s="13" t="str">
        <f>_xll.BDH("XOM US Equity","BS_DEFERRED_TAX_ASSETS_ST","FQ4 2008","FQ4 2008","Currency=USD","Period=FQ","BEST_FPERIOD_OVERRIDE=FQ","FILING_STATUS=OR","SCALING_FORMAT=MLN","Sort=A","Dates=H","DateFormat=P","Fill=—","Direction=H","UseDPDF=Y")</f>
        <v>—</v>
      </c>
      <c r="E20" s="13" t="str">
        <f>_xll.BDH("XOM US Equity","BS_DEFERRED_TAX_ASSETS_ST","FQ1 2009","FQ1 2009","Currency=USD","Period=FQ","BEST_FPERIOD_OVERRIDE=FQ","FILING_STATUS=OR","SCALING_FORMAT=MLN","Sort=A","Dates=H","DateFormat=P","Fill=—","Direction=H","UseDPDF=Y")</f>
        <v>—</v>
      </c>
      <c r="F20" s="13" t="str">
        <f>_xll.BDH("XOM US Equity","BS_DEFERRED_TAX_ASSETS_ST","FQ2 2009","FQ2 2009","Currency=USD","Period=FQ","BEST_FPERIOD_OVERRIDE=FQ","FILING_STATUS=OR","SCALING_FORMAT=MLN","Sort=A","Dates=H","DateFormat=P","Fill=—","Direction=H","UseDPDF=Y")</f>
        <v>—</v>
      </c>
      <c r="G20" s="13" t="str">
        <f>_xll.BDH("XOM US Equity","BS_DEFERRED_TAX_ASSETS_ST","FQ3 2009","FQ3 2009","Currency=USD","Period=FQ","BEST_FPERIOD_OVERRIDE=FQ","FILING_STATUS=OR","SCALING_FORMAT=MLN","Sort=A","Dates=H","DateFormat=P","Fill=—","Direction=H","UseDPDF=Y")</f>
        <v>—</v>
      </c>
      <c r="H20" s="13" t="str">
        <f>_xll.BDH("XOM US Equity","BS_DEFERRED_TAX_ASSETS_ST","FQ4 2009","FQ4 2009","Currency=USD","Period=FQ","BEST_FPERIOD_OVERRIDE=FQ","FILING_STATUS=OR","SCALING_FORMAT=MLN","Sort=A","Dates=H","DateFormat=P","Fill=—","Direction=H","UseDPDF=Y")</f>
        <v>—</v>
      </c>
      <c r="I20" s="13" t="str">
        <f>_xll.BDH("XOM US Equity","BS_DEFERRED_TAX_ASSETS_ST","FQ1 2010","FQ1 2010","Currency=USD","Period=FQ","BEST_FPERIOD_OVERRIDE=FQ","FILING_STATUS=OR","SCALING_FORMAT=MLN","Sort=A","Dates=H","DateFormat=P","Fill=—","Direction=H","UseDPDF=Y")</f>
        <v>—</v>
      </c>
      <c r="J20" s="13" t="str">
        <f>_xll.BDH("XOM US Equity","BS_DEFERRED_TAX_ASSETS_ST","FQ2 2010","FQ2 2010","Currency=USD","Period=FQ","BEST_FPERIOD_OVERRIDE=FQ","FILING_STATUS=OR","SCALING_FORMAT=MLN","Sort=A","Dates=H","DateFormat=P","Fill=—","Direction=H","UseDPDF=Y")</f>
        <v>—</v>
      </c>
      <c r="K20" s="13" t="str">
        <f>_xll.BDH("XOM US Equity","BS_DEFERRED_TAX_ASSETS_ST","FQ3 2010","FQ3 2010","Currency=USD","Period=FQ","BEST_FPERIOD_OVERRIDE=FQ","FILING_STATUS=OR","SCALING_FORMAT=MLN","Sort=A","Dates=H","DateFormat=P","Fill=—","Direction=H","UseDPDF=Y")</f>
        <v>—</v>
      </c>
      <c r="L20" s="13" t="str">
        <f>_xll.BDH("XOM US Equity","BS_DEFERRED_TAX_ASSETS_ST","FQ4 2010","FQ4 2010","Currency=USD","Period=FQ","BEST_FPERIOD_OVERRIDE=FQ","FILING_STATUS=OR","SCALING_FORMAT=MLN","Sort=A","Dates=H","DateFormat=P","Fill=—","Direction=H","UseDPDF=Y")</f>
        <v>—</v>
      </c>
      <c r="M20" s="13" t="str">
        <f>_xll.BDH("XOM US Equity","BS_DEFERRED_TAX_ASSETS_ST","FQ1 2011","FQ1 2011","Currency=USD","Period=FQ","BEST_FPERIOD_OVERRIDE=FQ","FILING_STATUS=OR","SCALING_FORMAT=MLN","Sort=A","Dates=H","DateFormat=P","Fill=—","Direction=H","UseDPDF=Y")</f>
        <v>—</v>
      </c>
      <c r="N20" s="13" t="str">
        <f>_xll.BDH("XOM US Equity","BS_DEFERRED_TAX_ASSETS_ST","FQ2 2011","FQ2 2011","Currency=USD","Period=FQ","BEST_FPERIOD_OVERRIDE=FQ","FILING_STATUS=OR","SCALING_FORMAT=MLN","Sort=A","Dates=H","DateFormat=P","Fill=—","Direction=H","UseDPDF=Y")</f>
        <v>—</v>
      </c>
      <c r="O20" s="13" t="str">
        <f>_xll.BDH("XOM US Equity","BS_DEFERRED_TAX_ASSETS_ST","FQ3 2011","FQ3 2011","Currency=USD","Period=FQ","BEST_FPERIOD_OVERRIDE=FQ","FILING_STATUS=OR","SCALING_FORMAT=MLN","Sort=A","Dates=H","DateFormat=P","Fill=—","Direction=H","UseDPDF=Y")</f>
        <v>—</v>
      </c>
      <c r="P20" s="13" t="str">
        <f>_xll.BDH("XOM US Equity","BS_DEFERRED_TAX_ASSETS_ST","FQ4 2011","FQ4 2011","Currency=USD","Period=FQ","BEST_FPERIOD_OVERRIDE=FQ","FILING_STATUS=OR","SCALING_FORMAT=MLN","Sort=A","Dates=H","DateFormat=P","Fill=—","Direction=H","UseDPDF=Y")</f>
        <v>—</v>
      </c>
      <c r="Q20" s="13" t="str">
        <f>_xll.BDH("XOM US Equity","BS_DEFERRED_TAX_ASSETS_ST","FQ1 2012","FQ1 2012","Currency=USD","Period=FQ","BEST_FPERIOD_OVERRIDE=FQ","FILING_STATUS=OR","SCALING_FORMAT=MLN","Sort=A","Dates=H","DateFormat=P","Fill=—","Direction=H","UseDPDF=Y")</f>
        <v>—</v>
      </c>
      <c r="R20" s="13" t="str">
        <f>_xll.BDH("XOM US Equity","BS_DEFERRED_TAX_ASSETS_ST","FQ2 2012","FQ2 2012","Currency=USD","Period=FQ","BEST_FPERIOD_OVERRIDE=FQ","FILING_STATUS=OR","SCALING_FORMAT=MLN","Sort=A","Dates=H","DateFormat=P","Fill=—","Direction=H","UseDPDF=Y")</f>
        <v>—</v>
      </c>
      <c r="S20" s="13" t="str">
        <f>_xll.BDH("XOM US Equity","BS_DEFERRED_TAX_ASSETS_ST","FQ3 2012","FQ3 2012","Currency=USD","Period=FQ","BEST_FPERIOD_OVERRIDE=FQ","FILING_STATUS=OR","SCALING_FORMAT=MLN","Sort=A","Dates=H","DateFormat=P","Fill=—","Direction=H","UseDPDF=Y")</f>
        <v>—</v>
      </c>
      <c r="T20" s="13" t="str">
        <f>_xll.BDH("XOM US Equity","BS_DEFERRED_TAX_ASSETS_ST","FQ4 2012","FQ4 2012","Currency=USD","Period=FQ","BEST_FPERIOD_OVERRIDE=FQ","FILING_STATUS=OR","SCALING_FORMAT=MLN","Sort=A","Dates=H","DateFormat=P","Fill=—","Direction=H","UseDPDF=Y")</f>
        <v>—</v>
      </c>
      <c r="U20" s="13" t="str">
        <f>_xll.BDH("XOM US Equity","BS_DEFERRED_TAX_ASSETS_ST","FQ1 2013","FQ1 2013","Currency=USD","Period=FQ","BEST_FPERIOD_OVERRIDE=FQ","FILING_STATUS=OR","SCALING_FORMAT=MLN","Sort=A","Dates=H","DateFormat=P","Fill=—","Direction=H","UseDPDF=Y")</f>
        <v>—</v>
      </c>
      <c r="V20" s="13" t="str">
        <f>_xll.BDH("XOM US Equity","BS_DEFERRED_TAX_ASSETS_ST","FQ2 2013","FQ2 2013","Currency=USD","Period=FQ","BEST_FPERIOD_OVERRIDE=FQ","FILING_STATUS=OR","SCALING_FORMAT=MLN","Sort=A","Dates=H","DateFormat=P","Fill=—","Direction=H","UseDPDF=Y")</f>
        <v>—</v>
      </c>
      <c r="W20" s="13" t="str">
        <f>_xll.BDH("XOM US Equity","BS_DEFERRED_TAX_ASSETS_ST","FQ3 2013","FQ3 2013","Currency=USD","Period=FQ","BEST_FPERIOD_OVERRIDE=FQ","FILING_STATUS=OR","SCALING_FORMAT=MLN","Sort=A","Dates=H","DateFormat=P","Fill=—","Direction=H","UseDPDF=Y")</f>
        <v>—</v>
      </c>
      <c r="X20" s="13" t="str">
        <f>_xll.BDH("XOM US Equity","BS_DEFERRED_TAX_ASSETS_ST","FQ4 2013","FQ4 2013","Currency=USD","Period=FQ","BEST_FPERIOD_OVERRIDE=FQ","FILING_STATUS=OR","SCALING_FORMAT=MLN","Sort=A","Dates=H","DateFormat=P","Fill=—","Direction=H","UseDPDF=Y")</f>
        <v>—</v>
      </c>
      <c r="Y20" s="13" t="str">
        <f>_xll.BDH("XOM US Equity","BS_DEFERRED_TAX_ASSETS_ST","FQ1 2014","FQ1 2014","Currency=USD","Period=FQ","BEST_FPERIOD_OVERRIDE=FQ","FILING_STATUS=OR","SCALING_FORMAT=MLN","Sort=A","Dates=H","DateFormat=P","Fill=—","Direction=H","UseDPDF=Y")</f>
        <v>—</v>
      </c>
      <c r="Z20" s="13" t="str">
        <f>_xll.BDH("XOM US Equity","BS_DEFERRED_TAX_ASSETS_ST","FQ2 2014","FQ2 2014","Currency=USD","Period=FQ","BEST_FPERIOD_OVERRIDE=FQ","FILING_STATUS=OR","SCALING_FORMAT=MLN","Sort=A","Dates=H","DateFormat=P","Fill=—","Direction=H","UseDPDF=Y")</f>
        <v>—</v>
      </c>
      <c r="AA20" s="13" t="str">
        <f>_xll.BDH("XOM US Equity","BS_DEFERRED_TAX_ASSETS_ST","FQ3 2014","FQ3 2014","Currency=USD","Period=FQ","BEST_FPERIOD_OVERRIDE=FQ","FILING_STATUS=OR","SCALING_FORMAT=MLN","Sort=A","Dates=H","DateFormat=P","Fill=—","Direction=H","UseDPDF=Y")</f>
        <v>—</v>
      </c>
      <c r="AB20" s="13" t="str">
        <f>_xll.BDH("XOM US Equity","BS_DEFERRED_TAX_ASSETS_ST","FQ4 2014","FQ4 2014","Currency=USD","Period=FQ","BEST_FPERIOD_OVERRIDE=FQ","FILING_STATUS=OR","SCALING_FORMAT=MLN","Sort=A","Dates=H","DateFormat=P","Fill=—","Direction=H","UseDPDF=Y")</f>
        <v>—</v>
      </c>
      <c r="AC20" s="13" t="str">
        <f>_xll.BDH("XOM US Equity","BS_DEFERRED_TAX_ASSETS_ST","FQ1 2015","FQ1 2015","Currency=USD","Period=FQ","BEST_FPERIOD_OVERRIDE=FQ","FILING_STATUS=OR","SCALING_FORMAT=MLN","Sort=A","Dates=H","DateFormat=P","Fill=—","Direction=H","UseDPDF=Y")</f>
        <v>—</v>
      </c>
      <c r="AD20" s="13" t="str">
        <f>_xll.BDH("XOM US Equity","BS_DEFERRED_TAX_ASSETS_ST","FQ2 2015","FQ2 2015","Currency=USD","Period=FQ","BEST_FPERIOD_OVERRIDE=FQ","FILING_STATUS=OR","SCALING_FORMAT=MLN","Sort=A","Dates=H","DateFormat=P","Fill=—","Direction=H","UseDPDF=Y")</f>
        <v>—</v>
      </c>
      <c r="AE20" s="13" t="str">
        <f>_xll.BDH("XOM US Equity","BS_DEFERRED_TAX_ASSETS_ST","FQ3 2015","FQ3 2015","Currency=USD","Period=FQ","BEST_FPERIOD_OVERRIDE=FQ","FILING_STATUS=OR","SCALING_FORMAT=MLN","Sort=A","Dates=H","DateFormat=P","Fill=—","Direction=H","UseDPDF=Y")</f>
        <v>—</v>
      </c>
      <c r="AF20" s="13" t="str">
        <f>_xll.BDH("XOM US Equity","BS_DEFERRED_TAX_ASSETS_ST","FQ4 2015","FQ4 2015","Currency=USD","Period=FQ","BEST_FPERIOD_OVERRIDE=FQ","FILING_STATUS=OR","SCALING_FORMAT=MLN","Sort=A","Dates=H","DateFormat=P","Fill=—","Direction=H","UseDPDF=Y")</f>
        <v>—</v>
      </c>
      <c r="AG20" s="13" t="str">
        <f>_xll.BDH("XOM US Equity","BS_DEFERRED_TAX_ASSETS_ST","FQ1 2016","FQ1 2016","Currency=USD","Period=FQ","BEST_FPERIOD_OVERRIDE=FQ","FILING_STATUS=OR","SCALING_FORMAT=MLN","Sort=A","Dates=H","DateFormat=P","Fill=—","Direction=H","UseDPDF=Y")</f>
        <v>—</v>
      </c>
      <c r="AH20" s="13" t="str">
        <f>_xll.BDH("XOM US Equity","BS_DEFERRED_TAX_ASSETS_ST","FQ2 2016","FQ2 2016","Currency=USD","Period=FQ","BEST_FPERIOD_OVERRIDE=FQ","FILING_STATUS=OR","SCALING_FORMAT=MLN","Sort=A","Dates=H","DateFormat=P","Fill=—","Direction=H","UseDPDF=Y")</f>
        <v>—</v>
      </c>
      <c r="AI20" s="13">
        <f>_xll.BDH("XOM US Equity","BS_DEFERRED_TAX_ASSETS_ST","FQ3 2016","FQ3 2016","Currency=USD","Period=FQ","BEST_FPERIOD_OVERRIDE=FQ","FILING_STATUS=OR","SCALING_FORMAT=MLN","Sort=A","Dates=H","DateFormat=P","Fill=—","Direction=H","UseDPDF=Y")</f>
        <v>0</v>
      </c>
      <c r="AJ20" s="13" t="str">
        <f>_xll.BDH("XOM US Equity","BS_DEFERRED_TAX_ASSETS_ST","FQ4 2016","FQ4 2016","Currency=USD","Period=FQ","BEST_FPERIOD_OVERRIDE=FQ","FILING_STATUS=OR","SCALING_FORMAT=MLN","Sort=A","Dates=H","DateFormat=P","Fill=—","Direction=H","UseDPDF=Y")</f>
        <v>—</v>
      </c>
      <c r="AK20" s="13" t="str">
        <f>_xll.BDH("XOM US Equity","BS_DEFERRED_TAX_ASSETS_ST","FQ1 2017","FQ1 2017","Currency=USD","Period=FQ","BEST_FPERIOD_OVERRIDE=FQ","FILING_STATUS=OR","SCALING_FORMAT=MLN","Sort=A","Dates=H","DateFormat=P","Fill=—","Direction=H","UseDPDF=Y")</f>
        <v>—</v>
      </c>
      <c r="AL20" s="13" t="str">
        <f>_xll.BDH("XOM US Equity","BS_DEFERRED_TAX_ASSETS_ST","FQ2 2017","FQ2 2017","Currency=USD","Period=FQ","BEST_FPERIOD_OVERRIDE=FQ","FILING_STATUS=OR","SCALING_FORMAT=MLN","Sort=A","Dates=H","DateFormat=P","Fill=—","Direction=H","UseDPDF=Y")</f>
        <v>—</v>
      </c>
      <c r="AM20" s="13" t="str">
        <f>_xll.BDH("XOM US Equity","BS_DEFERRED_TAX_ASSETS_ST","FQ3 2017","FQ3 2017","Currency=USD","Period=FQ","BEST_FPERIOD_OVERRIDE=FQ","FILING_STATUS=OR","SCALING_FORMAT=MLN","Sort=A","Dates=H","DateFormat=P","Fill=—","Direction=H","UseDPDF=Y")</f>
        <v>—</v>
      </c>
      <c r="AN20" s="13" t="str">
        <f>_xll.BDH("XOM US Equity","BS_DEFERRED_TAX_ASSETS_ST","FQ4 2017","FQ4 2017","Currency=USD","Period=FQ","BEST_FPERIOD_OVERRIDE=FQ","FILING_STATUS=OR","SCALING_FORMAT=MLN","Sort=A","Dates=H","DateFormat=P","Fill=—","Direction=H","UseDPDF=Y")</f>
        <v>—</v>
      </c>
      <c r="AO20" s="13" t="str">
        <f>_xll.BDH("XOM US Equity","BS_DEFERRED_TAX_ASSETS_ST","FQ1 2018","FQ1 2018","Currency=USD","Period=FQ","BEST_FPERIOD_OVERRIDE=FQ","FILING_STATUS=OR","SCALING_FORMAT=MLN","Sort=A","Dates=H","DateFormat=P","Fill=—","Direction=H","UseDPDF=Y")</f>
        <v>—</v>
      </c>
      <c r="AP20" s="13" t="str">
        <f>_xll.BDH("XOM US Equity","BS_DEFERRED_TAX_ASSETS_ST","FQ2 2018","FQ2 2018","Currency=USD","Period=FQ","BEST_FPERIOD_OVERRIDE=FQ","FILING_STATUS=OR","SCALING_FORMAT=MLN","Sort=A","Dates=H","DateFormat=P","Fill=—","Direction=H","UseDPDF=Y")</f>
        <v>—</v>
      </c>
    </row>
    <row r="21" spans="1:42" x14ac:dyDescent="0.25">
      <c r="A21" s="10" t="s">
        <v>234</v>
      </c>
      <c r="B21" s="10" t="s">
        <v>235</v>
      </c>
      <c r="C21" s="13" t="str">
        <f>_xll.BDH("XOM US Equity","BS_OTHER_CUR_ASSET_LESS_PREPAY","FQ3 2008","FQ3 2008","Currency=USD","Period=FQ","BEST_FPERIOD_OVERRIDE=FQ","FILING_STATUS=OR","SCALING_FORMAT=MLN","Sort=A","Dates=H","DateFormat=P","Fill=—","Direction=H","UseDPDF=Y")</f>
        <v>—</v>
      </c>
      <c r="D21" s="13" t="str">
        <f>_xll.BDH("XOM US Equity","BS_OTHER_CUR_ASSET_LESS_PREPAY","FQ4 2008","FQ4 2008","Currency=USD","Period=FQ","BEST_FPERIOD_OVERRIDE=FQ","FILING_STATUS=OR","SCALING_FORMAT=MLN","Sort=A","Dates=H","DateFormat=P","Fill=—","Direction=H","UseDPDF=Y")</f>
        <v>—</v>
      </c>
      <c r="E21" s="13">
        <f>_xll.BDH("XOM US Equity","BS_OTHER_CUR_ASSET_LESS_PREPAY","FQ1 2009","FQ1 2009","Currency=USD","Period=FQ","BEST_FPERIOD_OVERRIDE=FQ","FILING_STATUS=OR","SCALING_FORMAT=MLN","Sort=A","Dates=H","DateFormat=P","Fill=—","Direction=H","UseDPDF=Y")</f>
        <v>4019</v>
      </c>
      <c r="F21" s="13">
        <f>_xll.BDH("XOM US Equity","BS_OTHER_CUR_ASSET_LESS_PREPAY","FQ2 2009","FQ2 2009","Currency=USD","Period=FQ","BEST_FPERIOD_OVERRIDE=FQ","FILING_STATUS=OR","SCALING_FORMAT=MLN","Sort=A","Dates=H","DateFormat=P","Fill=—","Direction=H","UseDPDF=Y")</f>
        <v>4464</v>
      </c>
      <c r="G21" s="13">
        <f>_xll.BDH("XOM US Equity","BS_OTHER_CUR_ASSET_LESS_PREPAY","FQ3 2009","FQ3 2009","Currency=USD","Period=FQ","BEST_FPERIOD_OVERRIDE=FQ","FILING_STATUS=OR","SCALING_FORMAT=MLN","Sort=A","Dates=H","DateFormat=P","Fill=—","Direction=H","UseDPDF=Y")</f>
        <v>5179</v>
      </c>
      <c r="H21" s="13">
        <f>_xll.BDH("XOM US Equity","BS_OTHER_CUR_ASSET_LESS_PREPAY","FQ4 2009","FQ4 2009","Currency=USD","Period=FQ","BEST_FPERIOD_OVERRIDE=FQ","FILING_STATUS=OR","SCALING_FORMAT=MLN","Sort=A","Dates=H","DateFormat=P","Fill=—","Direction=H","UseDPDF=Y")</f>
        <v>5175</v>
      </c>
      <c r="I21" s="13">
        <f>_xll.BDH("XOM US Equity","BS_OTHER_CUR_ASSET_LESS_PREPAY","FQ1 2010","FQ1 2010","Currency=USD","Period=FQ","BEST_FPERIOD_OVERRIDE=FQ","FILING_STATUS=OR","SCALING_FORMAT=MLN","Sort=A","Dates=H","DateFormat=P","Fill=—","Direction=H","UseDPDF=Y")</f>
        <v>5329</v>
      </c>
      <c r="J21" s="13">
        <f>_xll.BDH("XOM US Equity","BS_OTHER_CUR_ASSET_LESS_PREPAY","FQ2 2010","FQ2 2010","Currency=USD","Period=FQ","BEST_FPERIOD_OVERRIDE=FQ","FILING_STATUS=OR","SCALING_FORMAT=MLN","Sort=A","Dates=H","DateFormat=P","Fill=—","Direction=H","UseDPDF=Y")</f>
        <v>5305</v>
      </c>
      <c r="K21" s="13">
        <f>_xll.BDH("XOM US Equity","BS_OTHER_CUR_ASSET_LESS_PREPAY","FQ3 2010","FQ3 2010","Currency=USD","Period=FQ","BEST_FPERIOD_OVERRIDE=FQ","FILING_STATUS=OR","SCALING_FORMAT=MLN","Sort=A","Dates=H","DateFormat=P","Fill=—","Direction=H","UseDPDF=Y")</f>
        <v>5036</v>
      </c>
      <c r="L21" s="13">
        <f>_xll.BDH("XOM US Equity","BS_OTHER_CUR_ASSET_LESS_PREPAY","FQ4 2010","FQ4 2010","Currency=USD","Period=FQ","BEST_FPERIOD_OVERRIDE=FQ","FILING_STATUS=OR","SCALING_FORMAT=MLN","Sort=A","Dates=H","DateFormat=P","Fill=—","Direction=H","UseDPDF=Y")</f>
        <v>5897</v>
      </c>
      <c r="M21" s="13">
        <f>_xll.BDH("XOM US Equity","BS_OTHER_CUR_ASSET_LESS_PREPAY","FQ1 2011","FQ1 2011","Currency=USD","Period=FQ","BEST_FPERIOD_OVERRIDE=FQ","FILING_STATUS=OR","SCALING_FORMAT=MLN","Sort=A","Dates=H","DateFormat=P","Fill=—","Direction=H","UseDPDF=Y")</f>
        <v>7781</v>
      </c>
      <c r="N21" s="13">
        <f>_xll.BDH("XOM US Equity","BS_OTHER_CUR_ASSET_LESS_PREPAY","FQ2 2011","FQ2 2011","Currency=USD","Period=FQ","BEST_FPERIOD_OVERRIDE=FQ","FILING_STATUS=OR","SCALING_FORMAT=MLN","Sort=A","Dates=H","DateFormat=P","Fill=—","Direction=H","UseDPDF=Y")</f>
        <v>7885</v>
      </c>
      <c r="O21" s="13">
        <f>_xll.BDH("XOM US Equity","BS_OTHER_CUR_ASSET_LESS_PREPAY","FQ3 2011","FQ3 2011","Currency=USD","Period=FQ","BEST_FPERIOD_OVERRIDE=FQ","FILING_STATUS=OR","SCALING_FORMAT=MLN","Sort=A","Dates=H","DateFormat=P","Fill=—","Direction=H","UseDPDF=Y")</f>
        <v>7256</v>
      </c>
      <c r="P21" s="13">
        <f>_xll.BDH("XOM US Equity","BS_OTHER_CUR_ASSET_LESS_PREPAY","FQ4 2011","FQ4 2011","Currency=USD","Period=FQ","BEST_FPERIOD_OVERRIDE=FQ","FILING_STATUS=OR","SCALING_FORMAT=MLN","Sort=A","Dates=H","DateFormat=P","Fill=—","Direction=H","UseDPDF=Y")</f>
        <v>6633</v>
      </c>
      <c r="Q21" s="13">
        <f>_xll.BDH("XOM US Equity","BS_OTHER_CUR_ASSET_LESS_PREPAY","FQ1 2012","FQ1 2012","Currency=USD","Period=FQ","BEST_FPERIOD_OVERRIDE=FQ","FILING_STATUS=OR","SCALING_FORMAT=MLN","Sort=A","Dates=H","DateFormat=P","Fill=—","Direction=H","UseDPDF=Y")</f>
        <v>6897</v>
      </c>
      <c r="R21" s="13">
        <f>_xll.BDH("XOM US Equity","BS_OTHER_CUR_ASSET_LESS_PREPAY","FQ2 2012","FQ2 2012","Currency=USD","Period=FQ","BEST_FPERIOD_OVERRIDE=FQ","FILING_STATUS=OR","SCALING_FORMAT=MLN","Sort=A","Dates=H","DateFormat=P","Fill=—","Direction=H","UseDPDF=Y")</f>
        <v>6096</v>
      </c>
      <c r="S21" s="13">
        <f>_xll.BDH("XOM US Equity","BS_OTHER_CUR_ASSET_LESS_PREPAY","FQ3 2012","FQ3 2012","Currency=USD","Period=FQ","BEST_FPERIOD_OVERRIDE=FQ","FILING_STATUS=OR","SCALING_FORMAT=MLN","Sort=A","Dates=H","DateFormat=P","Fill=—","Direction=H","UseDPDF=Y")</f>
        <v>5873</v>
      </c>
      <c r="T21" s="13">
        <f>_xll.BDH("XOM US Equity","BS_OTHER_CUR_ASSET_LESS_PREPAY","FQ4 2012","FQ4 2012","Currency=USD","Period=FQ","BEST_FPERIOD_OVERRIDE=FQ","FILING_STATUS=OR","SCALING_FORMAT=MLN","Sort=A","Dates=H","DateFormat=P","Fill=—","Direction=H","UseDPDF=Y")</f>
        <v>5349</v>
      </c>
      <c r="U21" s="13">
        <f>_xll.BDH("XOM US Equity","BS_OTHER_CUR_ASSET_LESS_PREPAY","FQ1 2013","FQ1 2013","Currency=USD","Period=FQ","BEST_FPERIOD_OVERRIDE=FQ","FILING_STATUS=OR","SCALING_FORMAT=MLN","Sort=A","Dates=H","DateFormat=P","Fill=—","Direction=H","UseDPDF=Y")</f>
        <v>5858</v>
      </c>
      <c r="V21" s="13">
        <f>_xll.BDH("XOM US Equity","BS_OTHER_CUR_ASSET_LESS_PREPAY","FQ2 2013","FQ2 2013","Currency=USD","Period=FQ","BEST_FPERIOD_OVERRIDE=FQ","FILING_STATUS=OR","SCALING_FORMAT=MLN","Sort=A","Dates=H","DateFormat=P","Fill=—","Direction=H","UseDPDF=Y")</f>
        <v>5698</v>
      </c>
      <c r="W21" s="13">
        <f>_xll.BDH("XOM US Equity","BS_OTHER_CUR_ASSET_LESS_PREPAY","FQ3 2013","FQ3 2013","Currency=USD","Period=FQ","BEST_FPERIOD_OVERRIDE=FQ","FILING_STATUS=OR","SCALING_FORMAT=MLN","Sort=A","Dates=H","DateFormat=P","Fill=—","Direction=H","UseDPDF=Y")</f>
        <v>5896</v>
      </c>
      <c r="X21" s="13">
        <f>_xll.BDH("XOM US Equity","BS_OTHER_CUR_ASSET_LESS_PREPAY","FQ4 2013","FQ4 2013","Currency=USD","Period=FQ","BEST_FPERIOD_OVERRIDE=FQ","FILING_STATUS=OR","SCALING_FORMAT=MLN","Sort=A","Dates=H","DateFormat=P","Fill=—","Direction=H","UseDPDF=Y")</f>
        <v>5377</v>
      </c>
      <c r="Y21" s="13">
        <f>_xll.BDH("XOM US Equity","BS_OTHER_CUR_ASSET_LESS_PREPAY","FQ1 2014","FQ1 2014","Currency=USD","Period=FQ","BEST_FPERIOD_OVERRIDE=FQ","FILING_STATUS=OR","SCALING_FORMAT=MLN","Sort=A","Dates=H","DateFormat=P","Fill=—","Direction=H","UseDPDF=Y")</f>
        <v>5215</v>
      </c>
      <c r="Z21" s="13">
        <f>_xll.BDH("XOM US Equity","BS_OTHER_CUR_ASSET_LESS_PREPAY","FQ2 2014","FQ2 2014","Currency=USD","Period=FQ","BEST_FPERIOD_OVERRIDE=FQ","FILING_STATUS=OR","SCALING_FORMAT=MLN","Sort=A","Dates=H","DateFormat=P","Fill=—","Direction=H","UseDPDF=Y")</f>
        <v>5571</v>
      </c>
      <c r="AA21" s="13">
        <f>_xll.BDH("XOM US Equity","BS_OTHER_CUR_ASSET_LESS_PREPAY","FQ3 2014","FQ3 2014","Currency=USD","Period=FQ","BEST_FPERIOD_OVERRIDE=FQ","FILING_STATUS=OR","SCALING_FORMAT=MLN","Sort=A","Dates=H","DateFormat=P","Fill=—","Direction=H","UseDPDF=Y")</f>
        <v>4909</v>
      </c>
      <c r="AB21" s="13">
        <f>_xll.BDH("XOM US Equity","BS_OTHER_CUR_ASSET_LESS_PREPAY","FQ4 2014","FQ4 2014","Currency=USD","Period=FQ","BEST_FPERIOD_OVERRIDE=FQ","FILING_STATUS=OR","SCALING_FORMAT=MLN","Sort=A","Dates=H","DateFormat=P","Fill=—","Direction=H","UseDPDF=Y")</f>
        <v>3607</v>
      </c>
      <c r="AC21" s="13">
        <f>_xll.BDH("XOM US Equity","BS_OTHER_CUR_ASSET_LESS_PREPAY","FQ1 2015","FQ1 2015","Currency=USD","Period=FQ","BEST_FPERIOD_OVERRIDE=FQ","FILING_STATUS=OR","SCALING_FORMAT=MLN","Sort=A","Dates=H","DateFormat=P","Fill=—","Direction=H","UseDPDF=Y")</f>
        <v>4341</v>
      </c>
      <c r="AD21" s="13">
        <f>_xll.BDH("XOM US Equity","BS_OTHER_CUR_ASSET_LESS_PREPAY","FQ2 2015","FQ2 2015","Currency=USD","Period=FQ","BEST_FPERIOD_OVERRIDE=FQ","FILING_STATUS=OR","SCALING_FORMAT=MLN","Sort=A","Dates=H","DateFormat=P","Fill=—","Direction=H","UseDPDF=Y")</f>
        <v>4684</v>
      </c>
      <c r="AE21" s="13">
        <f>_xll.BDH("XOM US Equity","BS_OTHER_CUR_ASSET_LESS_PREPAY","FQ3 2015","FQ3 2015","Currency=USD","Period=FQ","BEST_FPERIOD_OVERRIDE=FQ","FILING_STATUS=OR","SCALING_FORMAT=MLN","Sort=A","Dates=H","DateFormat=P","Fill=—","Direction=H","UseDPDF=Y")</f>
        <v>4197</v>
      </c>
      <c r="AF21" s="13">
        <f>_xll.BDH("XOM US Equity","BS_OTHER_CUR_ASSET_LESS_PREPAY","FQ4 2015","FQ4 2015","Currency=USD","Period=FQ","BEST_FPERIOD_OVERRIDE=FQ","FILING_STATUS=OR","SCALING_FORMAT=MLN","Sort=A","Dates=H","DateFormat=P","Fill=—","Direction=H","UseDPDF=Y")</f>
        <v>2798</v>
      </c>
      <c r="AG21" s="13">
        <f>_xll.BDH("XOM US Equity","BS_OTHER_CUR_ASSET_LESS_PREPAY","FQ1 2016","FQ1 2016","Currency=USD","Period=FQ","BEST_FPERIOD_OVERRIDE=FQ","FILING_STATUS=OR","SCALING_FORMAT=MLN","Sort=A","Dates=H","DateFormat=P","Fill=—","Direction=H","UseDPDF=Y")</f>
        <v>3368</v>
      </c>
      <c r="AH21" s="13">
        <f>_xll.BDH("XOM US Equity","BS_OTHER_CUR_ASSET_LESS_PREPAY","FQ2 2016","FQ2 2016","Currency=USD","Period=FQ","BEST_FPERIOD_OVERRIDE=FQ","FILING_STATUS=OR","SCALING_FORMAT=MLN","Sort=A","Dates=H","DateFormat=P","Fill=—","Direction=H","UseDPDF=Y")</f>
        <v>3768</v>
      </c>
      <c r="AI21" s="13">
        <f>_xll.BDH("XOM US Equity","BS_OTHER_CUR_ASSET_LESS_PREPAY","FQ3 2016","FQ3 2016","Currency=USD","Period=FQ","BEST_FPERIOD_OVERRIDE=FQ","FILING_STATUS=OR","SCALING_FORMAT=MLN","Sort=A","Dates=H","DateFormat=P","Fill=—","Direction=H","UseDPDF=Y")</f>
        <v>2122</v>
      </c>
      <c r="AJ21" s="13">
        <f>_xll.BDH("XOM US Equity","BS_OTHER_CUR_ASSET_LESS_PREPAY","FQ4 2016","FQ4 2016","Currency=USD","Period=FQ","BEST_FPERIOD_OVERRIDE=FQ","FILING_STATUS=OR","SCALING_FORMAT=MLN","Sort=A","Dates=H","DateFormat=P","Fill=—","Direction=H","UseDPDF=Y")</f>
        <v>1285</v>
      </c>
      <c r="AK21" s="13">
        <f>_xll.BDH("XOM US Equity","BS_OTHER_CUR_ASSET_LESS_PREPAY","FQ1 2017","FQ1 2017","Currency=USD","Period=FQ","BEST_FPERIOD_OVERRIDE=FQ","FILING_STATUS=OR","SCALING_FORMAT=MLN","Sort=A","Dates=H","DateFormat=P","Fill=—","Direction=H","UseDPDF=Y")</f>
        <v>1519</v>
      </c>
      <c r="AL21" s="13">
        <f>_xll.BDH("XOM US Equity","BS_OTHER_CUR_ASSET_LESS_PREPAY","FQ2 2017","FQ2 2017","Currency=USD","Period=FQ","BEST_FPERIOD_OVERRIDE=FQ","FILING_STATUS=OR","SCALING_FORMAT=MLN","Sort=A","Dates=H","DateFormat=P","Fill=—","Direction=H","UseDPDF=Y")</f>
        <v>1544</v>
      </c>
      <c r="AM21" s="13">
        <f>_xll.BDH("XOM US Equity","BS_OTHER_CUR_ASSET_LESS_PREPAY","FQ3 2017","FQ3 2017","Currency=USD","Period=FQ","BEST_FPERIOD_OVERRIDE=FQ","FILING_STATUS=OR","SCALING_FORMAT=MLN","Sort=A","Dates=H","DateFormat=P","Fill=—","Direction=H","UseDPDF=Y")</f>
        <v>1480</v>
      </c>
      <c r="AN21" s="13">
        <f>_xll.BDH("XOM US Equity","BS_OTHER_CUR_ASSET_LESS_PREPAY","FQ4 2017","FQ4 2017","Currency=USD","Period=FQ","BEST_FPERIOD_OVERRIDE=FQ","FILING_STATUS=OR","SCALING_FORMAT=MLN","Sort=A","Dates=H","DateFormat=P","Fill=—","Direction=H","UseDPDF=Y")</f>
        <v>1368</v>
      </c>
      <c r="AO21" s="13">
        <f>_xll.BDH("XOM US Equity","BS_OTHER_CUR_ASSET_LESS_PREPAY","FQ1 2018","FQ1 2018","Currency=USD","Period=FQ","BEST_FPERIOD_OVERRIDE=FQ","FILING_STATUS=OR","SCALING_FORMAT=MLN","Sort=A","Dates=H","DateFormat=P","Fill=—","Direction=H","UseDPDF=Y")</f>
        <v>1456</v>
      </c>
      <c r="AP21" s="13">
        <f>_xll.BDH("XOM US Equity","BS_OTHER_CUR_ASSET_LESS_PREPAY","FQ2 2018","FQ2 2018","Currency=USD","Period=FQ","BEST_FPERIOD_OVERRIDE=FQ","FILING_STATUS=OR","SCALING_FORMAT=MLN","Sort=A","Dates=H","DateFormat=P","Fill=—","Direction=H","UseDPDF=Y")</f>
        <v>1649</v>
      </c>
    </row>
    <row r="22" spans="1:42" x14ac:dyDescent="0.25">
      <c r="A22" s="6" t="s">
        <v>236</v>
      </c>
      <c r="B22" s="6" t="s">
        <v>237</v>
      </c>
      <c r="C22" s="16">
        <f>_xll.BDH("XOM US Equity","BS_CUR_ASSET_REPORT","FQ3 2008","FQ3 2008","Currency=USD","Period=FQ","BEST_FPERIOD_OVERRIDE=FQ","FILING_STATUS=OR","SCALING_FORMAT=MLN","Sort=A","Dates=H","DateFormat=P","Fill=—","Direction=H","UseDPDF=Y")</f>
        <v>96021</v>
      </c>
      <c r="D22" s="16">
        <f>_xll.BDH("XOM US Equity","BS_CUR_ASSET_REPORT","FQ4 2008","FQ4 2008","Currency=USD","Period=FQ","BEST_FPERIOD_OVERRIDE=FQ","FILING_STATUS=OR","SCALING_FORMAT=MLN","Sort=A","Dates=H","DateFormat=P","Fill=—","Direction=H","UseDPDF=Y")</f>
        <v>72266</v>
      </c>
      <c r="E22" s="16">
        <f>_xll.BDH("XOM US Equity","BS_CUR_ASSET_REPORT","FQ1 2009","FQ1 2009","Currency=USD","Period=FQ","BEST_FPERIOD_OVERRIDE=FQ","FILING_STATUS=OR","SCALING_FORMAT=MLN","Sort=A","Dates=H","DateFormat=P","Fill=—","Direction=H","UseDPDF=Y")</f>
        <v>64818</v>
      </c>
      <c r="F22" s="16">
        <f>_xll.BDH("XOM US Equity","BS_CUR_ASSET_REPORT","FQ2 2009","FQ2 2009","Currency=USD","Period=FQ","BEST_FPERIOD_OVERRIDE=FQ","FILING_STATUS=OR","SCALING_FORMAT=MLN","Sort=A","Dates=H","DateFormat=P","Fill=—","Direction=H","UseDPDF=Y")</f>
        <v>59496</v>
      </c>
      <c r="G22" s="16">
        <f>_xll.BDH("XOM US Equity","BS_CUR_ASSET_REPORT","FQ3 2009","FQ3 2009","Currency=USD","Period=FQ","BEST_FPERIOD_OVERRIDE=FQ","FILING_STATUS=OR","SCALING_FORMAT=MLN","Sort=A","Dates=H","DateFormat=P","Fill=—","Direction=H","UseDPDF=Y")</f>
        <v>57324</v>
      </c>
      <c r="H22" s="16">
        <f>_xll.BDH("XOM US Equity","BS_CUR_ASSET_REPORT","FQ4 2009","FQ4 2009","Currency=USD","Period=FQ","BEST_FPERIOD_OVERRIDE=FQ","FILING_STATUS=OR","SCALING_FORMAT=MLN","Sort=A","Dates=H","DateFormat=P","Fill=—","Direction=H","UseDPDF=Y")</f>
        <v>55235</v>
      </c>
      <c r="I22" s="16">
        <f>_xll.BDH("XOM US Equity","BS_CUR_ASSET_REPORT","FQ1 2010","FQ1 2010","Currency=USD","Period=FQ","BEST_FPERIOD_OVERRIDE=FQ","FILING_STATUS=OR","SCALING_FORMAT=MLN","Sort=A","Dates=H","DateFormat=P","Fill=—","Direction=H","UseDPDF=Y")</f>
        <v>61696</v>
      </c>
      <c r="J22" s="16">
        <f>_xll.BDH("XOM US Equity","BS_CUR_ASSET_REPORT","FQ2 2010","FQ2 2010","Currency=USD","Period=FQ","BEST_FPERIOD_OVERRIDE=FQ","FILING_STATUS=OR","SCALING_FORMAT=MLN","Sort=A","Dates=H","DateFormat=P","Fill=—","Direction=H","UseDPDF=Y")</f>
        <v>62216</v>
      </c>
      <c r="K22" s="16">
        <f>_xll.BDH("XOM US Equity","BS_CUR_ASSET_REPORT","FQ3 2010","FQ3 2010","Currency=USD","Period=FQ","BEST_FPERIOD_OVERRIDE=FQ","FILING_STATUS=OR","SCALING_FORMAT=MLN","Sort=A","Dates=H","DateFormat=P","Fill=—","Direction=H","UseDPDF=Y")</f>
        <v>62633</v>
      </c>
      <c r="L22" s="16">
        <f>_xll.BDH("XOM US Equity","BS_CUR_ASSET_REPORT","FQ4 2010","FQ4 2010","Currency=USD","Period=FQ","BEST_FPERIOD_OVERRIDE=FQ","FILING_STATUS=OR","SCALING_FORMAT=MLN","Sort=A","Dates=H","DateFormat=P","Fill=—","Direction=H","UseDPDF=Y")</f>
        <v>58984</v>
      </c>
      <c r="M22" s="16">
        <f>_xll.BDH("XOM US Equity","BS_CUR_ASSET_REPORT","FQ1 2011","FQ1 2011","Currency=USD","Period=FQ","BEST_FPERIOD_OVERRIDE=FQ","FILING_STATUS=OR","SCALING_FORMAT=MLN","Sort=A","Dates=H","DateFormat=P","Fill=—","Direction=H","UseDPDF=Y")</f>
        <v>72022</v>
      </c>
      <c r="N22" s="16">
        <f>_xll.BDH("XOM US Equity","BS_CUR_ASSET_REPORT","FQ2 2011","FQ2 2011","Currency=USD","Period=FQ","BEST_FPERIOD_OVERRIDE=FQ","FILING_STATUS=OR","SCALING_FORMAT=MLN","Sort=A","Dates=H","DateFormat=P","Fill=—","Direction=H","UseDPDF=Y")</f>
        <v>72305</v>
      </c>
      <c r="O22" s="16">
        <f>_xll.BDH("XOM US Equity","BS_CUR_ASSET_REPORT","FQ3 2011","FQ3 2011","Currency=USD","Period=FQ","BEST_FPERIOD_OVERRIDE=FQ","FILING_STATUS=OR","SCALING_FORMAT=MLN","Sort=A","Dates=H","DateFormat=P","Fill=—","Direction=H","UseDPDF=Y")</f>
        <v>69376</v>
      </c>
      <c r="P22" s="16">
        <f>_xll.BDH("XOM US Equity","BS_CUR_ASSET_REPORT","FQ4 2011","FQ4 2011","Currency=USD","Period=FQ","BEST_FPERIOD_OVERRIDE=FQ","FILING_STATUS=OR","SCALING_FORMAT=MLN","Sort=A","Dates=H","DateFormat=P","Fill=—","Direction=H","UseDPDF=Y")</f>
        <v>72963</v>
      </c>
      <c r="Q22" s="16">
        <f>_xll.BDH("XOM US Equity","BS_CUR_ASSET_REPORT","FQ1 2012","FQ1 2012","Currency=USD","Period=FQ","BEST_FPERIOD_OVERRIDE=FQ","FILING_STATUS=OR","SCALING_FORMAT=MLN","Sort=A","Dates=H","DateFormat=P","Fill=—","Direction=H","UseDPDF=Y")</f>
        <v>76160</v>
      </c>
      <c r="R22" s="16">
        <f>_xll.BDH("XOM US Equity","BS_CUR_ASSET_REPORT","FQ2 2012","FQ2 2012","Currency=USD","Period=FQ","BEST_FPERIOD_OVERRIDE=FQ","FILING_STATUS=OR","SCALING_FORMAT=MLN","Sort=A","Dates=H","DateFormat=P","Fill=—","Direction=H","UseDPDF=Y")</f>
        <v>72797</v>
      </c>
      <c r="S22" s="16">
        <f>_xll.BDH("XOM US Equity","BS_CUR_ASSET_REPORT","FQ3 2012","FQ3 2012","Currency=USD","Period=FQ","BEST_FPERIOD_OVERRIDE=FQ","FILING_STATUS=OR","SCALING_FORMAT=MLN","Sort=A","Dates=H","DateFormat=P","Fill=—","Direction=H","UseDPDF=Y")</f>
        <v>72138</v>
      </c>
      <c r="T22" s="16">
        <f>_xll.BDH("XOM US Equity","BS_CUR_ASSET_REPORT","FQ4 2012","FQ4 2012","Currency=USD","Period=FQ","BEST_FPERIOD_OVERRIDE=FQ","FILING_STATUS=OR","SCALING_FORMAT=MLN","Sort=A","Dates=H","DateFormat=P","Fill=—","Direction=H","UseDPDF=Y")</f>
        <v>64460</v>
      </c>
      <c r="U22" s="16">
        <f>_xll.BDH("XOM US Equity","BS_CUR_ASSET_REPORT","FQ1 2013","FQ1 2013","Currency=USD","Period=FQ","BEST_FPERIOD_OVERRIDE=FQ","FILING_STATUS=OR","SCALING_FORMAT=MLN","Sort=A","Dates=H","DateFormat=P","Fill=—","Direction=H","UseDPDF=Y")</f>
        <v>62594</v>
      </c>
      <c r="V22" s="16">
        <f>_xll.BDH("XOM US Equity","BS_CUR_ASSET_REPORT","FQ2 2013","FQ2 2013","Currency=USD","Period=FQ","BEST_FPERIOD_OVERRIDE=FQ","FILING_STATUS=OR","SCALING_FORMAT=MLN","Sort=A","Dates=H","DateFormat=P","Fill=—","Direction=H","UseDPDF=Y")</f>
        <v>62844</v>
      </c>
      <c r="W22" s="16">
        <f>_xll.BDH("XOM US Equity","BS_CUR_ASSET_REPORT","FQ3 2013","FQ3 2013","Currency=USD","Period=FQ","BEST_FPERIOD_OVERRIDE=FQ","FILING_STATUS=OR","SCALING_FORMAT=MLN","Sort=A","Dates=H","DateFormat=P","Fill=—","Direction=H","UseDPDF=Y")</f>
        <v>61303</v>
      </c>
      <c r="X22" s="16">
        <f>_xll.BDH("XOM US Equity","BS_CUR_ASSET_REPORT","FQ4 2013","FQ4 2013","Currency=USD","Period=FQ","BEST_FPERIOD_OVERRIDE=FQ","FILING_STATUS=OR","SCALING_FORMAT=MLN","Sort=A","Dates=H","DateFormat=P","Fill=—","Direction=H","UseDPDF=Y")</f>
        <v>59308</v>
      </c>
      <c r="Y22" s="16">
        <f>_xll.BDH("XOM US Equity","BS_CUR_ASSET_REPORT","FQ1 2014","FQ1 2014","Currency=USD","Period=FQ","BEST_FPERIOD_OVERRIDE=FQ","FILING_STATUS=OR","SCALING_FORMAT=MLN","Sort=A","Dates=H","DateFormat=P","Fill=—","Direction=H","UseDPDF=Y")</f>
        <v>61864</v>
      </c>
      <c r="Z22" s="16">
        <f>_xll.BDH("XOM US Equity","BS_CUR_ASSET_REPORT","FQ2 2014","FQ2 2014","Currency=USD","Period=FQ","BEST_FPERIOD_OVERRIDE=FQ","FILING_STATUS=OR","SCALING_FORMAT=MLN","Sort=A","Dates=H","DateFormat=P","Fill=—","Direction=H","UseDPDF=Y")</f>
        <v>64013</v>
      </c>
      <c r="AA22" s="16">
        <f>_xll.BDH("XOM US Equity","BS_CUR_ASSET_REPORT","FQ3 2014","FQ3 2014","Currency=USD","Period=FQ","BEST_FPERIOD_OVERRIDE=FQ","FILING_STATUS=OR","SCALING_FORMAT=MLN","Sort=A","Dates=H","DateFormat=P","Fill=—","Direction=H","UseDPDF=Y")</f>
        <v>58595</v>
      </c>
      <c r="AB22" s="16">
        <f>_xll.BDH("XOM US Equity","BS_CUR_ASSET_REPORT","FQ4 2014","FQ4 2014","Currency=USD","Period=FQ","BEST_FPERIOD_OVERRIDE=FQ","FILING_STATUS=OR","SCALING_FORMAT=MLN","Sort=A","Dates=H","DateFormat=P","Fill=—","Direction=H","UseDPDF=Y")</f>
        <v>52910</v>
      </c>
      <c r="AC22" s="16">
        <f>_xll.BDH("XOM US Equity","BS_CUR_ASSET_REPORT","FQ1 2015","FQ1 2015","Currency=USD","Period=FQ","BEST_FPERIOD_OVERRIDE=FQ","FILING_STATUS=OR","SCALING_FORMAT=MLN","Sort=A","Dates=H","DateFormat=P","Fill=—","Direction=H","UseDPDF=Y")</f>
        <v>50658</v>
      </c>
      <c r="AD22" s="16">
        <f>_xll.BDH("XOM US Equity","BS_CUR_ASSET_REPORT","FQ2 2015","FQ2 2015","Currency=USD","Period=FQ","BEST_FPERIOD_OVERRIDE=FQ","FILING_STATUS=OR","SCALING_FORMAT=MLN","Sort=A","Dates=H","DateFormat=P","Fill=—","Direction=H","UseDPDF=Y")</f>
        <v>51647</v>
      </c>
      <c r="AE22" s="16">
        <f>_xll.BDH("XOM US Equity","BS_CUR_ASSET_REPORT","FQ3 2015","FQ3 2015","Currency=USD","Period=FQ","BEST_FPERIOD_OVERRIDE=FQ","FILING_STATUS=OR","SCALING_FORMAT=MLN","Sort=A","Dates=H","DateFormat=P","Fill=—","Direction=H","UseDPDF=Y")</f>
        <v>47234</v>
      </c>
      <c r="AF22" s="16">
        <f>_xll.BDH("XOM US Equity","BS_CUR_ASSET_REPORT","FQ4 2015","FQ4 2015","Currency=USD","Period=FQ","BEST_FPERIOD_OVERRIDE=FQ","FILING_STATUS=OR","SCALING_FORMAT=MLN","Sort=A","Dates=H","DateFormat=P","Fill=—","Direction=H","UseDPDF=Y")</f>
        <v>42623</v>
      </c>
      <c r="AG22" s="16">
        <f>_xll.BDH("XOM US Equity","BS_CUR_ASSET_REPORT","FQ1 2016","FQ1 2016","Currency=USD","Period=FQ","BEST_FPERIOD_OVERRIDE=FQ","FILING_STATUS=OR","SCALING_FORMAT=MLN","Sort=A","Dates=H","DateFormat=P","Fill=—","Direction=H","UseDPDF=Y")</f>
        <v>44251</v>
      </c>
      <c r="AH22" s="16">
        <f>_xll.BDH("XOM US Equity","BS_CUR_ASSET_REPORT","FQ2 2016","FQ2 2016","Currency=USD","Period=FQ","BEST_FPERIOD_OVERRIDE=FQ","FILING_STATUS=OR","SCALING_FORMAT=MLN","Sort=A","Dates=H","DateFormat=P","Fill=—","Direction=H","UseDPDF=Y")</f>
        <v>45828</v>
      </c>
      <c r="AI22" s="16">
        <f>_xll.BDH("XOM US Equity","BS_CUR_ASSET_REPORT","FQ3 2016","FQ3 2016","Currency=USD","Period=FQ","BEST_FPERIOD_OVERRIDE=FQ","FILING_STATUS=OR","SCALING_FORMAT=MLN","Sort=A","Dates=H","DateFormat=P","Fill=—","Direction=H","UseDPDF=Y")</f>
        <v>42945</v>
      </c>
      <c r="AJ22" s="16">
        <f>_xll.BDH("XOM US Equity","BS_CUR_ASSET_REPORT","FQ4 2016","FQ4 2016","Currency=USD","Period=FQ","BEST_FPERIOD_OVERRIDE=FQ","FILING_STATUS=OR","SCALING_FORMAT=MLN","Sort=A","Dates=H","DateFormat=P","Fill=—","Direction=H","UseDPDF=Y")</f>
        <v>41416</v>
      </c>
      <c r="AK22" s="16">
        <f>_xll.BDH("XOM US Equity","BS_CUR_ASSET_REPORT","FQ1 2017","FQ1 2017","Currency=USD","Period=FQ","BEST_FPERIOD_OVERRIDE=FQ","FILING_STATUS=OR","SCALING_FORMAT=MLN","Sort=A","Dates=H","DateFormat=P","Fill=—","Direction=H","UseDPDF=Y")</f>
        <v>43131</v>
      </c>
      <c r="AL22" s="16">
        <f>_xll.BDH("XOM US Equity","BS_CUR_ASSET_REPORT","FQ2 2017","FQ2 2017","Currency=USD","Period=FQ","BEST_FPERIOD_OVERRIDE=FQ","FILING_STATUS=OR","SCALING_FORMAT=MLN","Sort=A","Dates=H","DateFormat=P","Fill=—","Direction=H","UseDPDF=Y")</f>
        <v>42180</v>
      </c>
      <c r="AM22" s="16">
        <f>_xll.BDH("XOM US Equity","BS_CUR_ASSET_REPORT","FQ3 2017","FQ3 2017","Currency=USD","Period=FQ","BEST_FPERIOD_OVERRIDE=FQ","FILING_STATUS=OR","SCALING_FORMAT=MLN","Sort=A","Dates=H","DateFormat=P","Fill=—","Direction=H","UseDPDF=Y")</f>
        <v>45752</v>
      </c>
      <c r="AN22" s="16">
        <f>_xll.BDH("XOM US Equity","BS_CUR_ASSET_REPORT","FQ4 2017","FQ4 2017","Currency=USD","Period=FQ","BEST_FPERIOD_OVERRIDE=FQ","FILING_STATUS=OR","SCALING_FORMAT=MLN","Sort=A","Dates=H","DateFormat=P","Fill=—","Direction=H","UseDPDF=Y")</f>
        <v>47134</v>
      </c>
      <c r="AO22" s="16">
        <f>_xll.BDH("XOM US Equity","BS_CUR_ASSET_REPORT","FQ1 2018","FQ1 2018","Currency=USD","Period=FQ","BEST_FPERIOD_OVERRIDE=FQ","FILING_STATUS=OR","SCALING_FORMAT=MLN","Sort=A","Dates=H","DateFormat=P","Fill=—","Direction=H","UseDPDF=Y")</f>
        <v>48315</v>
      </c>
      <c r="AP22" s="16">
        <f>_xll.BDH("XOM US Equity","BS_CUR_ASSET_REPORT","FQ2 2018","FQ2 2018","Currency=USD","Period=FQ","BEST_FPERIOD_OVERRIDE=FQ","FILING_STATUS=OR","SCALING_FORMAT=MLN","Sort=A","Dates=H","DateFormat=P","Fill=—","Direction=H","UseDPDF=Y")</f>
        <v>50555</v>
      </c>
    </row>
    <row r="23" spans="1:42" x14ac:dyDescent="0.25">
      <c r="A23" s="10" t="s">
        <v>238</v>
      </c>
      <c r="B23" s="10" t="s">
        <v>239</v>
      </c>
      <c r="C23" s="13">
        <f>_xll.BDH("XOM US Equity","BS_NET_FIX_ASSET","FQ3 2008","FQ3 2008","Currency=USD","Period=FQ","BEST_FPERIOD_OVERRIDE=FQ","FILING_STATUS=OR","SCALING_FORMAT=MLN","Sort=A","Dates=H","DateFormat=P","Fill=—","Direction=H","UseDPDF=Y")</f>
        <v>123258</v>
      </c>
      <c r="D23" s="13">
        <f>_xll.BDH("XOM US Equity","BS_NET_FIX_ASSET","FQ4 2008","FQ4 2008","Currency=USD","Period=FQ","BEST_FPERIOD_OVERRIDE=FQ","FILING_STATUS=OR","SCALING_FORMAT=MLN","Sort=A","Dates=H","DateFormat=P","Fill=—","Direction=H","UseDPDF=Y")</f>
        <v>121346</v>
      </c>
      <c r="E23" s="13">
        <f>_xll.BDH("XOM US Equity","BS_NET_FIX_ASSET","FQ1 2009","FQ1 2009","Currency=USD","Period=FQ","BEST_FPERIOD_OVERRIDE=FQ","FILING_STATUS=OR","SCALING_FORMAT=MLN","Sort=A","Dates=H","DateFormat=P","Fill=—","Direction=H","UseDPDF=Y")</f>
        <v>122224</v>
      </c>
      <c r="F23" s="13">
        <f>_xll.BDH("XOM US Equity","BS_NET_FIX_ASSET","FQ2 2009","FQ2 2009","Currency=USD","Period=FQ","BEST_FPERIOD_OVERRIDE=FQ","FILING_STATUS=OR","SCALING_FORMAT=MLN","Sort=A","Dates=H","DateFormat=P","Fill=—","Direction=H","UseDPDF=Y")</f>
        <v>127861</v>
      </c>
      <c r="G23" s="13">
        <f>_xll.BDH("XOM US Equity","BS_NET_FIX_ASSET","FQ3 2009","FQ3 2009","Currency=USD","Period=FQ","BEST_FPERIOD_OVERRIDE=FQ","FILING_STATUS=OR","SCALING_FORMAT=MLN","Sort=A","Dates=H","DateFormat=P","Fill=—","Direction=H","UseDPDF=Y")</f>
        <v>132874</v>
      </c>
      <c r="H23" s="13">
        <f>_xll.BDH("XOM US Equity","BS_NET_FIX_ASSET","FQ4 2009","FQ4 2009","Currency=USD","Period=FQ","BEST_FPERIOD_OVERRIDE=FQ","FILING_STATUS=OR","SCALING_FORMAT=MLN","Sort=A","Dates=H","DateFormat=P","Fill=—","Direction=H","UseDPDF=Y")</f>
        <v>139116</v>
      </c>
      <c r="I23" s="13">
        <f>_xll.BDH("XOM US Equity","BS_NET_FIX_ASSET","FQ1 2010","FQ1 2010","Currency=USD","Period=FQ","BEST_FPERIOD_OVERRIDE=FQ","FILING_STATUS=OR","SCALING_FORMAT=MLN","Sort=A","Dates=H","DateFormat=P","Fill=—","Direction=H","UseDPDF=Y")</f>
        <v>140819</v>
      </c>
      <c r="J23" s="13">
        <f>_xll.BDH("XOM US Equity","BS_NET_FIX_ASSET","FQ2 2010","FQ2 2010","Currency=USD","Period=FQ","BEST_FPERIOD_OVERRIDE=FQ","FILING_STATUS=OR","SCALING_FORMAT=MLN","Sort=A","Dates=H","DateFormat=P","Fill=—","Direction=H","UseDPDF=Y")</f>
        <v>188069</v>
      </c>
      <c r="K23" s="13">
        <f>_xll.BDH("XOM US Equity","BS_NET_FIX_ASSET","FQ3 2010","FQ3 2010","Currency=USD","Period=FQ","BEST_FPERIOD_OVERRIDE=FQ","FILING_STATUS=OR","SCALING_FORMAT=MLN","Sort=A","Dates=H","DateFormat=P","Fill=—","Direction=H","UseDPDF=Y")</f>
        <v>195440</v>
      </c>
      <c r="L23" s="13">
        <f>_xll.BDH("XOM US Equity","BS_NET_FIX_ASSET","FQ4 2010","FQ4 2010","Currency=USD","Period=FQ","BEST_FPERIOD_OVERRIDE=FQ","FILING_STATUS=OR","SCALING_FORMAT=MLN","Sort=A","Dates=H","DateFormat=P","Fill=—","Direction=H","UseDPDF=Y")</f>
        <v>199548</v>
      </c>
      <c r="M23" s="13">
        <f>_xll.BDH("XOM US Equity","BS_NET_FIX_ASSET","FQ1 2011","FQ1 2011","Currency=USD","Period=FQ","BEST_FPERIOD_OVERRIDE=FQ","FILING_STATUS=OR","SCALING_FORMAT=MLN","Sort=A","Dates=H","DateFormat=P","Fill=—","Direction=H","UseDPDF=Y")</f>
        <v>203726</v>
      </c>
      <c r="N23" s="13">
        <f>_xll.BDH("XOM US Equity","BS_NET_FIX_ASSET","FQ2 2011","FQ2 2011","Currency=USD","Period=FQ","BEST_FPERIOD_OVERRIDE=FQ","FILING_STATUS=OR","SCALING_FORMAT=MLN","Sort=A","Dates=H","DateFormat=P","Fill=—","Direction=H","UseDPDF=Y")</f>
        <v>209807</v>
      </c>
      <c r="O23" s="13">
        <f>_xll.BDH("XOM US Equity","BS_NET_FIX_ASSET","FQ3 2011","FQ3 2011","Currency=USD","Period=FQ","BEST_FPERIOD_OVERRIDE=FQ","FILING_STATUS=OR","SCALING_FORMAT=MLN","Sort=A","Dates=H","DateFormat=P","Fill=—","Direction=H","UseDPDF=Y")</f>
        <v>209194</v>
      </c>
      <c r="P23" s="13">
        <f>_xll.BDH("XOM US Equity","BS_NET_FIX_ASSET","FQ4 2011","FQ4 2011","Currency=USD","Period=FQ","BEST_FPERIOD_OVERRIDE=FQ","FILING_STATUS=OR","SCALING_FORMAT=MLN","Sort=A","Dates=H","DateFormat=P","Fill=—","Direction=H","UseDPDF=Y")</f>
        <v>214664</v>
      </c>
      <c r="Q23" s="13">
        <f>_xll.BDH("XOM US Equity","BS_NET_FIX_ASSET","FQ1 2012","FQ1 2012","Currency=USD","Period=FQ","BEST_FPERIOD_OVERRIDE=FQ","FILING_STATUS=OR","SCALING_FORMAT=MLN","Sort=A","Dates=H","DateFormat=P","Fill=—","Direction=H","UseDPDF=Y")</f>
        <v>214602</v>
      </c>
      <c r="R23" s="13">
        <f>_xll.BDH("XOM US Equity","BS_NET_FIX_ASSET","FQ2 2012","FQ2 2012","Currency=USD","Period=FQ","BEST_FPERIOD_OVERRIDE=FQ","FILING_STATUS=OR","SCALING_FORMAT=MLN","Sort=A","Dates=H","DateFormat=P","Fill=—","Direction=H","UseDPDF=Y")</f>
        <v>214940</v>
      </c>
      <c r="S23" s="13">
        <f>_xll.BDH("XOM US Equity","BS_NET_FIX_ASSET","FQ3 2012","FQ3 2012","Currency=USD","Period=FQ","BEST_FPERIOD_OVERRIDE=FQ","FILING_STATUS=OR","SCALING_FORMAT=MLN","Sort=A","Dates=H","DateFormat=P","Fill=—","Direction=H","UseDPDF=Y")</f>
        <v>220330</v>
      </c>
      <c r="T23" s="13">
        <f>_xll.BDH("XOM US Equity","BS_NET_FIX_ASSET","FQ4 2012","FQ4 2012","Currency=USD","Period=FQ","BEST_FPERIOD_OVERRIDE=FQ","FILING_STATUS=OR","SCALING_FORMAT=MLN","Sort=A","Dates=H","DateFormat=P","Fill=—","Direction=H","UseDPDF=Y")</f>
        <v>226949</v>
      </c>
      <c r="U23" s="13">
        <f>_xll.BDH("XOM US Equity","BS_NET_FIX_ASSET","FQ1 2013","FQ1 2013","Currency=USD","Period=FQ","BEST_FPERIOD_OVERRIDE=FQ","FILING_STATUS=OR","SCALING_FORMAT=MLN","Sort=A","Dates=H","DateFormat=P","Fill=—","Direction=H","UseDPDF=Y")</f>
        <v>233728</v>
      </c>
      <c r="V23" s="13">
        <f>_xll.BDH("XOM US Equity","BS_NET_FIX_ASSET","FQ2 2013","FQ2 2013","Currency=USD","Period=FQ","BEST_FPERIOD_OVERRIDE=FQ","FILING_STATUS=OR","SCALING_FORMAT=MLN","Sort=A","Dates=H","DateFormat=P","Fill=—","Direction=H","UseDPDF=Y")</f>
        <v>235240</v>
      </c>
      <c r="W23" s="13">
        <f>_xll.BDH("XOM US Equity","BS_NET_FIX_ASSET","FQ3 2013","FQ3 2013","Currency=USD","Period=FQ","BEST_FPERIOD_OVERRIDE=FQ","FILING_STATUS=OR","SCALING_FORMAT=MLN","Sort=A","Dates=H","DateFormat=P","Fill=—","Direction=H","UseDPDF=Y")</f>
        <v>240981</v>
      </c>
      <c r="X23" s="13">
        <f>_xll.BDH("XOM US Equity","BS_NET_FIX_ASSET","FQ4 2013","FQ4 2013","Currency=USD","Period=FQ","BEST_FPERIOD_OVERRIDE=FQ","FILING_STATUS=OR","SCALING_FORMAT=MLN","Sort=A","Dates=H","DateFormat=P","Fill=—","Direction=H","UseDPDF=Y")</f>
        <v>243650</v>
      </c>
      <c r="Y23" s="13">
        <f>_xll.BDH("XOM US Equity","BS_NET_FIX_ASSET","FQ1 2014","FQ1 2014","Currency=USD","Period=FQ","BEST_FPERIOD_OVERRIDE=FQ","FILING_STATUS=OR","SCALING_FORMAT=MLN","Sort=A","Dates=H","DateFormat=P","Fill=—","Direction=H","UseDPDF=Y")</f>
        <v>245897</v>
      </c>
      <c r="Z23" s="13">
        <f>_xll.BDH("XOM US Equity","BS_NET_FIX_ASSET","FQ2 2014","FQ2 2014","Currency=USD","Period=FQ","BEST_FPERIOD_OVERRIDE=FQ","FILING_STATUS=OR","SCALING_FORMAT=MLN","Sort=A","Dates=H","DateFormat=P","Fill=—","Direction=H","UseDPDF=Y")</f>
        <v>251353</v>
      </c>
      <c r="AA23" s="13">
        <f>_xll.BDH("XOM US Equity","BS_NET_FIX_ASSET","FQ3 2014","FQ3 2014","Currency=USD","Period=FQ","BEST_FPERIOD_OVERRIDE=FQ","FILING_STATUS=OR","SCALING_FORMAT=MLN","Sort=A","Dates=H","DateFormat=P","Fill=—","Direction=H","UseDPDF=Y")</f>
        <v>251406</v>
      </c>
      <c r="AB23" s="13">
        <f>_xll.BDH("XOM US Equity","BS_NET_FIX_ASSET","FQ4 2014","FQ4 2014","Currency=USD","Period=FQ","BEST_FPERIOD_OVERRIDE=FQ","FILING_STATUS=OR","SCALING_FORMAT=MLN","Sort=A","Dates=H","DateFormat=P","Fill=—","Direction=H","UseDPDF=Y")</f>
        <v>252668</v>
      </c>
      <c r="AC23" s="13">
        <f>_xll.BDH("XOM US Equity","BS_NET_FIX_ASSET","FQ1 2015","FQ1 2015","Currency=USD","Period=FQ","BEST_FPERIOD_OVERRIDE=FQ","FILING_STATUS=OR","SCALING_FORMAT=MLN","Sort=A","Dates=H","DateFormat=P","Fill=—","Direction=H","UseDPDF=Y")</f>
        <v>249497</v>
      </c>
      <c r="AD23" s="13">
        <f>_xll.BDH("XOM US Equity","BS_NET_FIX_ASSET","FQ2 2015","FQ2 2015","Currency=USD","Period=FQ","BEST_FPERIOD_OVERRIDE=FQ","FILING_STATUS=OR","SCALING_FORMAT=MLN","Sort=A","Dates=H","DateFormat=P","Fill=—","Direction=H","UseDPDF=Y")</f>
        <v>253653</v>
      </c>
      <c r="AE23" s="13">
        <f>_xll.BDH("XOM US Equity","BS_NET_FIX_ASSET","FQ3 2015","FQ3 2015","Currency=USD","Period=FQ","BEST_FPERIOD_OVERRIDE=FQ","FILING_STATUS=OR","SCALING_FORMAT=MLN","Sort=A","Dates=H","DateFormat=P","Fill=—","Direction=H","UseDPDF=Y")</f>
        <v>250583</v>
      </c>
      <c r="AF23" s="13">
        <f>_xll.BDH("XOM US Equity","BS_NET_FIX_ASSET","FQ4 2015","FQ4 2015","Currency=USD","Period=FQ","BEST_FPERIOD_OVERRIDE=FQ","FILING_STATUS=OR","SCALING_FORMAT=MLN","Sort=A","Dates=H","DateFormat=P","Fill=—","Direction=H","UseDPDF=Y")</f>
        <v>251605</v>
      </c>
      <c r="AG23" s="13">
        <f>_xll.BDH("XOM US Equity","BS_NET_FIX_ASSET","FQ1 2016","FQ1 2016","Currency=USD","Period=FQ","BEST_FPERIOD_OVERRIDE=FQ","FILING_STATUS=OR","SCALING_FORMAT=MLN","Sort=A","Dates=H","DateFormat=P","Fill=—","Direction=H","UseDPDF=Y")</f>
        <v>255257</v>
      </c>
      <c r="AH23" s="13">
        <f>_xll.BDH("XOM US Equity","BS_NET_FIX_ASSET","FQ2 2016","FQ2 2016","Currency=USD","Period=FQ","BEST_FPERIOD_OVERRIDE=FQ","FILING_STATUS=OR","SCALING_FORMAT=MLN","Sort=A","Dates=H","DateFormat=P","Fill=—","Direction=H","UseDPDF=Y")</f>
        <v>254062</v>
      </c>
      <c r="AI23" s="13">
        <f>_xll.BDH("XOM US Equity","BS_NET_FIX_ASSET","FQ3 2016","FQ3 2016","Currency=USD","Period=FQ","BEST_FPERIOD_OVERRIDE=FQ","FILING_STATUS=OR","SCALING_FORMAT=MLN","Sort=A","Dates=H","DateFormat=P","Fill=—","Direction=H","UseDPDF=Y")</f>
        <v>251923</v>
      </c>
      <c r="AJ23" s="13">
        <f>_xll.BDH("XOM US Equity","BS_NET_FIX_ASSET","FQ4 2016","FQ4 2016","Currency=USD","Period=FQ","BEST_FPERIOD_OVERRIDE=FQ","FILING_STATUS=OR","SCALING_FORMAT=MLN","Sort=A","Dates=H","DateFormat=P","Fill=—","Direction=H","UseDPDF=Y")</f>
        <v>244224</v>
      </c>
      <c r="AK23" s="13">
        <f>_xll.BDH("XOM US Equity","BS_NET_FIX_ASSET","FQ1 2017","FQ1 2017","Currency=USD","Period=FQ","BEST_FPERIOD_OVERRIDE=FQ","FILING_STATUS=OR","SCALING_FORMAT=MLN","Sort=A","Dates=H","DateFormat=P","Fill=—","Direction=H","UseDPDF=Y")</f>
        <v>253147</v>
      </c>
      <c r="AL23" s="13">
        <f>_xll.BDH("XOM US Equity","BS_NET_FIX_ASSET","FQ2 2017","FQ2 2017","Currency=USD","Period=FQ","BEST_FPERIOD_OVERRIDE=FQ","FILING_STATUS=OR","SCALING_FORMAT=MLN","Sort=A","Dates=H","DateFormat=P","Fill=—","Direction=H","UseDPDF=Y")</f>
        <v>252987</v>
      </c>
      <c r="AM23" s="13">
        <f>_xll.BDH("XOM US Equity","BS_NET_FIX_ASSET","FQ3 2017","FQ3 2017","Currency=USD","Period=FQ","BEST_FPERIOD_OVERRIDE=FQ","FILING_STATUS=OR","SCALING_FORMAT=MLN","Sort=A","Dates=H","DateFormat=P","Fill=—","Direction=H","UseDPDF=Y")</f>
        <v>255556</v>
      </c>
      <c r="AN23" s="13">
        <f>_xll.BDH("XOM US Equity","BS_NET_FIX_ASSET","FQ4 2017","FQ4 2017","Currency=USD","Period=FQ","BEST_FPERIOD_OVERRIDE=FQ","FILING_STATUS=OR","SCALING_FORMAT=MLN","Sort=A","Dates=H","DateFormat=P","Fill=—","Direction=H","UseDPDF=Y")</f>
        <v>252630</v>
      </c>
      <c r="AO23" s="13">
        <f>_xll.BDH("XOM US Equity","BS_NET_FIX_ASSET","FQ1 2018","FQ1 2018","Currency=USD","Period=FQ","BEST_FPERIOD_OVERRIDE=FQ","FILING_STATUS=OR","SCALING_FORMAT=MLN","Sort=A","Dates=H","DateFormat=P","Fill=—","Direction=H","UseDPDF=Y")</f>
        <v>250352</v>
      </c>
      <c r="AP23" s="13">
        <f>_xll.BDH("XOM US Equity","BS_NET_FIX_ASSET","FQ2 2018","FQ2 2018","Currency=USD","Period=FQ","BEST_FPERIOD_OVERRIDE=FQ","FILING_STATUS=OR","SCALING_FORMAT=MLN","Sort=A","Dates=H","DateFormat=P","Fill=—","Direction=H","UseDPDF=Y")</f>
        <v>248209</v>
      </c>
    </row>
    <row r="24" spans="1:42" x14ac:dyDescent="0.25">
      <c r="A24" s="10" t="s">
        <v>240</v>
      </c>
      <c r="B24" s="10" t="s">
        <v>241</v>
      </c>
      <c r="C24" s="13" t="str">
        <f>_xll.BDH("XOM US Equity","BS_GROSS_FIX_ASSET","FQ3 2008","FQ3 2008","Currency=USD","Period=FQ","BEST_FPERIOD_OVERRIDE=FQ","FILING_STATUS=OR","SCALING_FORMAT=MLN","Sort=A","Dates=H","DateFormat=P","Fill=—","Direction=H","UseDPDF=Y")</f>
        <v>—</v>
      </c>
      <c r="D24" s="13">
        <f>_xll.BDH("XOM US Equity","BS_GROSS_FIX_ASSET","FQ4 2008","FQ4 2008","Currency=USD","Period=FQ","BEST_FPERIOD_OVERRIDE=FQ","FILING_STATUS=OR","SCALING_FORMAT=MLN","Sort=A","Dates=H","DateFormat=P","Fill=—","Direction=H","UseDPDF=Y")</f>
        <v>270845</v>
      </c>
      <c r="E24" s="13" t="str">
        <f>_xll.BDH("XOM US Equity","BS_GROSS_FIX_ASSET","FQ1 2009","FQ1 2009","Currency=USD","Period=FQ","BEST_FPERIOD_OVERRIDE=FQ","FILING_STATUS=OR","SCALING_FORMAT=MLN","Sort=A","Dates=H","DateFormat=P","Fill=—","Direction=H","UseDPDF=Y")</f>
        <v>—</v>
      </c>
      <c r="F24" s="13" t="str">
        <f>_xll.BDH("XOM US Equity","BS_GROSS_FIX_ASSET","FQ2 2009","FQ2 2009","Currency=USD","Period=FQ","BEST_FPERIOD_OVERRIDE=FQ","FILING_STATUS=OR","SCALING_FORMAT=MLN","Sort=A","Dates=H","DateFormat=P","Fill=—","Direction=H","UseDPDF=Y")</f>
        <v>—</v>
      </c>
      <c r="G24" s="13" t="str">
        <f>_xll.BDH("XOM US Equity","BS_GROSS_FIX_ASSET","FQ3 2009","FQ3 2009","Currency=USD","Period=FQ","BEST_FPERIOD_OVERRIDE=FQ","FILING_STATUS=OR","SCALING_FORMAT=MLN","Sort=A","Dates=H","DateFormat=P","Fill=—","Direction=H","UseDPDF=Y")</f>
        <v>—</v>
      </c>
      <c r="H24" s="13">
        <f>_xll.BDH("XOM US Equity","BS_GROSS_FIX_ASSET","FQ4 2009","FQ4 2009","Currency=USD","Period=FQ","BEST_FPERIOD_OVERRIDE=FQ","FILING_STATUS=OR","SCALING_FORMAT=MLN","Sort=A","Dates=H","DateFormat=P","Fill=—","Direction=H","UseDPDF=Y")</f>
        <v>305906</v>
      </c>
      <c r="I24" s="13" t="str">
        <f>_xll.BDH("XOM US Equity","BS_GROSS_FIX_ASSET","FQ1 2010","FQ1 2010","Currency=USD","Period=FQ","BEST_FPERIOD_OVERRIDE=FQ","FILING_STATUS=OR","SCALING_FORMAT=MLN","Sort=A","Dates=H","DateFormat=P","Fill=—","Direction=H","UseDPDF=Y")</f>
        <v>—</v>
      </c>
      <c r="J24" s="13" t="str">
        <f>_xll.BDH("XOM US Equity","BS_GROSS_FIX_ASSET","FQ2 2010","FQ2 2010","Currency=USD","Period=FQ","BEST_FPERIOD_OVERRIDE=FQ","FILING_STATUS=OR","SCALING_FORMAT=MLN","Sort=A","Dates=H","DateFormat=P","Fill=—","Direction=H","UseDPDF=Y")</f>
        <v>—</v>
      </c>
      <c r="K24" s="13" t="str">
        <f>_xll.BDH("XOM US Equity","BS_GROSS_FIX_ASSET","FQ3 2010","FQ3 2010","Currency=USD","Period=FQ","BEST_FPERIOD_OVERRIDE=FQ","FILING_STATUS=OR","SCALING_FORMAT=MLN","Sort=A","Dates=H","DateFormat=P","Fill=—","Direction=H","UseDPDF=Y")</f>
        <v>—</v>
      </c>
      <c r="L24" s="13">
        <f>_xll.BDH("XOM US Equity","BS_GROSS_FIX_ASSET","FQ4 2010","FQ4 2010","Currency=USD","Period=FQ","BEST_FPERIOD_OVERRIDE=FQ","FILING_STATUS=OR","SCALING_FORMAT=MLN","Sort=A","Dates=H","DateFormat=P","Fill=—","Direction=H","UseDPDF=Y")</f>
        <v>373938</v>
      </c>
      <c r="M24" s="13" t="str">
        <f>_xll.BDH("XOM US Equity","BS_GROSS_FIX_ASSET","FQ1 2011","FQ1 2011","Currency=USD","Period=FQ","BEST_FPERIOD_OVERRIDE=FQ","FILING_STATUS=OR","SCALING_FORMAT=MLN","Sort=A","Dates=H","DateFormat=P","Fill=—","Direction=H","UseDPDF=Y")</f>
        <v>—</v>
      </c>
      <c r="N24" s="13" t="str">
        <f>_xll.BDH("XOM US Equity","BS_GROSS_FIX_ASSET","FQ2 2011","FQ2 2011","Currency=USD","Period=FQ","BEST_FPERIOD_OVERRIDE=FQ","FILING_STATUS=OR","SCALING_FORMAT=MLN","Sort=A","Dates=H","DateFormat=P","Fill=—","Direction=H","UseDPDF=Y")</f>
        <v>—</v>
      </c>
      <c r="O24" s="13" t="str">
        <f>_xll.BDH("XOM US Equity","BS_GROSS_FIX_ASSET","FQ3 2011","FQ3 2011","Currency=USD","Period=FQ","BEST_FPERIOD_OVERRIDE=FQ","FILING_STATUS=OR","SCALING_FORMAT=MLN","Sort=A","Dates=H","DateFormat=P","Fill=—","Direction=H","UseDPDF=Y")</f>
        <v>—</v>
      </c>
      <c r="P24" s="13">
        <f>_xll.BDH("XOM US Equity","BS_GROSS_FIX_ASSET","FQ4 2011","FQ4 2011","Currency=USD","Period=FQ","BEST_FPERIOD_OVERRIDE=FQ","FILING_STATUS=OR","SCALING_FORMAT=MLN","Sort=A","Dates=H","DateFormat=P","Fill=—","Direction=H","UseDPDF=Y")</f>
        <v>393995</v>
      </c>
      <c r="Q24" s="13" t="str">
        <f>_xll.BDH("XOM US Equity","BS_GROSS_FIX_ASSET","FQ1 2012","FQ1 2012","Currency=USD","Period=FQ","BEST_FPERIOD_OVERRIDE=FQ","FILING_STATUS=OR","SCALING_FORMAT=MLN","Sort=A","Dates=H","DateFormat=P","Fill=—","Direction=H","UseDPDF=Y")</f>
        <v>—</v>
      </c>
      <c r="R24" s="13" t="str">
        <f>_xll.BDH("XOM US Equity","BS_GROSS_FIX_ASSET","FQ2 2012","FQ2 2012","Currency=USD","Period=FQ","BEST_FPERIOD_OVERRIDE=FQ","FILING_STATUS=OR","SCALING_FORMAT=MLN","Sort=A","Dates=H","DateFormat=P","Fill=—","Direction=H","UseDPDF=Y")</f>
        <v>—</v>
      </c>
      <c r="S24" s="13" t="str">
        <f>_xll.BDH("XOM US Equity","BS_GROSS_FIX_ASSET","FQ3 2012","FQ3 2012","Currency=USD","Period=FQ","BEST_FPERIOD_OVERRIDE=FQ","FILING_STATUS=OR","SCALING_FORMAT=MLN","Sort=A","Dates=H","DateFormat=P","Fill=—","Direction=H","UseDPDF=Y")</f>
        <v>—</v>
      </c>
      <c r="T24" s="13">
        <f>_xll.BDH("XOM US Equity","BS_GROSS_FIX_ASSET","FQ4 2012","FQ4 2012","Currency=USD","Period=FQ","BEST_FPERIOD_OVERRIDE=FQ","FILING_STATUS=OR","SCALING_FORMAT=MLN","Sort=A","Dates=H","DateFormat=P","Fill=—","Direction=H","UseDPDF=Y")</f>
        <v>409314</v>
      </c>
      <c r="U24" s="13" t="str">
        <f>_xll.BDH("XOM US Equity","BS_GROSS_FIX_ASSET","FQ1 2013","FQ1 2013","Currency=USD","Period=FQ","BEST_FPERIOD_OVERRIDE=FQ","FILING_STATUS=OR","SCALING_FORMAT=MLN","Sort=A","Dates=H","DateFormat=P","Fill=—","Direction=H","UseDPDF=Y")</f>
        <v>—</v>
      </c>
      <c r="V24" s="13" t="str">
        <f>_xll.BDH("XOM US Equity","BS_GROSS_FIX_ASSET","FQ2 2013","FQ2 2013","Currency=USD","Period=FQ","BEST_FPERIOD_OVERRIDE=FQ","FILING_STATUS=OR","SCALING_FORMAT=MLN","Sort=A","Dates=H","DateFormat=P","Fill=—","Direction=H","UseDPDF=Y")</f>
        <v>—</v>
      </c>
      <c r="W24" s="13" t="str">
        <f>_xll.BDH("XOM US Equity","BS_GROSS_FIX_ASSET","FQ3 2013","FQ3 2013","Currency=USD","Period=FQ","BEST_FPERIOD_OVERRIDE=FQ","FILING_STATUS=OR","SCALING_FORMAT=MLN","Sort=A","Dates=H","DateFormat=P","Fill=—","Direction=H","UseDPDF=Y")</f>
        <v>—</v>
      </c>
      <c r="X24" s="13">
        <f>_xll.BDH("XOM US Equity","BS_GROSS_FIX_ASSET","FQ4 2013","FQ4 2013","Currency=USD","Period=FQ","BEST_FPERIOD_OVERRIDE=FQ","FILING_STATUS=OR","SCALING_FORMAT=MLN","Sort=A","Dates=H","DateFormat=P","Fill=—","Direction=H","UseDPDF=Y")</f>
        <v>434517</v>
      </c>
      <c r="Y24" s="13" t="str">
        <f>_xll.BDH("XOM US Equity","BS_GROSS_FIX_ASSET","FQ1 2014","FQ1 2014","Currency=USD","Period=FQ","BEST_FPERIOD_OVERRIDE=FQ","FILING_STATUS=OR","SCALING_FORMAT=MLN","Sort=A","Dates=H","DateFormat=P","Fill=—","Direction=H","UseDPDF=Y")</f>
        <v>—</v>
      </c>
      <c r="Z24" s="13" t="str">
        <f>_xll.BDH("XOM US Equity","BS_GROSS_FIX_ASSET","FQ2 2014","FQ2 2014","Currency=USD","Period=FQ","BEST_FPERIOD_OVERRIDE=FQ","FILING_STATUS=OR","SCALING_FORMAT=MLN","Sort=A","Dates=H","DateFormat=P","Fill=—","Direction=H","UseDPDF=Y")</f>
        <v>—</v>
      </c>
      <c r="AA24" s="13" t="str">
        <f>_xll.BDH("XOM US Equity","BS_GROSS_FIX_ASSET","FQ3 2014","FQ3 2014","Currency=USD","Period=FQ","BEST_FPERIOD_OVERRIDE=FQ","FILING_STATUS=OR","SCALING_FORMAT=MLN","Sort=A","Dates=H","DateFormat=P","Fill=—","Direction=H","UseDPDF=Y")</f>
        <v>—</v>
      </c>
      <c r="AB24" s="13">
        <f>_xll.BDH("XOM US Equity","BS_GROSS_FIX_ASSET","FQ4 2014","FQ4 2014","Currency=USD","Period=FQ","BEST_FPERIOD_OVERRIDE=FQ","FILING_STATUS=OR","SCALING_FORMAT=MLN","Sort=A","Dates=H","DateFormat=P","Fill=—","Direction=H","UseDPDF=Y")</f>
        <v>446789</v>
      </c>
      <c r="AC24" s="13" t="str">
        <f>_xll.BDH("XOM US Equity","BS_GROSS_FIX_ASSET","FQ1 2015","FQ1 2015","Currency=USD","Period=FQ","BEST_FPERIOD_OVERRIDE=FQ","FILING_STATUS=OR","SCALING_FORMAT=MLN","Sort=A","Dates=H","DateFormat=P","Fill=—","Direction=H","UseDPDF=Y")</f>
        <v>—</v>
      </c>
      <c r="AD24" s="13" t="str">
        <f>_xll.BDH("XOM US Equity","BS_GROSS_FIX_ASSET","FQ2 2015","FQ2 2015","Currency=USD","Period=FQ","BEST_FPERIOD_OVERRIDE=FQ","FILING_STATUS=OR","SCALING_FORMAT=MLN","Sort=A","Dates=H","DateFormat=P","Fill=—","Direction=H","UseDPDF=Y")</f>
        <v>—</v>
      </c>
      <c r="AE24" s="13" t="str">
        <f>_xll.BDH("XOM US Equity","BS_GROSS_FIX_ASSET","FQ3 2015","FQ3 2015","Currency=USD","Period=FQ","BEST_FPERIOD_OVERRIDE=FQ","FILING_STATUS=OR","SCALING_FORMAT=MLN","Sort=A","Dates=H","DateFormat=P","Fill=—","Direction=H","UseDPDF=Y")</f>
        <v>—</v>
      </c>
      <c r="AF24" s="13">
        <f>_xll.BDH("XOM US Equity","BS_GROSS_FIX_ASSET","FQ4 2015","FQ4 2015","Currency=USD","Period=FQ","BEST_FPERIOD_OVERRIDE=FQ","FILING_STATUS=OR","SCALING_FORMAT=MLN","Sort=A","Dates=H","DateFormat=P","Fill=—","Direction=H","UseDPDF=Y")</f>
        <v>447337</v>
      </c>
      <c r="AG24" s="13" t="str">
        <f>_xll.BDH("XOM US Equity","BS_GROSS_FIX_ASSET","FQ1 2016","FQ1 2016","Currency=USD","Period=FQ","BEST_FPERIOD_OVERRIDE=FQ","FILING_STATUS=OR","SCALING_FORMAT=MLN","Sort=A","Dates=H","DateFormat=P","Fill=—","Direction=H","UseDPDF=Y")</f>
        <v>—</v>
      </c>
      <c r="AH24" s="13" t="str">
        <f>_xll.BDH("XOM US Equity","BS_GROSS_FIX_ASSET","FQ2 2016","FQ2 2016","Currency=USD","Period=FQ","BEST_FPERIOD_OVERRIDE=FQ","FILING_STATUS=OR","SCALING_FORMAT=MLN","Sort=A","Dates=H","DateFormat=P","Fill=—","Direction=H","UseDPDF=Y")</f>
        <v>—</v>
      </c>
      <c r="AI24" s="13" t="str">
        <f>_xll.BDH("XOM US Equity","BS_GROSS_FIX_ASSET","FQ3 2016","FQ3 2016","Currency=USD","Period=FQ","BEST_FPERIOD_OVERRIDE=FQ","FILING_STATUS=OR","SCALING_FORMAT=MLN","Sort=A","Dates=H","DateFormat=P","Fill=—","Direction=H","UseDPDF=Y")</f>
        <v>—</v>
      </c>
      <c r="AJ24" s="13">
        <f>_xll.BDH("XOM US Equity","BS_GROSS_FIX_ASSET","FQ4 2016","FQ4 2016","Currency=USD","Period=FQ","BEST_FPERIOD_OVERRIDE=FQ","FILING_STATUS=OR","SCALING_FORMAT=MLN","Sort=A","Dates=H","DateFormat=P","Fill=—","Direction=H","UseDPDF=Y")</f>
        <v>453915</v>
      </c>
      <c r="AK24" s="13" t="str">
        <f>_xll.BDH("XOM US Equity","BS_GROSS_FIX_ASSET","FQ1 2017","FQ1 2017","Currency=USD","Period=FQ","BEST_FPERIOD_OVERRIDE=FQ","FILING_STATUS=OR","SCALING_FORMAT=MLN","Sort=A","Dates=H","DateFormat=P","Fill=—","Direction=H","UseDPDF=Y")</f>
        <v>—</v>
      </c>
      <c r="AL24" s="13" t="str">
        <f>_xll.BDH("XOM US Equity","BS_GROSS_FIX_ASSET","FQ2 2017","FQ2 2017","Currency=USD","Period=FQ","BEST_FPERIOD_OVERRIDE=FQ","FILING_STATUS=OR","SCALING_FORMAT=MLN","Sort=A","Dates=H","DateFormat=P","Fill=—","Direction=H","UseDPDF=Y")</f>
        <v>—</v>
      </c>
      <c r="AM24" s="13" t="str">
        <f>_xll.BDH("XOM US Equity","BS_GROSS_FIX_ASSET","FQ3 2017","FQ3 2017","Currency=USD","Period=FQ","BEST_FPERIOD_OVERRIDE=FQ","FILING_STATUS=OR","SCALING_FORMAT=MLN","Sort=A","Dates=H","DateFormat=P","Fill=—","Direction=H","UseDPDF=Y")</f>
        <v>—</v>
      </c>
      <c r="AN24" s="13">
        <f>_xll.BDH("XOM US Equity","BS_GROSS_FIX_ASSET","FQ4 2017","FQ4 2017","Currency=USD","Period=FQ","BEST_FPERIOD_OVERRIDE=FQ","FILING_STATUS=OR","SCALING_FORMAT=MLN","Sort=A","Dates=H","DateFormat=P","Fill=—","Direction=H","UseDPDF=Y")</f>
        <v>477185</v>
      </c>
      <c r="AO24" s="13" t="str">
        <f>_xll.BDH("XOM US Equity","BS_GROSS_FIX_ASSET","FQ1 2018","FQ1 2018","Currency=USD","Period=FQ","BEST_FPERIOD_OVERRIDE=FQ","FILING_STATUS=OR","SCALING_FORMAT=MLN","Sort=A","Dates=H","DateFormat=P","Fill=—","Direction=H","UseDPDF=Y")</f>
        <v>—</v>
      </c>
      <c r="AP24" s="13" t="str">
        <f>_xll.BDH("XOM US Equity","BS_GROSS_FIX_ASSET","FQ2 2018","FQ2 2018","Currency=USD","Period=FQ","BEST_FPERIOD_OVERRIDE=FQ","FILING_STATUS=OR","SCALING_FORMAT=MLN","Sort=A","Dates=H","DateFormat=P","Fill=—","Direction=H","UseDPDF=Y")</f>
        <v>—</v>
      </c>
    </row>
    <row r="25" spans="1:42" x14ac:dyDescent="0.25">
      <c r="A25" s="10" t="s">
        <v>242</v>
      </c>
      <c r="B25" s="10" t="s">
        <v>243</v>
      </c>
      <c r="C25" s="13" t="str">
        <f>_xll.BDH("XOM US Equity","BS_ACCUM_DEPR","FQ3 2008","FQ3 2008","Currency=USD","Period=FQ","BEST_FPERIOD_OVERRIDE=FQ","FILING_STATUS=OR","SCALING_FORMAT=MLN","Sort=A","Dates=H","DateFormat=P","Fill=—","Direction=H","UseDPDF=Y")</f>
        <v>—</v>
      </c>
      <c r="D25" s="13">
        <f>_xll.BDH("XOM US Equity","BS_ACCUM_DEPR","FQ4 2008","FQ4 2008","Currency=USD","Period=FQ","BEST_FPERIOD_OVERRIDE=FQ","FILING_STATUS=OR","SCALING_FORMAT=MLN","Sort=A","Dates=H","DateFormat=P","Fill=—","Direction=H","UseDPDF=Y")</f>
        <v>149499</v>
      </c>
      <c r="E25" s="13" t="str">
        <f>_xll.BDH("XOM US Equity","BS_ACCUM_DEPR","FQ1 2009","FQ1 2009","Currency=USD","Period=FQ","BEST_FPERIOD_OVERRIDE=FQ","FILING_STATUS=OR","SCALING_FORMAT=MLN","Sort=A","Dates=H","DateFormat=P","Fill=—","Direction=H","UseDPDF=Y")</f>
        <v>—</v>
      </c>
      <c r="F25" s="13" t="str">
        <f>_xll.BDH("XOM US Equity","BS_ACCUM_DEPR","FQ2 2009","FQ2 2009","Currency=USD","Period=FQ","BEST_FPERIOD_OVERRIDE=FQ","FILING_STATUS=OR","SCALING_FORMAT=MLN","Sort=A","Dates=H","DateFormat=P","Fill=—","Direction=H","UseDPDF=Y")</f>
        <v>—</v>
      </c>
      <c r="G25" s="13" t="str">
        <f>_xll.BDH("XOM US Equity","BS_ACCUM_DEPR","FQ3 2009","FQ3 2009","Currency=USD","Period=FQ","BEST_FPERIOD_OVERRIDE=FQ","FILING_STATUS=OR","SCALING_FORMAT=MLN","Sort=A","Dates=H","DateFormat=P","Fill=—","Direction=H","UseDPDF=Y")</f>
        <v>—</v>
      </c>
      <c r="H25" s="13">
        <f>_xll.BDH("XOM US Equity","BS_ACCUM_DEPR","FQ4 2009","FQ4 2009","Currency=USD","Period=FQ","BEST_FPERIOD_OVERRIDE=FQ","FILING_STATUS=OR","SCALING_FORMAT=MLN","Sort=A","Dates=H","DateFormat=P","Fill=—","Direction=H","UseDPDF=Y")</f>
        <v>166790</v>
      </c>
      <c r="I25" s="13" t="str">
        <f>_xll.BDH("XOM US Equity","BS_ACCUM_DEPR","FQ1 2010","FQ1 2010","Currency=USD","Period=FQ","BEST_FPERIOD_OVERRIDE=FQ","FILING_STATUS=OR","SCALING_FORMAT=MLN","Sort=A","Dates=H","DateFormat=P","Fill=—","Direction=H","UseDPDF=Y")</f>
        <v>—</v>
      </c>
      <c r="J25" s="13" t="str">
        <f>_xll.BDH("XOM US Equity","BS_ACCUM_DEPR","FQ2 2010","FQ2 2010","Currency=USD","Period=FQ","BEST_FPERIOD_OVERRIDE=FQ","FILING_STATUS=OR","SCALING_FORMAT=MLN","Sort=A","Dates=H","DateFormat=P","Fill=—","Direction=H","UseDPDF=Y")</f>
        <v>—</v>
      </c>
      <c r="K25" s="13" t="str">
        <f>_xll.BDH("XOM US Equity","BS_ACCUM_DEPR","FQ3 2010","FQ3 2010","Currency=USD","Period=FQ","BEST_FPERIOD_OVERRIDE=FQ","FILING_STATUS=OR","SCALING_FORMAT=MLN","Sort=A","Dates=H","DateFormat=P","Fill=—","Direction=H","UseDPDF=Y")</f>
        <v>—</v>
      </c>
      <c r="L25" s="13">
        <f>_xll.BDH("XOM US Equity","BS_ACCUM_DEPR","FQ4 2010","FQ4 2010","Currency=USD","Period=FQ","BEST_FPERIOD_OVERRIDE=FQ","FILING_STATUS=OR","SCALING_FORMAT=MLN","Sort=A","Dates=H","DateFormat=P","Fill=—","Direction=H","UseDPDF=Y")</f>
        <v>174390</v>
      </c>
      <c r="M25" s="13" t="str">
        <f>_xll.BDH("XOM US Equity","BS_ACCUM_DEPR","FQ1 2011","FQ1 2011","Currency=USD","Period=FQ","BEST_FPERIOD_OVERRIDE=FQ","FILING_STATUS=OR","SCALING_FORMAT=MLN","Sort=A","Dates=H","DateFormat=P","Fill=—","Direction=H","UseDPDF=Y")</f>
        <v>—</v>
      </c>
      <c r="N25" s="13" t="str">
        <f>_xll.BDH("XOM US Equity","BS_ACCUM_DEPR","FQ2 2011","FQ2 2011","Currency=USD","Period=FQ","BEST_FPERIOD_OVERRIDE=FQ","FILING_STATUS=OR","SCALING_FORMAT=MLN","Sort=A","Dates=H","DateFormat=P","Fill=—","Direction=H","UseDPDF=Y")</f>
        <v>—</v>
      </c>
      <c r="O25" s="13" t="str">
        <f>_xll.BDH("XOM US Equity","BS_ACCUM_DEPR","FQ3 2011","FQ3 2011","Currency=USD","Period=FQ","BEST_FPERIOD_OVERRIDE=FQ","FILING_STATUS=OR","SCALING_FORMAT=MLN","Sort=A","Dates=H","DateFormat=P","Fill=—","Direction=H","UseDPDF=Y")</f>
        <v>—</v>
      </c>
      <c r="P25" s="13">
        <f>_xll.BDH("XOM US Equity","BS_ACCUM_DEPR","FQ4 2011","FQ4 2011","Currency=USD","Period=FQ","BEST_FPERIOD_OVERRIDE=FQ","FILING_STATUS=OR","SCALING_FORMAT=MLN","Sort=A","Dates=H","DateFormat=P","Fill=—","Direction=H","UseDPDF=Y")</f>
        <v>179331</v>
      </c>
      <c r="Q25" s="13" t="str">
        <f>_xll.BDH("XOM US Equity","BS_ACCUM_DEPR","FQ1 2012","FQ1 2012","Currency=USD","Period=FQ","BEST_FPERIOD_OVERRIDE=FQ","FILING_STATUS=OR","SCALING_FORMAT=MLN","Sort=A","Dates=H","DateFormat=P","Fill=—","Direction=H","UseDPDF=Y")</f>
        <v>—</v>
      </c>
      <c r="R25" s="13" t="str">
        <f>_xll.BDH("XOM US Equity","BS_ACCUM_DEPR","FQ2 2012","FQ2 2012","Currency=USD","Period=FQ","BEST_FPERIOD_OVERRIDE=FQ","FILING_STATUS=OR","SCALING_FORMAT=MLN","Sort=A","Dates=H","DateFormat=P","Fill=—","Direction=H","UseDPDF=Y")</f>
        <v>—</v>
      </c>
      <c r="S25" s="13" t="str">
        <f>_xll.BDH("XOM US Equity","BS_ACCUM_DEPR","FQ3 2012","FQ3 2012","Currency=USD","Period=FQ","BEST_FPERIOD_OVERRIDE=FQ","FILING_STATUS=OR","SCALING_FORMAT=MLN","Sort=A","Dates=H","DateFormat=P","Fill=—","Direction=H","UseDPDF=Y")</f>
        <v>—</v>
      </c>
      <c r="T25" s="13">
        <f>_xll.BDH("XOM US Equity","BS_ACCUM_DEPR","FQ4 2012","FQ4 2012","Currency=USD","Period=FQ","BEST_FPERIOD_OVERRIDE=FQ","FILING_STATUS=OR","SCALING_FORMAT=MLN","Sort=A","Dates=H","DateFormat=P","Fill=—","Direction=H","UseDPDF=Y")</f>
        <v>182365</v>
      </c>
      <c r="U25" s="13" t="str">
        <f>_xll.BDH("XOM US Equity","BS_ACCUM_DEPR","FQ1 2013","FQ1 2013","Currency=USD","Period=FQ","BEST_FPERIOD_OVERRIDE=FQ","FILING_STATUS=OR","SCALING_FORMAT=MLN","Sort=A","Dates=H","DateFormat=P","Fill=—","Direction=H","UseDPDF=Y")</f>
        <v>—</v>
      </c>
      <c r="V25" s="13" t="str">
        <f>_xll.BDH("XOM US Equity","BS_ACCUM_DEPR","FQ2 2013","FQ2 2013","Currency=USD","Period=FQ","BEST_FPERIOD_OVERRIDE=FQ","FILING_STATUS=OR","SCALING_FORMAT=MLN","Sort=A","Dates=H","DateFormat=P","Fill=—","Direction=H","UseDPDF=Y")</f>
        <v>—</v>
      </c>
      <c r="W25" s="13" t="str">
        <f>_xll.BDH("XOM US Equity","BS_ACCUM_DEPR","FQ3 2013","FQ3 2013","Currency=USD","Period=FQ","BEST_FPERIOD_OVERRIDE=FQ","FILING_STATUS=OR","SCALING_FORMAT=MLN","Sort=A","Dates=H","DateFormat=P","Fill=—","Direction=H","UseDPDF=Y")</f>
        <v>—</v>
      </c>
      <c r="X25" s="13">
        <f>_xll.BDH("XOM US Equity","BS_ACCUM_DEPR","FQ4 2013","FQ4 2013","Currency=USD","Period=FQ","BEST_FPERIOD_OVERRIDE=FQ","FILING_STATUS=OR","SCALING_FORMAT=MLN","Sort=A","Dates=H","DateFormat=P","Fill=—","Direction=H","UseDPDF=Y")</f>
        <v>190867</v>
      </c>
      <c r="Y25" s="13" t="str">
        <f>_xll.BDH("XOM US Equity","BS_ACCUM_DEPR","FQ1 2014","FQ1 2014","Currency=USD","Period=FQ","BEST_FPERIOD_OVERRIDE=FQ","FILING_STATUS=OR","SCALING_FORMAT=MLN","Sort=A","Dates=H","DateFormat=P","Fill=—","Direction=H","UseDPDF=Y")</f>
        <v>—</v>
      </c>
      <c r="Z25" s="13" t="str">
        <f>_xll.BDH("XOM US Equity","BS_ACCUM_DEPR","FQ2 2014","FQ2 2014","Currency=USD","Period=FQ","BEST_FPERIOD_OVERRIDE=FQ","FILING_STATUS=OR","SCALING_FORMAT=MLN","Sort=A","Dates=H","DateFormat=P","Fill=—","Direction=H","UseDPDF=Y")</f>
        <v>—</v>
      </c>
      <c r="AA25" s="13" t="str">
        <f>_xll.BDH("XOM US Equity","BS_ACCUM_DEPR","FQ3 2014","FQ3 2014","Currency=USD","Period=FQ","BEST_FPERIOD_OVERRIDE=FQ","FILING_STATUS=OR","SCALING_FORMAT=MLN","Sort=A","Dates=H","DateFormat=P","Fill=—","Direction=H","UseDPDF=Y")</f>
        <v>—</v>
      </c>
      <c r="AB25" s="13">
        <f>_xll.BDH("XOM US Equity","BS_ACCUM_DEPR","FQ4 2014","FQ4 2014","Currency=USD","Period=FQ","BEST_FPERIOD_OVERRIDE=FQ","FILING_STATUS=OR","SCALING_FORMAT=MLN","Sort=A","Dates=H","DateFormat=P","Fill=—","Direction=H","UseDPDF=Y")</f>
        <v>194121</v>
      </c>
      <c r="AC25" s="13" t="str">
        <f>_xll.BDH("XOM US Equity","BS_ACCUM_DEPR","FQ1 2015","FQ1 2015","Currency=USD","Period=FQ","BEST_FPERIOD_OVERRIDE=FQ","FILING_STATUS=OR","SCALING_FORMAT=MLN","Sort=A","Dates=H","DateFormat=P","Fill=—","Direction=H","UseDPDF=Y")</f>
        <v>—</v>
      </c>
      <c r="AD25" s="13" t="str">
        <f>_xll.BDH("XOM US Equity","BS_ACCUM_DEPR","FQ2 2015","FQ2 2015","Currency=USD","Period=FQ","BEST_FPERIOD_OVERRIDE=FQ","FILING_STATUS=OR","SCALING_FORMAT=MLN","Sort=A","Dates=H","DateFormat=P","Fill=—","Direction=H","UseDPDF=Y")</f>
        <v>—</v>
      </c>
      <c r="AE25" s="13" t="str">
        <f>_xll.BDH("XOM US Equity","BS_ACCUM_DEPR","FQ3 2015","FQ3 2015","Currency=USD","Period=FQ","BEST_FPERIOD_OVERRIDE=FQ","FILING_STATUS=OR","SCALING_FORMAT=MLN","Sort=A","Dates=H","DateFormat=P","Fill=—","Direction=H","UseDPDF=Y")</f>
        <v>—</v>
      </c>
      <c r="AF25" s="13">
        <f>_xll.BDH("XOM US Equity","BS_ACCUM_DEPR","FQ4 2015","FQ4 2015","Currency=USD","Period=FQ","BEST_FPERIOD_OVERRIDE=FQ","FILING_STATUS=OR","SCALING_FORMAT=MLN","Sort=A","Dates=H","DateFormat=P","Fill=—","Direction=H","UseDPDF=Y")</f>
        <v>195732</v>
      </c>
      <c r="AG25" s="13" t="str">
        <f>_xll.BDH("XOM US Equity","BS_ACCUM_DEPR","FQ1 2016","FQ1 2016","Currency=USD","Period=FQ","BEST_FPERIOD_OVERRIDE=FQ","FILING_STATUS=OR","SCALING_FORMAT=MLN","Sort=A","Dates=H","DateFormat=P","Fill=—","Direction=H","UseDPDF=Y")</f>
        <v>—</v>
      </c>
      <c r="AH25" s="13" t="str">
        <f>_xll.BDH("XOM US Equity","BS_ACCUM_DEPR","FQ2 2016","FQ2 2016","Currency=USD","Period=FQ","BEST_FPERIOD_OVERRIDE=FQ","FILING_STATUS=OR","SCALING_FORMAT=MLN","Sort=A","Dates=H","DateFormat=P","Fill=—","Direction=H","UseDPDF=Y")</f>
        <v>—</v>
      </c>
      <c r="AI25" s="13" t="str">
        <f>_xll.BDH("XOM US Equity","BS_ACCUM_DEPR","FQ3 2016","FQ3 2016","Currency=USD","Period=FQ","BEST_FPERIOD_OVERRIDE=FQ","FILING_STATUS=OR","SCALING_FORMAT=MLN","Sort=A","Dates=H","DateFormat=P","Fill=—","Direction=H","UseDPDF=Y")</f>
        <v>—</v>
      </c>
      <c r="AJ25" s="13">
        <f>_xll.BDH("XOM US Equity","BS_ACCUM_DEPR","FQ4 2016","FQ4 2016","Currency=USD","Period=FQ","BEST_FPERIOD_OVERRIDE=FQ","FILING_STATUS=OR","SCALING_FORMAT=MLN","Sort=A","Dates=H","DateFormat=P","Fill=—","Direction=H","UseDPDF=Y")</f>
        <v>209691</v>
      </c>
      <c r="AK25" s="13" t="str">
        <f>_xll.BDH("XOM US Equity","BS_ACCUM_DEPR","FQ1 2017","FQ1 2017","Currency=USD","Period=FQ","BEST_FPERIOD_OVERRIDE=FQ","FILING_STATUS=OR","SCALING_FORMAT=MLN","Sort=A","Dates=H","DateFormat=P","Fill=—","Direction=H","UseDPDF=Y")</f>
        <v>—</v>
      </c>
      <c r="AL25" s="13" t="str">
        <f>_xll.BDH("XOM US Equity","BS_ACCUM_DEPR","FQ2 2017","FQ2 2017","Currency=USD","Period=FQ","BEST_FPERIOD_OVERRIDE=FQ","FILING_STATUS=OR","SCALING_FORMAT=MLN","Sort=A","Dates=H","DateFormat=P","Fill=—","Direction=H","UseDPDF=Y")</f>
        <v>—</v>
      </c>
      <c r="AM25" s="13" t="str">
        <f>_xll.BDH("XOM US Equity","BS_ACCUM_DEPR","FQ3 2017","FQ3 2017","Currency=USD","Period=FQ","BEST_FPERIOD_OVERRIDE=FQ","FILING_STATUS=OR","SCALING_FORMAT=MLN","Sort=A","Dates=H","DateFormat=P","Fill=—","Direction=H","UseDPDF=Y")</f>
        <v>—</v>
      </c>
      <c r="AN25" s="13">
        <f>_xll.BDH("XOM US Equity","BS_ACCUM_DEPR","FQ4 2017","FQ4 2017","Currency=USD","Period=FQ","BEST_FPERIOD_OVERRIDE=FQ","FILING_STATUS=OR","SCALING_FORMAT=MLN","Sort=A","Dates=H","DateFormat=P","Fill=—","Direction=H","UseDPDF=Y")</f>
        <v>224555</v>
      </c>
      <c r="AO25" s="13" t="str">
        <f>_xll.BDH("XOM US Equity","BS_ACCUM_DEPR","FQ1 2018","FQ1 2018","Currency=USD","Period=FQ","BEST_FPERIOD_OVERRIDE=FQ","FILING_STATUS=OR","SCALING_FORMAT=MLN","Sort=A","Dates=H","DateFormat=P","Fill=—","Direction=H","UseDPDF=Y")</f>
        <v>—</v>
      </c>
      <c r="AP25" s="13" t="str">
        <f>_xll.BDH("XOM US Equity","BS_ACCUM_DEPR","FQ2 2018","FQ2 2018","Currency=USD","Period=FQ","BEST_FPERIOD_OVERRIDE=FQ","FILING_STATUS=OR","SCALING_FORMAT=MLN","Sort=A","Dates=H","DateFormat=P","Fill=—","Direction=H","UseDPDF=Y")</f>
        <v>—</v>
      </c>
    </row>
    <row r="26" spans="1:42" x14ac:dyDescent="0.25">
      <c r="A26" s="10" t="s">
        <v>244</v>
      </c>
      <c r="B26" s="10" t="s">
        <v>245</v>
      </c>
      <c r="C26" s="13">
        <f>_xll.BDH("XOM US Equity","BS_LT_INVEST","FQ3 2008","FQ3 2008","Currency=USD","Period=FQ","BEST_FPERIOD_OVERRIDE=FQ","FILING_STATUS=OR","SCALING_FORMAT=MLN","Sort=A","Dates=H","DateFormat=P","Fill=—","Direction=H","UseDPDF=Y")</f>
        <v>36939</v>
      </c>
      <c r="D26" s="13">
        <f>_xll.BDH("XOM US Equity","BS_LT_INVEST","FQ4 2008","FQ4 2008","Currency=USD","Period=FQ","BEST_FPERIOD_OVERRIDE=FQ","FILING_STATUS=OR","SCALING_FORMAT=MLN","Sort=A","Dates=H","DateFormat=P","Fill=—","Direction=H","UseDPDF=Y")</f>
        <v>28556</v>
      </c>
      <c r="E26" s="13" t="str">
        <f>_xll.BDH("XOM US Equity","BS_LT_INVEST","FQ1 2009","FQ1 2009","Currency=USD","Period=FQ","BEST_FPERIOD_OVERRIDE=FQ","FILING_STATUS=OR","SCALING_FORMAT=MLN","Sort=A","Dates=H","DateFormat=P","Fill=—","Direction=H","UseDPDF=Y")</f>
        <v>—</v>
      </c>
      <c r="F26" s="13" t="str">
        <f>_xll.BDH("XOM US Equity","BS_LT_INVEST","FQ2 2009","FQ2 2009","Currency=USD","Period=FQ","BEST_FPERIOD_OVERRIDE=FQ","FILING_STATUS=OR","SCALING_FORMAT=MLN","Sort=A","Dates=H","DateFormat=P","Fill=—","Direction=H","UseDPDF=Y")</f>
        <v>—</v>
      </c>
      <c r="G26" s="13" t="str">
        <f>_xll.BDH("XOM US Equity","BS_LT_INVEST","FQ3 2009","FQ3 2009","Currency=USD","Period=FQ","BEST_FPERIOD_OVERRIDE=FQ","FILING_STATUS=OR","SCALING_FORMAT=MLN","Sort=A","Dates=H","DateFormat=P","Fill=—","Direction=H","UseDPDF=Y")</f>
        <v>—</v>
      </c>
      <c r="H26" s="13">
        <f>_xll.BDH("XOM US Equity","BS_LT_INVEST","FQ4 2009","FQ4 2009","Currency=USD","Period=FQ","BEST_FPERIOD_OVERRIDE=FQ","FILING_STATUS=OR","SCALING_FORMAT=MLN","Sort=A","Dates=H","DateFormat=P","Fill=—","Direction=H","UseDPDF=Y")</f>
        <v>7254</v>
      </c>
      <c r="I26" s="13" t="str">
        <f>_xll.BDH("XOM US Equity","BS_LT_INVEST","FQ1 2010","FQ1 2010","Currency=USD","Period=FQ","BEST_FPERIOD_OVERRIDE=FQ","FILING_STATUS=OR","SCALING_FORMAT=MLN","Sort=A","Dates=H","DateFormat=P","Fill=—","Direction=H","UseDPDF=Y")</f>
        <v>—</v>
      </c>
      <c r="J26" s="13" t="str">
        <f>_xll.BDH("XOM US Equity","BS_LT_INVEST","FQ2 2010","FQ2 2010","Currency=USD","Period=FQ","BEST_FPERIOD_OVERRIDE=FQ","FILING_STATUS=OR","SCALING_FORMAT=MLN","Sort=A","Dates=H","DateFormat=P","Fill=—","Direction=H","UseDPDF=Y")</f>
        <v>—</v>
      </c>
      <c r="K26" s="13" t="str">
        <f>_xll.BDH("XOM US Equity","BS_LT_INVEST","FQ3 2010","FQ3 2010","Currency=USD","Period=FQ","BEST_FPERIOD_OVERRIDE=FQ","FILING_STATUS=OR","SCALING_FORMAT=MLN","Sort=A","Dates=H","DateFormat=P","Fill=—","Direction=H","UseDPDF=Y")</f>
        <v>—</v>
      </c>
      <c r="L26" s="13">
        <f>_xll.BDH("XOM US Equity","BS_LT_INVEST","FQ4 2010","FQ4 2010","Currency=USD","Period=FQ","BEST_FPERIOD_OVERRIDE=FQ","FILING_STATUS=OR","SCALING_FORMAT=MLN","Sort=A","Dates=H","DateFormat=P","Fill=—","Direction=H","UseDPDF=Y")</f>
        <v>8623</v>
      </c>
      <c r="M26" s="13" t="str">
        <f>_xll.BDH("XOM US Equity","BS_LT_INVEST","FQ1 2011","FQ1 2011","Currency=USD","Period=FQ","BEST_FPERIOD_OVERRIDE=FQ","FILING_STATUS=OR","SCALING_FORMAT=MLN","Sort=A","Dates=H","DateFormat=P","Fill=—","Direction=H","UseDPDF=Y")</f>
        <v>—</v>
      </c>
      <c r="N26" s="13" t="str">
        <f>_xll.BDH("XOM US Equity","BS_LT_INVEST","FQ2 2011","FQ2 2011","Currency=USD","Period=FQ","BEST_FPERIOD_OVERRIDE=FQ","FILING_STATUS=OR","SCALING_FORMAT=MLN","Sort=A","Dates=H","DateFormat=P","Fill=—","Direction=H","UseDPDF=Y")</f>
        <v>—</v>
      </c>
      <c r="O26" s="13" t="str">
        <f>_xll.BDH("XOM US Equity","BS_LT_INVEST","FQ3 2011","FQ3 2011","Currency=USD","Period=FQ","BEST_FPERIOD_OVERRIDE=FQ","FILING_STATUS=OR","SCALING_FORMAT=MLN","Sort=A","Dates=H","DateFormat=P","Fill=—","Direction=H","UseDPDF=Y")</f>
        <v>—</v>
      </c>
      <c r="P26" s="13">
        <f>_xll.BDH("XOM US Equity","BS_LT_INVEST","FQ4 2011","FQ4 2011","Currency=USD","Period=FQ","BEST_FPERIOD_OVERRIDE=FQ","FILING_STATUS=OR","SCALING_FORMAT=MLN","Sort=A","Dates=H","DateFormat=P","Fill=—","Direction=H","UseDPDF=Y")</f>
        <v>7625</v>
      </c>
      <c r="Q26" s="13" t="str">
        <f>_xll.BDH("XOM US Equity","BS_LT_INVEST","FQ1 2012","FQ1 2012","Currency=USD","Period=FQ","BEST_FPERIOD_OVERRIDE=FQ","FILING_STATUS=OR","SCALING_FORMAT=MLN","Sort=A","Dates=H","DateFormat=P","Fill=—","Direction=H","UseDPDF=Y")</f>
        <v>—</v>
      </c>
      <c r="R26" s="13" t="str">
        <f>_xll.BDH("XOM US Equity","BS_LT_INVEST","FQ2 2012","FQ2 2012","Currency=USD","Period=FQ","BEST_FPERIOD_OVERRIDE=FQ","FILING_STATUS=OR","SCALING_FORMAT=MLN","Sort=A","Dates=H","DateFormat=P","Fill=—","Direction=H","UseDPDF=Y")</f>
        <v>—</v>
      </c>
      <c r="S26" s="13" t="str">
        <f>_xll.BDH("XOM US Equity","BS_LT_INVEST","FQ3 2012","FQ3 2012","Currency=USD","Period=FQ","BEST_FPERIOD_OVERRIDE=FQ","FILING_STATUS=OR","SCALING_FORMAT=MLN","Sort=A","Dates=H","DateFormat=P","Fill=—","Direction=H","UseDPDF=Y")</f>
        <v>—</v>
      </c>
      <c r="T26" s="13">
        <f>_xll.BDH("XOM US Equity","BS_LT_INVEST","FQ4 2012","FQ4 2012","Currency=USD","Period=FQ","BEST_FPERIOD_OVERRIDE=FQ","FILING_STATUS=OR","SCALING_FORMAT=MLN","Sort=A","Dates=H","DateFormat=P","Fill=—","Direction=H","UseDPDF=Y")</f>
        <v>6229</v>
      </c>
      <c r="U26" s="13" t="str">
        <f>_xll.BDH("XOM US Equity","BS_LT_INVEST","FQ1 2013","FQ1 2013","Currency=USD","Period=FQ","BEST_FPERIOD_OVERRIDE=FQ","FILING_STATUS=OR","SCALING_FORMAT=MLN","Sort=A","Dates=H","DateFormat=P","Fill=—","Direction=H","UseDPDF=Y")</f>
        <v>—</v>
      </c>
      <c r="V26" s="13" t="str">
        <f>_xll.BDH("XOM US Equity","BS_LT_INVEST","FQ2 2013","FQ2 2013","Currency=USD","Period=FQ","BEST_FPERIOD_OVERRIDE=FQ","FILING_STATUS=OR","SCALING_FORMAT=MLN","Sort=A","Dates=H","DateFormat=P","Fill=—","Direction=H","UseDPDF=Y")</f>
        <v>—</v>
      </c>
      <c r="W26" s="13" t="str">
        <f>_xll.BDH("XOM US Equity","BS_LT_INVEST","FQ3 2013","FQ3 2013","Currency=USD","Period=FQ","BEST_FPERIOD_OVERRIDE=FQ","FILING_STATUS=OR","SCALING_FORMAT=MLN","Sort=A","Dates=H","DateFormat=P","Fill=—","Direction=H","UseDPDF=Y")</f>
        <v>—</v>
      </c>
      <c r="X26" s="13">
        <f>_xll.BDH("XOM US Equity","BS_LT_INVEST","FQ4 2013","FQ4 2013","Currency=USD","Period=FQ","BEST_FPERIOD_OVERRIDE=FQ","FILING_STATUS=OR","SCALING_FORMAT=MLN","Sort=A","Dates=H","DateFormat=P","Fill=—","Direction=H","UseDPDF=Y")</f>
        <v>6233</v>
      </c>
      <c r="Y26" s="13" t="str">
        <f>_xll.BDH("XOM US Equity","BS_LT_INVEST","FQ1 2014","FQ1 2014","Currency=USD","Period=FQ","BEST_FPERIOD_OVERRIDE=FQ","FILING_STATUS=OR","SCALING_FORMAT=MLN","Sort=A","Dates=H","DateFormat=P","Fill=—","Direction=H","UseDPDF=Y")</f>
        <v>—</v>
      </c>
      <c r="Z26" s="13" t="str">
        <f>_xll.BDH("XOM US Equity","BS_LT_INVEST","FQ2 2014","FQ2 2014","Currency=USD","Period=FQ","BEST_FPERIOD_OVERRIDE=FQ","FILING_STATUS=OR","SCALING_FORMAT=MLN","Sort=A","Dates=H","DateFormat=P","Fill=—","Direction=H","UseDPDF=Y")</f>
        <v>—</v>
      </c>
      <c r="AA26" s="13" t="str">
        <f>_xll.BDH("XOM US Equity","BS_LT_INVEST","FQ3 2014","FQ3 2014","Currency=USD","Period=FQ","BEST_FPERIOD_OVERRIDE=FQ","FILING_STATUS=OR","SCALING_FORMAT=MLN","Sort=A","Dates=H","DateFormat=P","Fill=—","Direction=H","UseDPDF=Y")</f>
        <v>—</v>
      </c>
      <c r="AB26" s="13">
        <f>_xll.BDH("XOM US Equity","BS_LT_INVEST","FQ4 2014","FQ4 2014","Currency=USD","Period=FQ","BEST_FPERIOD_OVERRIDE=FQ","FILING_STATUS=OR","SCALING_FORMAT=MLN","Sort=A","Dates=H","DateFormat=P","Fill=—","Direction=H","UseDPDF=Y")</f>
        <v>5404</v>
      </c>
      <c r="AC26" s="13" t="str">
        <f>_xll.BDH("XOM US Equity","BS_LT_INVEST","FQ1 2015","FQ1 2015","Currency=USD","Period=FQ","BEST_FPERIOD_OVERRIDE=FQ","FILING_STATUS=OR","SCALING_FORMAT=MLN","Sort=A","Dates=H","DateFormat=P","Fill=—","Direction=H","UseDPDF=Y")</f>
        <v>—</v>
      </c>
      <c r="AD26" s="13" t="str">
        <f>_xll.BDH("XOM US Equity","BS_LT_INVEST","FQ2 2015","FQ2 2015","Currency=USD","Period=FQ","BEST_FPERIOD_OVERRIDE=FQ","FILING_STATUS=OR","SCALING_FORMAT=MLN","Sort=A","Dates=H","DateFormat=P","Fill=—","Direction=H","UseDPDF=Y")</f>
        <v>—</v>
      </c>
      <c r="AE26" s="13" t="str">
        <f>_xll.BDH("XOM US Equity","BS_LT_INVEST","FQ3 2015","FQ3 2015","Currency=USD","Period=FQ","BEST_FPERIOD_OVERRIDE=FQ","FILING_STATUS=OR","SCALING_FORMAT=MLN","Sort=A","Dates=H","DateFormat=P","Fill=—","Direction=H","UseDPDF=Y")</f>
        <v>—</v>
      </c>
      <c r="AF26" s="13">
        <f>_xll.BDH("XOM US Equity","BS_LT_INVEST","FQ4 2015","FQ4 2015","Currency=USD","Period=FQ","BEST_FPERIOD_OVERRIDE=FQ","FILING_STATUS=OR","SCALING_FORMAT=MLN","Sort=A","Dates=H","DateFormat=P","Fill=—","Direction=H","UseDPDF=Y")</f>
        <v>4798</v>
      </c>
      <c r="AG26" s="13" t="str">
        <f>_xll.BDH("XOM US Equity","BS_LT_INVEST","FQ1 2016","FQ1 2016","Currency=USD","Period=FQ","BEST_FPERIOD_OVERRIDE=FQ","FILING_STATUS=OR","SCALING_FORMAT=MLN","Sort=A","Dates=H","DateFormat=P","Fill=—","Direction=H","UseDPDF=Y")</f>
        <v>—</v>
      </c>
      <c r="AH26" s="13" t="str">
        <f>_xll.BDH("XOM US Equity","BS_LT_INVEST","FQ2 2016","FQ2 2016","Currency=USD","Period=FQ","BEST_FPERIOD_OVERRIDE=FQ","FILING_STATUS=OR","SCALING_FORMAT=MLN","Sort=A","Dates=H","DateFormat=P","Fill=—","Direction=H","UseDPDF=Y")</f>
        <v>—</v>
      </c>
      <c r="AI26" s="13" t="str">
        <f>_xll.BDH("XOM US Equity","BS_LT_INVEST","FQ3 2016","FQ3 2016","Currency=USD","Period=FQ","BEST_FPERIOD_OVERRIDE=FQ","FILING_STATUS=OR","SCALING_FORMAT=MLN","Sort=A","Dates=H","DateFormat=P","Fill=—","Direction=H","UseDPDF=Y")</f>
        <v>—</v>
      </c>
      <c r="AJ26" s="13">
        <f>_xll.BDH("XOM US Equity","BS_LT_INVEST","FQ4 2016","FQ4 2016","Currency=USD","Period=FQ","BEST_FPERIOD_OVERRIDE=FQ","FILING_STATUS=OR","SCALING_FORMAT=MLN","Sort=A","Dates=H","DateFormat=P","Fill=—","Direction=H","UseDPDF=Y")</f>
        <v>4849</v>
      </c>
      <c r="AK26" s="13" t="str">
        <f>_xll.BDH("XOM US Equity","BS_LT_INVEST","FQ1 2017","FQ1 2017","Currency=USD","Period=FQ","BEST_FPERIOD_OVERRIDE=FQ","FILING_STATUS=OR","SCALING_FORMAT=MLN","Sort=A","Dates=H","DateFormat=P","Fill=—","Direction=H","UseDPDF=Y")</f>
        <v>—</v>
      </c>
      <c r="AL26" s="13" t="str">
        <f>_xll.BDH("XOM US Equity","BS_LT_INVEST","FQ2 2017","FQ2 2017","Currency=USD","Period=FQ","BEST_FPERIOD_OVERRIDE=FQ","FILING_STATUS=OR","SCALING_FORMAT=MLN","Sort=A","Dates=H","DateFormat=P","Fill=—","Direction=H","UseDPDF=Y")</f>
        <v>—</v>
      </c>
      <c r="AM26" s="13" t="str">
        <f>_xll.BDH("XOM US Equity","BS_LT_INVEST","FQ3 2017","FQ3 2017","Currency=USD","Period=FQ","BEST_FPERIOD_OVERRIDE=FQ","FILING_STATUS=OR","SCALING_FORMAT=MLN","Sort=A","Dates=H","DateFormat=P","Fill=—","Direction=H","UseDPDF=Y")</f>
        <v>—</v>
      </c>
      <c r="AN26" s="13">
        <f>_xll.BDH("XOM US Equity","BS_LT_INVEST","FQ4 2017","FQ4 2017","Currency=USD","Period=FQ","BEST_FPERIOD_OVERRIDE=FQ","FILING_STATUS=OR","SCALING_FORMAT=MLN","Sort=A","Dates=H","DateFormat=P","Fill=—","Direction=H","UseDPDF=Y")</f>
        <v>5694</v>
      </c>
      <c r="AO26" s="13" t="str">
        <f>_xll.BDH("XOM US Equity","BS_LT_INVEST","FQ1 2018","FQ1 2018","Currency=USD","Period=FQ","BEST_FPERIOD_OVERRIDE=FQ","FILING_STATUS=OR","SCALING_FORMAT=MLN","Sort=A","Dates=H","DateFormat=P","Fill=—","Direction=H","UseDPDF=Y")</f>
        <v>—</v>
      </c>
      <c r="AP26" s="13" t="str">
        <f>_xll.BDH("XOM US Equity","BS_LT_INVEST","FQ2 2018","FQ2 2018","Currency=USD","Period=FQ","BEST_FPERIOD_OVERRIDE=FQ","FILING_STATUS=OR","SCALING_FORMAT=MLN","Sort=A","Dates=H","DateFormat=P","Fill=—","Direction=H","UseDPDF=Y")</f>
        <v>—</v>
      </c>
    </row>
    <row r="27" spans="1:42" x14ac:dyDescent="0.25">
      <c r="A27" s="10" t="s">
        <v>246</v>
      </c>
      <c r="B27" s="10" t="s">
        <v>247</v>
      </c>
      <c r="C27" s="13" t="str">
        <f>_xll.BDH("XOM US Equity","BS_LONG_TERM_INVESTMENTS","FQ3 2008","FQ3 2008","Currency=USD","Period=FQ","BEST_FPERIOD_OVERRIDE=FQ","FILING_STATUS=OR","SCALING_FORMAT=MLN","Sort=A","Dates=H","DateFormat=P","Fill=—","Direction=H","UseDPDF=Y")</f>
        <v>—</v>
      </c>
      <c r="D27" s="13" t="str">
        <f>_xll.BDH("XOM US Equity","BS_LONG_TERM_INVESTMENTS","FQ4 2008","FQ4 2008","Currency=USD","Period=FQ","BEST_FPERIOD_OVERRIDE=FQ","FILING_STATUS=OR","SCALING_FORMAT=MLN","Sort=A","Dates=H","DateFormat=P","Fill=—","Direction=H","UseDPDF=Y")</f>
        <v>—</v>
      </c>
      <c r="E27" s="13" t="str">
        <f>_xll.BDH("XOM US Equity","BS_LONG_TERM_INVESTMENTS","FQ1 2009","FQ1 2009","Currency=USD","Period=FQ","BEST_FPERIOD_OVERRIDE=FQ","FILING_STATUS=OR","SCALING_FORMAT=MLN","Sort=A","Dates=H","DateFormat=P","Fill=—","Direction=H","UseDPDF=Y")</f>
        <v>—</v>
      </c>
      <c r="F27" s="13" t="str">
        <f>_xll.BDH("XOM US Equity","BS_LONG_TERM_INVESTMENTS","FQ2 2009","FQ2 2009","Currency=USD","Period=FQ","BEST_FPERIOD_OVERRIDE=FQ","FILING_STATUS=OR","SCALING_FORMAT=MLN","Sort=A","Dates=H","DateFormat=P","Fill=—","Direction=H","UseDPDF=Y")</f>
        <v>—</v>
      </c>
      <c r="G27" s="13" t="str">
        <f>_xll.BDH("XOM US Equity","BS_LONG_TERM_INVESTMENTS","FQ3 2009","FQ3 2009","Currency=USD","Period=FQ","BEST_FPERIOD_OVERRIDE=FQ","FILING_STATUS=OR","SCALING_FORMAT=MLN","Sort=A","Dates=H","DateFormat=P","Fill=—","Direction=H","UseDPDF=Y")</f>
        <v>—</v>
      </c>
      <c r="H27" s="13">
        <f>_xll.BDH("XOM US Equity","BS_LONG_TERM_INVESTMENTS","FQ4 2009","FQ4 2009","Currency=USD","Period=FQ","BEST_FPERIOD_OVERRIDE=FQ","FILING_STATUS=OR","SCALING_FORMAT=MLN","Sort=A","Dates=H","DateFormat=P","Fill=—","Direction=H","UseDPDF=Y")</f>
        <v>1577</v>
      </c>
      <c r="I27" s="13" t="str">
        <f>_xll.BDH("XOM US Equity","BS_LONG_TERM_INVESTMENTS","FQ1 2010","FQ1 2010","Currency=USD","Period=FQ","BEST_FPERIOD_OVERRIDE=FQ","FILING_STATUS=OR","SCALING_FORMAT=MLN","Sort=A","Dates=H","DateFormat=P","Fill=—","Direction=H","UseDPDF=Y")</f>
        <v>—</v>
      </c>
      <c r="J27" s="13" t="str">
        <f>_xll.BDH("XOM US Equity","BS_LONG_TERM_INVESTMENTS","FQ2 2010","FQ2 2010","Currency=USD","Period=FQ","BEST_FPERIOD_OVERRIDE=FQ","FILING_STATUS=OR","SCALING_FORMAT=MLN","Sort=A","Dates=H","DateFormat=P","Fill=—","Direction=H","UseDPDF=Y")</f>
        <v>—</v>
      </c>
      <c r="K27" s="13" t="str">
        <f>_xll.BDH("XOM US Equity","BS_LONG_TERM_INVESTMENTS","FQ3 2010","FQ3 2010","Currency=USD","Period=FQ","BEST_FPERIOD_OVERRIDE=FQ","FILING_STATUS=OR","SCALING_FORMAT=MLN","Sort=A","Dates=H","DateFormat=P","Fill=—","Direction=H","UseDPDF=Y")</f>
        <v>—</v>
      </c>
      <c r="L27" s="13">
        <f>_xll.BDH("XOM US Equity","BS_LONG_TERM_INVESTMENTS","FQ4 2010","FQ4 2010","Currency=USD","Period=FQ","BEST_FPERIOD_OVERRIDE=FQ","FILING_STATUS=OR","SCALING_FORMAT=MLN","Sort=A","Dates=H","DateFormat=P","Fill=—","Direction=H","UseDPDF=Y")</f>
        <v>1557</v>
      </c>
      <c r="M27" s="13" t="str">
        <f>_xll.BDH("XOM US Equity","BS_LONG_TERM_INVESTMENTS","FQ1 2011","FQ1 2011","Currency=USD","Period=FQ","BEST_FPERIOD_OVERRIDE=FQ","FILING_STATUS=OR","SCALING_FORMAT=MLN","Sort=A","Dates=H","DateFormat=P","Fill=—","Direction=H","UseDPDF=Y")</f>
        <v>—</v>
      </c>
      <c r="N27" s="13" t="str">
        <f>_xll.BDH("XOM US Equity","BS_LONG_TERM_INVESTMENTS","FQ2 2011","FQ2 2011","Currency=USD","Period=FQ","BEST_FPERIOD_OVERRIDE=FQ","FILING_STATUS=OR","SCALING_FORMAT=MLN","Sort=A","Dates=H","DateFormat=P","Fill=—","Direction=H","UseDPDF=Y")</f>
        <v>—</v>
      </c>
      <c r="O27" s="13" t="str">
        <f>_xll.BDH("XOM US Equity","BS_LONG_TERM_INVESTMENTS","FQ3 2011","FQ3 2011","Currency=USD","Period=FQ","BEST_FPERIOD_OVERRIDE=FQ","FILING_STATUS=OR","SCALING_FORMAT=MLN","Sort=A","Dates=H","DateFormat=P","Fill=—","Direction=H","UseDPDF=Y")</f>
        <v>—</v>
      </c>
      <c r="P27" s="13">
        <f>_xll.BDH("XOM US Equity","BS_LONG_TERM_INVESTMENTS","FQ4 2011","FQ4 2011","Currency=USD","Period=FQ","BEST_FPERIOD_OVERRIDE=FQ","FILING_STATUS=OR","SCALING_FORMAT=MLN","Sort=A","Dates=H","DateFormat=P","Fill=—","Direction=H","UseDPDF=Y")</f>
        <v>1544</v>
      </c>
      <c r="Q27" s="13" t="str">
        <f>_xll.BDH("XOM US Equity","BS_LONG_TERM_INVESTMENTS","FQ1 2012","FQ1 2012","Currency=USD","Period=FQ","BEST_FPERIOD_OVERRIDE=FQ","FILING_STATUS=OR","SCALING_FORMAT=MLN","Sort=A","Dates=H","DateFormat=P","Fill=—","Direction=H","UseDPDF=Y")</f>
        <v>—</v>
      </c>
      <c r="R27" s="13" t="str">
        <f>_xll.BDH("XOM US Equity","BS_LONG_TERM_INVESTMENTS","FQ2 2012","FQ2 2012","Currency=USD","Period=FQ","BEST_FPERIOD_OVERRIDE=FQ","FILING_STATUS=OR","SCALING_FORMAT=MLN","Sort=A","Dates=H","DateFormat=P","Fill=—","Direction=H","UseDPDF=Y")</f>
        <v>—</v>
      </c>
      <c r="S27" s="13" t="str">
        <f>_xll.BDH("XOM US Equity","BS_LONG_TERM_INVESTMENTS","FQ3 2012","FQ3 2012","Currency=USD","Period=FQ","BEST_FPERIOD_OVERRIDE=FQ","FILING_STATUS=OR","SCALING_FORMAT=MLN","Sort=A","Dates=H","DateFormat=P","Fill=—","Direction=H","UseDPDF=Y")</f>
        <v>—</v>
      </c>
      <c r="T27" s="13">
        <f>_xll.BDH("XOM US Equity","BS_LONG_TERM_INVESTMENTS","FQ4 2012","FQ4 2012","Currency=USD","Period=FQ","BEST_FPERIOD_OVERRIDE=FQ","FILING_STATUS=OR","SCALING_FORMAT=MLN","Sort=A","Dates=H","DateFormat=P","Fill=—","Direction=H","UseDPDF=Y")</f>
        <v>437</v>
      </c>
      <c r="U27" s="13" t="str">
        <f>_xll.BDH("XOM US Equity","BS_LONG_TERM_INVESTMENTS","FQ1 2013","FQ1 2013","Currency=USD","Period=FQ","BEST_FPERIOD_OVERRIDE=FQ","FILING_STATUS=OR","SCALING_FORMAT=MLN","Sort=A","Dates=H","DateFormat=P","Fill=—","Direction=H","UseDPDF=Y")</f>
        <v>—</v>
      </c>
      <c r="V27" s="13" t="str">
        <f>_xll.BDH("XOM US Equity","BS_LONG_TERM_INVESTMENTS","FQ2 2013","FQ2 2013","Currency=USD","Period=FQ","BEST_FPERIOD_OVERRIDE=FQ","FILING_STATUS=OR","SCALING_FORMAT=MLN","Sort=A","Dates=H","DateFormat=P","Fill=—","Direction=H","UseDPDF=Y")</f>
        <v>—</v>
      </c>
      <c r="W27" s="13" t="str">
        <f>_xll.BDH("XOM US Equity","BS_LONG_TERM_INVESTMENTS","FQ3 2013","FQ3 2013","Currency=USD","Period=FQ","BEST_FPERIOD_OVERRIDE=FQ","FILING_STATUS=OR","SCALING_FORMAT=MLN","Sort=A","Dates=H","DateFormat=P","Fill=—","Direction=H","UseDPDF=Y")</f>
        <v>—</v>
      </c>
      <c r="X27" s="13">
        <f>_xll.BDH("XOM US Equity","BS_LONG_TERM_INVESTMENTS","FQ4 2013","FQ4 2013","Currency=USD","Period=FQ","BEST_FPERIOD_OVERRIDE=FQ","FILING_STATUS=OR","SCALING_FORMAT=MLN","Sort=A","Dates=H","DateFormat=P","Fill=—","Direction=H","UseDPDF=Y")</f>
        <v>115</v>
      </c>
      <c r="Y27" s="13" t="str">
        <f>_xll.BDH("XOM US Equity","BS_LONG_TERM_INVESTMENTS","FQ1 2014","FQ1 2014","Currency=USD","Period=FQ","BEST_FPERIOD_OVERRIDE=FQ","FILING_STATUS=OR","SCALING_FORMAT=MLN","Sort=A","Dates=H","DateFormat=P","Fill=—","Direction=H","UseDPDF=Y")</f>
        <v>—</v>
      </c>
      <c r="Z27" s="13" t="str">
        <f>_xll.BDH("XOM US Equity","BS_LONG_TERM_INVESTMENTS","FQ2 2014","FQ2 2014","Currency=USD","Period=FQ","BEST_FPERIOD_OVERRIDE=FQ","FILING_STATUS=OR","SCALING_FORMAT=MLN","Sort=A","Dates=H","DateFormat=P","Fill=—","Direction=H","UseDPDF=Y")</f>
        <v>—</v>
      </c>
      <c r="AA27" s="13" t="str">
        <f>_xll.BDH("XOM US Equity","BS_LONG_TERM_INVESTMENTS","FQ3 2014","FQ3 2014","Currency=USD","Period=FQ","BEST_FPERIOD_OVERRIDE=FQ","FILING_STATUS=OR","SCALING_FORMAT=MLN","Sort=A","Dates=H","DateFormat=P","Fill=—","Direction=H","UseDPDF=Y")</f>
        <v>—</v>
      </c>
      <c r="AB27" s="13">
        <f>_xll.BDH("XOM US Equity","BS_LONG_TERM_INVESTMENTS","FQ4 2014","FQ4 2014","Currency=USD","Period=FQ","BEST_FPERIOD_OVERRIDE=FQ","FILING_STATUS=OR","SCALING_FORMAT=MLN","Sort=A","Dates=H","DateFormat=P","Fill=—","Direction=H","UseDPDF=Y")</f>
        <v>526</v>
      </c>
      <c r="AC27" s="13" t="str">
        <f>_xll.BDH("XOM US Equity","BS_LONG_TERM_INVESTMENTS","FQ1 2015","FQ1 2015","Currency=USD","Period=FQ","BEST_FPERIOD_OVERRIDE=FQ","FILING_STATUS=OR","SCALING_FORMAT=MLN","Sort=A","Dates=H","DateFormat=P","Fill=—","Direction=H","UseDPDF=Y")</f>
        <v>—</v>
      </c>
      <c r="AD27" s="13" t="str">
        <f>_xll.BDH("XOM US Equity","BS_LONG_TERM_INVESTMENTS","FQ2 2015","FQ2 2015","Currency=USD","Period=FQ","BEST_FPERIOD_OVERRIDE=FQ","FILING_STATUS=OR","SCALING_FORMAT=MLN","Sort=A","Dates=H","DateFormat=P","Fill=—","Direction=H","UseDPDF=Y")</f>
        <v>—</v>
      </c>
      <c r="AE27" s="13" t="str">
        <f>_xll.BDH("XOM US Equity","BS_LONG_TERM_INVESTMENTS","FQ3 2015","FQ3 2015","Currency=USD","Period=FQ","BEST_FPERIOD_OVERRIDE=FQ","FILING_STATUS=OR","SCALING_FORMAT=MLN","Sort=A","Dates=H","DateFormat=P","Fill=—","Direction=H","UseDPDF=Y")</f>
        <v>—</v>
      </c>
      <c r="AF27" s="13">
        <f>_xll.BDH("XOM US Equity","BS_LONG_TERM_INVESTMENTS","FQ4 2015","FQ4 2015","Currency=USD","Period=FQ","BEST_FPERIOD_OVERRIDE=FQ","FILING_STATUS=OR","SCALING_FORMAT=MLN","Sort=A","Dates=H","DateFormat=P","Fill=—","Direction=H","UseDPDF=Y")</f>
        <v>274</v>
      </c>
      <c r="AG27" s="13" t="str">
        <f>_xll.BDH("XOM US Equity","BS_LONG_TERM_INVESTMENTS","FQ1 2016","FQ1 2016","Currency=USD","Period=FQ","BEST_FPERIOD_OVERRIDE=FQ","FILING_STATUS=OR","SCALING_FORMAT=MLN","Sort=A","Dates=H","DateFormat=P","Fill=—","Direction=H","UseDPDF=Y")</f>
        <v>—</v>
      </c>
      <c r="AH27" s="13" t="str">
        <f>_xll.BDH("XOM US Equity","BS_LONG_TERM_INVESTMENTS","FQ2 2016","FQ2 2016","Currency=USD","Period=FQ","BEST_FPERIOD_OVERRIDE=FQ","FILING_STATUS=OR","SCALING_FORMAT=MLN","Sort=A","Dates=H","DateFormat=P","Fill=—","Direction=H","UseDPDF=Y")</f>
        <v>—</v>
      </c>
      <c r="AI27" s="13" t="str">
        <f>_xll.BDH("XOM US Equity","BS_LONG_TERM_INVESTMENTS","FQ3 2016","FQ3 2016","Currency=USD","Period=FQ","BEST_FPERIOD_OVERRIDE=FQ","FILING_STATUS=OR","SCALING_FORMAT=MLN","Sort=A","Dates=H","DateFormat=P","Fill=—","Direction=H","UseDPDF=Y")</f>
        <v>—</v>
      </c>
      <c r="AJ27" s="13">
        <f>_xll.BDH("XOM US Equity","BS_LONG_TERM_INVESTMENTS","FQ4 2016","FQ4 2016","Currency=USD","Period=FQ","BEST_FPERIOD_OVERRIDE=FQ","FILING_STATUS=OR","SCALING_FORMAT=MLN","Sort=A","Dates=H","DateFormat=P","Fill=—","Direction=H","UseDPDF=Y")</f>
        <v>154</v>
      </c>
      <c r="AK27" s="13" t="str">
        <f>_xll.BDH("XOM US Equity","BS_LONG_TERM_INVESTMENTS","FQ1 2017","FQ1 2017","Currency=USD","Period=FQ","BEST_FPERIOD_OVERRIDE=FQ","FILING_STATUS=OR","SCALING_FORMAT=MLN","Sort=A","Dates=H","DateFormat=P","Fill=—","Direction=H","UseDPDF=Y")</f>
        <v>—</v>
      </c>
      <c r="AL27" s="13" t="str">
        <f>_xll.BDH("XOM US Equity","BS_LONG_TERM_INVESTMENTS","FQ2 2017","FQ2 2017","Currency=USD","Period=FQ","BEST_FPERIOD_OVERRIDE=FQ","FILING_STATUS=OR","SCALING_FORMAT=MLN","Sort=A","Dates=H","DateFormat=P","Fill=—","Direction=H","UseDPDF=Y")</f>
        <v>—</v>
      </c>
      <c r="AM27" s="13" t="str">
        <f>_xll.BDH("XOM US Equity","BS_LONG_TERM_INVESTMENTS","FQ3 2017","FQ3 2017","Currency=USD","Period=FQ","BEST_FPERIOD_OVERRIDE=FQ","FILING_STATUS=OR","SCALING_FORMAT=MLN","Sort=A","Dates=H","DateFormat=P","Fill=—","Direction=H","UseDPDF=Y")</f>
        <v>—</v>
      </c>
      <c r="AN27" s="13">
        <f>_xll.BDH("XOM US Equity","BS_LONG_TERM_INVESTMENTS","FQ4 2017","FQ4 2017","Currency=USD","Period=FQ","BEST_FPERIOD_OVERRIDE=FQ","FILING_STATUS=OR","SCALING_FORMAT=MLN","Sort=A","Dates=H","DateFormat=P","Fill=—","Direction=H","UseDPDF=Y")</f>
        <v>174</v>
      </c>
      <c r="AO27" s="13" t="str">
        <f>_xll.BDH("XOM US Equity","BS_LONG_TERM_INVESTMENTS","FQ1 2018","FQ1 2018","Currency=USD","Period=FQ","BEST_FPERIOD_OVERRIDE=FQ","FILING_STATUS=OR","SCALING_FORMAT=MLN","Sort=A","Dates=H","DateFormat=P","Fill=—","Direction=H","UseDPDF=Y")</f>
        <v>—</v>
      </c>
      <c r="AP27" s="13" t="str">
        <f>_xll.BDH("XOM US Equity","BS_LONG_TERM_INVESTMENTS","FQ2 2018","FQ2 2018","Currency=USD","Period=FQ","BEST_FPERIOD_OVERRIDE=FQ","FILING_STATUS=OR","SCALING_FORMAT=MLN","Sort=A","Dates=H","DateFormat=P","Fill=—","Direction=H","UseDPDF=Y")</f>
        <v>—</v>
      </c>
    </row>
    <row r="28" spans="1:42" x14ac:dyDescent="0.25">
      <c r="A28" s="10" t="s">
        <v>248</v>
      </c>
      <c r="B28" s="10" t="s">
        <v>249</v>
      </c>
      <c r="C28" s="13" t="str">
        <f>_xll.BDH("XOM US Equity","BS_LT_RECEIVABLES","FQ3 2008","FQ3 2008","Currency=USD","Period=FQ","BEST_FPERIOD_OVERRIDE=FQ","FILING_STATUS=OR","SCALING_FORMAT=MLN","Sort=A","Dates=H","DateFormat=P","Fill=—","Direction=H","UseDPDF=Y")</f>
        <v>—</v>
      </c>
      <c r="D28" s="13" t="str">
        <f>_xll.BDH("XOM US Equity","BS_LT_RECEIVABLES","FQ4 2008","FQ4 2008","Currency=USD","Period=FQ","BEST_FPERIOD_OVERRIDE=FQ","FILING_STATUS=OR","SCALING_FORMAT=MLN","Sort=A","Dates=H","DateFormat=P","Fill=—","Direction=H","UseDPDF=Y")</f>
        <v>—</v>
      </c>
      <c r="E28" s="13" t="str">
        <f>_xll.BDH("XOM US Equity","BS_LT_RECEIVABLES","FQ1 2009","FQ1 2009","Currency=USD","Period=FQ","BEST_FPERIOD_OVERRIDE=FQ","FILING_STATUS=OR","SCALING_FORMAT=MLN","Sort=A","Dates=H","DateFormat=P","Fill=—","Direction=H","UseDPDF=Y")</f>
        <v>—</v>
      </c>
      <c r="F28" s="13" t="str">
        <f>_xll.BDH("XOM US Equity","BS_LT_RECEIVABLES","FQ2 2009","FQ2 2009","Currency=USD","Period=FQ","BEST_FPERIOD_OVERRIDE=FQ","FILING_STATUS=OR","SCALING_FORMAT=MLN","Sort=A","Dates=H","DateFormat=P","Fill=—","Direction=H","UseDPDF=Y")</f>
        <v>—</v>
      </c>
      <c r="G28" s="13" t="str">
        <f>_xll.BDH("XOM US Equity","BS_LT_RECEIVABLES","FQ3 2009","FQ3 2009","Currency=USD","Period=FQ","BEST_FPERIOD_OVERRIDE=FQ","FILING_STATUS=OR","SCALING_FORMAT=MLN","Sort=A","Dates=H","DateFormat=P","Fill=—","Direction=H","UseDPDF=Y")</f>
        <v>—</v>
      </c>
      <c r="H28" s="13">
        <f>_xll.BDH("XOM US Equity","BS_LT_RECEIVABLES","FQ4 2009","FQ4 2009","Currency=USD","Period=FQ","BEST_FPERIOD_OVERRIDE=FQ","FILING_STATUS=OR","SCALING_FORMAT=MLN","Sort=A","Dates=H","DateFormat=P","Fill=—","Direction=H","UseDPDF=Y")</f>
        <v>5677</v>
      </c>
      <c r="I28" s="13" t="str">
        <f>_xll.BDH("XOM US Equity","BS_LT_RECEIVABLES","FQ1 2010","FQ1 2010","Currency=USD","Period=FQ","BEST_FPERIOD_OVERRIDE=FQ","FILING_STATUS=OR","SCALING_FORMAT=MLN","Sort=A","Dates=H","DateFormat=P","Fill=—","Direction=H","UseDPDF=Y")</f>
        <v>—</v>
      </c>
      <c r="J28" s="13" t="str">
        <f>_xll.BDH("XOM US Equity","BS_LT_RECEIVABLES","FQ2 2010","FQ2 2010","Currency=USD","Period=FQ","BEST_FPERIOD_OVERRIDE=FQ","FILING_STATUS=OR","SCALING_FORMAT=MLN","Sort=A","Dates=H","DateFormat=P","Fill=—","Direction=H","UseDPDF=Y")</f>
        <v>—</v>
      </c>
      <c r="K28" s="13" t="str">
        <f>_xll.BDH("XOM US Equity","BS_LT_RECEIVABLES","FQ3 2010","FQ3 2010","Currency=USD","Period=FQ","BEST_FPERIOD_OVERRIDE=FQ","FILING_STATUS=OR","SCALING_FORMAT=MLN","Sort=A","Dates=H","DateFormat=P","Fill=—","Direction=H","UseDPDF=Y")</f>
        <v>—</v>
      </c>
      <c r="L28" s="13">
        <f>_xll.BDH("XOM US Equity","BS_LT_RECEIVABLES","FQ4 2010","FQ4 2010","Currency=USD","Period=FQ","BEST_FPERIOD_OVERRIDE=FQ","FILING_STATUS=OR","SCALING_FORMAT=MLN","Sort=A","Dates=H","DateFormat=P","Fill=—","Direction=H","UseDPDF=Y")</f>
        <v>7066</v>
      </c>
      <c r="M28" s="13" t="str">
        <f>_xll.BDH("XOM US Equity","BS_LT_RECEIVABLES","FQ1 2011","FQ1 2011","Currency=USD","Period=FQ","BEST_FPERIOD_OVERRIDE=FQ","FILING_STATUS=OR","SCALING_FORMAT=MLN","Sort=A","Dates=H","DateFormat=P","Fill=—","Direction=H","UseDPDF=Y")</f>
        <v>—</v>
      </c>
      <c r="N28" s="13" t="str">
        <f>_xll.BDH("XOM US Equity","BS_LT_RECEIVABLES","FQ2 2011","FQ2 2011","Currency=USD","Period=FQ","BEST_FPERIOD_OVERRIDE=FQ","FILING_STATUS=OR","SCALING_FORMAT=MLN","Sort=A","Dates=H","DateFormat=P","Fill=—","Direction=H","UseDPDF=Y")</f>
        <v>—</v>
      </c>
      <c r="O28" s="13" t="str">
        <f>_xll.BDH("XOM US Equity","BS_LT_RECEIVABLES","FQ3 2011","FQ3 2011","Currency=USD","Period=FQ","BEST_FPERIOD_OVERRIDE=FQ","FILING_STATUS=OR","SCALING_FORMAT=MLN","Sort=A","Dates=H","DateFormat=P","Fill=—","Direction=H","UseDPDF=Y")</f>
        <v>—</v>
      </c>
      <c r="P28" s="13">
        <f>_xll.BDH("XOM US Equity","BS_LT_RECEIVABLES","FQ4 2011","FQ4 2011","Currency=USD","Period=FQ","BEST_FPERIOD_OVERRIDE=FQ","FILING_STATUS=OR","SCALING_FORMAT=MLN","Sort=A","Dates=H","DateFormat=P","Fill=—","Direction=H","UseDPDF=Y")</f>
        <v>6081</v>
      </c>
      <c r="Q28" s="13" t="str">
        <f>_xll.BDH("XOM US Equity","BS_LT_RECEIVABLES","FQ1 2012","FQ1 2012","Currency=USD","Period=FQ","BEST_FPERIOD_OVERRIDE=FQ","FILING_STATUS=OR","SCALING_FORMAT=MLN","Sort=A","Dates=H","DateFormat=P","Fill=—","Direction=H","UseDPDF=Y")</f>
        <v>—</v>
      </c>
      <c r="R28" s="13" t="str">
        <f>_xll.BDH("XOM US Equity","BS_LT_RECEIVABLES","FQ2 2012","FQ2 2012","Currency=USD","Period=FQ","BEST_FPERIOD_OVERRIDE=FQ","FILING_STATUS=OR","SCALING_FORMAT=MLN","Sort=A","Dates=H","DateFormat=P","Fill=—","Direction=H","UseDPDF=Y")</f>
        <v>—</v>
      </c>
      <c r="S28" s="13" t="str">
        <f>_xll.BDH("XOM US Equity","BS_LT_RECEIVABLES","FQ3 2012","FQ3 2012","Currency=USD","Period=FQ","BEST_FPERIOD_OVERRIDE=FQ","FILING_STATUS=OR","SCALING_FORMAT=MLN","Sort=A","Dates=H","DateFormat=P","Fill=—","Direction=H","UseDPDF=Y")</f>
        <v>—</v>
      </c>
      <c r="T28" s="13">
        <f>_xll.BDH("XOM US Equity","BS_LT_RECEIVABLES","FQ4 2012","FQ4 2012","Currency=USD","Period=FQ","BEST_FPERIOD_OVERRIDE=FQ","FILING_STATUS=OR","SCALING_FORMAT=MLN","Sort=A","Dates=H","DateFormat=P","Fill=—","Direction=H","UseDPDF=Y")</f>
        <v>5792</v>
      </c>
      <c r="U28" s="13" t="str">
        <f>_xll.BDH("XOM US Equity","BS_LT_RECEIVABLES","FQ1 2013","FQ1 2013","Currency=USD","Period=FQ","BEST_FPERIOD_OVERRIDE=FQ","FILING_STATUS=OR","SCALING_FORMAT=MLN","Sort=A","Dates=H","DateFormat=P","Fill=—","Direction=H","UseDPDF=Y")</f>
        <v>—</v>
      </c>
      <c r="V28" s="13" t="str">
        <f>_xll.BDH("XOM US Equity","BS_LT_RECEIVABLES","FQ2 2013","FQ2 2013","Currency=USD","Period=FQ","BEST_FPERIOD_OVERRIDE=FQ","FILING_STATUS=OR","SCALING_FORMAT=MLN","Sort=A","Dates=H","DateFormat=P","Fill=—","Direction=H","UseDPDF=Y")</f>
        <v>—</v>
      </c>
      <c r="W28" s="13" t="str">
        <f>_xll.BDH("XOM US Equity","BS_LT_RECEIVABLES","FQ3 2013","FQ3 2013","Currency=USD","Period=FQ","BEST_FPERIOD_OVERRIDE=FQ","FILING_STATUS=OR","SCALING_FORMAT=MLN","Sort=A","Dates=H","DateFormat=P","Fill=—","Direction=H","UseDPDF=Y")</f>
        <v>—</v>
      </c>
      <c r="X28" s="13">
        <f>_xll.BDH("XOM US Equity","BS_LT_RECEIVABLES","FQ4 2013","FQ4 2013","Currency=USD","Period=FQ","BEST_FPERIOD_OVERRIDE=FQ","FILING_STATUS=OR","SCALING_FORMAT=MLN","Sort=A","Dates=H","DateFormat=P","Fill=—","Direction=H","UseDPDF=Y")</f>
        <v>6118</v>
      </c>
      <c r="Y28" s="13" t="str">
        <f>_xll.BDH("XOM US Equity","BS_LT_RECEIVABLES","FQ1 2014","FQ1 2014","Currency=USD","Period=FQ","BEST_FPERIOD_OVERRIDE=FQ","FILING_STATUS=OR","SCALING_FORMAT=MLN","Sort=A","Dates=H","DateFormat=P","Fill=—","Direction=H","UseDPDF=Y")</f>
        <v>—</v>
      </c>
      <c r="Z28" s="13" t="str">
        <f>_xll.BDH("XOM US Equity","BS_LT_RECEIVABLES","FQ2 2014","FQ2 2014","Currency=USD","Period=FQ","BEST_FPERIOD_OVERRIDE=FQ","FILING_STATUS=OR","SCALING_FORMAT=MLN","Sort=A","Dates=H","DateFormat=P","Fill=—","Direction=H","UseDPDF=Y")</f>
        <v>—</v>
      </c>
      <c r="AA28" s="13" t="str">
        <f>_xll.BDH("XOM US Equity","BS_LT_RECEIVABLES","FQ3 2014","FQ3 2014","Currency=USD","Period=FQ","BEST_FPERIOD_OVERRIDE=FQ","FILING_STATUS=OR","SCALING_FORMAT=MLN","Sort=A","Dates=H","DateFormat=P","Fill=—","Direction=H","UseDPDF=Y")</f>
        <v>—</v>
      </c>
      <c r="AB28" s="13">
        <f>_xll.BDH("XOM US Equity","BS_LT_RECEIVABLES","FQ4 2014","FQ4 2014","Currency=USD","Period=FQ","BEST_FPERIOD_OVERRIDE=FQ","FILING_STATUS=OR","SCALING_FORMAT=MLN","Sort=A","Dates=H","DateFormat=P","Fill=—","Direction=H","UseDPDF=Y")</f>
        <v>4878</v>
      </c>
      <c r="AC28" s="13" t="str">
        <f>_xll.BDH("XOM US Equity","BS_LT_RECEIVABLES","FQ1 2015","FQ1 2015","Currency=USD","Period=FQ","BEST_FPERIOD_OVERRIDE=FQ","FILING_STATUS=OR","SCALING_FORMAT=MLN","Sort=A","Dates=H","DateFormat=P","Fill=—","Direction=H","UseDPDF=Y")</f>
        <v>—</v>
      </c>
      <c r="AD28" s="13" t="str">
        <f>_xll.BDH("XOM US Equity","BS_LT_RECEIVABLES","FQ2 2015","FQ2 2015","Currency=USD","Period=FQ","BEST_FPERIOD_OVERRIDE=FQ","FILING_STATUS=OR","SCALING_FORMAT=MLN","Sort=A","Dates=H","DateFormat=P","Fill=—","Direction=H","UseDPDF=Y")</f>
        <v>—</v>
      </c>
      <c r="AE28" s="13" t="str">
        <f>_xll.BDH("XOM US Equity","BS_LT_RECEIVABLES","FQ3 2015","FQ3 2015","Currency=USD","Period=FQ","BEST_FPERIOD_OVERRIDE=FQ","FILING_STATUS=OR","SCALING_FORMAT=MLN","Sort=A","Dates=H","DateFormat=P","Fill=—","Direction=H","UseDPDF=Y")</f>
        <v>—</v>
      </c>
      <c r="AF28" s="13">
        <f>_xll.BDH("XOM US Equity","BS_LT_RECEIVABLES","FQ4 2015","FQ4 2015","Currency=USD","Period=FQ","BEST_FPERIOD_OVERRIDE=FQ","FILING_STATUS=OR","SCALING_FORMAT=MLN","Sort=A","Dates=H","DateFormat=P","Fill=—","Direction=H","UseDPDF=Y")</f>
        <v>4524</v>
      </c>
      <c r="AG28" s="13" t="str">
        <f>_xll.BDH("XOM US Equity","BS_LT_RECEIVABLES","FQ1 2016","FQ1 2016","Currency=USD","Period=FQ","BEST_FPERIOD_OVERRIDE=FQ","FILING_STATUS=OR","SCALING_FORMAT=MLN","Sort=A","Dates=H","DateFormat=P","Fill=—","Direction=H","UseDPDF=Y")</f>
        <v>—</v>
      </c>
      <c r="AH28" s="13" t="str">
        <f>_xll.BDH("XOM US Equity","BS_LT_RECEIVABLES","FQ2 2016","FQ2 2016","Currency=USD","Period=FQ","BEST_FPERIOD_OVERRIDE=FQ","FILING_STATUS=OR","SCALING_FORMAT=MLN","Sort=A","Dates=H","DateFormat=P","Fill=—","Direction=H","UseDPDF=Y")</f>
        <v>—</v>
      </c>
      <c r="AI28" s="13" t="str">
        <f>_xll.BDH("XOM US Equity","BS_LT_RECEIVABLES","FQ3 2016","FQ3 2016","Currency=USD","Period=FQ","BEST_FPERIOD_OVERRIDE=FQ","FILING_STATUS=OR","SCALING_FORMAT=MLN","Sort=A","Dates=H","DateFormat=P","Fill=—","Direction=H","UseDPDF=Y")</f>
        <v>—</v>
      </c>
      <c r="AJ28" s="13">
        <f>_xll.BDH("XOM US Equity","BS_LT_RECEIVABLES","FQ4 2016","FQ4 2016","Currency=USD","Period=FQ","BEST_FPERIOD_OVERRIDE=FQ","FILING_STATUS=OR","SCALING_FORMAT=MLN","Sort=A","Dates=H","DateFormat=P","Fill=—","Direction=H","UseDPDF=Y")</f>
        <v>4695</v>
      </c>
      <c r="AK28" s="13" t="str">
        <f>_xll.BDH("XOM US Equity","BS_LT_RECEIVABLES","FQ1 2017","FQ1 2017","Currency=USD","Period=FQ","BEST_FPERIOD_OVERRIDE=FQ","FILING_STATUS=OR","SCALING_FORMAT=MLN","Sort=A","Dates=H","DateFormat=P","Fill=—","Direction=H","UseDPDF=Y")</f>
        <v>—</v>
      </c>
      <c r="AL28" s="13" t="str">
        <f>_xll.BDH("XOM US Equity","BS_LT_RECEIVABLES","FQ2 2017","FQ2 2017","Currency=USD","Period=FQ","BEST_FPERIOD_OVERRIDE=FQ","FILING_STATUS=OR","SCALING_FORMAT=MLN","Sort=A","Dates=H","DateFormat=P","Fill=—","Direction=H","UseDPDF=Y")</f>
        <v>—</v>
      </c>
      <c r="AM28" s="13" t="str">
        <f>_xll.BDH("XOM US Equity","BS_LT_RECEIVABLES","FQ3 2017","FQ3 2017","Currency=USD","Period=FQ","BEST_FPERIOD_OVERRIDE=FQ","FILING_STATUS=OR","SCALING_FORMAT=MLN","Sort=A","Dates=H","DateFormat=P","Fill=—","Direction=H","UseDPDF=Y")</f>
        <v>—</v>
      </c>
      <c r="AN28" s="13">
        <f>_xll.BDH("XOM US Equity","BS_LT_RECEIVABLES","FQ4 2017","FQ4 2017","Currency=USD","Period=FQ","BEST_FPERIOD_OVERRIDE=FQ","FILING_STATUS=OR","SCALING_FORMAT=MLN","Sort=A","Dates=H","DateFormat=P","Fill=—","Direction=H","UseDPDF=Y")</f>
        <v>5520</v>
      </c>
      <c r="AO28" s="13" t="str">
        <f>_xll.BDH("XOM US Equity","BS_LT_RECEIVABLES","FQ1 2018","FQ1 2018","Currency=USD","Period=FQ","BEST_FPERIOD_OVERRIDE=FQ","FILING_STATUS=OR","SCALING_FORMAT=MLN","Sort=A","Dates=H","DateFormat=P","Fill=—","Direction=H","UseDPDF=Y")</f>
        <v>—</v>
      </c>
      <c r="AP28" s="13" t="str">
        <f>_xll.BDH("XOM US Equity","BS_LT_RECEIVABLES","FQ2 2018","FQ2 2018","Currency=USD","Period=FQ","BEST_FPERIOD_OVERRIDE=FQ","FILING_STATUS=OR","SCALING_FORMAT=MLN","Sort=A","Dates=H","DateFormat=P","Fill=—","Direction=H","UseDPDF=Y")</f>
        <v>—</v>
      </c>
    </row>
    <row r="29" spans="1:42" x14ac:dyDescent="0.25">
      <c r="A29" s="10" t="s">
        <v>250</v>
      </c>
      <c r="B29" s="10" t="s">
        <v>251</v>
      </c>
      <c r="C29" s="13" t="str">
        <f>_xll.BDH("XOM US Equity","BS_OTHER_ASSETS_DEF_CHRG_OTHER","FQ3 2008","FQ3 2008","Currency=USD","Period=FQ","BEST_FPERIOD_OVERRIDE=FQ","FILING_STATUS=OR","SCALING_FORMAT=MLN","Sort=A","Dates=H","DateFormat=P","Fill=—","Direction=H","UseDPDF=Y")</f>
        <v>—</v>
      </c>
      <c r="D29" s="13">
        <f>_xll.BDH("XOM US Equity","BS_OTHER_ASSETS_DEF_CHRG_OTHER","FQ4 2008","FQ4 2008","Currency=USD","Period=FQ","BEST_FPERIOD_OVERRIDE=FQ","FILING_STATUS=OR","SCALING_FORMAT=MLN","Sort=A","Dates=H","DateFormat=P","Fill=—","Direction=H","UseDPDF=Y")</f>
        <v>5884</v>
      </c>
      <c r="E29" s="13">
        <f>_xll.BDH("XOM US Equity","BS_OTHER_ASSETS_DEF_CHRG_OTHER","FQ1 2009","FQ1 2009","Currency=USD","Period=FQ","BEST_FPERIOD_OVERRIDE=FQ","FILING_STATUS=OR","SCALING_FORMAT=MLN","Sort=A","Dates=H","DateFormat=P","Fill=—","Direction=H","UseDPDF=Y")</f>
        <v>35449</v>
      </c>
      <c r="F29" s="13">
        <f>_xll.BDH("XOM US Equity","BS_OTHER_ASSETS_DEF_CHRG_OTHER","FQ2 2009","FQ2 2009","Currency=USD","Period=FQ","BEST_FPERIOD_OVERRIDE=FQ","FILING_STATUS=OR","SCALING_FORMAT=MLN","Sort=A","Dates=H","DateFormat=P","Fill=—","Direction=H","UseDPDF=Y")</f>
        <v>37304</v>
      </c>
      <c r="G29" s="13">
        <f>_xll.BDH("XOM US Equity","BS_OTHER_ASSETS_DEF_CHRG_OTHER","FQ3 2009","FQ3 2009","Currency=USD","Period=FQ","BEST_FPERIOD_OVERRIDE=FQ","FILING_STATUS=OR","SCALING_FORMAT=MLN","Sort=A","Dates=H","DateFormat=P","Fill=—","Direction=H","UseDPDF=Y")</f>
        <v>39109</v>
      </c>
      <c r="H29" s="13">
        <f>_xll.BDH("XOM US Equity","BS_OTHER_ASSETS_DEF_CHRG_OTHER","FQ4 2009","FQ4 2009","Currency=USD","Period=FQ","BEST_FPERIOD_OVERRIDE=FQ","FILING_STATUS=OR","SCALING_FORMAT=MLN","Sort=A","Dates=H","DateFormat=P","Fill=—","Direction=H","UseDPDF=Y")</f>
        <v>31718</v>
      </c>
      <c r="I29" s="13">
        <f>_xll.BDH("XOM US Equity","BS_OTHER_ASSETS_DEF_CHRG_OTHER","FQ1 2010","FQ1 2010","Currency=USD","Period=FQ","BEST_FPERIOD_OVERRIDE=FQ","FILING_STATUS=OR","SCALING_FORMAT=MLN","Sort=A","Dates=H","DateFormat=P","Fill=—","Direction=H","UseDPDF=Y")</f>
        <v>40233</v>
      </c>
      <c r="J29" s="13">
        <f>_xll.BDH("XOM US Equity","BS_OTHER_ASSETS_DEF_CHRG_OTHER","FQ2 2010","FQ2 2010","Currency=USD","Period=FQ","BEST_FPERIOD_OVERRIDE=FQ","FILING_STATUS=OR","SCALING_FORMAT=MLN","Sort=A","Dates=H","DateFormat=P","Fill=—","Direction=H","UseDPDF=Y")</f>
        <v>40783</v>
      </c>
      <c r="K29" s="13">
        <f>_xll.BDH("XOM US Equity","BS_OTHER_ASSETS_DEF_CHRG_OTHER","FQ3 2010","FQ3 2010","Currency=USD","Period=FQ","BEST_FPERIOD_OVERRIDE=FQ","FILING_STATUS=OR","SCALING_FORMAT=MLN","Sort=A","Dates=H","DateFormat=P","Fill=—","Direction=H","UseDPDF=Y")</f>
        <v>41921</v>
      </c>
      <c r="L29" s="13">
        <f>_xll.BDH("XOM US Equity","BS_OTHER_ASSETS_DEF_CHRG_OTHER","FQ4 2010","FQ4 2010","Currency=USD","Period=FQ","BEST_FPERIOD_OVERRIDE=FQ","FILING_STATUS=OR","SCALING_FORMAT=MLN","Sort=A","Dates=H","DateFormat=P","Fill=—","Direction=H","UseDPDF=Y")</f>
        <v>35355</v>
      </c>
      <c r="M29" s="13">
        <f>_xll.BDH("XOM US Equity","BS_OTHER_ASSETS_DEF_CHRG_OTHER","FQ1 2011","FQ1 2011","Currency=USD","Period=FQ","BEST_FPERIOD_OVERRIDE=FQ","FILING_STATUS=OR","SCALING_FORMAT=MLN","Sort=A","Dates=H","DateFormat=P","Fill=—","Direction=H","UseDPDF=Y")</f>
        <v>43785</v>
      </c>
      <c r="N29" s="13">
        <f>_xll.BDH("XOM US Equity","BS_OTHER_ASSETS_DEF_CHRG_OTHER","FQ2 2011","FQ2 2011","Currency=USD","Period=FQ","BEST_FPERIOD_OVERRIDE=FQ","FILING_STATUS=OR","SCALING_FORMAT=MLN","Sort=A","Dates=H","DateFormat=P","Fill=—","Direction=H","UseDPDF=Y")</f>
        <v>44092</v>
      </c>
      <c r="O29" s="13">
        <f>_xll.BDH("XOM US Equity","BS_OTHER_ASSETS_DEF_CHRG_OTHER","FQ3 2011","FQ3 2011","Currency=USD","Period=FQ","BEST_FPERIOD_OVERRIDE=FQ","FILING_STATUS=OR","SCALING_FORMAT=MLN","Sort=A","Dates=H","DateFormat=P","Fill=—","Direction=H","UseDPDF=Y")</f>
        <v>44657</v>
      </c>
      <c r="P29" s="13">
        <f>_xll.BDH("XOM US Equity","BS_OTHER_ASSETS_DEF_CHRG_OTHER","FQ4 2011","FQ4 2011","Currency=USD","Period=FQ","BEST_FPERIOD_OVERRIDE=FQ","FILING_STATUS=OR","SCALING_FORMAT=MLN","Sort=A","Dates=H","DateFormat=P","Fill=—","Direction=H","UseDPDF=Y")</f>
        <v>35800</v>
      </c>
      <c r="Q29" s="13">
        <f>_xll.BDH("XOM US Equity","BS_OTHER_ASSETS_DEF_CHRG_OTHER","FQ1 2012","FQ1 2012","Currency=USD","Period=FQ","BEST_FPERIOD_OVERRIDE=FQ","FILING_STATUS=OR","SCALING_FORMAT=MLN","Sort=A","Dates=H","DateFormat=P","Fill=—","Direction=H","UseDPDF=Y")</f>
        <v>54390</v>
      </c>
      <c r="R29" s="13">
        <f>_xll.BDH("XOM US Equity","BS_OTHER_ASSETS_DEF_CHRG_OTHER","FQ2 2012","FQ2 2012","Currency=USD","Period=FQ","BEST_FPERIOD_OVERRIDE=FQ","FILING_STATUS=OR","SCALING_FORMAT=MLN","Sort=A","Dates=H","DateFormat=P","Fill=—","Direction=H","UseDPDF=Y")</f>
        <v>41908</v>
      </c>
      <c r="S29" s="13">
        <f>_xll.BDH("XOM US Equity","BS_OTHER_ASSETS_DEF_CHRG_OTHER","FQ3 2012","FQ3 2012","Currency=USD","Period=FQ","BEST_FPERIOD_OVERRIDE=FQ","FILING_STATUS=OR","SCALING_FORMAT=MLN","Sort=A","Dates=H","DateFormat=P","Fill=—","Direction=H","UseDPDF=Y")</f>
        <v>42723</v>
      </c>
      <c r="T29" s="13">
        <f>_xll.BDH("XOM US Equity","BS_OTHER_ASSETS_DEF_CHRG_OTHER","FQ4 2012","FQ4 2012","Currency=USD","Period=FQ","BEST_FPERIOD_OVERRIDE=FQ","FILING_STATUS=OR","SCALING_FORMAT=MLN","Sort=A","Dates=H","DateFormat=P","Fill=—","Direction=H","UseDPDF=Y")</f>
        <v>36157</v>
      </c>
      <c r="U29" s="13">
        <f>_xll.BDH("XOM US Equity","BS_OTHER_ASSETS_DEF_CHRG_OTHER","FQ1 2013","FQ1 2013","Currency=USD","Period=FQ","BEST_FPERIOD_OVERRIDE=FQ","FILING_STATUS=OR","SCALING_FORMAT=MLN","Sort=A","Dates=H","DateFormat=P","Fill=—","Direction=H","UseDPDF=Y")</f>
        <v>43317</v>
      </c>
      <c r="V29" s="13">
        <f>_xll.BDH("XOM US Equity","BS_OTHER_ASSETS_DEF_CHRG_OTHER","FQ2 2013","FQ2 2013","Currency=USD","Period=FQ","BEST_FPERIOD_OVERRIDE=FQ","FILING_STATUS=OR","SCALING_FORMAT=MLN","Sort=A","Dates=H","DateFormat=P","Fill=—","Direction=H","UseDPDF=Y")</f>
        <v>43531</v>
      </c>
      <c r="W29" s="13">
        <f>_xll.BDH("XOM US Equity","BS_OTHER_ASSETS_DEF_CHRG_OTHER","FQ3 2013","FQ3 2013","Currency=USD","Period=FQ","BEST_FPERIOD_OVERRIDE=FQ","FILING_STATUS=OR","SCALING_FORMAT=MLN","Sort=A","Dates=H","DateFormat=P","Fill=—","Direction=H","UseDPDF=Y")</f>
        <v>45280</v>
      </c>
      <c r="X29" s="13">
        <f>_xll.BDH("XOM US Equity","BS_OTHER_ASSETS_DEF_CHRG_OTHER","FQ4 2013","FQ4 2013","Currency=USD","Period=FQ","BEST_FPERIOD_OVERRIDE=FQ","FILING_STATUS=OR","SCALING_FORMAT=MLN","Sort=A","Dates=H","DateFormat=P","Fill=—","Direction=H","UseDPDF=Y")</f>
        <v>37617</v>
      </c>
      <c r="Y29" s="13">
        <f>_xll.BDH("XOM US Equity","BS_OTHER_ASSETS_DEF_CHRG_OTHER","FQ1 2014","FQ1 2014","Currency=USD","Period=FQ","BEST_FPERIOD_OVERRIDE=FQ","FILING_STATUS=OR","SCALING_FORMAT=MLN","Sort=A","Dates=H","DateFormat=P","Fill=—","Direction=H","UseDPDF=Y")</f>
        <v>45272</v>
      </c>
      <c r="Z29" s="13">
        <f>_xll.BDH("XOM US Equity","BS_OTHER_ASSETS_DEF_CHRG_OTHER","FQ2 2014","FQ2 2014","Currency=USD","Period=FQ","BEST_FPERIOD_OVERRIDE=FQ","FILING_STATUS=OR","SCALING_FORMAT=MLN","Sort=A","Dates=H","DateFormat=P","Fill=—","Direction=H","UseDPDF=Y")</f>
        <v>43220</v>
      </c>
      <c r="AA29" s="13">
        <f>_xll.BDH("XOM US Equity","BS_OTHER_ASSETS_DEF_CHRG_OTHER","FQ3 2014","FQ3 2014","Currency=USD","Period=FQ","BEST_FPERIOD_OVERRIDE=FQ","FILING_STATUS=OR","SCALING_FORMAT=MLN","Sort=A","Dates=H","DateFormat=P","Fill=—","Direction=H","UseDPDF=Y")</f>
        <v>42763</v>
      </c>
      <c r="AB29" s="13">
        <f>_xll.BDH("XOM US Equity","BS_OTHER_ASSETS_DEF_CHRG_OTHER","FQ4 2014","FQ4 2014","Currency=USD","Period=FQ","BEST_FPERIOD_OVERRIDE=FQ","FILING_STATUS=OR","SCALING_FORMAT=MLN","Sort=A","Dates=H","DateFormat=P","Fill=—","Direction=H","UseDPDF=Y")</f>
        <v>38511</v>
      </c>
      <c r="AC29" s="13">
        <f>_xll.BDH("XOM US Equity","BS_OTHER_ASSETS_DEF_CHRG_OTHER","FQ1 2015","FQ1 2015","Currency=USD","Period=FQ","BEST_FPERIOD_OVERRIDE=FQ","FILING_STATUS=OR","SCALING_FORMAT=MLN","Sort=A","Dates=H","DateFormat=P","Fill=—","Direction=H","UseDPDF=Y")</f>
        <v>42806</v>
      </c>
      <c r="AD29" s="13">
        <f>_xll.BDH("XOM US Equity","BS_OTHER_ASSETS_DEF_CHRG_OTHER","FQ2 2015","FQ2 2015","Currency=USD","Period=FQ","BEST_FPERIOD_OVERRIDE=FQ","FILING_STATUS=OR","SCALING_FORMAT=MLN","Sort=A","Dates=H","DateFormat=P","Fill=—","Direction=H","UseDPDF=Y")</f>
        <v>42960</v>
      </c>
      <c r="AE29" s="13">
        <f>_xll.BDH("XOM US Equity","BS_OTHER_ASSETS_DEF_CHRG_OTHER","FQ3 2015","FQ3 2015","Currency=USD","Period=FQ","BEST_FPERIOD_OVERRIDE=FQ","FILING_STATUS=OR","SCALING_FORMAT=MLN","Sort=A","Dates=H","DateFormat=P","Fill=—","Direction=H","UseDPDF=Y")</f>
        <v>42845</v>
      </c>
      <c r="AF29" s="13">
        <f>_xll.BDH("XOM US Equity","BS_OTHER_ASSETS_DEF_CHRG_OTHER","FQ4 2015","FQ4 2015","Currency=USD","Period=FQ","BEST_FPERIOD_OVERRIDE=FQ","FILING_STATUS=OR","SCALING_FORMAT=MLN","Sort=A","Dates=H","DateFormat=P","Fill=—","Direction=H","UseDPDF=Y")</f>
        <v>37732</v>
      </c>
      <c r="AG29" s="13">
        <f>_xll.BDH("XOM US Equity","BS_OTHER_ASSETS_DEF_CHRG_OTHER","FQ1 2016","FQ1 2016","Currency=USD","Period=FQ","BEST_FPERIOD_OVERRIDE=FQ","FILING_STATUS=OR","SCALING_FORMAT=MLN","Sort=A","Dates=H","DateFormat=P","Fill=—","Direction=H","UseDPDF=Y")</f>
        <v>43281</v>
      </c>
      <c r="AH29" s="13">
        <f>_xll.BDH("XOM US Equity","BS_OTHER_ASSETS_DEF_CHRG_OTHER","FQ2 2016","FQ2 2016","Currency=USD","Period=FQ","BEST_FPERIOD_OVERRIDE=FQ","FILING_STATUS=OR","SCALING_FORMAT=MLN","Sort=A","Dates=H","DateFormat=P","Fill=—","Direction=H","UseDPDF=Y")</f>
        <v>42583</v>
      </c>
      <c r="AI29" s="13">
        <f>_xll.BDH("XOM US Equity","BS_OTHER_ASSETS_DEF_CHRG_OTHER","FQ3 2016","FQ3 2016","Currency=USD","Period=FQ","BEST_FPERIOD_OVERRIDE=FQ","FILING_STATUS=OR","SCALING_FORMAT=MLN","Sort=A","Dates=H","DateFormat=P","Fill=—","Direction=H","UseDPDF=Y")</f>
        <v>44518</v>
      </c>
      <c r="AJ29" s="13">
        <f>_xll.BDH("XOM US Equity","BS_OTHER_ASSETS_DEF_CHRG_OTHER","FQ4 2016","FQ4 2016","Currency=USD","Period=FQ","BEST_FPERIOD_OVERRIDE=FQ","FILING_STATUS=OR","SCALING_FORMAT=MLN","Sort=A","Dates=H","DateFormat=P","Fill=—","Direction=H","UseDPDF=Y")</f>
        <v>39825</v>
      </c>
      <c r="AK29" s="13">
        <f>_xll.BDH("XOM US Equity","BS_OTHER_ASSETS_DEF_CHRG_OTHER","FQ1 2017","FQ1 2017","Currency=USD","Period=FQ","BEST_FPERIOD_OVERRIDE=FQ","FILING_STATUS=OR","SCALING_FORMAT=MLN","Sort=A","Dates=H","DateFormat=P","Fill=—","Direction=H","UseDPDF=Y")</f>
        <v>47931</v>
      </c>
      <c r="AL29" s="13">
        <f>_xll.BDH("XOM US Equity","BS_OTHER_ASSETS_DEF_CHRG_OTHER","FQ2 2017","FQ2 2017","Currency=USD","Period=FQ","BEST_FPERIOD_OVERRIDE=FQ","FILING_STATUS=OR","SCALING_FORMAT=MLN","Sort=A","Dates=H","DateFormat=P","Fill=—","Direction=H","UseDPDF=Y")</f>
        <v>47845</v>
      </c>
      <c r="AM29" s="13">
        <f>_xll.BDH("XOM US Equity","BS_OTHER_ASSETS_DEF_CHRG_OTHER","FQ3 2017","FQ3 2017","Currency=USD","Period=FQ","BEST_FPERIOD_OVERRIDE=FQ","FILING_STATUS=OR","SCALING_FORMAT=MLN","Sort=A","Dates=H","DateFormat=P","Fill=—","Direction=H","UseDPDF=Y")</f>
        <v>48119</v>
      </c>
      <c r="AN29" s="13">
        <f>_xll.BDH("XOM US Equity","BS_OTHER_ASSETS_DEF_CHRG_OTHER","FQ4 2017","FQ4 2017","Currency=USD","Period=FQ","BEST_FPERIOD_OVERRIDE=FQ","FILING_STATUS=OR","SCALING_FORMAT=MLN","Sort=A","Dates=H","DateFormat=P","Fill=—","Direction=H","UseDPDF=Y")</f>
        <v>43233</v>
      </c>
      <c r="AO29" s="13">
        <f>_xll.BDH("XOM US Equity","BS_OTHER_ASSETS_DEF_CHRG_OTHER","FQ1 2018","FQ1 2018","Currency=USD","Period=FQ","BEST_FPERIOD_OVERRIDE=FQ","FILING_STATUS=OR","SCALING_FORMAT=MLN","Sort=A","Dates=H","DateFormat=P","Fill=—","Direction=H","UseDPDF=Y")</f>
        <v>50159</v>
      </c>
      <c r="AP29" s="13">
        <f>_xll.BDH("XOM US Equity","BS_OTHER_ASSETS_DEF_CHRG_OTHER","FQ2 2018","FQ2 2018","Currency=USD","Period=FQ","BEST_FPERIOD_OVERRIDE=FQ","FILING_STATUS=OR","SCALING_FORMAT=MLN","Sort=A","Dates=H","DateFormat=P","Fill=—","Direction=H","UseDPDF=Y")</f>
        <v>50026</v>
      </c>
    </row>
    <row r="30" spans="1:42" x14ac:dyDescent="0.25">
      <c r="A30" s="10" t="s">
        <v>252</v>
      </c>
      <c r="B30" s="10" t="s">
        <v>253</v>
      </c>
      <c r="C30" s="13">
        <f>_xll.BDH("XOM US Equity","BS_DISCLOSED_INTANGIBLES","FQ3 2008","FQ3 2008","Currency=USD","Period=FQ","BEST_FPERIOD_OVERRIDE=FQ","FILING_STATUS=OR","SCALING_FORMAT=MLN","Sort=A","Dates=H","DateFormat=P","Fill=—","Direction=H","UseDPDF=Y")</f>
        <v>0</v>
      </c>
      <c r="D30" s="13">
        <f>_xll.BDH("XOM US Equity","BS_DISCLOSED_INTANGIBLES","FQ4 2008","FQ4 2008","Currency=USD","Period=FQ","BEST_FPERIOD_OVERRIDE=FQ","FILING_STATUS=OR","SCALING_FORMAT=MLN","Sort=A","Dates=H","DateFormat=P","Fill=—","Direction=H","UseDPDF=Y")</f>
        <v>0</v>
      </c>
      <c r="E30" s="13" t="str">
        <f>_xll.BDH("XOM US Equity","BS_DISCLOSED_INTANGIBLES","FQ1 2009","FQ1 2009","Currency=USD","Period=FQ","BEST_FPERIOD_OVERRIDE=FQ","FILING_STATUS=OR","SCALING_FORMAT=MLN","Sort=A","Dates=H","DateFormat=P","Fill=—","Direction=H","UseDPDF=Y")</f>
        <v>—</v>
      </c>
      <c r="F30" s="13" t="str">
        <f>_xll.BDH("XOM US Equity","BS_DISCLOSED_INTANGIBLES","FQ2 2009","FQ2 2009","Currency=USD","Period=FQ","BEST_FPERIOD_OVERRIDE=FQ","FILING_STATUS=OR","SCALING_FORMAT=MLN","Sort=A","Dates=H","DateFormat=P","Fill=—","Direction=H","UseDPDF=Y")</f>
        <v>—</v>
      </c>
      <c r="G30" s="13" t="str">
        <f>_xll.BDH("XOM US Equity","BS_DISCLOSED_INTANGIBLES","FQ3 2009","FQ3 2009","Currency=USD","Period=FQ","BEST_FPERIOD_OVERRIDE=FQ","FILING_STATUS=OR","SCALING_FORMAT=MLN","Sort=A","Dates=H","DateFormat=P","Fill=—","Direction=H","UseDPDF=Y")</f>
        <v>—</v>
      </c>
      <c r="H30" s="13">
        <f>_xll.BDH("XOM US Equity","BS_DISCLOSED_INTANGIBLES","FQ4 2009","FQ4 2009","Currency=USD","Period=FQ","BEST_FPERIOD_OVERRIDE=FQ","FILING_STATUS=OR","SCALING_FORMAT=MLN","Sort=A","Dates=H","DateFormat=P","Fill=—","Direction=H","UseDPDF=Y")</f>
        <v>0</v>
      </c>
      <c r="I30" s="13" t="str">
        <f>_xll.BDH("XOM US Equity","BS_DISCLOSED_INTANGIBLES","FQ1 2010","FQ1 2010","Currency=USD","Period=FQ","BEST_FPERIOD_OVERRIDE=FQ","FILING_STATUS=OR","SCALING_FORMAT=MLN","Sort=A","Dates=H","DateFormat=P","Fill=—","Direction=H","UseDPDF=Y")</f>
        <v>—</v>
      </c>
      <c r="J30" s="13" t="str">
        <f>_xll.BDH("XOM US Equity","BS_DISCLOSED_INTANGIBLES","FQ2 2010","FQ2 2010","Currency=USD","Period=FQ","BEST_FPERIOD_OVERRIDE=FQ","FILING_STATUS=OR","SCALING_FORMAT=MLN","Sort=A","Dates=H","DateFormat=P","Fill=—","Direction=H","UseDPDF=Y")</f>
        <v>—</v>
      </c>
      <c r="K30" s="13" t="str">
        <f>_xll.BDH("XOM US Equity","BS_DISCLOSED_INTANGIBLES","FQ3 2010","FQ3 2010","Currency=USD","Period=FQ","BEST_FPERIOD_OVERRIDE=FQ","FILING_STATUS=OR","SCALING_FORMAT=MLN","Sort=A","Dates=H","DateFormat=P","Fill=—","Direction=H","UseDPDF=Y")</f>
        <v>—</v>
      </c>
      <c r="L30" s="13">
        <f>_xll.BDH("XOM US Equity","BS_DISCLOSED_INTANGIBLES","FQ4 2010","FQ4 2010","Currency=USD","Period=FQ","BEST_FPERIOD_OVERRIDE=FQ","FILING_STATUS=OR","SCALING_FORMAT=MLN","Sort=A","Dates=H","DateFormat=P","Fill=—","Direction=H","UseDPDF=Y")</f>
        <v>0</v>
      </c>
      <c r="M30" s="13" t="str">
        <f>_xll.BDH("XOM US Equity","BS_DISCLOSED_INTANGIBLES","FQ1 2011","FQ1 2011","Currency=USD","Period=FQ","BEST_FPERIOD_OVERRIDE=FQ","FILING_STATUS=OR","SCALING_FORMAT=MLN","Sort=A","Dates=H","DateFormat=P","Fill=—","Direction=H","UseDPDF=Y")</f>
        <v>—</v>
      </c>
      <c r="N30" s="13" t="str">
        <f>_xll.BDH("XOM US Equity","BS_DISCLOSED_INTANGIBLES","FQ2 2011","FQ2 2011","Currency=USD","Period=FQ","BEST_FPERIOD_OVERRIDE=FQ","FILING_STATUS=OR","SCALING_FORMAT=MLN","Sort=A","Dates=H","DateFormat=P","Fill=—","Direction=H","UseDPDF=Y")</f>
        <v>—</v>
      </c>
      <c r="O30" s="13" t="str">
        <f>_xll.BDH("XOM US Equity","BS_DISCLOSED_INTANGIBLES","FQ3 2011","FQ3 2011","Currency=USD","Period=FQ","BEST_FPERIOD_OVERRIDE=FQ","FILING_STATUS=OR","SCALING_FORMAT=MLN","Sort=A","Dates=H","DateFormat=P","Fill=—","Direction=H","UseDPDF=Y")</f>
        <v>—</v>
      </c>
      <c r="P30" s="13">
        <f>_xll.BDH("XOM US Equity","BS_DISCLOSED_INTANGIBLES","FQ4 2011","FQ4 2011","Currency=USD","Period=FQ","BEST_FPERIOD_OVERRIDE=FQ","FILING_STATUS=OR","SCALING_FORMAT=MLN","Sort=A","Dates=H","DateFormat=P","Fill=—","Direction=H","UseDPDF=Y")</f>
        <v>0</v>
      </c>
      <c r="Q30" s="13" t="str">
        <f>_xll.BDH("XOM US Equity","BS_DISCLOSED_INTANGIBLES","FQ1 2012","FQ1 2012","Currency=USD","Period=FQ","BEST_FPERIOD_OVERRIDE=FQ","FILING_STATUS=OR","SCALING_FORMAT=MLN","Sort=A","Dates=H","DateFormat=P","Fill=—","Direction=H","UseDPDF=Y")</f>
        <v>—</v>
      </c>
      <c r="R30" s="13" t="str">
        <f>_xll.BDH("XOM US Equity","BS_DISCLOSED_INTANGIBLES","FQ2 2012","FQ2 2012","Currency=USD","Period=FQ","BEST_FPERIOD_OVERRIDE=FQ","FILING_STATUS=OR","SCALING_FORMAT=MLN","Sort=A","Dates=H","DateFormat=P","Fill=—","Direction=H","UseDPDF=Y")</f>
        <v>—</v>
      </c>
      <c r="S30" s="13" t="str">
        <f>_xll.BDH("XOM US Equity","BS_DISCLOSED_INTANGIBLES","FQ3 2012","FQ3 2012","Currency=USD","Period=FQ","BEST_FPERIOD_OVERRIDE=FQ","FILING_STATUS=OR","SCALING_FORMAT=MLN","Sort=A","Dates=H","DateFormat=P","Fill=—","Direction=H","UseDPDF=Y")</f>
        <v>—</v>
      </c>
      <c r="T30" s="13">
        <f>_xll.BDH("XOM US Equity","BS_DISCLOSED_INTANGIBLES","FQ4 2012","FQ4 2012","Currency=USD","Period=FQ","BEST_FPERIOD_OVERRIDE=FQ","FILING_STATUS=OR","SCALING_FORMAT=MLN","Sort=A","Dates=H","DateFormat=P","Fill=—","Direction=H","UseDPDF=Y")</f>
        <v>0</v>
      </c>
      <c r="U30" s="13" t="str">
        <f>_xll.BDH("XOM US Equity","BS_DISCLOSED_INTANGIBLES","FQ1 2013","FQ1 2013","Currency=USD","Period=FQ","BEST_FPERIOD_OVERRIDE=FQ","FILING_STATUS=OR","SCALING_FORMAT=MLN","Sort=A","Dates=H","DateFormat=P","Fill=—","Direction=H","UseDPDF=Y")</f>
        <v>—</v>
      </c>
      <c r="V30" s="13" t="str">
        <f>_xll.BDH("XOM US Equity","BS_DISCLOSED_INTANGIBLES","FQ2 2013","FQ2 2013","Currency=USD","Period=FQ","BEST_FPERIOD_OVERRIDE=FQ","FILING_STATUS=OR","SCALING_FORMAT=MLN","Sort=A","Dates=H","DateFormat=P","Fill=—","Direction=H","UseDPDF=Y")</f>
        <v>—</v>
      </c>
      <c r="W30" s="13" t="str">
        <f>_xll.BDH("XOM US Equity","BS_DISCLOSED_INTANGIBLES","FQ3 2013","FQ3 2013","Currency=USD","Period=FQ","BEST_FPERIOD_OVERRIDE=FQ","FILING_STATUS=OR","SCALING_FORMAT=MLN","Sort=A","Dates=H","DateFormat=P","Fill=—","Direction=H","UseDPDF=Y")</f>
        <v>—</v>
      </c>
      <c r="X30" s="13">
        <f>_xll.BDH("XOM US Equity","BS_DISCLOSED_INTANGIBLES","FQ4 2013","FQ4 2013","Currency=USD","Period=FQ","BEST_FPERIOD_OVERRIDE=FQ","FILING_STATUS=OR","SCALING_FORMAT=MLN","Sort=A","Dates=H","DateFormat=P","Fill=—","Direction=H","UseDPDF=Y")</f>
        <v>0</v>
      </c>
      <c r="Y30" s="13" t="str">
        <f>_xll.BDH("XOM US Equity","BS_DISCLOSED_INTANGIBLES","FQ1 2014","FQ1 2014","Currency=USD","Period=FQ","BEST_FPERIOD_OVERRIDE=FQ","FILING_STATUS=OR","SCALING_FORMAT=MLN","Sort=A","Dates=H","DateFormat=P","Fill=—","Direction=H","UseDPDF=Y")</f>
        <v>—</v>
      </c>
      <c r="Z30" s="13" t="str">
        <f>_xll.BDH("XOM US Equity","BS_DISCLOSED_INTANGIBLES","FQ2 2014","FQ2 2014","Currency=USD","Period=FQ","BEST_FPERIOD_OVERRIDE=FQ","FILING_STATUS=OR","SCALING_FORMAT=MLN","Sort=A","Dates=H","DateFormat=P","Fill=—","Direction=H","UseDPDF=Y")</f>
        <v>—</v>
      </c>
      <c r="AA30" s="13" t="str">
        <f>_xll.BDH("XOM US Equity","BS_DISCLOSED_INTANGIBLES","FQ3 2014","FQ3 2014","Currency=USD","Period=FQ","BEST_FPERIOD_OVERRIDE=FQ","FILING_STATUS=OR","SCALING_FORMAT=MLN","Sort=A","Dates=H","DateFormat=P","Fill=—","Direction=H","UseDPDF=Y")</f>
        <v>—</v>
      </c>
      <c r="AB30" s="13">
        <f>_xll.BDH("XOM US Equity","BS_DISCLOSED_INTANGIBLES","FQ4 2014","FQ4 2014","Currency=USD","Period=FQ","BEST_FPERIOD_OVERRIDE=FQ","FILING_STATUS=OR","SCALING_FORMAT=MLN","Sort=A","Dates=H","DateFormat=P","Fill=—","Direction=H","UseDPDF=Y")</f>
        <v>0</v>
      </c>
      <c r="AC30" s="13" t="str">
        <f>_xll.BDH("XOM US Equity","BS_DISCLOSED_INTANGIBLES","FQ1 2015","FQ1 2015","Currency=USD","Period=FQ","BEST_FPERIOD_OVERRIDE=FQ","FILING_STATUS=OR","SCALING_FORMAT=MLN","Sort=A","Dates=H","DateFormat=P","Fill=—","Direction=H","UseDPDF=Y")</f>
        <v>—</v>
      </c>
      <c r="AD30" s="13" t="str">
        <f>_xll.BDH("XOM US Equity","BS_DISCLOSED_INTANGIBLES","FQ2 2015","FQ2 2015","Currency=USD","Period=FQ","BEST_FPERIOD_OVERRIDE=FQ","FILING_STATUS=OR","SCALING_FORMAT=MLN","Sort=A","Dates=H","DateFormat=P","Fill=—","Direction=H","UseDPDF=Y")</f>
        <v>—</v>
      </c>
      <c r="AE30" s="13" t="str">
        <f>_xll.BDH("XOM US Equity","BS_DISCLOSED_INTANGIBLES","FQ3 2015","FQ3 2015","Currency=USD","Period=FQ","BEST_FPERIOD_OVERRIDE=FQ","FILING_STATUS=OR","SCALING_FORMAT=MLN","Sort=A","Dates=H","DateFormat=P","Fill=—","Direction=H","UseDPDF=Y")</f>
        <v>—</v>
      </c>
      <c r="AF30" s="13">
        <f>_xll.BDH("XOM US Equity","BS_DISCLOSED_INTANGIBLES","FQ4 2015","FQ4 2015","Currency=USD","Period=FQ","BEST_FPERIOD_OVERRIDE=FQ","FILING_STATUS=OR","SCALING_FORMAT=MLN","Sort=A","Dates=H","DateFormat=P","Fill=—","Direction=H","UseDPDF=Y")</f>
        <v>0</v>
      </c>
      <c r="AG30" s="13" t="str">
        <f>_xll.BDH("XOM US Equity","BS_DISCLOSED_INTANGIBLES","FQ1 2016","FQ1 2016","Currency=USD","Period=FQ","BEST_FPERIOD_OVERRIDE=FQ","FILING_STATUS=OR","SCALING_FORMAT=MLN","Sort=A","Dates=H","DateFormat=P","Fill=—","Direction=H","UseDPDF=Y")</f>
        <v>—</v>
      </c>
      <c r="AH30" s="13" t="str">
        <f>_xll.BDH("XOM US Equity","BS_DISCLOSED_INTANGIBLES","FQ2 2016","FQ2 2016","Currency=USD","Period=FQ","BEST_FPERIOD_OVERRIDE=FQ","FILING_STATUS=OR","SCALING_FORMAT=MLN","Sort=A","Dates=H","DateFormat=P","Fill=—","Direction=H","UseDPDF=Y")</f>
        <v>—</v>
      </c>
      <c r="AI30" s="13" t="str">
        <f>_xll.BDH("XOM US Equity","BS_DISCLOSED_INTANGIBLES","FQ3 2016","FQ3 2016","Currency=USD","Period=FQ","BEST_FPERIOD_OVERRIDE=FQ","FILING_STATUS=OR","SCALING_FORMAT=MLN","Sort=A","Dates=H","DateFormat=P","Fill=—","Direction=H","UseDPDF=Y")</f>
        <v>—</v>
      </c>
      <c r="AJ30" s="13">
        <f>_xll.BDH("XOM US Equity","BS_DISCLOSED_INTANGIBLES","FQ4 2016","FQ4 2016","Currency=USD","Period=FQ","BEST_FPERIOD_OVERRIDE=FQ","FILING_STATUS=OR","SCALING_FORMAT=MLN","Sort=A","Dates=H","DateFormat=P","Fill=—","Direction=H","UseDPDF=Y")</f>
        <v>0</v>
      </c>
      <c r="AK30" s="13" t="str">
        <f>_xll.BDH("XOM US Equity","BS_DISCLOSED_INTANGIBLES","FQ1 2017","FQ1 2017","Currency=USD","Period=FQ","BEST_FPERIOD_OVERRIDE=FQ","FILING_STATUS=OR","SCALING_FORMAT=MLN","Sort=A","Dates=H","DateFormat=P","Fill=—","Direction=H","UseDPDF=Y")</f>
        <v>—</v>
      </c>
      <c r="AL30" s="13" t="str">
        <f>_xll.BDH("XOM US Equity","BS_DISCLOSED_INTANGIBLES","FQ2 2017","FQ2 2017","Currency=USD","Period=FQ","BEST_FPERIOD_OVERRIDE=FQ","FILING_STATUS=OR","SCALING_FORMAT=MLN","Sort=A","Dates=H","DateFormat=P","Fill=—","Direction=H","UseDPDF=Y")</f>
        <v>—</v>
      </c>
      <c r="AM30" s="13" t="str">
        <f>_xll.BDH("XOM US Equity","BS_DISCLOSED_INTANGIBLES","FQ3 2017","FQ3 2017","Currency=USD","Period=FQ","BEST_FPERIOD_OVERRIDE=FQ","FILING_STATUS=OR","SCALING_FORMAT=MLN","Sort=A","Dates=H","DateFormat=P","Fill=—","Direction=H","UseDPDF=Y")</f>
        <v>—</v>
      </c>
      <c r="AN30" s="13">
        <f>_xll.BDH("XOM US Equity","BS_DISCLOSED_INTANGIBLES","FQ4 2017","FQ4 2017","Currency=USD","Period=FQ","BEST_FPERIOD_OVERRIDE=FQ","FILING_STATUS=OR","SCALING_FORMAT=MLN","Sort=A","Dates=H","DateFormat=P","Fill=—","Direction=H","UseDPDF=Y")</f>
        <v>0</v>
      </c>
      <c r="AO30" s="13" t="str">
        <f>_xll.BDH("XOM US Equity","BS_DISCLOSED_INTANGIBLES","FQ1 2018","FQ1 2018","Currency=USD","Period=FQ","BEST_FPERIOD_OVERRIDE=FQ","FILING_STATUS=OR","SCALING_FORMAT=MLN","Sort=A","Dates=H","DateFormat=P","Fill=—","Direction=H","UseDPDF=Y")</f>
        <v>—</v>
      </c>
      <c r="AP30" s="13" t="str">
        <f>_xll.BDH("XOM US Equity","BS_DISCLOSED_INTANGIBLES","FQ2 2018","FQ2 2018","Currency=USD","Period=FQ","BEST_FPERIOD_OVERRIDE=FQ","FILING_STATUS=OR","SCALING_FORMAT=MLN","Sort=A","Dates=H","DateFormat=P","Fill=—","Direction=H","UseDPDF=Y")</f>
        <v>—</v>
      </c>
    </row>
    <row r="31" spans="1:42" x14ac:dyDescent="0.25">
      <c r="A31" s="11" t="s">
        <v>254</v>
      </c>
      <c r="B31" s="11" t="s">
        <v>255</v>
      </c>
      <c r="C31" s="18" t="str">
        <f>_xll.BDH("XOM US Equity","BS_GOODWILL","FQ3 2008","FQ3 2008","Currency=USD","Period=FQ","BEST_FPERIOD_OVERRIDE=FQ","FILING_STATUS=OR","SCALING_FORMAT=MLN","Sort=A","Dates=H","DateFormat=P","Fill=—","Direction=H","UseDPDF=Y")</f>
        <v>—</v>
      </c>
      <c r="D31" s="18" t="str">
        <f>_xll.BDH("XOM US Equity","BS_GOODWILL","FQ4 2008","FQ4 2008","Currency=USD","Period=FQ","BEST_FPERIOD_OVERRIDE=FQ","FILING_STATUS=OR","SCALING_FORMAT=MLN","Sort=A","Dates=H","DateFormat=P","Fill=—","Direction=H","UseDPDF=Y")</f>
        <v>—</v>
      </c>
      <c r="E31" s="18" t="str">
        <f>_xll.BDH("XOM US Equity","BS_GOODWILL","FQ1 2009","FQ1 2009","Currency=USD","Period=FQ","BEST_FPERIOD_OVERRIDE=FQ","FILING_STATUS=OR","SCALING_FORMAT=MLN","Sort=A","Dates=H","DateFormat=P","Fill=—","Direction=H","UseDPDF=Y")</f>
        <v>—</v>
      </c>
      <c r="F31" s="18" t="str">
        <f>_xll.BDH("XOM US Equity","BS_GOODWILL","FQ2 2009","FQ2 2009","Currency=USD","Period=FQ","BEST_FPERIOD_OVERRIDE=FQ","FILING_STATUS=OR","SCALING_FORMAT=MLN","Sort=A","Dates=H","DateFormat=P","Fill=—","Direction=H","UseDPDF=Y")</f>
        <v>—</v>
      </c>
      <c r="G31" s="18" t="str">
        <f>_xll.BDH("XOM US Equity","BS_GOODWILL","FQ3 2009","FQ3 2009","Currency=USD","Period=FQ","BEST_FPERIOD_OVERRIDE=FQ","FILING_STATUS=OR","SCALING_FORMAT=MLN","Sort=A","Dates=H","DateFormat=P","Fill=—","Direction=H","UseDPDF=Y")</f>
        <v>—</v>
      </c>
      <c r="H31" s="18">
        <f>_xll.BDH("XOM US Equity","BS_GOODWILL","FQ4 2009","FQ4 2009","Currency=USD","Period=FQ","BEST_FPERIOD_OVERRIDE=FQ","FILING_STATUS=OR","SCALING_FORMAT=MLN","Sort=A","Dates=H","DateFormat=P","Fill=—","Direction=H","UseDPDF=Y")</f>
        <v>0</v>
      </c>
      <c r="I31" s="18" t="str">
        <f>_xll.BDH("XOM US Equity","BS_GOODWILL","FQ1 2010","FQ1 2010","Currency=USD","Period=FQ","BEST_FPERIOD_OVERRIDE=FQ","FILING_STATUS=OR","SCALING_FORMAT=MLN","Sort=A","Dates=H","DateFormat=P","Fill=—","Direction=H","UseDPDF=Y")</f>
        <v>—</v>
      </c>
      <c r="J31" s="18" t="str">
        <f>_xll.BDH("XOM US Equity","BS_GOODWILL","FQ2 2010","FQ2 2010","Currency=USD","Period=FQ","BEST_FPERIOD_OVERRIDE=FQ","FILING_STATUS=OR","SCALING_FORMAT=MLN","Sort=A","Dates=H","DateFormat=P","Fill=—","Direction=H","UseDPDF=Y")</f>
        <v>—</v>
      </c>
      <c r="K31" s="18" t="str">
        <f>_xll.BDH("XOM US Equity","BS_GOODWILL","FQ3 2010","FQ3 2010","Currency=USD","Period=FQ","BEST_FPERIOD_OVERRIDE=FQ","FILING_STATUS=OR","SCALING_FORMAT=MLN","Sort=A","Dates=H","DateFormat=P","Fill=—","Direction=H","UseDPDF=Y")</f>
        <v>—</v>
      </c>
      <c r="L31" s="18">
        <f>_xll.BDH("XOM US Equity","BS_GOODWILL","FQ4 2010","FQ4 2010","Currency=USD","Period=FQ","BEST_FPERIOD_OVERRIDE=FQ","FILING_STATUS=OR","SCALING_FORMAT=MLN","Sort=A","Dates=H","DateFormat=P","Fill=—","Direction=H","UseDPDF=Y")</f>
        <v>0</v>
      </c>
      <c r="M31" s="18" t="str">
        <f>_xll.BDH("XOM US Equity","BS_GOODWILL","FQ1 2011","FQ1 2011","Currency=USD","Period=FQ","BEST_FPERIOD_OVERRIDE=FQ","FILING_STATUS=OR","SCALING_FORMAT=MLN","Sort=A","Dates=H","DateFormat=P","Fill=—","Direction=H","UseDPDF=Y")</f>
        <v>—</v>
      </c>
      <c r="N31" s="18" t="str">
        <f>_xll.BDH("XOM US Equity","BS_GOODWILL","FQ2 2011","FQ2 2011","Currency=USD","Period=FQ","BEST_FPERIOD_OVERRIDE=FQ","FILING_STATUS=OR","SCALING_FORMAT=MLN","Sort=A","Dates=H","DateFormat=P","Fill=—","Direction=H","UseDPDF=Y")</f>
        <v>—</v>
      </c>
      <c r="O31" s="18" t="str">
        <f>_xll.BDH("XOM US Equity","BS_GOODWILL","FQ3 2011","FQ3 2011","Currency=USD","Period=FQ","BEST_FPERIOD_OVERRIDE=FQ","FILING_STATUS=OR","SCALING_FORMAT=MLN","Sort=A","Dates=H","DateFormat=P","Fill=—","Direction=H","UseDPDF=Y")</f>
        <v>—</v>
      </c>
      <c r="P31" s="18">
        <f>_xll.BDH("XOM US Equity","BS_GOODWILL","FQ4 2011","FQ4 2011","Currency=USD","Period=FQ","BEST_FPERIOD_OVERRIDE=FQ","FILING_STATUS=OR","SCALING_FORMAT=MLN","Sort=A","Dates=H","DateFormat=P","Fill=—","Direction=H","UseDPDF=Y")</f>
        <v>0</v>
      </c>
      <c r="Q31" s="18" t="str">
        <f>_xll.BDH("XOM US Equity","BS_GOODWILL","FQ1 2012","FQ1 2012","Currency=USD","Period=FQ","BEST_FPERIOD_OVERRIDE=FQ","FILING_STATUS=OR","SCALING_FORMAT=MLN","Sort=A","Dates=H","DateFormat=P","Fill=—","Direction=H","UseDPDF=Y")</f>
        <v>—</v>
      </c>
      <c r="R31" s="18" t="str">
        <f>_xll.BDH("XOM US Equity","BS_GOODWILL","FQ2 2012","FQ2 2012","Currency=USD","Period=FQ","BEST_FPERIOD_OVERRIDE=FQ","FILING_STATUS=OR","SCALING_FORMAT=MLN","Sort=A","Dates=H","DateFormat=P","Fill=—","Direction=H","UseDPDF=Y")</f>
        <v>—</v>
      </c>
      <c r="S31" s="18" t="str">
        <f>_xll.BDH("XOM US Equity","BS_GOODWILL","FQ3 2012","FQ3 2012","Currency=USD","Period=FQ","BEST_FPERIOD_OVERRIDE=FQ","FILING_STATUS=OR","SCALING_FORMAT=MLN","Sort=A","Dates=H","DateFormat=P","Fill=—","Direction=H","UseDPDF=Y")</f>
        <v>—</v>
      </c>
      <c r="T31" s="18">
        <f>_xll.BDH("XOM US Equity","BS_GOODWILL","FQ4 2012","FQ4 2012","Currency=USD","Period=FQ","BEST_FPERIOD_OVERRIDE=FQ","FILING_STATUS=OR","SCALING_FORMAT=MLN","Sort=A","Dates=H","DateFormat=P","Fill=—","Direction=H","UseDPDF=Y")</f>
        <v>0</v>
      </c>
      <c r="U31" s="18" t="str">
        <f>_xll.BDH("XOM US Equity","BS_GOODWILL","FQ1 2013","FQ1 2013","Currency=USD","Period=FQ","BEST_FPERIOD_OVERRIDE=FQ","FILING_STATUS=OR","SCALING_FORMAT=MLN","Sort=A","Dates=H","DateFormat=P","Fill=—","Direction=H","UseDPDF=Y")</f>
        <v>—</v>
      </c>
      <c r="V31" s="18" t="str">
        <f>_xll.BDH("XOM US Equity","BS_GOODWILL","FQ2 2013","FQ2 2013","Currency=USD","Period=FQ","BEST_FPERIOD_OVERRIDE=FQ","FILING_STATUS=OR","SCALING_FORMAT=MLN","Sort=A","Dates=H","DateFormat=P","Fill=—","Direction=H","UseDPDF=Y")</f>
        <v>—</v>
      </c>
      <c r="W31" s="18" t="str">
        <f>_xll.BDH("XOM US Equity","BS_GOODWILL","FQ3 2013","FQ3 2013","Currency=USD","Period=FQ","BEST_FPERIOD_OVERRIDE=FQ","FILING_STATUS=OR","SCALING_FORMAT=MLN","Sort=A","Dates=H","DateFormat=P","Fill=—","Direction=H","UseDPDF=Y")</f>
        <v>—</v>
      </c>
      <c r="X31" s="18">
        <f>_xll.BDH("XOM US Equity","BS_GOODWILL","FQ4 2013","FQ4 2013","Currency=USD","Period=FQ","BEST_FPERIOD_OVERRIDE=FQ","FILING_STATUS=OR","SCALING_FORMAT=MLN","Sort=A","Dates=H","DateFormat=P","Fill=—","Direction=H","UseDPDF=Y")</f>
        <v>0</v>
      </c>
      <c r="Y31" s="18" t="str">
        <f>_xll.BDH("XOM US Equity","BS_GOODWILL","FQ1 2014","FQ1 2014","Currency=USD","Period=FQ","BEST_FPERIOD_OVERRIDE=FQ","FILING_STATUS=OR","SCALING_FORMAT=MLN","Sort=A","Dates=H","DateFormat=P","Fill=—","Direction=H","UseDPDF=Y")</f>
        <v>—</v>
      </c>
      <c r="Z31" s="18" t="str">
        <f>_xll.BDH("XOM US Equity","BS_GOODWILL","FQ2 2014","FQ2 2014","Currency=USD","Period=FQ","BEST_FPERIOD_OVERRIDE=FQ","FILING_STATUS=OR","SCALING_FORMAT=MLN","Sort=A","Dates=H","DateFormat=P","Fill=—","Direction=H","UseDPDF=Y")</f>
        <v>—</v>
      </c>
      <c r="AA31" s="18" t="str">
        <f>_xll.BDH("XOM US Equity","BS_GOODWILL","FQ3 2014","FQ3 2014","Currency=USD","Period=FQ","BEST_FPERIOD_OVERRIDE=FQ","FILING_STATUS=OR","SCALING_FORMAT=MLN","Sort=A","Dates=H","DateFormat=P","Fill=—","Direction=H","UseDPDF=Y")</f>
        <v>—</v>
      </c>
      <c r="AB31" s="18">
        <f>_xll.BDH("XOM US Equity","BS_GOODWILL","FQ4 2014","FQ4 2014","Currency=USD","Period=FQ","BEST_FPERIOD_OVERRIDE=FQ","FILING_STATUS=OR","SCALING_FORMAT=MLN","Sort=A","Dates=H","DateFormat=P","Fill=—","Direction=H","UseDPDF=Y")</f>
        <v>0</v>
      </c>
      <c r="AC31" s="18" t="str">
        <f>_xll.BDH("XOM US Equity","BS_GOODWILL","FQ1 2015","FQ1 2015","Currency=USD","Period=FQ","BEST_FPERIOD_OVERRIDE=FQ","FILING_STATUS=OR","SCALING_FORMAT=MLN","Sort=A","Dates=H","DateFormat=P","Fill=—","Direction=H","UseDPDF=Y")</f>
        <v>—</v>
      </c>
      <c r="AD31" s="18" t="str">
        <f>_xll.BDH("XOM US Equity","BS_GOODWILL","FQ2 2015","FQ2 2015","Currency=USD","Period=FQ","BEST_FPERIOD_OVERRIDE=FQ","FILING_STATUS=OR","SCALING_FORMAT=MLN","Sort=A","Dates=H","DateFormat=P","Fill=—","Direction=H","UseDPDF=Y")</f>
        <v>—</v>
      </c>
      <c r="AE31" s="18" t="str">
        <f>_xll.BDH("XOM US Equity","BS_GOODWILL","FQ3 2015","FQ3 2015","Currency=USD","Period=FQ","BEST_FPERIOD_OVERRIDE=FQ","FILING_STATUS=OR","SCALING_FORMAT=MLN","Sort=A","Dates=H","DateFormat=P","Fill=—","Direction=H","UseDPDF=Y")</f>
        <v>—</v>
      </c>
      <c r="AF31" s="18">
        <f>_xll.BDH("XOM US Equity","BS_GOODWILL","FQ4 2015","FQ4 2015","Currency=USD","Period=FQ","BEST_FPERIOD_OVERRIDE=FQ","FILING_STATUS=OR","SCALING_FORMAT=MLN","Sort=A","Dates=H","DateFormat=P","Fill=—","Direction=H","UseDPDF=Y")</f>
        <v>0</v>
      </c>
      <c r="AG31" s="18" t="str">
        <f>_xll.BDH("XOM US Equity","BS_GOODWILL","FQ1 2016","FQ1 2016","Currency=USD","Period=FQ","BEST_FPERIOD_OVERRIDE=FQ","FILING_STATUS=OR","SCALING_FORMAT=MLN","Sort=A","Dates=H","DateFormat=P","Fill=—","Direction=H","UseDPDF=Y")</f>
        <v>—</v>
      </c>
      <c r="AH31" s="18" t="str">
        <f>_xll.BDH("XOM US Equity","BS_GOODWILL","FQ2 2016","FQ2 2016","Currency=USD","Period=FQ","BEST_FPERIOD_OVERRIDE=FQ","FILING_STATUS=OR","SCALING_FORMAT=MLN","Sort=A","Dates=H","DateFormat=P","Fill=—","Direction=H","UseDPDF=Y")</f>
        <v>—</v>
      </c>
      <c r="AI31" s="18" t="str">
        <f>_xll.BDH("XOM US Equity","BS_GOODWILL","FQ3 2016","FQ3 2016","Currency=USD","Period=FQ","BEST_FPERIOD_OVERRIDE=FQ","FILING_STATUS=OR","SCALING_FORMAT=MLN","Sort=A","Dates=H","DateFormat=P","Fill=—","Direction=H","UseDPDF=Y")</f>
        <v>—</v>
      </c>
      <c r="AJ31" s="18">
        <f>_xll.BDH("XOM US Equity","BS_GOODWILL","FQ4 2016","FQ4 2016","Currency=USD","Period=FQ","BEST_FPERIOD_OVERRIDE=FQ","FILING_STATUS=OR","SCALING_FORMAT=MLN","Sort=A","Dates=H","DateFormat=P","Fill=—","Direction=H","UseDPDF=Y")</f>
        <v>0</v>
      </c>
      <c r="AK31" s="18" t="str">
        <f>_xll.BDH("XOM US Equity","BS_GOODWILL","FQ1 2017","FQ1 2017","Currency=USD","Period=FQ","BEST_FPERIOD_OVERRIDE=FQ","FILING_STATUS=OR","SCALING_FORMAT=MLN","Sort=A","Dates=H","DateFormat=P","Fill=—","Direction=H","UseDPDF=Y")</f>
        <v>—</v>
      </c>
      <c r="AL31" s="18" t="str">
        <f>_xll.BDH("XOM US Equity","BS_GOODWILL","FQ2 2017","FQ2 2017","Currency=USD","Period=FQ","BEST_FPERIOD_OVERRIDE=FQ","FILING_STATUS=OR","SCALING_FORMAT=MLN","Sort=A","Dates=H","DateFormat=P","Fill=—","Direction=H","UseDPDF=Y")</f>
        <v>—</v>
      </c>
      <c r="AM31" s="18" t="str">
        <f>_xll.BDH("XOM US Equity","BS_GOODWILL","FQ3 2017","FQ3 2017","Currency=USD","Period=FQ","BEST_FPERIOD_OVERRIDE=FQ","FILING_STATUS=OR","SCALING_FORMAT=MLN","Sort=A","Dates=H","DateFormat=P","Fill=—","Direction=H","UseDPDF=Y")</f>
        <v>—</v>
      </c>
      <c r="AN31" s="18">
        <f>_xll.BDH("XOM US Equity","BS_GOODWILL","FQ4 2017","FQ4 2017","Currency=USD","Period=FQ","BEST_FPERIOD_OVERRIDE=FQ","FILING_STATUS=OR","SCALING_FORMAT=MLN","Sort=A","Dates=H","DateFormat=P","Fill=—","Direction=H","UseDPDF=Y")</f>
        <v>0</v>
      </c>
      <c r="AO31" s="18" t="str">
        <f>_xll.BDH("XOM US Equity","BS_GOODWILL","FQ1 2018","FQ1 2018","Currency=USD","Period=FQ","BEST_FPERIOD_OVERRIDE=FQ","FILING_STATUS=OR","SCALING_FORMAT=MLN","Sort=A","Dates=H","DateFormat=P","Fill=—","Direction=H","UseDPDF=Y")</f>
        <v>—</v>
      </c>
      <c r="AP31" s="18" t="str">
        <f>_xll.BDH("XOM US Equity","BS_GOODWILL","FQ2 2018","FQ2 2018","Currency=USD","Period=FQ","BEST_FPERIOD_OVERRIDE=FQ","FILING_STATUS=OR","SCALING_FORMAT=MLN","Sort=A","Dates=H","DateFormat=P","Fill=—","Direction=H","UseDPDF=Y")</f>
        <v>—</v>
      </c>
    </row>
    <row r="32" spans="1:42" x14ac:dyDescent="0.25">
      <c r="A32" s="11" t="s">
        <v>256</v>
      </c>
      <c r="B32" s="11" t="s">
        <v>257</v>
      </c>
      <c r="C32" s="18" t="str">
        <f>_xll.BDH("XOM US Equity","OTHER_INTANGIBLE_ASSETS_DETAILED","FQ3 2008","FQ3 2008","Currency=USD","Period=FQ","BEST_FPERIOD_OVERRIDE=FQ","FILING_STATUS=OR","SCALING_FORMAT=MLN","Sort=A","Dates=H","DateFormat=P","Fill=—","Direction=H","UseDPDF=Y")</f>
        <v>—</v>
      </c>
      <c r="D32" s="18" t="str">
        <f>_xll.BDH("XOM US Equity","OTHER_INTANGIBLE_ASSETS_DETAILED","FQ4 2008","FQ4 2008","Currency=USD","Period=FQ","BEST_FPERIOD_OVERRIDE=FQ","FILING_STATUS=OR","SCALING_FORMAT=MLN","Sort=A","Dates=H","DateFormat=P","Fill=—","Direction=H","UseDPDF=Y")</f>
        <v>—</v>
      </c>
      <c r="E32" s="18" t="str">
        <f>_xll.BDH("XOM US Equity","OTHER_INTANGIBLE_ASSETS_DETAILED","FQ1 2009","FQ1 2009","Currency=USD","Period=FQ","BEST_FPERIOD_OVERRIDE=FQ","FILING_STATUS=OR","SCALING_FORMAT=MLN","Sort=A","Dates=H","DateFormat=P","Fill=—","Direction=H","UseDPDF=Y")</f>
        <v>—</v>
      </c>
      <c r="F32" s="18" t="str">
        <f>_xll.BDH("XOM US Equity","OTHER_INTANGIBLE_ASSETS_DETAILED","FQ2 2009","FQ2 2009","Currency=USD","Period=FQ","BEST_FPERIOD_OVERRIDE=FQ","FILING_STATUS=OR","SCALING_FORMAT=MLN","Sort=A","Dates=H","DateFormat=P","Fill=—","Direction=H","UseDPDF=Y")</f>
        <v>—</v>
      </c>
      <c r="G32" s="18" t="str">
        <f>_xll.BDH("XOM US Equity","OTHER_INTANGIBLE_ASSETS_DETAILED","FQ3 2009","FQ3 2009","Currency=USD","Period=FQ","BEST_FPERIOD_OVERRIDE=FQ","FILING_STATUS=OR","SCALING_FORMAT=MLN","Sort=A","Dates=H","DateFormat=P","Fill=—","Direction=H","UseDPDF=Y")</f>
        <v>—</v>
      </c>
      <c r="H32" s="18">
        <f>_xll.BDH("XOM US Equity","OTHER_INTANGIBLE_ASSETS_DETAILED","FQ4 2009","FQ4 2009","Currency=USD","Period=FQ","BEST_FPERIOD_OVERRIDE=FQ","FILING_STATUS=OR","SCALING_FORMAT=MLN","Sort=A","Dates=H","DateFormat=P","Fill=—","Direction=H","UseDPDF=Y")</f>
        <v>0</v>
      </c>
      <c r="I32" s="18" t="str">
        <f>_xll.BDH("XOM US Equity","OTHER_INTANGIBLE_ASSETS_DETAILED","FQ1 2010","FQ1 2010","Currency=USD","Period=FQ","BEST_FPERIOD_OVERRIDE=FQ","FILING_STATUS=OR","SCALING_FORMAT=MLN","Sort=A","Dates=H","DateFormat=P","Fill=—","Direction=H","UseDPDF=Y")</f>
        <v>—</v>
      </c>
      <c r="J32" s="18" t="str">
        <f>_xll.BDH("XOM US Equity","OTHER_INTANGIBLE_ASSETS_DETAILED","FQ2 2010","FQ2 2010","Currency=USD","Period=FQ","BEST_FPERIOD_OVERRIDE=FQ","FILING_STATUS=OR","SCALING_FORMAT=MLN","Sort=A","Dates=H","DateFormat=P","Fill=—","Direction=H","UseDPDF=Y")</f>
        <v>—</v>
      </c>
      <c r="K32" s="18" t="str">
        <f>_xll.BDH("XOM US Equity","OTHER_INTANGIBLE_ASSETS_DETAILED","FQ3 2010","FQ3 2010","Currency=USD","Period=FQ","BEST_FPERIOD_OVERRIDE=FQ","FILING_STATUS=OR","SCALING_FORMAT=MLN","Sort=A","Dates=H","DateFormat=P","Fill=—","Direction=H","UseDPDF=Y")</f>
        <v>—</v>
      </c>
      <c r="L32" s="18">
        <f>_xll.BDH("XOM US Equity","OTHER_INTANGIBLE_ASSETS_DETAILED","FQ4 2010","FQ4 2010","Currency=USD","Period=FQ","BEST_FPERIOD_OVERRIDE=FQ","FILING_STATUS=OR","SCALING_FORMAT=MLN","Sort=A","Dates=H","DateFormat=P","Fill=—","Direction=H","UseDPDF=Y")</f>
        <v>0</v>
      </c>
      <c r="M32" s="18" t="str">
        <f>_xll.BDH("XOM US Equity","OTHER_INTANGIBLE_ASSETS_DETAILED","FQ1 2011","FQ1 2011","Currency=USD","Period=FQ","BEST_FPERIOD_OVERRIDE=FQ","FILING_STATUS=OR","SCALING_FORMAT=MLN","Sort=A","Dates=H","DateFormat=P","Fill=—","Direction=H","UseDPDF=Y")</f>
        <v>—</v>
      </c>
      <c r="N32" s="18" t="str">
        <f>_xll.BDH("XOM US Equity","OTHER_INTANGIBLE_ASSETS_DETAILED","FQ2 2011","FQ2 2011","Currency=USD","Period=FQ","BEST_FPERIOD_OVERRIDE=FQ","FILING_STATUS=OR","SCALING_FORMAT=MLN","Sort=A","Dates=H","DateFormat=P","Fill=—","Direction=H","UseDPDF=Y")</f>
        <v>—</v>
      </c>
      <c r="O32" s="18" t="str">
        <f>_xll.BDH("XOM US Equity","OTHER_INTANGIBLE_ASSETS_DETAILED","FQ3 2011","FQ3 2011","Currency=USD","Period=FQ","BEST_FPERIOD_OVERRIDE=FQ","FILING_STATUS=OR","SCALING_FORMAT=MLN","Sort=A","Dates=H","DateFormat=P","Fill=—","Direction=H","UseDPDF=Y")</f>
        <v>—</v>
      </c>
      <c r="P32" s="18">
        <f>_xll.BDH("XOM US Equity","OTHER_INTANGIBLE_ASSETS_DETAILED","FQ4 2011","FQ4 2011","Currency=USD","Period=FQ","BEST_FPERIOD_OVERRIDE=FQ","FILING_STATUS=OR","SCALING_FORMAT=MLN","Sort=A","Dates=H","DateFormat=P","Fill=—","Direction=H","UseDPDF=Y")</f>
        <v>0</v>
      </c>
      <c r="Q32" s="18" t="str">
        <f>_xll.BDH("XOM US Equity","OTHER_INTANGIBLE_ASSETS_DETAILED","FQ1 2012","FQ1 2012","Currency=USD","Period=FQ","BEST_FPERIOD_OVERRIDE=FQ","FILING_STATUS=OR","SCALING_FORMAT=MLN","Sort=A","Dates=H","DateFormat=P","Fill=—","Direction=H","UseDPDF=Y")</f>
        <v>—</v>
      </c>
      <c r="R32" s="18" t="str">
        <f>_xll.BDH("XOM US Equity","OTHER_INTANGIBLE_ASSETS_DETAILED","FQ2 2012","FQ2 2012","Currency=USD","Period=FQ","BEST_FPERIOD_OVERRIDE=FQ","FILING_STATUS=OR","SCALING_FORMAT=MLN","Sort=A","Dates=H","DateFormat=P","Fill=—","Direction=H","UseDPDF=Y")</f>
        <v>—</v>
      </c>
      <c r="S32" s="18" t="str">
        <f>_xll.BDH("XOM US Equity","OTHER_INTANGIBLE_ASSETS_DETAILED","FQ3 2012","FQ3 2012","Currency=USD","Period=FQ","BEST_FPERIOD_OVERRIDE=FQ","FILING_STATUS=OR","SCALING_FORMAT=MLN","Sort=A","Dates=H","DateFormat=P","Fill=—","Direction=H","UseDPDF=Y")</f>
        <v>—</v>
      </c>
      <c r="T32" s="18">
        <f>_xll.BDH("XOM US Equity","OTHER_INTANGIBLE_ASSETS_DETAILED","FQ4 2012","FQ4 2012","Currency=USD","Period=FQ","BEST_FPERIOD_OVERRIDE=FQ","FILING_STATUS=OR","SCALING_FORMAT=MLN","Sort=A","Dates=H","DateFormat=P","Fill=—","Direction=H","UseDPDF=Y")</f>
        <v>0</v>
      </c>
      <c r="U32" s="18" t="str">
        <f>_xll.BDH("XOM US Equity","OTHER_INTANGIBLE_ASSETS_DETAILED","FQ1 2013","FQ1 2013","Currency=USD","Period=FQ","BEST_FPERIOD_OVERRIDE=FQ","FILING_STATUS=OR","SCALING_FORMAT=MLN","Sort=A","Dates=H","DateFormat=P","Fill=—","Direction=H","UseDPDF=Y")</f>
        <v>—</v>
      </c>
      <c r="V32" s="18" t="str">
        <f>_xll.BDH("XOM US Equity","OTHER_INTANGIBLE_ASSETS_DETAILED","FQ2 2013","FQ2 2013","Currency=USD","Period=FQ","BEST_FPERIOD_OVERRIDE=FQ","FILING_STATUS=OR","SCALING_FORMAT=MLN","Sort=A","Dates=H","DateFormat=P","Fill=—","Direction=H","UseDPDF=Y")</f>
        <v>—</v>
      </c>
      <c r="W32" s="18" t="str">
        <f>_xll.BDH("XOM US Equity","OTHER_INTANGIBLE_ASSETS_DETAILED","FQ3 2013","FQ3 2013","Currency=USD","Period=FQ","BEST_FPERIOD_OVERRIDE=FQ","FILING_STATUS=OR","SCALING_FORMAT=MLN","Sort=A","Dates=H","DateFormat=P","Fill=—","Direction=H","UseDPDF=Y")</f>
        <v>—</v>
      </c>
      <c r="X32" s="18">
        <f>_xll.BDH("XOM US Equity","OTHER_INTANGIBLE_ASSETS_DETAILED","FQ4 2013","FQ4 2013","Currency=USD","Period=FQ","BEST_FPERIOD_OVERRIDE=FQ","FILING_STATUS=OR","SCALING_FORMAT=MLN","Sort=A","Dates=H","DateFormat=P","Fill=—","Direction=H","UseDPDF=Y")</f>
        <v>0</v>
      </c>
      <c r="Y32" s="18" t="str">
        <f>_xll.BDH("XOM US Equity","OTHER_INTANGIBLE_ASSETS_DETAILED","FQ1 2014","FQ1 2014","Currency=USD","Period=FQ","BEST_FPERIOD_OVERRIDE=FQ","FILING_STATUS=OR","SCALING_FORMAT=MLN","Sort=A","Dates=H","DateFormat=P","Fill=—","Direction=H","UseDPDF=Y")</f>
        <v>—</v>
      </c>
      <c r="Z32" s="18" t="str">
        <f>_xll.BDH("XOM US Equity","OTHER_INTANGIBLE_ASSETS_DETAILED","FQ2 2014","FQ2 2014","Currency=USD","Period=FQ","BEST_FPERIOD_OVERRIDE=FQ","FILING_STATUS=OR","SCALING_FORMAT=MLN","Sort=A","Dates=H","DateFormat=P","Fill=—","Direction=H","UseDPDF=Y")</f>
        <v>—</v>
      </c>
      <c r="AA32" s="18" t="str">
        <f>_xll.BDH("XOM US Equity","OTHER_INTANGIBLE_ASSETS_DETAILED","FQ3 2014","FQ3 2014","Currency=USD","Period=FQ","BEST_FPERIOD_OVERRIDE=FQ","FILING_STATUS=OR","SCALING_FORMAT=MLN","Sort=A","Dates=H","DateFormat=P","Fill=—","Direction=H","UseDPDF=Y")</f>
        <v>—</v>
      </c>
      <c r="AB32" s="18">
        <f>_xll.BDH("XOM US Equity","OTHER_INTANGIBLE_ASSETS_DETAILED","FQ4 2014","FQ4 2014","Currency=USD","Period=FQ","BEST_FPERIOD_OVERRIDE=FQ","FILING_STATUS=OR","SCALING_FORMAT=MLN","Sort=A","Dates=H","DateFormat=P","Fill=—","Direction=H","UseDPDF=Y")</f>
        <v>0</v>
      </c>
      <c r="AC32" s="18" t="str">
        <f>_xll.BDH("XOM US Equity","OTHER_INTANGIBLE_ASSETS_DETAILED","FQ1 2015","FQ1 2015","Currency=USD","Period=FQ","BEST_FPERIOD_OVERRIDE=FQ","FILING_STATUS=OR","SCALING_FORMAT=MLN","Sort=A","Dates=H","DateFormat=P","Fill=—","Direction=H","UseDPDF=Y")</f>
        <v>—</v>
      </c>
      <c r="AD32" s="18" t="str">
        <f>_xll.BDH("XOM US Equity","OTHER_INTANGIBLE_ASSETS_DETAILED","FQ2 2015","FQ2 2015","Currency=USD","Period=FQ","BEST_FPERIOD_OVERRIDE=FQ","FILING_STATUS=OR","SCALING_FORMAT=MLN","Sort=A","Dates=H","DateFormat=P","Fill=—","Direction=H","UseDPDF=Y")</f>
        <v>—</v>
      </c>
      <c r="AE32" s="18" t="str">
        <f>_xll.BDH("XOM US Equity","OTHER_INTANGIBLE_ASSETS_DETAILED","FQ3 2015","FQ3 2015","Currency=USD","Period=FQ","BEST_FPERIOD_OVERRIDE=FQ","FILING_STATUS=OR","SCALING_FORMAT=MLN","Sort=A","Dates=H","DateFormat=P","Fill=—","Direction=H","UseDPDF=Y")</f>
        <v>—</v>
      </c>
      <c r="AF32" s="18">
        <f>_xll.BDH("XOM US Equity","OTHER_INTANGIBLE_ASSETS_DETAILED","FQ4 2015","FQ4 2015","Currency=USD","Period=FQ","BEST_FPERIOD_OVERRIDE=FQ","FILING_STATUS=OR","SCALING_FORMAT=MLN","Sort=A","Dates=H","DateFormat=P","Fill=—","Direction=H","UseDPDF=Y")</f>
        <v>0</v>
      </c>
      <c r="AG32" s="18" t="str">
        <f>_xll.BDH("XOM US Equity","OTHER_INTANGIBLE_ASSETS_DETAILED","FQ1 2016","FQ1 2016","Currency=USD","Period=FQ","BEST_FPERIOD_OVERRIDE=FQ","FILING_STATUS=OR","SCALING_FORMAT=MLN","Sort=A","Dates=H","DateFormat=P","Fill=—","Direction=H","UseDPDF=Y")</f>
        <v>—</v>
      </c>
      <c r="AH32" s="18" t="str">
        <f>_xll.BDH("XOM US Equity","OTHER_INTANGIBLE_ASSETS_DETAILED","FQ2 2016","FQ2 2016","Currency=USD","Period=FQ","BEST_FPERIOD_OVERRIDE=FQ","FILING_STATUS=OR","SCALING_FORMAT=MLN","Sort=A","Dates=H","DateFormat=P","Fill=—","Direction=H","UseDPDF=Y")</f>
        <v>—</v>
      </c>
      <c r="AI32" s="18" t="str">
        <f>_xll.BDH("XOM US Equity","OTHER_INTANGIBLE_ASSETS_DETAILED","FQ3 2016","FQ3 2016","Currency=USD","Period=FQ","BEST_FPERIOD_OVERRIDE=FQ","FILING_STATUS=OR","SCALING_FORMAT=MLN","Sort=A","Dates=H","DateFormat=P","Fill=—","Direction=H","UseDPDF=Y")</f>
        <v>—</v>
      </c>
      <c r="AJ32" s="18">
        <f>_xll.BDH("XOM US Equity","OTHER_INTANGIBLE_ASSETS_DETAILED","FQ4 2016","FQ4 2016","Currency=USD","Period=FQ","BEST_FPERIOD_OVERRIDE=FQ","FILING_STATUS=OR","SCALING_FORMAT=MLN","Sort=A","Dates=H","DateFormat=P","Fill=—","Direction=H","UseDPDF=Y")</f>
        <v>0</v>
      </c>
      <c r="AK32" s="18" t="str">
        <f>_xll.BDH("XOM US Equity","OTHER_INTANGIBLE_ASSETS_DETAILED","FQ1 2017","FQ1 2017","Currency=USD","Period=FQ","BEST_FPERIOD_OVERRIDE=FQ","FILING_STATUS=OR","SCALING_FORMAT=MLN","Sort=A","Dates=H","DateFormat=P","Fill=—","Direction=H","UseDPDF=Y")</f>
        <v>—</v>
      </c>
      <c r="AL32" s="18" t="str">
        <f>_xll.BDH("XOM US Equity","OTHER_INTANGIBLE_ASSETS_DETAILED","FQ2 2017","FQ2 2017","Currency=USD","Period=FQ","BEST_FPERIOD_OVERRIDE=FQ","FILING_STATUS=OR","SCALING_FORMAT=MLN","Sort=A","Dates=H","DateFormat=P","Fill=—","Direction=H","UseDPDF=Y")</f>
        <v>—</v>
      </c>
      <c r="AM32" s="18" t="str">
        <f>_xll.BDH("XOM US Equity","OTHER_INTANGIBLE_ASSETS_DETAILED","FQ3 2017","FQ3 2017","Currency=USD","Period=FQ","BEST_FPERIOD_OVERRIDE=FQ","FILING_STATUS=OR","SCALING_FORMAT=MLN","Sort=A","Dates=H","DateFormat=P","Fill=—","Direction=H","UseDPDF=Y")</f>
        <v>—</v>
      </c>
      <c r="AN32" s="18">
        <f>_xll.BDH("XOM US Equity","OTHER_INTANGIBLE_ASSETS_DETAILED","FQ4 2017","FQ4 2017","Currency=USD","Period=FQ","BEST_FPERIOD_OVERRIDE=FQ","FILING_STATUS=OR","SCALING_FORMAT=MLN","Sort=A","Dates=H","DateFormat=P","Fill=—","Direction=H","UseDPDF=Y")</f>
        <v>0</v>
      </c>
      <c r="AO32" s="18" t="str">
        <f>_xll.BDH("XOM US Equity","OTHER_INTANGIBLE_ASSETS_DETAILED","FQ1 2018","FQ1 2018","Currency=USD","Period=FQ","BEST_FPERIOD_OVERRIDE=FQ","FILING_STATUS=OR","SCALING_FORMAT=MLN","Sort=A","Dates=H","DateFormat=P","Fill=—","Direction=H","UseDPDF=Y")</f>
        <v>—</v>
      </c>
      <c r="AP32" s="18" t="str">
        <f>_xll.BDH("XOM US Equity","OTHER_INTANGIBLE_ASSETS_DETAILED","FQ2 2018","FQ2 2018","Currency=USD","Period=FQ","BEST_FPERIOD_OVERRIDE=FQ","FILING_STATUS=OR","SCALING_FORMAT=MLN","Sort=A","Dates=H","DateFormat=P","Fill=—","Direction=H","UseDPDF=Y")</f>
        <v>—</v>
      </c>
    </row>
    <row r="33" spans="1:42" x14ac:dyDescent="0.25">
      <c r="A33" s="10" t="s">
        <v>232</v>
      </c>
      <c r="B33" s="10" t="s">
        <v>258</v>
      </c>
      <c r="C33" s="13" t="str">
        <f>_xll.BDH("XOM US Equity","BS_DEFERRED_TAX_ASSETS_LT","FQ3 2008","FQ3 2008","Currency=USD","Period=FQ","BEST_FPERIOD_OVERRIDE=FQ","FILING_STATUS=OR","SCALING_FORMAT=MLN","Sort=A","Dates=H","DateFormat=P","Fill=—","Direction=H","UseDPDF=Y")</f>
        <v>—</v>
      </c>
      <c r="D33" s="13" t="str">
        <f>_xll.BDH("XOM US Equity","BS_DEFERRED_TAX_ASSETS_LT","FQ4 2008","FQ4 2008","Currency=USD","Period=FQ","BEST_FPERIOD_OVERRIDE=FQ","FILING_STATUS=OR","SCALING_FORMAT=MLN","Sort=A","Dates=H","DateFormat=P","Fill=—","Direction=H","UseDPDF=Y")</f>
        <v>—</v>
      </c>
      <c r="E33" s="13" t="str">
        <f>_xll.BDH("XOM US Equity","BS_DEFERRED_TAX_ASSETS_LT","FQ1 2009","FQ1 2009","Currency=USD","Period=FQ","BEST_FPERIOD_OVERRIDE=FQ","FILING_STATUS=OR","SCALING_FORMAT=MLN","Sort=A","Dates=H","DateFormat=P","Fill=—","Direction=H","UseDPDF=Y")</f>
        <v>—</v>
      </c>
      <c r="F33" s="13" t="str">
        <f>_xll.BDH("XOM US Equity","BS_DEFERRED_TAX_ASSETS_LT","FQ2 2009","FQ2 2009","Currency=USD","Period=FQ","BEST_FPERIOD_OVERRIDE=FQ","FILING_STATUS=OR","SCALING_FORMAT=MLN","Sort=A","Dates=H","DateFormat=P","Fill=—","Direction=H","UseDPDF=Y")</f>
        <v>—</v>
      </c>
      <c r="G33" s="13" t="str">
        <f>_xll.BDH("XOM US Equity","BS_DEFERRED_TAX_ASSETS_LT","FQ3 2009","FQ3 2009","Currency=USD","Period=FQ","BEST_FPERIOD_OVERRIDE=FQ","FILING_STATUS=OR","SCALING_FORMAT=MLN","Sort=A","Dates=H","DateFormat=P","Fill=—","Direction=H","UseDPDF=Y")</f>
        <v>—</v>
      </c>
      <c r="H33" s="13" t="str">
        <f>_xll.BDH("XOM US Equity","BS_DEFERRED_TAX_ASSETS_LT","FQ4 2009","FQ4 2009","Currency=USD","Period=FQ","BEST_FPERIOD_OVERRIDE=FQ","FILING_STATUS=OR","SCALING_FORMAT=MLN","Sort=A","Dates=H","DateFormat=P","Fill=—","Direction=H","UseDPDF=Y")</f>
        <v>—</v>
      </c>
      <c r="I33" s="13" t="str">
        <f>_xll.BDH("XOM US Equity","BS_DEFERRED_TAX_ASSETS_LT","FQ1 2010","FQ1 2010","Currency=USD","Period=FQ","BEST_FPERIOD_OVERRIDE=FQ","FILING_STATUS=OR","SCALING_FORMAT=MLN","Sort=A","Dates=H","DateFormat=P","Fill=—","Direction=H","UseDPDF=Y")</f>
        <v>—</v>
      </c>
      <c r="J33" s="13" t="str">
        <f>_xll.BDH("XOM US Equity","BS_DEFERRED_TAX_ASSETS_LT","FQ2 2010","FQ2 2010","Currency=USD","Period=FQ","BEST_FPERIOD_OVERRIDE=FQ","FILING_STATUS=OR","SCALING_FORMAT=MLN","Sort=A","Dates=H","DateFormat=P","Fill=—","Direction=H","UseDPDF=Y")</f>
        <v>—</v>
      </c>
      <c r="K33" s="13" t="str">
        <f>_xll.BDH("XOM US Equity","BS_DEFERRED_TAX_ASSETS_LT","FQ3 2010","FQ3 2010","Currency=USD","Period=FQ","BEST_FPERIOD_OVERRIDE=FQ","FILING_STATUS=OR","SCALING_FORMAT=MLN","Sort=A","Dates=H","DateFormat=P","Fill=—","Direction=H","UseDPDF=Y")</f>
        <v>—</v>
      </c>
      <c r="L33" s="13" t="str">
        <f>_xll.BDH("XOM US Equity","BS_DEFERRED_TAX_ASSETS_LT","FQ4 2010","FQ4 2010","Currency=USD","Period=FQ","BEST_FPERIOD_OVERRIDE=FQ","FILING_STATUS=OR","SCALING_FORMAT=MLN","Sort=A","Dates=H","DateFormat=P","Fill=—","Direction=H","UseDPDF=Y")</f>
        <v>—</v>
      </c>
      <c r="M33" s="13" t="str">
        <f>_xll.BDH("XOM US Equity","BS_DEFERRED_TAX_ASSETS_LT","FQ1 2011","FQ1 2011","Currency=USD","Period=FQ","BEST_FPERIOD_OVERRIDE=FQ","FILING_STATUS=OR","SCALING_FORMAT=MLN","Sort=A","Dates=H","DateFormat=P","Fill=—","Direction=H","UseDPDF=Y")</f>
        <v>—</v>
      </c>
      <c r="N33" s="13" t="str">
        <f>_xll.BDH("XOM US Equity","BS_DEFERRED_TAX_ASSETS_LT","FQ2 2011","FQ2 2011","Currency=USD","Period=FQ","BEST_FPERIOD_OVERRIDE=FQ","FILING_STATUS=OR","SCALING_FORMAT=MLN","Sort=A","Dates=H","DateFormat=P","Fill=—","Direction=H","UseDPDF=Y")</f>
        <v>—</v>
      </c>
      <c r="O33" s="13" t="str">
        <f>_xll.BDH("XOM US Equity","BS_DEFERRED_TAX_ASSETS_LT","FQ3 2011","FQ3 2011","Currency=USD","Period=FQ","BEST_FPERIOD_OVERRIDE=FQ","FILING_STATUS=OR","SCALING_FORMAT=MLN","Sort=A","Dates=H","DateFormat=P","Fill=—","Direction=H","UseDPDF=Y")</f>
        <v>—</v>
      </c>
      <c r="P33" s="13" t="str">
        <f>_xll.BDH("XOM US Equity","BS_DEFERRED_TAX_ASSETS_LT","FQ4 2011","FQ4 2011","Currency=USD","Period=FQ","BEST_FPERIOD_OVERRIDE=FQ","FILING_STATUS=OR","SCALING_FORMAT=MLN","Sort=A","Dates=H","DateFormat=P","Fill=—","Direction=H","UseDPDF=Y")</f>
        <v>—</v>
      </c>
      <c r="Q33" s="13" t="str">
        <f>_xll.BDH("XOM US Equity","BS_DEFERRED_TAX_ASSETS_LT","FQ1 2012","FQ1 2012","Currency=USD","Period=FQ","BEST_FPERIOD_OVERRIDE=FQ","FILING_STATUS=OR","SCALING_FORMAT=MLN","Sort=A","Dates=H","DateFormat=P","Fill=—","Direction=H","UseDPDF=Y")</f>
        <v>—</v>
      </c>
      <c r="R33" s="13" t="str">
        <f>_xll.BDH("XOM US Equity","BS_DEFERRED_TAX_ASSETS_LT","FQ2 2012","FQ2 2012","Currency=USD","Period=FQ","BEST_FPERIOD_OVERRIDE=FQ","FILING_STATUS=OR","SCALING_FORMAT=MLN","Sort=A","Dates=H","DateFormat=P","Fill=—","Direction=H","UseDPDF=Y")</f>
        <v>—</v>
      </c>
      <c r="S33" s="13" t="str">
        <f>_xll.BDH("XOM US Equity","BS_DEFERRED_TAX_ASSETS_LT","FQ3 2012","FQ3 2012","Currency=USD","Period=FQ","BEST_FPERIOD_OVERRIDE=FQ","FILING_STATUS=OR","SCALING_FORMAT=MLN","Sort=A","Dates=H","DateFormat=P","Fill=—","Direction=H","UseDPDF=Y")</f>
        <v>—</v>
      </c>
      <c r="T33" s="13" t="str">
        <f>_xll.BDH("XOM US Equity","BS_DEFERRED_TAX_ASSETS_LT","FQ4 2012","FQ4 2012","Currency=USD","Period=FQ","BEST_FPERIOD_OVERRIDE=FQ","FILING_STATUS=OR","SCALING_FORMAT=MLN","Sort=A","Dates=H","DateFormat=P","Fill=—","Direction=H","UseDPDF=Y")</f>
        <v>—</v>
      </c>
      <c r="U33" s="13" t="str">
        <f>_xll.BDH("XOM US Equity","BS_DEFERRED_TAX_ASSETS_LT","FQ1 2013","FQ1 2013","Currency=USD","Period=FQ","BEST_FPERIOD_OVERRIDE=FQ","FILING_STATUS=OR","SCALING_FORMAT=MLN","Sort=A","Dates=H","DateFormat=P","Fill=—","Direction=H","UseDPDF=Y")</f>
        <v>—</v>
      </c>
      <c r="V33" s="13" t="str">
        <f>_xll.BDH("XOM US Equity","BS_DEFERRED_TAX_ASSETS_LT","FQ2 2013","FQ2 2013","Currency=USD","Period=FQ","BEST_FPERIOD_OVERRIDE=FQ","FILING_STATUS=OR","SCALING_FORMAT=MLN","Sort=A","Dates=H","DateFormat=P","Fill=—","Direction=H","UseDPDF=Y")</f>
        <v>—</v>
      </c>
      <c r="W33" s="13" t="str">
        <f>_xll.BDH("XOM US Equity","BS_DEFERRED_TAX_ASSETS_LT","FQ3 2013","FQ3 2013","Currency=USD","Period=FQ","BEST_FPERIOD_OVERRIDE=FQ","FILING_STATUS=OR","SCALING_FORMAT=MLN","Sort=A","Dates=H","DateFormat=P","Fill=—","Direction=H","UseDPDF=Y")</f>
        <v>—</v>
      </c>
      <c r="X33" s="13" t="str">
        <f>_xll.BDH("XOM US Equity","BS_DEFERRED_TAX_ASSETS_LT","FQ4 2013","FQ4 2013","Currency=USD","Period=FQ","BEST_FPERIOD_OVERRIDE=FQ","FILING_STATUS=OR","SCALING_FORMAT=MLN","Sort=A","Dates=H","DateFormat=P","Fill=—","Direction=H","UseDPDF=Y")</f>
        <v>—</v>
      </c>
      <c r="Y33" s="13" t="str">
        <f>_xll.BDH("XOM US Equity","BS_DEFERRED_TAX_ASSETS_LT","FQ1 2014","FQ1 2014","Currency=USD","Period=FQ","BEST_FPERIOD_OVERRIDE=FQ","FILING_STATUS=OR","SCALING_FORMAT=MLN","Sort=A","Dates=H","DateFormat=P","Fill=—","Direction=H","UseDPDF=Y")</f>
        <v>—</v>
      </c>
      <c r="Z33" s="13" t="str">
        <f>_xll.BDH("XOM US Equity","BS_DEFERRED_TAX_ASSETS_LT","FQ2 2014","FQ2 2014","Currency=USD","Period=FQ","BEST_FPERIOD_OVERRIDE=FQ","FILING_STATUS=OR","SCALING_FORMAT=MLN","Sort=A","Dates=H","DateFormat=P","Fill=—","Direction=H","UseDPDF=Y")</f>
        <v>—</v>
      </c>
      <c r="AA33" s="13" t="str">
        <f>_xll.BDH("XOM US Equity","BS_DEFERRED_TAX_ASSETS_LT","FQ3 2014","FQ3 2014","Currency=USD","Period=FQ","BEST_FPERIOD_OVERRIDE=FQ","FILING_STATUS=OR","SCALING_FORMAT=MLN","Sort=A","Dates=H","DateFormat=P","Fill=—","Direction=H","UseDPDF=Y")</f>
        <v>—</v>
      </c>
      <c r="AB33" s="13" t="str">
        <f>_xll.BDH("XOM US Equity","BS_DEFERRED_TAX_ASSETS_LT","FQ4 2014","FQ4 2014","Currency=USD","Period=FQ","BEST_FPERIOD_OVERRIDE=FQ","FILING_STATUS=OR","SCALING_FORMAT=MLN","Sort=A","Dates=H","DateFormat=P","Fill=—","Direction=H","UseDPDF=Y")</f>
        <v>—</v>
      </c>
      <c r="AC33" s="13" t="str">
        <f>_xll.BDH("XOM US Equity","BS_DEFERRED_TAX_ASSETS_LT","FQ1 2015","FQ1 2015","Currency=USD","Period=FQ","BEST_FPERIOD_OVERRIDE=FQ","FILING_STATUS=OR","SCALING_FORMAT=MLN","Sort=A","Dates=H","DateFormat=P","Fill=—","Direction=H","UseDPDF=Y")</f>
        <v>—</v>
      </c>
      <c r="AD33" s="13" t="str">
        <f>_xll.BDH("XOM US Equity","BS_DEFERRED_TAX_ASSETS_LT","FQ2 2015","FQ2 2015","Currency=USD","Period=FQ","BEST_FPERIOD_OVERRIDE=FQ","FILING_STATUS=OR","SCALING_FORMAT=MLN","Sort=A","Dates=H","DateFormat=P","Fill=—","Direction=H","UseDPDF=Y")</f>
        <v>—</v>
      </c>
      <c r="AE33" s="13" t="str">
        <f>_xll.BDH("XOM US Equity","BS_DEFERRED_TAX_ASSETS_LT","FQ3 2015","FQ3 2015","Currency=USD","Period=FQ","BEST_FPERIOD_OVERRIDE=FQ","FILING_STATUS=OR","SCALING_FORMAT=MLN","Sort=A","Dates=H","DateFormat=P","Fill=—","Direction=H","UseDPDF=Y")</f>
        <v>—</v>
      </c>
      <c r="AF33" s="13" t="str">
        <f>_xll.BDH("XOM US Equity","BS_DEFERRED_TAX_ASSETS_LT","FQ4 2015","FQ4 2015","Currency=USD","Period=FQ","BEST_FPERIOD_OVERRIDE=FQ","FILING_STATUS=OR","SCALING_FORMAT=MLN","Sort=A","Dates=H","DateFormat=P","Fill=—","Direction=H","UseDPDF=Y")</f>
        <v>—</v>
      </c>
      <c r="AG33" s="13" t="str">
        <f>_xll.BDH("XOM US Equity","BS_DEFERRED_TAX_ASSETS_LT","FQ1 2016","FQ1 2016","Currency=USD","Period=FQ","BEST_FPERIOD_OVERRIDE=FQ","FILING_STATUS=OR","SCALING_FORMAT=MLN","Sort=A","Dates=H","DateFormat=P","Fill=—","Direction=H","UseDPDF=Y")</f>
        <v>—</v>
      </c>
      <c r="AH33" s="13" t="str">
        <f>_xll.BDH("XOM US Equity","BS_DEFERRED_TAX_ASSETS_LT","FQ2 2016","FQ2 2016","Currency=USD","Period=FQ","BEST_FPERIOD_OVERRIDE=FQ","FILING_STATUS=OR","SCALING_FORMAT=MLN","Sort=A","Dates=H","DateFormat=P","Fill=—","Direction=H","UseDPDF=Y")</f>
        <v>—</v>
      </c>
      <c r="AI33" s="13">
        <f>_xll.BDH("XOM US Equity","BS_DEFERRED_TAX_ASSETS_LT","FQ3 2016","FQ3 2016","Currency=USD","Period=FQ","BEST_FPERIOD_OVERRIDE=FQ","FILING_STATUS=OR","SCALING_FORMAT=MLN","Sort=A","Dates=H","DateFormat=P","Fill=—","Direction=H","UseDPDF=Y")</f>
        <v>4334</v>
      </c>
      <c r="AJ33" s="13" t="str">
        <f>_xll.BDH("XOM US Equity","BS_DEFERRED_TAX_ASSETS_LT","FQ4 2016","FQ4 2016","Currency=USD","Period=FQ","BEST_FPERIOD_OVERRIDE=FQ","FILING_STATUS=OR","SCALING_FORMAT=MLN","Sort=A","Dates=H","DateFormat=P","Fill=—","Direction=H","UseDPDF=Y")</f>
        <v>—</v>
      </c>
      <c r="AK33" s="13" t="str">
        <f>_xll.BDH("XOM US Equity","BS_DEFERRED_TAX_ASSETS_LT","FQ1 2017","FQ1 2017","Currency=USD","Period=FQ","BEST_FPERIOD_OVERRIDE=FQ","FILING_STATUS=OR","SCALING_FORMAT=MLN","Sort=A","Dates=H","DateFormat=P","Fill=—","Direction=H","UseDPDF=Y")</f>
        <v>—</v>
      </c>
      <c r="AL33" s="13" t="str">
        <f>_xll.BDH("XOM US Equity","BS_DEFERRED_TAX_ASSETS_LT","FQ2 2017","FQ2 2017","Currency=USD","Period=FQ","BEST_FPERIOD_OVERRIDE=FQ","FILING_STATUS=OR","SCALING_FORMAT=MLN","Sort=A","Dates=H","DateFormat=P","Fill=—","Direction=H","UseDPDF=Y")</f>
        <v>—</v>
      </c>
      <c r="AM33" s="13" t="str">
        <f>_xll.BDH("XOM US Equity","BS_DEFERRED_TAX_ASSETS_LT","FQ3 2017","FQ3 2017","Currency=USD","Period=FQ","BEST_FPERIOD_OVERRIDE=FQ","FILING_STATUS=OR","SCALING_FORMAT=MLN","Sort=A","Dates=H","DateFormat=P","Fill=—","Direction=H","UseDPDF=Y")</f>
        <v>—</v>
      </c>
      <c r="AN33" s="13" t="str">
        <f>_xll.BDH("XOM US Equity","BS_DEFERRED_TAX_ASSETS_LT","FQ4 2017","FQ4 2017","Currency=USD","Period=FQ","BEST_FPERIOD_OVERRIDE=FQ","FILING_STATUS=OR","SCALING_FORMAT=MLN","Sort=A","Dates=H","DateFormat=P","Fill=—","Direction=H","UseDPDF=Y")</f>
        <v>—</v>
      </c>
      <c r="AO33" s="13" t="str">
        <f>_xll.BDH("XOM US Equity","BS_DEFERRED_TAX_ASSETS_LT","FQ1 2018","FQ1 2018","Currency=USD","Period=FQ","BEST_FPERIOD_OVERRIDE=FQ","FILING_STATUS=OR","SCALING_FORMAT=MLN","Sort=A","Dates=H","DateFormat=P","Fill=—","Direction=H","UseDPDF=Y")</f>
        <v>—</v>
      </c>
      <c r="AP33" s="13" t="str">
        <f>_xll.BDH("XOM US Equity","BS_DEFERRED_TAX_ASSETS_LT","FQ2 2018","FQ2 2018","Currency=USD","Period=FQ","BEST_FPERIOD_OVERRIDE=FQ","FILING_STATUS=OR","SCALING_FORMAT=MLN","Sort=A","Dates=H","DateFormat=P","Fill=—","Direction=H","UseDPDF=Y")</f>
        <v>—</v>
      </c>
    </row>
    <row r="34" spans="1:42" x14ac:dyDescent="0.25">
      <c r="A34" s="10" t="s">
        <v>230</v>
      </c>
      <c r="B34" s="10" t="s">
        <v>259</v>
      </c>
      <c r="C34" s="13" t="str">
        <f>_xll.BDH("XOM US Equity","BS_DERIV_&amp;_HEDGING_ASSETS_LT","FQ3 2008","FQ3 2008","Currency=USD","Period=FQ","BEST_FPERIOD_OVERRIDE=FQ","FILING_STATUS=OR","SCALING_FORMAT=MLN","Sort=A","Dates=H","DateFormat=P","Fill=—","Direction=H","UseDPDF=Y")</f>
        <v>—</v>
      </c>
      <c r="D34" s="13" t="str">
        <f>_xll.BDH("XOM US Equity","BS_DERIV_&amp;_HEDGING_ASSETS_LT","FQ4 2008","FQ4 2008","Currency=USD","Period=FQ","BEST_FPERIOD_OVERRIDE=FQ","FILING_STATUS=OR","SCALING_FORMAT=MLN","Sort=A","Dates=H","DateFormat=P","Fill=—","Direction=H","UseDPDF=Y")</f>
        <v>—</v>
      </c>
      <c r="E34" s="13" t="str">
        <f>_xll.BDH("XOM US Equity","BS_DERIV_&amp;_HEDGING_ASSETS_LT","FQ1 2009","FQ1 2009","Currency=USD","Period=FQ","BEST_FPERIOD_OVERRIDE=FQ","FILING_STATUS=OR","SCALING_FORMAT=MLN","Sort=A","Dates=H","DateFormat=P","Fill=—","Direction=H","UseDPDF=Y")</f>
        <v>—</v>
      </c>
      <c r="F34" s="13" t="str">
        <f>_xll.BDH("XOM US Equity","BS_DERIV_&amp;_HEDGING_ASSETS_LT","FQ2 2009","FQ2 2009","Currency=USD","Period=FQ","BEST_FPERIOD_OVERRIDE=FQ","FILING_STATUS=OR","SCALING_FORMAT=MLN","Sort=A","Dates=H","DateFormat=P","Fill=—","Direction=H","UseDPDF=Y")</f>
        <v>—</v>
      </c>
      <c r="G34" s="13" t="str">
        <f>_xll.BDH("XOM US Equity","BS_DERIV_&amp;_HEDGING_ASSETS_LT","FQ3 2009","FQ3 2009","Currency=USD","Period=FQ","BEST_FPERIOD_OVERRIDE=FQ","FILING_STATUS=OR","SCALING_FORMAT=MLN","Sort=A","Dates=H","DateFormat=P","Fill=—","Direction=H","UseDPDF=Y")</f>
        <v>—</v>
      </c>
      <c r="H34" s="13" t="str">
        <f>_xll.BDH("XOM US Equity","BS_DERIV_&amp;_HEDGING_ASSETS_LT","FQ4 2009","FQ4 2009","Currency=USD","Period=FQ","BEST_FPERIOD_OVERRIDE=FQ","FILING_STATUS=OR","SCALING_FORMAT=MLN","Sort=A","Dates=H","DateFormat=P","Fill=—","Direction=H","UseDPDF=Y")</f>
        <v>—</v>
      </c>
      <c r="I34" s="13" t="str">
        <f>_xll.BDH("XOM US Equity","BS_DERIV_&amp;_HEDGING_ASSETS_LT","FQ1 2010","FQ1 2010","Currency=USD","Period=FQ","BEST_FPERIOD_OVERRIDE=FQ","FILING_STATUS=OR","SCALING_FORMAT=MLN","Sort=A","Dates=H","DateFormat=P","Fill=—","Direction=H","UseDPDF=Y")</f>
        <v>—</v>
      </c>
      <c r="J34" s="13">
        <f>_xll.BDH("XOM US Equity","BS_DERIV_&amp;_HEDGING_ASSETS_LT","FQ2 2010","FQ2 2010","Currency=USD","Period=FQ","BEST_FPERIOD_OVERRIDE=FQ","FILING_STATUS=OR","SCALING_FORMAT=MLN","Sort=A","Dates=H","DateFormat=P","Fill=—","Direction=H","UseDPDF=Y")</f>
        <v>78</v>
      </c>
      <c r="K34" s="13">
        <f>_xll.BDH("XOM US Equity","BS_DERIV_&amp;_HEDGING_ASSETS_LT","FQ3 2010","FQ3 2010","Currency=USD","Period=FQ","BEST_FPERIOD_OVERRIDE=FQ","FILING_STATUS=OR","SCALING_FORMAT=MLN","Sort=A","Dates=H","DateFormat=P","Fill=—","Direction=H","UseDPDF=Y")</f>
        <v>53</v>
      </c>
      <c r="L34" s="13" t="str">
        <f>_xll.BDH("XOM US Equity","BS_DERIV_&amp;_HEDGING_ASSETS_LT","FQ4 2010","FQ4 2010","Currency=USD","Period=FQ","BEST_FPERIOD_OVERRIDE=FQ","FILING_STATUS=OR","SCALING_FORMAT=MLN","Sort=A","Dates=H","DateFormat=P","Fill=—","Direction=H","UseDPDF=Y")</f>
        <v>—</v>
      </c>
      <c r="M34" s="13" t="str">
        <f>_xll.BDH("XOM US Equity","BS_DERIV_&amp;_HEDGING_ASSETS_LT","FQ1 2011","FQ1 2011","Currency=USD","Period=FQ","BEST_FPERIOD_OVERRIDE=FQ","FILING_STATUS=OR","SCALING_FORMAT=MLN","Sort=A","Dates=H","DateFormat=P","Fill=—","Direction=H","UseDPDF=Y")</f>
        <v>—</v>
      </c>
      <c r="N34" s="13" t="str">
        <f>_xll.BDH("XOM US Equity","BS_DERIV_&amp;_HEDGING_ASSETS_LT","FQ2 2011","FQ2 2011","Currency=USD","Period=FQ","BEST_FPERIOD_OVERRIDE=FQ","FILING_STATUS=OR","SCALING_FORMAT=MLN","Sort=A","Dates=H","DateFormat=P","Fill=—","Direction=H","UseDPDF=Y")</f>
        <v>—</v>
      </c>
      <c r="O34" s="13" t="str">
        <f>_xll.BDH("XOM US Equity","BS_DERIV_&amp;_HEDGING_ASSETS_LT","FQ3 2011","FQ3 2011","Currency=USD","Period=FQ","BEST_FPERIOD_OVERRIDE=FQ","FILING_STATUS=OR","SCALING_FORMAT=MLN","Sort=A","Dates=H","DateFormat=P","Fill=—","Direction=H","UseDPDF=Y")</f>
        <v>—</v>
      </c>
      <c r="P34" s="13" t="str">
        <f>_xll.BDH("XOM US Equity","BS_DERIV_&amp;_HEDGING_ASSETS_LT","FQ4 2011","FQ4 2011","Currency=USD","Period=FQ","BEST_FPERIOD_OVERRIDE=FQ","FILING_STATUS=OR","SCALING_FORMAT=MLN","Sort=A","Dates=H","DateFormat=P","Fill=—","Direction=H","UseDPDF=Y")</f>
        <v>—</v>
      </c>
      <c r="Q34" s="13" t="str">
        <f>_xll.BDH("XOM US Equity","BS_DERIV_&amp;_HEDGING_ASSETS_LT","FQ1 2012","FQ1 2012","Currency=USD","Period=FQ","BEST_FPERIOD_OVERRIDE=FQ","FILING_STATUS=OR","SCALING_FORMAT=MLN","Sort=A","Dates=H","DateFormat=P","Fill=—","Direction=H","UseDPDF=Y")</f>
        <v>—</v>
      </c>
      <c r="R34" s="13" t="str">
        <f>_xll.BDH("XOM US Equity","BS_DERIV_&amp;_HEDGING_ASSETS_LT","FQ2 2012","FQ2 2012","Currency=USD","Period=FQ","BEST_FPERIOD_OVERRIDE=FQ","FILING_STATUS=OR","SCALING_FORMAT=MLN","Sort=A","Dates=H","DateFormat=P","Fill=—","Direction=H","UseDPDF=Y")</f>
        <v>—</v>
      </c>
      <c r="S34" s="13" t="str">
        <f>_xll.BDH("XOM US Equity","BS_DERIV_&amp;_HEDGING_ASSETS_LT","FQ3 2012","FQ3 2012","Currency=USD","Period=FQ","BEST_FPERIOD_OVERRIDE=FQ","FILING_STATUS=OR","SCALING_FORMAT=MLN","Sort=A","Dates=H","DateFormat=P","Fill=—","Direction=H","UseDPDF=Y")</f>
        <v>—</v>
      </c>
      <c r="T34" s="13" t="str">
        <f>_xll.BDH("XOM US Equity","BS_DERIV_&amp;_HEDGING_ASSETS_LT","FQ4 2012","FQ4 2012","Currency=USD","Period=FQ","BEST_FPERIOD_OVERRIDE=FQ","FILING_STATUS=OR","SCALING_FORMAT=MLN","Sort=A","Dates=H","DateFormat=P","Fill=—","Direction=H","UseDPDF=Y")</f>
        <v>—</v>
      </c>
      <c r="U34" s="13" t="str">
        <f>_xll.BDH("XOM US Equity","BS_DERIV_&amp;_HEDGING_ASSETS_LT","FQ1 2013","FQ1 2013","Currency=USD","Period=FQ","BEST_FPERIOD_OVERRIDE=FQ","FILING_STATUS=OR","SCALING_FORMAT=MLN","Sort=A","Dates=H","DateFormat=P","Fill=—","Direction=H","UseDPDF=Y")</f>
        <v>—</v>
      </c>
      <c r="V34" s="13" t="str">
        <f>_xll.BDH("XOM US Equity","BS_DERIV_&amp;_HEDGING_ASSETS_LT","FQ2 2013","FQ2 2013","Currency=USD","Period=FQ","BEST_FPERIOD_OVERRIDE=FQ","FILING_STATUS=OR","SCALING_FORMAT=MLN","Sort=A","Dates=H","DateFormat=P","Fill=—","Direction=H","UseDPDF=Y")</f>
        <v>—</v>
      </c>
      <c r="W34" s="13" t="str">
        <f>_xll.BDH("XOM US Equity","BS_DERIV_&amp;_HEDGING_ASSETS_LT","FQ3 2013","FQ3 2013","Currency=USD","Period=FQ","BEST_FPERIOD_OVERRIDE=FQ","FILING_STATUS=OR","SCALING_FORMAT=MLN","Sort=A","Dates=H","DateFormat=P","Fill=—","Direction=H","UseDPDF=Y")</f>
        <v>—</v>
      </c>
      <c r="X34" s="13" t="str">
        <f>_xll.BDH("XOM US Equity","BS_DERIV_&amp;_HEDGING_ASSETS_LT","FQ4 2013","FQ4 2013","Currency=USD","Period=FQ","BEST_FPERIOD_OVERRIDE=FQ","FILING_STATUS=OR","SCALING_FORMAT=MLN","Sort=A","Dates=H","DateFormat=P","Fill=—","Direction=H","UseDPDF=Y")</f>
        <v>—</v>
      </c>
      <c r="Y34" s="13" t="str">
        <f>_xll.BDH("XOM US Equity","BS_DERIV_&amp;_HEDGING_ASSETS_LT","FQ1 2014","FQ1 2014","Currency=USD","Period=FQ","BEST_FPERIOD_OVERRIDE=FQ","FILING_STATUS=OR","SCALING_FORMAT=MLN","Sort=A","Dates=H","DateFormat=P","Fill=—","Direction=H","UseDPDF=Y")</f>
        <v>—</v>
      </c>
      <c r="Z34" s="13" t="str">
        <f>_xll.BDH("XOM US Equity","BS_DERIV_&amp;_HEDGING_ASSETS_LT","FQ2 2014","FQ2 2014","Currency=USD","Period=FQ","BEST_FPERIOD_OVERRIDE=FQ","FILING_STATUS=OR","SCALING_FORMAT=MLN","Sort=A","Dates=H","DateFormat=P","Fill=—","Direction=H","UseDPDF=Y")</f>
        <v>—</v>
      </c>
      <c r="AA34" s="13" t="str">
        <f>_xll.BDH("XOM US Equity","BS_DERIV_&amp;_HEDGING_ASSETS_LT","FQ3 2014","FQ3 2014","Currency=USD","Period=FQ","BEST_FPERIOD_OVERRIDE=FQ","FILING_STATUS=OR","SCALING_FORMAT=MLN","Sort=A","Dates=H","DateFormat=P","Fill=—","Direction=H","UseDPDF=Y")</f>
        <v>—</v>
      </c>
      <c r="AB34" s="13" t="str">
        <f>_xll.BDH("XOM US Equity","BS_DERIV_&amp;_HEDGING_ASSETS_LT","FQ4 2014","FQ4 2014","Currency=USD","Period=FQ","BEST_FPERIOD_OVERRIDE=FQ","FILING_STATUS=OR","SCALING_FORMAT=MLN","Sort=A","Dates=H","DateFormat=P","Fill=—","Direction=H","UseDPDF=Y")</f>
        <v>—</v>
      </c>
      <c r="AC34" s="13" t="str">
        <f>_xll.BDH("XOM US Equity","BS_DERIV_&amp;_HEDGING_ASSETS_LT","FQ1 2015","FQ1 2015","Currency=USD","Period=FQ","BEST_FPERIOD_OVERRIDE=FQ","FILING_STATUS=OR","SCALING_FORMAT=MLN","Sort=A","Dates=H","DateFormat=P","Fill=—","Direction=H","UseDPDF=Y")</f>
        <v>—</v>
      </c>
      <c r="AD34" s="13" t="str">
        <f>_xll.BDH("XOM US Equity","BS_DERIV_&amp;_HEDGING_ASSETS_LT","FQ2 2015","FQ2 2015","Currency=USD","Period=FQ","BEST_FPERIOD_OVERRIDE=FQ","FILING_STATUS=OR","SCALING_FORMAT=MLN","Sort=A","Dates=H","DateFormat=P","Fill=—","Direction=H","UseDPDF=Y")</f>
        <v>—</v>
      </c>
      <c r="AE34" s="13" t="str">
        <f>_xll.BDH("XOM US Equity","BS_DERIV_&amp;_HEDGING_ASSETS_LT","FQ3 2015","FQ3 2015","Currency=USD","Period=FQ","BEST_FPERIOD_OVERRIDE=FQ","FILING_STATUS=OR","SCALING_FORMAT=MLN","Sort=A","Dates=H","DateFormat=P","Fill=—","Direction=H","UseDPDF=Y")</f>
        <v>—</v>
      </c>
      <c r="AF34" s="13" t="str">
        <f>_xll.BDH("XOM US Equity","BS_DERIV_&amp;_HEDGING_ASSETS_LT","FQ4 2015","FQ4 2015","Currency=USD","Period=FQ","BEST_FPERIOD_OVERRIDE=FQ","FILING_STATUS=OR","SCALING_FORMAT=MLN","Sort=A","Dates=H","DateFormat=P","Fill=—","Direction=H","UseDPDF=Y")</f>
        <v>—</v>
      </c>
      <c r="AG34" s="13" t="str">
        <f>_xll.BDH("XOM US Equity","BS_DERIV_&amp;_HEDGING_ASSETS_LT","FQ1 2016","FQ1 2016","Currency=USD","Period=FQ","BEST_FPERIOD_OVERRIDE=FQ","FILING_STATUS=OR","SCALING_FORMAT=MLN","Sort=A","Dates=H","DateFormat=P","Fill=—","Direction=H","UseDPDF=Y")</f>
        <v>—</v>
      </c>
      <c r="AH34" s="13" t="str">
        <f>_xll.BDH("XOM US Equity","BS_DERIV_&amp;_HEDGING_ASSETS_LT","FQ2 2016","FQ2 2016","Currency=USD","Period=FQ","BEST_FPERIOD_OVERRIDE=FQ","FILING_STATUS=OR","SCALING_FORMAT=MLN","Sort=A","Dates=H","DateFormat=P","Fill=—","Direction=H","UseDPDF=Y")</f>
        <v>—</v>
      </c>
      <c r="AI34" s="13" t="str">
        <f>_xll.BDH("XOM US Equity","BS_DERIV_&amp;_HEDGING_ASSETS_LT","FQ3 2016","FQ3 2016","Currency=USD","Period=FQ","BEST_FPERIOD_OVERRIDE=FQ","FILING_STATUS=OR","SCALING_FORMAT=MLN","Sort=A","Dates=H","DateFormat=P","Fill=—","Direction=H","UseDPDF=Y")</f>
        <v>—</v>
      </c>
      <c r="AJ34" s="13" t="str">
        <f>_xll.BDH("XOM US Equity","BS_DERIV_&amp;_HEDGING_ASSETS_LT","FQ4 2016","FQ4 2016","Currency=USD","Period=FQ","BEST_FPERIOD_OVERRIDE=FQ","FILING_STATUS=OR","SCALING_FORMAT=MLN","Sort=A","Dates=H","DateFormat=P","Fill=—","Direction=H","UseDPDF=Y")</f>
        <v>—</v>
      </c>
      <c r="AK34" s="13" t="str">
        <f>_xll.BDH("XOM US Equity","BS_DERIV_&amp;_HEDGING_ASSETS_LT","FQ1 2017","FQ1 2017","Currency=USD","Period=FQ","BEST_FPERIOD_OVERRIDE=FQ","FILING_STATUS=OR","SCALING_FORMAT=MLN","Sort=A","Dates=H","DateFormat=P","Fill=—","Direction=H","UseDPDF=Y")</f>
        <v>—</v>
      </c>
      <c r="AL34" s="13" t="str">
        <f>_xll.BDH("XOM US Equity","BS_DERIV_&amp;_HEDGING_ASSETS_LT","FQ2 2017","FQ2 2017","Currency=USD","Period=FQ","BEST_FPERIOD_OVERRIDE=FQ","FILING_STATUS=OR","SCALING_FORMAT=MLN","Sort=A","Dates=H","DateFormat=P","Fill=—","Direction=H","UseDPDF=Y")</f>
        <v>—</v>
      </c>
      <c r="AM34" s="13" t="str">
        <f>_xll.BDH("XOM US Equity","BS_DERIV_&amp;_HEDGING_ASSETS_LT","FQ3 2017","FQ3 2017","Currency=USD","Period=FQ","BEST_FPERIOD_OVERRIDE=FQ","FILING_STATUS=OR","SCALING_FORMAT=MLN","Sort=A","Dates=H","DateFormat=P","Fill=—","Direction=H","UseDPDF=Y")</f>
        <v>—</v>
      </c>
      <c r="AN34" s="13" t="str">
        <f>_xll.BDH("XOM US Equity","BS_DERIV_&amp;_HEDGING_ASSETS_LT","FQ4 2017","FQ4 2017","Currency=USD","Period=FQ","BEST_FPERIOD_OVERRIDE=FQ","FILING_STATUS=OR","SCALING_FORMAT=MLN","Sort=A","Dates=H","DateFormat=P","Fill=—","Direction=H","UseDPDF=Y")</f>
        <v>—</v>
      </c>
      <c r="AO34" s="13" t="str">
        <f>_xll.BDH("XOM US Equity","BS_DERIV_&amp;_HEDGING_ASSETS_LT","FQ1 2018","FQ1 2018","Currency=USD","Period=FQ","BEST_FPERIOD_OVERRIDE=FQ","FILING_STATUS=OR","SCALING_FORMAT=MLN","Sort=A","Dates=H","DateFormat=P","Fill=—","Direction=H","UseDPDF=Y")</f>
        <v>—</v>
      </c>
      <c r="AP34" s="13" t="str">
        <f>_xll.BDH("XOM US Equity","BS_DERIV_&amp;_HEDGING_ASSETS_LT","FQ2 2018","FQ2 2018","Currency=USD","Period=FQ","BEST_FPERIOD_OVERRIDE=FQ","FILING_STATUS=OR","SCALING_FORMAT=MLN","Sort=A","Dates=H","DateFormat=P","Fill=—","Direction=H","UseDPDF=Y")</f>
        <v>—</v>
      </c>
    </row>
    <row r="35" spans="1:42" x14ac:dyDescent="0.25">
      <c r="A35" s="10" t="s">
        <v>260</v>
      </c>
      <c r="B35" s="10" t="s">
        <v>261</v>
      </c>
      <c r="C35" s="13" t="str">
        <f>_xll.BDH("XOM US Equity","BS_PREPAID_PENSION_COSTS_LT","FQ3 2008","FQ3 2008","Currency=USD","Period=FQ","BEST_FPERIOD_OVERRIDE=FQ","FILING_STATUS=OR","SCALING_FORMAT=MLN","Sort=A","Dates=H","DateFormat=P","Fill=—","Direction=H","UseDPDF=Y")</f>
        <v>—</v>
      </c>
      <c r="D35" s="13" t="str">
        <f>_xll.BDH("XOM US Equity","BS_PREPAID_PENSION_COSTS_LT","FQ4 2008","FQ4 2008","Currency=USD","Period=FQ","BEST_FPERIOD_OVERRIDE=FQ","FILING_STATUS=OR","SCALING_FORMAT=MLN","Sort=A","Dates=H","DateFormat=P","Fill=—","Direction=H","UseDPDF=Y")</f>
        <v>—</v>
      </c>
      <c r="E35" s="13" t="str">
        <f>_xll.BDH("XOM US Equity","BS_PREPAID_PENSION_COSTS_LT","FQ1 2009","FQ1 2009","Currency=USD","Period=FQ","BEST_FPERIOD_OVERRIDE=FQ","FILING_STATUS=OR","SCALING_FORMAT=MLN","Sort=A","Dates=H","DateFormat=P","Fill=—","Direction=H","UseDPDF=Y")</f>
        <v>—</v>
      </c>
      <c r="F35" s="13" t="str">
        <f>_xll.BDH("XOM US Equity","BS_PREPAID_PENSION_COSTS_LT","FQ2 2009","FQ2 2009","Currency=USD","Period=FQ","BEST_FPERIOD_OVERRIDE=FQ","FILING_STATUS=OR","SCALING_FORMAT=MLN","Sort=A","Dates=H","DateFormat=P","Fill=—","Direction=H","UseDPDF=Y")</f>
        <v>—</v>
      </c>
      <c r="G35" s="13" t="str">
        <f>_xll.BDH("XOM US Equity","BS_PREPAID_PENSION_COSTS_LT","FQ3 2009","FQ3 2009","Currency=USD","Period=FQ","BEST_FPERIOD_OVERRIDE=FQ","FILING_STATUS=OR","SCALING_FORMAT=MLN","Sort=A","Dates=H","DateFormat=P","Fill=—","Direction=H","UseDPDF=Y")</f>
        <v>—</v>
      </c>
      <c r="H35" s="13" t="str">
        <f>_xll.BDH("XOM US Equity","BS_PREPAID_PENSION_COSTS_LT","FQ4 2009","FQ4 2009","Currency=USD","Period=FQ","BEST_FPERIOD_OVERRIDE=FQ","FILING_STATUS=OR","SCALING_FORMAT=MLN","Sort=A","Dates=H","DateFormat=P","Fill=—","Direction=H","UseDPDF=Y")</f>
        <v>—</v>
      </c>
      <c r="I35" s="13" t="str">
        <f>_xll.BDH("XOM US Equity","BS_PREPAID_PENSION_COSTS_LT","FQ1 2010","FQ1 2010","Currency=USD","Period=FQ","BEST_FPERIOD_OVERRIDE=FQ","FILING_STATUS=OR","SCALING_FORMAT=MLN","Sort=A","Dates=H","DateFormat=P","Fill=—","Direction=H","UseDPDF=Y")</f>
        <v>—</v>
      </c>
      <c r="J35" s="13" t="str">
        <f>_xll.BDH("XOM US Equity","BS_PREPAID_PENSION_COSTS_LT","FQ2 2010","FQ2 2010","Currency=USD","Period=FQ","BEST_FPERIOD_OVERRIDE=FQ","FILING_STATUS=OR","SCALING_FORMAT=MLN","Sort=A","Dates=H","DateFormat=P","Fill=—","Direction=H","UseDPDF=Y")</f>
        <v>—</v>
      </c>
      <c r="K35" s="13" t="str">
        <f>_xll.BDH("XOM US Equity","BS_PREPAID_PENSION_COSTS_LT","FQ3 2010","FQ3 2010","Currency=USD","Period=FQ","BEST_FPERIOD_OVERRIDE=FQ","FILING_STATUS=OR","SCALING_FORMAT=MLN","Sort=A","Dates=H","DateFormat=P","Fill=—","Direction=H","UseDPDF=Y")</f>
        <v>—</v>
      </c>
      <c r="L35" s="13" t="str">
        <f>_xll.BDH("XOM US Equity","BS_PREPAID_PENSION_COSTS_LT","FQ4 2010","FQ4 2010","Currency=USD","Period=FQ","BEST_FPERIOD_OVERRIDE=FQ","FILING_STATUS=OR","SCALING_FORMAT=MLN","Sort=A","Dates=H","DateFormat=P","Fill=—","Direction=H","UseDPDF=Y")</f>
        <v>—</v>
      </c>
      <c r="M35" s="13" t="str">
        <f>_xll.BDH("XOM US Equity","BS_PREPAID_PENSION_COSTS_LT","FQ1 2011","FQ1 2011","Currency=USD","Period=FQ","BEST_FPERIOD_OVERRIDE=FQ","FILING_STATUS=OR","SCALING_FORMAT=MLN","Sort=A","Dates=H","DateFormat=P","Fill=—","Direction=H","UseDPDF=Y")</f>
        <v>—</v>
      </c>
      <c r="N35" s="13" t="str">
        <f>_xll.BDH("XOM US Equity","BS_PREPAID_PENSION_COSTS_LT","FQ2 2011","FQ2 2011","Currency=USD","Period=FQ","BEST_FPERIOD_OVERRIDE=FQ","FILING_STATUS=OR","SCALING_FORMAT=MLN","Sort=A","Dates=H","DateFormat=P","Fill=—","Direction=H","UseDPDF=Y")</f>
        <v>—</v>
      </c>
      <c r="O35" s="13" t="str">
        <f>_xll.BDH("XOM US Equity","BS_PREPAID_PENSION_COSTS_LT","FQ3 2011","FQ3 2011","Currency=USD","Period=FQ","BEST_FPERIOD_OVERRIDE=FQ","FILING_STATUS=OR","SCALING_FORMAT=MLN","Sort=A","Dates=H","DateFormat=P","Fill=—","Direction=H","UseDPDF=Y")</f>
        <v>—</v>
      </c>
      <c r="P35" s="13" t="str">
        <f>_xll.BDH("XOM US Equity","BS_PREPAID_PENSION_COSTS_LT","FQ4 2011","FQ4 2011","Currency=USD","Period=FQ","BEST_FPERIOD_OVERRIDE=FQ","FILING_STATUS=OR","SCALING_FORMAT=MLN","Sort=A","Dates=H","DateFormat=P","Fill=—","Direction=H","UseDPDF=Y")</f>
        <v>—</v>
      </c>
      <c r="Q35" s="13" t="str">
        <f>_xll.BDH("XOM US Equity","BS_PREPAID_PENSION_COSTS_LT","FQ1 2012","FQ1 2012","Currency=USD","Period=FQ","BEST_FPERIOD_OVERRIDE=FQ","FILING_STATUS=OR","SCALING_FORMAT=MLN","Sort=A","Dates=H","DateFormat=P","Fill=—","Direction=H","UseDPDF=Y")</f>
        <v>—</v>
      </c>
      <c r="R35" s="13" t="str">
        <f>_xll.BDH("XOM US Equity","BS_PREPAID_PENSION_COSTS_LT","FQ2 2012","FQ2 2012","Currency=USD","Period=FQ","BEST_FPERIOD_OVERRIDE=FQ","FILING_STATUS=OR","SCALING_FORMAT=MLN","Sort=A","Dates=H","DateFormat=P","Fill=—","Direction=H","UseDPDF=Y")</f>
        <v>—</v>
      </c>
      <c r="S35" s="13" t="str">
        <f>_xll.BDH("XOM US Equity","BS_PREPAID_PENSION_COSTS_LT","FQ3 2012","FQ3 2012","Currency=USD","Period=FQ","BEST_FPERIOD_OVERRIDE=FQ","FILING_STATUS=OR","SCALING_FORMAT=MLN","Sort=A","Dates=H","DateFormat=P","Fill=—","Direction=H","UseDPDF=Y")</f>
        <v>—</v>
      </c>
      <c r="T35" s="13">
        <f>_xll.BDH("XOM US Equity","BS_PREPAID_PENSION_COSTS_LT","FQ4 2012","FQ4 2012","Currency=USD","Period=FQ","BEST_FPERIOD_OVERRIDE=FQ","FILING_STATUS=OR","SCALING_FORMAT=MLN","Sort=A","Dates=H","DateFormat=P","Fill=—","Direction=H","UseDPDF=Y")</f>
        <v>50</v>
      </c>
      <c r="U35" s="13" t="str">
        <f>_xll.BDH("XOM US Equity","BS_PREPAID_PENSION_COSTS_LT","FQ1 2013","FQ1 2013","Currency=USD","Period=FQ","BEST_FPERIOD_OVERRIDE=FQ","FILING_STATUS=OR","SCALING_FORMAT=MLN","Sort=A","Dates=H","DateFormat=P","Fill=—","Direction=H","UseDPDF=Y")</f>
        <v>—</v>
      </c>
      <c r="V35" s="13" t="str">
        <f>_xll.BDH("XOM US Equity","BS_PREPAID_PENSION_COSTS_LT","FQ2 2013","FQ2 2013","Currency=USD","Period=FQ","BEST_FPERIOD_OVERRIDE=FQ","FILING_STATUS=OR","SCALING_FORMAT=MLN","Sort=A","Dates=H","DateFormat=P","Fill=—","Direction=H","UseDPDF=Y")</f>
        <v>—</v>
      </c>
      <c r="W35" s="13" t="str">
        <f>_xll.BDH("XOM US Equity","BS_PREPAID_PENSION_COSTS_LT","FQ3 2013","FQ3 2013","Currency=USD","Period=FQ","BEST_FPERIOD_OVERRIDE=FQ","FILING_STATUS=OR","SCALING_FORMAT=MLN","Sort=A","Dates=H","DateFormat=P","Fill=—","Direction=H","UseDPDF=Y")</f>
        <v>—</v>
      </c>
      <c r="X35" s="13">
        <f>_xll.BDH("XOM US Equity","BS_PREPAID_PENSION_COSTS_LT","FQ4 2013","FQ4 2013","Currency=USD","Period=FQ","BEST_FPERIOD_OVERRIDE=FQ","FILING_STATUS=OR","SCALING_FORMAT=MLN","Sort=A","Dates=H","DateFormat=P","Fill=—","Direction=H","UseDPDF=Y")</f>
        <v>202</v>
      </c>
      <c r="Y35" s="13" t="str">
        <f>_xll.BDH("XOM US Equity","BS_PREPAID_PENSION_COSTS_LT","FQ1 2014","FQ1 2014","Currency=USD","Period=FQ","BEST_FPERIOD_OVERRIDE=FQ","FILING_STATUS=OR","SCALING_FORMAT=MLN","Sort=A","Dates=H","DateFormat=P","Fill=—","Direction=H","UseDPDF=Y")</f>
        <v>—</v>
      </c>
      <c r="Z35" s="13" t="str">
        <f>_xll.BDH("XOM US Equity","BS_PREPAID_PENSION_COSTS_LT","FQ2 2014","FQ2 2014","Currency=USD","Period=FQ","BEST_FPERIOD_OVERRIDE=FQ","FILING_STATUS=OR","SCALING_FORMAT=MLN","Sort=A","Dates=H","DateFormat=P","Fill=—","Direction=H","UseDPDF=Y")</f>
        <v>—</v>
      </c>
      <c r="AA35" s="13" t="str">
        <f>_xll.BDH("XOM US Equity","BS_PREPAID_PENSION_COSTS_LT","FQ3 2014","FQ3 2014","Currency=USD","Period=FQ","BEST_FPERIOD_OVERRIDE=FQ","FILING_STATUS=OR","SCALING_FORMAT=MLN","Sort=A","Dates=H","DateFormat=P","Fill=—","Direction=H","UseDPDF=Y")</f>
        <v>—</v>
      </c>
      <c r="AB35" s="13">
        <f>_xll.BDH("XOM US Equity","BS_PREPAID_PENSION_COSTS_LT","FQ4 2014","FQ4 2014","Currency=USD","Period=FQ","BEST_FPERIOD_OVERRIDE=FQ","FILING_STATUS=OR","SCALING_FORMAT=MLN","Sort=A","Dates=H","DateFormat=P","Fill=—","Direction=H","UseDPDF=Y")</f>
        <v>302</v>
      </c>
      <c r="AC35" s="13" t="str">
        <f>_xll.BDH("XOM US Equity","BS_PREPAID_PENSION_COSTS_LT","FQ1 2015","FQ1 2015","Currency=USD","Period=FQ","BEST_FPERIOD_OVERRIDE=FQ","FILING_STATUS=OR","SCALING_FORMAT=MLN","Sort=A","Dates=H","DateFormat=P","Fill=—","Direction=H","UseDPDF=Y")</f>
        <v>—</v>
      </c>
      <c r="AD35" s="13" t="str">
        <f>_xll.BDH("XOM US Equity","BS_PREPAID_PENSION_COSTS_LT","FQ2 2015","FQ2 2015","Currency=USD","Period=FQ","BEST_FPERIOD_OVERRIDE=FQ","FILING_STATUS=OR","SCALING_FORMAT=MLN","Sort=A","Dates=H","DateFormat=P","Fill=—","Direction=H","UseDPDF=Y")</f>
        <v>—</v>
      </c>
      <c r="AE35" s="13" t="str">
        <f>_xll.BDH("XOM US Equity","BS_PREPAID_PENSION_COSTS_LT","FQ3 2015","FQ3 2015","Currency=USD","Period=FQ","BEST_FPERIOD_OVERRIDE=FQ","FILING_STATUS=OR","SCALING_FORMAT=MLN","Sort=A","Dates=H","DateFormat=P","Fill=—","Direction=H","UseDPDF=Y")</f>
        <v>—</v>
      </c>
      <c r="AF35" s="13">
        <f>_xll.BDH("XOM US Equity","BS_PREPAID_PENSION_COSTS_LT","FQ4 2015","FQ4 2015","Currency=USD","Period=FQ","BEST_FPERIOD_OVERRIDE=FQ","FILING_STATUS=OR","SCALING_FORMAT=MLN","Sort=A","Dates=H","DateFormat=P","Fill=—","Direction=H","UseDPDF=Y")</f>
        <v>454</v>
      </c>
      <c r="AG35" s="13" t="str">
        <f>_xll.BDH("XOM US Equity","BS_PREPAID_PENSION_COSTS_LT","FQ1 2016","FQ1 2016","Currency=USD","Period=FQ","BEST_FPERIOD_OVERRIDE=FQ","FILING_STATUS=OR","SCALING_FORMAT=MLN","Sort=A","Dates=H","DateFormat=P","Fill=—","Direction=H","UseDPDF=Y")</f>
        <v>—</v>
      </c>
      <c r="AH35" s="13" t="str">
        <f>_xll.BDH("XOM US Equity","BS_PREPAID_PENSION_COSTS_LT","FQ2 2016","FQ2 2016","Currency=USD","Period=FQ","BEST_FPERIOD_OVERRIDE=FQ","FILING_STATUS=OR","SCALING_FORMAT=MLN","Sort=A","Dates=H","DateFormat=P","Fill=—","Direction=H","UseDPDF=Y")</f>
        <v>—</v>
      </c>
      <c r="AI35" s="13" t="str">
        <f>_xll.BDH("XOM US Equity","BS_PREPAID_PENSION_COSTS_LT","FQ3 2016","FQ3 2016","Currency=USD","Period=FQ","BEST_FPERIOD_OVERRIDE=FQ","FILING_STATUS=OR","SCALING_FORMAT=MLN","Sort=A","Dates=H","DateFormat=P","Fill=—","Direction=H","UseDPDF=Y")</f>
        <v>—</v>
      </c>
      <c r="AJ35" s="13">
        <f>_xll.BDH("XOM US Equity","BS_PREPAID_PENSION_COSTS_LT","FQ4 2016","FQ4 2016","Currency=USD","Period=FQ","BEST_FPERIOD_OVERRIDE=FQ","FILING_STATUS=OR","SCALING_FORMAT=MLN","Sort=A","Dates=H","DateFormat=P","Fill=—","Direction=H","UseDPDF=Y")</f>
        <v>1035</v>
      </c>
      <c r="AK35" s="13" t="str">
        <f>_xll.BDH("XOM US Equity","BS_PREPAID_PENSION_COSTS_LT","FQ1 2017","FQ1 2017","Currency=USD","Period=FQ","BEST_FPERIOD_OVERRIDE=FQ","FILING_STATUS=OR","SCALING_FORMAT=MLN","Sort=A","Dates=H","DateFormat=P","Fill=—","Direction=H","UseDPDF=Y")</f>
        <v>—</v>
      </c>
      <c r="AL35" s="13" t="str">
        <f>_xll.BDH("XOM US Equity","BS_PREPAID_PENSION_COSTS_LT","FQ2 2017","FQ2 2017","Currency=USD","Period=FQ","BEST_FPERIOD_OVERRIDE=FQ","FILING_STATUS=OR","SCALING_FORMAT=MLN","Sort=A","Dates=H","DateFormat=P","Fill=—","Direction=H","UseDPDF=Y")</f>
        <v>—</v>
      </c>
      <c r="AM35" s="13" t="str">
        <f>_xll.BDH("XOM US Equity","BS_PREPAID_PENSION_COSTS_LT","FQ3 2017","FQ3 2017","Currency=USD","Period=FQ","BEST_FPERIOD_OVERRIDE=FQ","FILING_STATUS=OR","SCALING_FORMAT=MLN","Sort=A","Dates=H","DateFormat=P","Fill=—","Direction=H","UseDPDF=Y")</f>
        <v>—</v>
      </c>
      <c r="AN35" s="13">
        <f>_xll.BDH("XOM US Equity","BS_PREPAID_PENSION_COSTS_LT","FQ4 2017","FQ4 2017","Currency=USD","Period=FQ","BEST_FPERIOD_OVERRIDE=FQ","FILING_STATUS=OR","SCALING_FORMAT=MLN","Sort=A","Dates=H","DateFormat=P","Fill=—","Direction=H","UseDPDF=Y")</f>
        <v>1403</v>
      </c>
      <c r="AO35" s="13" t="str">
        <f>_xll.BDH("XOM US Equity","BS_PREPAID_PENSION_COSTS_LT","FQ1 2018","FQ1 2018","Currency=USD","Period=FQ","BEST_FPERIOD_OVERRIDE=FQ","FILING_STATUS=OR","SCALING_FORMAT=MLN","Sort=A","Dates=H","DateFormat=P","Fill=—","Direction=H","UseDPDF=Y")</f>
        <v>—</v>
      </c>
      <c r="AP35" s="13" t="str">
        <f>_xll.BDH("XOM US Equity","BS_PREPAID_PENSION_COSTS_LT","FQ2 2018","FQ2 2018","Currency=USD","Period=FQ","BEST_FPERIOD_OVERRIDE=FQ","FILING_STATUS=OR","SCALING_FORMAT=MLN","Sort=A","Dates=H","DateFormat=P","Fill=—","Direction=H","UseDPDF=Y")</f>
        <v>—</v>
      </c>
    </row>
    <row r="36" spans="1:42" x14ac:dyDescent="0.25">
      <c r="A36" s="10" t="s">
        <v>262</v>
      </c>
      <c r="B36" s="10" t="s">
        <v>263</v>
      </c>
      <c r="C36" s="13" t="str">
        <f>_xll.BDH("XOM US Equity","BS_INVEST_IN_ASSOC_CO","FQ3 2008","FQ3 2008","Currency=USD","Period=FQ","BEST_FPERIOD_OVERRIDE=FQ","FILING_STATUS=OR","SCALING_FORMAT=MLN","Sort=A","Dates=H","DateFormat=P","Fill=—","Direction=H","UseDPDF=Y")</f>
        <v>—</v>
      </c>
      <c r="D36" s="13" t="str">
        <f>_xll.BDH("XOM US Equity","BS_INVEST_IN_ASSOC_CO","FQ4 2008","FQ4 2008","Currency=USD","Period=FQ","BEST_FPERIOD_OVERRIDE=FQ","FILING_STATUS=OR","SCALING_FORMAT=MLN","Sort=A","Dates=H","DateFormat=P","Fill=—","Direction=H","UseDPDF=Y")</f>
        <v>—</v>
      </c>
      <c r="E36" s="13">
        <f>_xll.BDH("XOM US Equity","BS_INVEST_IN_ASSOC_CO","FQ1 2009","FQ1 2009","Currency=USD","Period=FQ","BEST_FPERIOD_OVERRIDE=FQ","FILING_STATUS=OR","SCALING_FORMAT=MLN","Sort=A","Dates=H","DateFormat=P","Fill=—","Direction=H","UseDPDF=Y")</f>
        <v>29105</v>
      </c>
      <c r="F36" s="13">
        <f>_xll.BDH("XOM US Equity","BS_INVEST_IN_ASSOC_CO","FQ2 2009","FQ2 2009","Currency=USD","Period=FQ","BEST_FPERIOD_OVERRIDE=FQ","FILING_STATUS=OR","SCALING_FORMAT=MLN","Sort=A","Dates=H","DateFormat=P","Fill=—","Direction=H","UseDPDF=Y")</f>
        <v>30358</v>
      </c>
      <c r="G36" s="13">
        <f>_xll.BDH("XOM US Equity","BS_INVEST_IN_ASSOC_CO","FQ3 2009","FQ3 2009","Currency=USD","Period=FQ","BEST_FPERIOD_OVERRIDE=FQ","FILING_STATUS=OR","SCALING_FORMAT=MLN","Sort=A","Dates=H","DateFormat=P","Fill=—","Direction=H","UseDPDF=Y")</f>
        <v>32064</v>
      </c>
      <c r="H36" s="13">
        <f>_xll.BDH("XOM US Equity","BS_INVEST_IN_ASSOC_CO","FQ4 2009","FQ4 2009","Currency=USD","Period=FQ","BEST_FPERIOD_OVERRIDE=FQ","FILING_STATUS=OR","SCALING_FORMAT=MLN","Sort=A","Dates=H","DateFormat=P","Fill=—","Direction=H","UseDPDF=Y")</f>
        <v>24411</v>
      </c>
      <c r="I36" s="13">
        <f>_xll.BDH("XOM US Equity","BS_INVEST_IN_ASSOC_CO","FQ1 2010","FQ1 2010","Currency=USD","Period=FQ","BEST_FPERIOD_OVERRIDE=FQ","FILING_STATUS=OR","SCALING_FORMAT=MLN","Sort=A","Dates=H","DateFormat=P","Fill=—","Direction=H","UseDPDF=Y")</f>
        <v>32541</v>
      </c>
      <c r="J36" s="13">
        <f>_xll.BDH("XOM US Equity","BS_INVEST_IN_ASSOC_CO","FQ2 2010","FQ2 2010","Currency=USD","Period=FQ","BEST_FPERIOD_OVERRIDE=FQ","FILING_STATUS=OR","SCALING_FORMAT=MLN","Sort=A","Dates=H","DateFormat=P","Fill=—","Direction=H","UseDPDF=Y")</f>
        <v>32642</v>
      </c>
      <c r="K36" s="13">
        <f>_xll.BDH("XOM US Equity","BS_INVEST_IN_ASSOC_CO","FQ3 2010","FQ3 2010","Currency=USD","Period=FQ","BEST_FPERIOD_OVERRIDE=FQ","FILING_STATUS=OR","SCALING_FORMAT=MLN","Sort=A","Dates=H","DateFormat=P","Fill=—","Direction=H","UseDPDF=Y")</f>
        <v>33173</v>
      </c>
      <c r="L36" s="13">
        <f>_xll.BDH("XOM US Equity","BS_INVEST_IN_ASSOC_CO","FQ4 2010","FQ4 2010","Currency=USD","Period=FQ","BEST_FPERIOD_OVERRIDE=FQ","FILING_STATUS=OR","SCALING_FORMAT=MLN","Sort=A","Dates=H","DateFormat=P","Fill=—","Direction=H","UseDPDF=Y")</f>
        <v>26715</v>
      </c>
      <c r="M36" s="13">
        <f>_xll.BDH("XOM US Equity","BS_INVEST_IN_ASSOC_CO","FQ1 2011","FQ1 2011","Currency=USD","Period=FQ","BEST_FPERIOD_OVERRIDE=FQ","FILING_STATUS=OR","SCALING_FORMAT=MLN","Sort=A","Dates=H","DateFormat=P","Fill=—","Direction=H","UseDPDF=Y")</f>
        <v>35207</v>
      </c>
      <c r="N36" s="13">
        <f>_xll.BDH("XOM US Equity","BS_INVEST_IN_ASSOC_CO","FQ2 2011","FQ2 2011","Currency=USD","Period=FQ","BEST_FPERIOD_OVERRIDE=FQ","FILING_STATUS=OR","SCALING_FORMAT=MLN","Sort=A","Dates=H","DateFormat=P","Fill=—","Direction=H","UseDPDF=Y")</f>
        <v>35241</v>
      </c>
      <c r="O36" s="13">
        <f>_xll.BDH("XOM US Equity","BS_INVEST_IN_ASSOC_CO","FQ3 2011","FQ3 2011","Currency=USD","Period=FQ","BEST_FPERIOD_OVERRIDE=FQ","FILING_STATUS=OR","SCALING_FORMAT=MLN","Sort=A","Dates=H","DateFormat=P","Fill=—","Direction=H","UseDPDF=Y")</f>
        <v>35342</v>
      </c>
      <c r="P36" s="13">
        <f>_xll.BDH("XOM US Equity","BS_INVEST_IN_ASSOC_CO","FQ4 2011","FQ4 2011","Currency=USD","Period=FQ","BEST_FPERIOD_OVERRIDE=FQ","FILING_STATUS=OR","SCALING_FORMAT=MLN","Sort=A","Dates=H","DateFormat=P","Fill=—","Direction=H","UseDPDF=Y")</f>
        <v>26708</v>
      </c>
      <c r="Q36" s="13">
        <f>_xll.BDH("XOM US Equity","BS_INVEST_IN_ASSOC_CO","FQ1 2012","FQ1 2012","Currency=USD","Period=FQ","BEST_FPERIOD_OVERRIDE=FQ","FILING_STATUS=OR","SCALING_FORMAT=MLN","Sort=A","Dates=H","DateFormat=P","Fill=—","Direction=H","UseDPDF=Y")</f>
        <v>34527</v>
      </c>
      <c r="R36" s="13">
        <f>_xll.BDH("XOM US Equity","BS_INVEST_IN_ASSOC_CO","FQ2 2012","FQ2 2012","Currency=USD","Period=FQ","BEST_FPERIOD_OVERRIDE=FQ","FILING_STATUS=OR","SCALING_FORMAT=MLN","Sort=A","Dates=H","DateFormat=P","Fill=—","Direction=H","UseDPDF=Y")</f>
        <v>33921</v>
      </c>
      <c r="S36" s="13">
        <f>_xll.BDH("XOM US Equity","BS_INVEST_IN_ASSOC_CO","FQ3 2012","FQ3 2012","Currency=USD","Period=FQ","BEST_FPERIOD_OVERRIDE=FQ","FILING_STATUS=OR","SCALING_FORMAT=MLN","Sort=A","Dates=H","DateFormat=P","Fill=—","Direction=H","UseDPDF=Y")</f>
        <v>35105</v>
      </c>
      <c r="T36" s="13">
        <f>_xll.BDH("XOM US Equity","BS_INVEST_IN_ASSOC_CO","FQ4 2012","FQ4 2012","Currency=USD","Period=FQ","BEST_FPERIOD_OVERRIDE=FQ","FILING_STATUS=OR","SCALING_FORMAT=MLN","Sort=A","Dates=H","DateFormat=P","Fill=—","Direction=H","UseDPDF=Y")</f>
        <v>28489</v>
      </c>
      <c r="U36" s="13">
        <f>_xll.BDH("XOM US Equity","BS_INVEST_IN_ASSOC_CO","FQ1 2013","FQ1 2013","Currency=USD","Period=FQ","BEST_FPERIOD_OVERRIDE=FQ","FILING_STATUS=OR","SCALING_FORMAT=MLN","Sort=A","Dates=H","DateFormat=P","Fill=—","Direction=H","UseDPDF=Y")</f>
        <v>35641</v>
      </c>
      <c r="V36" s="13">
        <f>_xll.BDH("XOM US Equity","BS_INVEST_IN_ASSOC_CO","FQ2 2013","FQ2 2013","Currency=USD","Period=FQ","BEST_FPERIOD_OVERRIDE=FQ","FILING_STATUS=OR","SCALING_FORMAT=MLN","Sort=A","Dates=H","DateFormat=P","Fill=—","Direction=H","UseDPDF=Y")</f>
        <v>35643</v>
      </c>
      <c r="W36" s="13">
        <f>_xll.BDH("XOM US Equity","BS_INVEST_IN_ASSOC_CO","FQ3 2013","FQ3 2013","Currency=USD","Period=FQ","BEST_FPERIOD_OVERRIDE=FQ","FILING_STATUS=OR","SCALING_FORMAT=MLN","Sort=A","Dates=H","DateFormat=P","Fill=—","Direction=H","UseDPDF=Y")</f>
        <v>37048</v>
      </c>
      <c r="X36" s="13">
        <f>_xll.BDH("XOM US Equity","BS_INVEST_IN_ASSOC_CO","FQ4 2013","FQ4 2013","Currency=USD","Period=FQ","BEST_FPERIOD_OVERRIDE=FQ","FILING_STATUS=OR","SCALING_FORMAT=MLN","Sort=A","Dates=H","DateFormat=P","Fill=—","Direction=H","UseDPDF=Y")</f>
        <v>30095</v>
      </c>
      <c r="Y36" s="13">
        <f>_xll.BDH("XOM US Equity","BS_INVEST_IN_ASSOC_CO","FQ1 2014","FQ1 2014","Currency=USD","Period=FQ","BEST_FPERIOD_OVERRIDE=FQ","FILING_STATUS=OR","SCALING_FORMAT=MLN","Sort=A","Dates=H","DateFormat=P","Fill=—","Direction=H","UseDPDF=Y")</f>
        <v>37169</v>
      </c>
      <c r="Z36" s="13">
        <f>_xll.BDH("XOM US Equity","BS_INVEST_IN_ASSOC_CO","FQ2 2014","FQ2 2014","Currency=USD","Period=FQ","BEST_FPERIOD_OVERRIDE=FQ","FILING_STATUS=OR","SCALING_FORMAT=MLN","Sort=A","Dates=H","DateFormat=P","Fill=—","Direction=H","UseDPDF=Y")</f>
        <v>35110</v>
      </c>
      <c r="AA36" s="13">
        <f>_xll.BDH("XOM US Equity","BS_INVEST_IN_ASSOC_CO","FQ3 2014","FQ3 2014","Currency=USD","Period=FQ","BEST_FPERIOD_OVERRIDE=FQ","FILING_STATUS=OR","SCALING_FORMAT=MLN","Sort=A","Dates=H","DateFormat=P","Fill=—","Direction=H","UseDPDF=Y")</f>
        <v>35012</v>
      </c>
      <c r="AB36" s="13">
        <f>_xll.BDH("XOM US Equity","BS_INVEST_IN_ASSOC_CO","FQ4 2014","FQ4 2014","Currency=USD","Period=FQ","BEST_FPERIOD_OVERRIDE=FQ","FILING_STATUS=OR","SCALING_FORMAT=MLN","Sort=A","Dates=H","DateFormat=P","Fill=—","Direction=H","UseDPDF=Y")</f>
        <v>29835</v>
      </c>
      <c r="AC36" s="13">
        <f>_xll.BDH("XOM US Equity","BS_INVEST_IN_ASSOC_CO","FQ1 2015","FQ1 2015","Currency=USD","Period=FQ","BEST_FPERIOD_OVERRIDE=FQ","FILING_STATUS=OR","SCALING_FORMAT=MLN","Sort=A","Dates=H","DateFormat=P","Fill=—","Direction=H","UseDPDF=Y")</f>
        <v>34471</v>
      </c>
      <c r="AD36" s="13">
        <f>_xll.BDH("XOM US Equity","BS_INVEST_IN_ASSOC_CO","FQ2 2015","FQ2 2015","Currency=USD","Period=FQ","BEST_FPERIOD_OVERRIDE=FQ","FILING_STATUS=OR","SCALING_FORMAT=MLN","Sort=A","Dates=H","DateFormat=P","Fill=—","Direction=H","UseDPDF=Y")</f>
        <v>34162</v>
      </c>
      <c r="AE36" s="13" t="str">
        <f>_xll.BDH("XOM US Equity","BS_INVEST_IN_ASSOC_CO","FQ3 2015","FQ3 2015","Currency=USD","Period=FQ","BEST_FPERIOD_OVERRIDE=FQ","FILING_STATUS=OR","SCALING_FORMAT=MLN","Sort=A","Dates=H","DateFormat=P","Fill=—","Direction=H","UseDPDF=Y")</f>
        <v>—</v>
      </c>
      <c r="AF36" s="13">
        <f>_xll.BDH("XOM US Equity","BS_INVEST_IN_ASSOC_CO","FQ4 2015","FQ4 2015","Currency=USD","Period=FQ","BEST_FPERIOD_OVERRIDE=FQ","FILING_STATUS=OR","SCALING_FORMAT=MLN","Sort=A","Dates=H","DateFormat=P","Fill=—","Direction=H","UseDPDF=Y")</f>
        <v>29447</v>
      </c>
      <c r="AG36" s="13">
        <f>_xll.BDH("XOM US Equity","BS_INVEST_IN_ASSOC_CO","FQ1 2016","FQ1 2016","Currency=USD","Period=FQ","BEST_FPERIOD_OVERRIDE=FQ","FILING_STATUS=OR","SCALING_FORMAT=MLN","Sort=A","Dates=H","DateFormat=P","Fill=—","Direction=H","UseDPDF=Y")</f>
        <v>34915</v>
      </c>
      <c r="AH36" s="13">
        <f>_xll.BDH("XOM US Equity","BS_INVEST_IN_ASSOC_CO","FQ2 2016","FQ2 2016","Currency=USD","Period=FQ","BEST_FPERIOD_OVERRIDE=FQ","FILING_STATUS=OR","SCALING_FORMAT=MLN","Sort=A","Dates=H","DateFormat=P","Fill=—","Direction=H","UseDPDF=Y")</f>
        <v>34182</v>
      </c>
      <c r="AI36" s="13" t="str">
        <f>_xll.BDH("XOM US Equity","BS_INVEST_IN_ASSOC_CO","FQ3 2016","FQ3 2016","Currency=USD","Period=FQ","BEST_FPERIOD_OVERRIDE=FQ","FILING_STATUS=OR","SCALING_FORMAT=MLN","Sort=A","Dates=H","DateFormat=P","Fill=—","Direction=H","UseDPDF=Y")</f>
        <v>—</v>
      </c>
      <c r="AJ36" s="13">
        <f>_xll.BDH("XOM US Equity","BS_INVEST_IN_ASSOC_CO","FQ4 2016","FQ4 2016","Currency=USD","Period=FQ","BEST_FPERIOD_OVERRIDE=FQ","FILING_STATUS=OR","SCALING_FORMAT=MLN","Sort=A","Dates=H","DateFormat=P","Fill=—","Direction=H","UseDPDF=Y")</f>
        <v>30253</v>
      </c>
      <c r="AK36" s="13">
        <f>_xll.BDH("XOM US Equity","BS_INVEST_IN_ASSOC_CO","FQ1 2017","FQ1 2017","Currency=USD","Period=FQ","BEST_FPERIOD_OVERRIDE=FQ","FILING_STATUS=OR","SCALING_FORMAT=MLN","Sort=A","Dates=H","DateFormat=P","Fill=—","Direction=H","UseDPDF=Y")</f>
        <v>38268</v>
      </c>
      <c r="AL36" s="13">
        <f>_xll.BDH("XOM US Equity","BS_INVEST_IN_ASSOC_CO","FQ2 2017","FQ2 2017","Currency=USD","Period=FQ","BEST_FPERIOD_OVERRIDE=FQ","FILING_STATUS=OR","SCALING_FORMAT=MLN","Sort=A","Dates=H","DateFormat=P","Fill=—","Direction=H","UseDPDF=Y")</f>
        <v>37719</v>
      </c>
      <c r="AM36" s="13">
        <f>_xll.BDH("XOM US Equity","BS_INVEST_IN_ASSOC_CO","FQ3 2017","FQ3 2017","Currency=USD","Period=FQ","BEST_FPERIOD_OVERRIDE=FQ","FILING_STATUS=OR","SCALING_FORMAT=MLN","Sort=A","Dates=H","DateFormat=P","Fill=—","Direction=H","UseDPDF=Y")</f>
        <v>37649</v>
      </c>
      <c r="AN36" s="13">
        <f>_xll.BDH("XOM US Equity","BS_INVEST_IN_ASSOC_CO","FQ4 2017","FQ4 2017","Currency=USD","Period=FQ","BEST_FPERIOD_OVERRIDE=FQ","FILING_STATUS=OR","SCALING_FORMAT=MLN","Sort=A","Dates=H","DateFormat=P","Fill=—","Direction=H","UseDPDF=Y")</f>
        <v>33466</v>
      </c>
      <c r="AO36" s="13" t="str">
        <f>_xll.BDH("XOM US Equity","BS_INVEST_IN_ASSOC_CO","FQ1 2018","FQ1 2018","Currency=USD","Period=FQ","BEST_FPERIOD_OVERRIDE=FQ","FILING_STATUS=OR","SCALING_FORMAT=MLN","Sort=A","Dates=H","DateFormat=P","Fill=—","Direction=H","UseDPDF=Y")</f>
        <v>—</v>
      </c>
      <c r="AP36" s="13" t="str">
        <f>_xll.BDH("XOM US Equity","BS_INVEST_IN_ASSOC_CO","FQ2 2018","FQ2 2018","Currency=USD","Period=FQ","BEST_FPERIOD_OVERRIDE=FQ","FILING_STATUS=OR","SCALING_FORMAT=MLN","Sort=A","Dates=H","DateFormat=P","Fill=—","Direction=H","UseDPDF=Y")</f>
        <v>—</v>
      </c>
    </row>
    <row r="37" spans="1:42" x14ac:dyDescent="0.25">
      <c r="A37" s="10" t="s">
        <v>264</v>
      </c>
      <c r="B37" s="10" t="s">
        <v>265</v>
      </c>
      <c r="C37" s="13">
        <f>_xll.BDH("XOM US Equity","OTHER_NONCURRENT_ASSETS_DETAILED","FQ3 2008","FQ3 2008","Currency=USD","Period=FQ","BEST_FPERIOD_OVERRIDE=FQ","FILING_STATUS=OR","SCALING_FORMAT=MLN","Sort=A","Dates=H","DateFormat=P","Fill=—","Direction=H","UseDPDF=Y")</f>
        <v>0</v>
      </c>
      <c r="D37" s="13">
        <f>_xll.BDH("XOM US Equity","OTHER_NONCURRENT_ASSETS_DETAILED","FQ4 2008","FQ4 2008","Currency=USD","Period=FQ","BEST_FPERIOD_OVERRIDE=FQ","FILING_STATUS=OR","SCALING_FORMAT=MLN","Sort=A","Dates=H","DateFormat=P","Fill=—","Direction=H","UseDPDF=Y")</f>
        <v>5884</v>
      </c>
      <c r="E37" s="13">
        <f>_xll.BDH("XOM US Equity","OTHER_NONCURRENT_ASSETS_DETAILED","FQ1 2009","FQ1 2009","Currency=USD","Period=FQ","BEST_FPERIOD_OVERRIDE=FQ","FILING_STATUS=OR","SCALING_FORMAT=MLN","Sort=A","Dates=H","DateFormat=P","Fill=—","Direction=H","UseDPDF=Y")</f>
        <v>6344</v>
      </c>
      <c r="F37" s="13">
        <f>_xll.BDH("XOM US Equity","OTHER_NONCURRENT_ASSETS_DETAILED","FQ2 2009","FQ2 2009","Currency=USD","Period=FQ","BEST_FPERIOD_OVERRIDE=FQ","FILING_STATUS=OR","SCALING_FORMAT=MLN","Sort=A","Dates=H","DateFormat=P","Fill=—","Direction=H","UseDPDF=Y")</f>
        <v>6946</v>
      </c>
      <c r="G37" s="13">
        <f>_xll.BDH("XOM US Equity","OTHER_NONCURRENT_ASSETS_DETAILED","FQ3 2009","FQ3 2009","Currency=USD","Period=FQ","BEST_FPERIOD_OVERRIDE=FQ","FILING_STATUS=OR","SCALING_FORMAT=MLN","Sort=A","Dates=H","DateFormat=P","Fill=—","Direction=H","UseDPDF=Y")</f>
        <v>7045</v>
      </c>
      <c r="H37" s="13">
        <f>_xll.BDH("XOM US Equity","OTHER_NONCURRENT_ASSETS_DETAILED","FQ4 2009","FQ4 2009","Currency=USD","Period=FQ","BEST_FPERIOD_OVERRIDE=FQ","FILING_STATUS=OR","SCALING_FORMAT=MLN","Sort=A","Dates=H","DateFormat=P","Fill=—","Direction=H","UseDPDF=Y")</f>
        <v>7307</v>
      </c>
      <c r="I37" s="13">
        <f>_xll.BDH("XOM US Equity","OTHER_NONCURRENT_ASSETS_DETAILED","FQ1 2010","FQ1 2010","Currency=USD","Period=FQ","BEST_FPERIOD_OVERRIDE=FQ","FILING_STATUS=OR","SCALING_FORMAT=MLN","Sort=A","Dates=H","DateFormat=P","Fill=—","Direction=H","UseDPDF=Y")</f>
        <v>7692</v>
      </c>
      <c r="J37" s="13">
        <f>_xll.BDH("XOM US Equity","OTHER_NONCURRENT_ASSETS_DETAILED","FQ2 2010","FQ2 2010","Currency=USD","Period=FQ","BEST_FPERIOD_OVERRIDE=FQ","FILING_STATUS=OR","SCALING_FORMAT=MLN","Sort=A","Dates=H","DateFormat=P","Fill=—","Direction=H","UseDPDF=Y")</f>
        <v>8063</v>
      </c>
      <c r="K37" s="13">
        <f>_xll.BDH("XOM US Equity","OTHER_NONCURRENT_ASSETS_DETAILED","FQ3 2010","FQ3 2010","Currency=USD","Period=FQ","BEST_FPERIOD_OVERRIDE=FQ","FILING_STATUS=OR","SCALING_FORMAT=MLN","Sort=A","Dates=H","DateFormat=P","Fill=—","Direction=H","UseDPDF=Y")</f>
        <v>8695</v>
      </c>
      <c r="L37" s="13">
        <f>_xll.BDH("XOM US Equity","OTHER_NONCURRENT_ASSETS_DETAILED","FQ4 2010","FQ4 2010","Currency=USD","Period=FQ","BEST_FPERIOD_OVERRIDE=FQ","FILING_STATUS=OR","SCALING_FORMAT=MLN","Sort=A","Dates=H","DateFormat=P","Fill=—","Direction=H","UseDPDF=Y")</f>
        <v>8640</v>
      </c>
      <c r="M37" s="13">
        <f>_xll.BDH("XOM US Equity","OTHER_NONCURRENT_ASSETS_DETAILED","FQ1 2011","FQ1 2011","Currency=USD","Period=FQ","BEST_FPERIOD_OVERRIDE=FQ","FILING_STATUS=OR","SCALING_FORMAT=MLN","Sort=A","Dates=H","DateFormat=P","Fill=—","Direction=H","UseDPDF=Y")</f>
        <v>8578</v>
      </c>
      <c r="N37" s="13">
        <f>_xll.BDH("XOM US Equity","OTHER_NONCURRENT_ASSETS_DETAILED","FQ2 2011","FQ2 2011","Currency=USD","Period=FQ","BEST_FPERIOD_OVERRIDE=FQ","FILING_STATUS=OR","SCALING_FORMAT=MLN","Sort=A","Dates=H","DateFormat=P","Fill=—","Direction=H","UseDPDF=Y")</f>
        <v>8851</v>
      </c>
      <c r="O37" s="13">
        <f>_xll.BDH("XOM US Equity","OTHER_NONCURRENT_ASSETS_DETAILED","FQ3 2011","FQ3 2011","Currency=USD","Period=FQ","BEST_FPERIOD_OVERRIDE=FQ","FILING_STATUS=OR","SCALING_FORMAT=MLN","Sort=A","Dates=H","DateFormat=P","Fill=—","Direction=H","UseDPDF=Y")</f>
        <v>9315</v>
      </c>
      <c r="P37" s="13">
        <f>_xll.BDH("XOM US Equity","OTHER_NONCURRENT_ASSETS_DETAILED","FQ4 2011","FQ4 2011","Currency=USD","Period=FQ","BEST_FPERIOD_OVERRIDE=FQ","FILING_STATUS=OR","SCALING_FORMAT=MLN","Sort=A","Dates=H","DateFormat=P","Fill=—","Direction=H","UseDPDF=Y")</f>
        <v>9092</v>
      </c>
      <c r="Q37" s="13">
        <f>_xll.BDH("XOM US Equity","OTHER_NONCURRENT_ASSETS_DETAILED","FQ1 2012","FQ1 2012","Currency=USD","Period=FQ","BEST_FPERIOD_OVERRIDE=FQ","FILING_STATUS=OR","SCALING_FORMAT=MLN","Sort=A","Dates=H","DateFormat=P","Fill=—","Direction=H","UseDPDF=Y")</f>
        <v>19863</v>
      </c>
      <c r="R37" s="13">
        <f>_xll.BDH("XOM US Equity","OTHER_NONCURRENT_ASSETS_DETAILED","FQ2 2012","FQ2 2012","Currency=USD","Period=FQ","BEST_FPERIOD_OVERRIDE=FQ","FILING_STATUS=OR","SCALING_FORMAT=MLN","Sort=A","Dates=H","DateFormat=P","Fill=—","Direction=H","UseDPDF=Y")</f>
        <v>7987</v>
      </c>
      <c r="S37" s="13">
        <f>_xll.BDH("XOM US Equity","OTHER_NONCURRENT_ASSETS_DETAILED","FQ3 2012","FQ3 2012","Currency=USD","Period=FQ","BEST_FPERIOD_OVERRIDE=FQ","FILING_STATUS=OR","SCALING_FORMAT=MLN","Sort=A","Dates=H","DateFormat=P","Fill=—","Direction=H","UseDPDF=Y")</f>
        <v>7618</v>
      </c>
      <c r="T37" s="13">
        <f>_xll.BDH("XOM US Equity","OTHER_NONCURRENT_ASSETS_DETAILED","FQ4 2012","FQ4 2012","Currency=USD","Period=FQ","BEST_FPERIOD_OVERRIDE=FQ","FILING_STATUS=OR","SCALING_FORMAT=MLN","Sort=A","Dates=H","DateFormat=P","Fill=—","Direction=H","UseDPDF=Y")</f>
        <v>7618</v>
      </c>
      <c r="U37" s="13">
        <f>_xll.BDH("XOM US Equity","OTHER_NONCURRENT_ASSETS_DETAILED","FQ1 2013","FQ1 2013","Currency=USD","Period=FQ","BEST_FPERIOD_OVERRIDE=FQ","FILING_STATUS=OR","SCALING_FORMAT=MLN","Sort=A","Dates=H","DateFormat=P","Fill=—","Direction=H","UseDPDF=Y")</f>
        <v>7676</v>
      </c>
      <c r="V37" s="13">
        <f>_xll.BDH("XOM US Equity","OTHER_NONCURRENT_ASSETS_DETAILED","FQ2 2013","FQ2 2013","Currency=USD","Period=FQ","BEST_FPERIOD_OVERRIDE=FQ","FILING_STATUS=OR","SCALING_FORMAT=MLN","Sort=A","Dates=H","DateFormat=P","Fill=—","Direction=H","UseDPDF=Y")</f>
        <v>7888</v>
      </c>
      <c r="W37" s="13">
        <f>_xll.BDH("XOM US Equity","OTHER_NONCURRENT_ASSETS_DETAILED","FQ3 2013","FQ3 2013","Currency=USD","Period=FQ","BEST_FPERIOD_OVERRIDE=FQ","FILING_STATUS=OR","SCALING_FORMAT=MLN","Sort=A","Dates=H","DateFormat=P","Fill=—","Direction=H","UseDPDF=Y")</f>
        <v>8232</v>
      </c>
      <c r="X37" s="13">
        <f>_xll.BDH("XOM US Equity","OTHER_NONCURRENT_ASSETS_DETAILED","FQ4 2013","FQ4 2013","Currency=USD","Period=FQ","BEST_FPERIOD_OVERRIDE=FQ","FILING_STATUS=OR","SCALING_FORMAT=MLN","Sort=A","Dates=H","DateFormat=P","Fill=—","Direction=H","UseDPDF=Y")</f>
        <v>7320</v>
      </c>
      <c r="Y37" s="13">
        <f>_xll.BDH("XOM US Equity","OTHER_NONCURRENT_ASSETS_DETAILED","FQ1 2014","FQ1 2014","Currency=USD","Period=FQ","BEST_FPERIOD_OVERRIDE=FQ","FILING_STATUS=OR","SCALING_FORMAT=MLN","Sort=A","Dates=H","DateFormat=P","Fill=—","Direction=H","UseDPDF=Y")</f>
        <v>8103</v>
      </c>
      <c r="Z37" s="13">
        <f>_xll.BDH("XOM US Equity","OTHER_NONCURRENT_ASSETS_DETAILED","FQ2 2014","FQ2 2014","Currency=USD","Period=FQ","BEST_FPERIOD_OVERRIDE=FQ","FILING_STATUS=OR","SCALING_FORMAT=MLN","Sort=A","Dates=H","DateFormat=P","Fill=—","Direction=H","UseDPDF=Y")</f>
        <v>8110</v>
      </c>
      <c r="AA37" s="13">
        <f>_xll.BDH("XOM US Equity","OTHER_NONCURRENT_ASSETS_DETAILED","FQ3 2014","FQ3 2014","Currency=USD","Period=FQ","BEST_FPERIOD_OVERRIDE=FQ","FILING_STATUS=OR","SCALING_FORMAT=MLN","Sort=A","Dates=H","DateFormat=P","Fill=—","Direction=H","UseDPDF=Y")</f>
        <v>7751</v>
      </c>
      <c r="AB37" s="13">
        <f>_xll.BDH("XOM US Equity","OTHER_NONCURRENT_ASSETS_DETAILED","FQ4 2014","FQ4 2014","Currency=USD","Period=FQ","BEST_FPERIOD_OVERRIDE=FQ","FILING_STATUS=OR","SCALING_FORMAT=MLN","Sort=A","Dates=H","DateFormat=P","Fill=—","Direction=H","UseDPDF=Y")</f>
        <v>8374</v>
      </c>
      <c r="AC37" s="13">
        <f>_xll.BDH("XOM US Equity","OTHER_NONCURRENT_ASSETS_DETAILED","FQ1 2015","FQ1 2015","Currency=USD","Period=FQ","BEST_FPERIOD_OVERRIDE=FQ","FILING_STATUS=OR","SCALING_FORMAT=MLN","Sort=A","Dates=H","DateFormat=P","Fill=—","Direction=H","UseDPDF=Y")</f>
        <v>8335</v>
      </c>
      <c r="AD37" s="13">
        <f>_xll.BDH("XOM US Equity","OTHER_NONCURRENT_ASSETS_DETAILED","FQ2 2015","FQ2 2015","Currency=USD","Period=FQ","BEST_FPERIOD_OVERRIDE=FQ","FILING_STATUS=OR","SCALING_FORMAT=MLN","Sort=A","Dates=H","DateFormat=P","Fill=—","Direction=H","UseDPDF=Y")</f>
        <v>8798</v>
      </c>
      <c r="AE37" s="13">
        <f>_xll.BDH("XOM US Equity","OTHER_NONCURRENT_ASSETS_DETAILED","FQ3 2015","FQ3 2015","Currency=USD","Period=FQ","BEST_FPERIOD_OVERRIDE=FQ","FILING_STATUS=OR","SCALING_FORMAT=MLN","Sort=A","Dates=H","DateFormat=P","Fill=—","Direction=H","UseDPDF=Y")</f>
        <v>42845</v>
      </c>
      <c r="AF37" s="13">
        <f>_xll.BDH("XOM US Equity","OTHER_NONCURRENT_ASSETS_DETAILED","FQ4 2015","FQ4 2015","Currency=USD","Period=FQ","BEST_FPERIOD_OVERRIDE=FQ","FILING_STATUS=OR","SCALING_FORMAT=MLN","Sort=A","Dates=H","DateFormat=P","Fill=—","Direction=H","UseDPDF=Y")</f>
        <v>7831</v>
      </c>
      <c r="AG37" s="13">
        <f>_xll.BDH("XOM US Equity","OTHER_NONCURRENT_ASSETS_DETAILED","FQ1 2016","FQ1 2016","Currency=USD","Period=FQ","BEST_FPERIOD_OVERRIDE=FQ","FILING_STATUS=OR","SCALING_FORMAT=MLN","Sort=A","Dates=H","DateFormat=P","Fill=—","Direction=H","UseDPDF=Y")</f>
        <v>8366</v>
      </c>
      <c r="AH37" s="13">
        <f>_xll.BDH("XOM US Equity","OTHER_NONCURRENT_ASSETS_DETAILED","FQ2 2016","FQ2 2016","Currency=USD","Period=FQ","BEST_FPERIOD_OVERRIDE=FQ","FILING_STATUS=OR","SCALING_FORMAT=MLN","Sort=A","Dates=H","DateFormat=P","Fill=—","Direction=H","UseDPDF=Y")</f>
        <v>8401</v>
      </c>
      <c r="AI37" s="13">
        <f>_xll.BDH("XOM US Equity","OTHER_NONCURRENT_ASSETS_DETAILED","FQ3 2016","FQ3 2016","Currency=USD","Period=FQ","BEST_FPERIOD_OVERRIDE=FQ","FILING_STATUS=OR","SCALING_FORMAT=MLN","Sort=A","Dates=H","DateFormat=P","Fill=—","Direction=H","UseDPDF=Y")</f>
        <v>40184</v>
      </c>
      <c r="AJ37" s="13">
        <f>_xll.BDH("XOM US Equity","OTHER_NONCURRENT_ASSETS_DETAILED","FQ4 2016","FQ4 2016","Currency=USD","Period=FQ","BEST_FPERIOD_OVERRIDE=FQ","FILING_STATUS=OR","SCALING_FORMAT=MLN","Sort=A","Dates=H","DateFormat=P","Fill=—","Direction=H","UseDPDF=Y")</f>
        <v>8537</v>
      </c>
      <c r="AK37" s="13">
        <f>_xll.BDH("XOM US Equity","OTHER_NONCURRENT_ASSETS_DETAILED","FQ1 2017","FQ1 2017","Currency=USD","Period=FQ","BEST_FPERIOD_OVERRIDE=FQ","FILING_STATUS=OR","SCALING_FORMAT=MLN","Sort=A","Dates=H","DateFormat=P","Fill=—","Direction=H","UseDPDF=Y")</f>
        <v>9663</v>
      </c>
      <c r="AL37" s="13">
        <f>_xll.BDH("XOM US Equity","OTHER_NONCURRENT_ASSETS_DETAILED","FQ2 2017","FQ2 2017","Currency=USD","Period=FQ","BEST_FPERIOD_OVERRIDE=FQ","FILING_STATUS=OR","SCALING_FORMAT=MLN","Sort=A","Dates=H","DateFormat=P","Fill=—","Direction=H","UseDPDF=Y")</f>
        <v>10126</v>
      </c>
      <c r="AM37" s="13">
        <f>_xll.BDH("XOM US Equity","OTHER_NONCURRENT_ASSETS_DETAILED","FQ3 2017","FQ3 2017","Currency=USD","Period=FQ","BEST_FPERIOD_OVERRIDE=FQ","FILING_STATUS=OR","SCALING_FORMAT=MLN","Sort=A","Dates=H","DateFormat=P","Fill=—","Direction=H","UseDPDF=Y")</f>
        <v>10470</v>
      </c>
      <c r="AN37" s="13">
        <f>_xll.BDH("XOM US Equity","OTHER_NONCURRENT_ASSETS_DETAILED","FQ4 2017","FQ4 2017","Currency=USD","Period=FQ","BEST_FPERIOD_OVERRIDE=FQ","FILING_STATUS=OR","SCALING_FORMAT=MLN","Sort=A","Dates=H","DateFormat=P","Fill=—","Direction=H","UseDPDF=Y")</f>
        <v>8364</v>
      </c>
      <c r="AO37" s="13">
        <f>_xll.BDH("XOM US Equity","OTHER_NONCURRENT_ASSETS_DETAILED","FQ1 2018","FQ1 2018","Currency=USD","Period=FQ","BEST_FPERIOD_OVERRIDE=FQ","FILING_STATUS=OR","SCALING_FORMAT=MLN","Sort=A","Dates=H","DateFormat=P","Fill=—","Direction=H","UseDPDF=Y")</f>
        <v>50159</v>
      </c>
      <c r="AP37" s="13">
        <f>_xll.BDH("XOM US Equity","OTHER_NONCURRENT_ASSETS_DETAILED","FQ2 2018","FQ2 2018","Currency=USD","Period=FQ","BEST_FPERIOD_OVERRIDE=FQ","FILING_STATUS=OR","SCALING_FORMAT=MLN","Sort=A","Dates=H","DateFormat=P","Fill=—","Direction=H","UseDPDF=Y")</f>
        <v>50026</v>
      </c>
    </row>
    <row r="38" spans="1:42" x14ac:dyDescent="0.25">
      <c r="A38" s="6" t="s">
        <v>266</v>
      </c>
      <c r="B38" s="6" t="s">
        <v>267</v>
      </c>
      <c r="C38" s="16">
        <f>_xll.BDH("XOM US Equity","BS_TOT_NON_CUR_ASSET","FQ3 2008","FQ3 2008","Currency=USD","Period=FQ","BEST_FPERIOD_OVERRIDE=FQ","FILING_STATUS=OR","SCALING_FORMAT=MLN","Sort=A","Dates=H","DateFormat=P","Fill=—","Direction=H","UseDPDF=Y")</f>
        <v>160197</v>
      </c>
      <c r="D38" s="16">
        <f>_xll.BDH("XOM US Equity","BS_TOT_NON_CUR_ASSET","FQ4 2008","FQ4 2008","Currency=USD","Period=FQ","BEST_FPERIOD_OVERRIDE=FQ","FILING_STATUS=OR","SCALING_FORMAT=MLN","Sort=A","Dates=H","DateFormat=P","Fill=—","Direction=H","UseDPDF=Y")</f>
        <v>155786</v>
      </c>
      <c r="E38" s="16">
        <f>_xll.BDH("XOM US Equity","BS_TOT_NON_CUR_ASSET","FQ1 2009","FQ1 2009","Currency=USD","Period=FQ","BEST_FPERIOD_OVERRIDE=FQ","FILING_STATUS=OR","SCALING_FORMAT=MLN","Sort=A","Dates=H","DateFormat=P","Fill=—","Direction=H","UseDPDF=Y")</f>
        <v>157673</v>
      </c>
      <c r="F38" s="16">
        <f>_xll.BDH("XOM US Equity","BS_TOT_NON_CUR_ASSET","FQ2 2009","FQ2 2009","Currency=USD","Period=FQ","BEST_FPERIOD_OVERRIDE=FQ","FILING_STATUS=OR","SCALING_FORMAT=MLN","Sort=A","Dates=H","DateFormat=P","Fill=—","Direction=H","UseDPDF=Y")</f>
        <v>165165</v>
      </c>
      <c r="G38" s="16">
        <f>_xll.BDH("XOM US Equity","BS_TOT_NON_CUR_ASSET","FQ3 2009","FQ3 2009","Currency=USD","Period=FQ","BEST_FPERIOD_OVERRIDE=FQ","FILING_STATUS=OR","SCALING_FORMAT=MLN","Sort=A","Dates=H","DateFormat=P","Fill=—","Direction=H","UseDPDF=Y")</f>
        <v>171983</v>
      </c>
      <c r="H38" s="16">
        <f>_xll.BDH("XOM US Equity","BS_TOT_NON_CUR_ASSET","FQ4 2009","FQ4 2009","Currency=USD","Period=FQ","BEST_FPERIOD_OVERRIDE=FQ","FILING_STATUS=OR","SCALING_FORMAT=MLN","Sort=A","Dates=H","DateFormat=P","Fill=—","Direction=H","UseDPDF=Y")</f>
        <v>178088</v>
      </c>
      <c r="I38" s="16">
        <f>_xll.BDH("XOM US Equity","BS_TOT_NON_CUR_ASSET","FQ1 2010","FQ1 2010","Currency=USD","Period=FQ","BEST_FPERIOD_OVERRIDE=FQ","FILING_STATUS=OR","SCALING_FORMAT=MLN","Sort=A","Dates=H","DateFormat=P","Fill=—","Direction=H","UseDPDF=Y")</f>
        <v>181052</v>
      </c>
      <c r="J38" s="16">
        <f>_xll.BDH("XOM US Equity","BS_TOT_NON_CUR_ASSET","FQ2 2010","FQ2 2010","Currency=USD","Period=FQ","BEST_FPERIOD_OVERRIDE=FQ","FILING_STATUS=OR","SCALING_FORMAT=MLN","Sort=A","Dates=H","DateFormat=P","Fill=—","Direction=H","UseDPDF=Y")</f>
        <v>228852</v>
      </c>
      <c r="K38" s="16">
        <f>_xll.BDH("XOM US Equity","BS_TOT_NON_CUR_ASSET","FQ3 2010","FQ3 2010","Currency=USD","Period=FQ","BEST_FPERIOD_OVERRIDE=FQ","FILING_STATUS=OR","SCALING_FORMAT=MLN","Sort=A","Dates=H","DateFormat=P","Fill=—","Direction=H","UseDPDF=Y")</f>
        <v>237361</v>
      </c>
      <c r="L38" s="16">
        <f>_xll.BDH("XOM US Equity","BS_TOT_NON_CUR_ASSET","FQ4 2010","FQ4 2010","Currency=USD","Period=FQ","BEST_FPERIOD_OVERRIDE=FQ","FILING_STATUS=OR","SCALING_FORMAT=MLN","Sort=A","Dates=H","DateFormat=P","Fill=—","Direction=H","UseDPDF=Y")</f>
        <v>243526</v>
      </c>
      <c r="M38" s="16">
        <f>_xll.BDH("XOM US Equity","BS_TOT_NON_CUR_ASSET","FQ1 2011","FQ1 2011","Currency=USD","Period=FQ","BEST_FPERIOD_OVERRIDE=FQ","FILING_STATUS=OR","SCALING_FORMAT=MLN","Sort=A","Dates=H","DateFormat=P","Fill=—","Direction=H","UseDPDF=Y")</f>
        <v>247511</v>
      </c>
      <c r="N38" s="16">
        <f>_xll.BDH("XOM US Equity","BS_TOT_NON_CUR_ASSET","FQ2 2011","FQ2 2011","Currency=USD","Period=FQ","BEST_FPERIOD_OVERRIDE=FQ","FILING_STATUS=OR","SCALING_FORMAT=MLN","Sort=A","Dates=H","DateFormat=P","Fill=—","Direction=H","UseDPDF=Y")</f>
        <v>253899</v>
      </c>
      <c r="O38" s="16">
        <f>_xll.BDH("XOM US Equity","BS_TOT_NON_CUR_ASSET","FQ3 2011","FQ3 2011","Currency=USD","Period=FQ","BEST_FPERIOD_OVERRIDE=FQ","FILING_STATUS=OR","SCALING_FORMAT=MLN","Sort=A","Dates=H","DateFormat=P","Fill=—","Direction=H","UseDPDF=Y")</f>
        <v>253851</v>
      </c>
      <c r="P38" s="16">
        <f>_xll.BDH("XOM US Equity","BS_TOT_NON_CUR_ASSET","FQ4 2011","FQ4 2011","Currency=USD","Period=FQ","BEST_FPERIOD_OVERRIDE=FQ","FILING_STATUS=OR","SCALING_FORMAT=MLN","Sort=A","Dates=H","DateFormat=P","Fill=—","Direction=H","UseDPDF=Y")</f>
        <v>258089</v>
      </c>
      <c r="Q38" s="16">
        <f>_xll.BDH("XOM US Equity","BS_TOT_NON_CUR_ASSET","FQ1 2012","FQ1 2012","Currency=USD","Period=FQ","BEST_FPERIOD_OVERRIDE=FQ","FILING_STATUS=OR","SCALING_FORMAT=MLN","Sort=A","Dates=H","DateFormat=P","Fill=—","Direction=H","UseDPDF=Y")</f>
        <v>268992</v>
      </c>
      <c r="R38" s="16">
        <f>_xll.BDH("XOM US Equity","BS_TOT_NON_CUR_ASSET","FQ2 2012","FQ2 2012","Currency=USD","Period=FQ","BEST_FPERIOD_OVERRIDE=FQ","FILING_STATUS=OR","SCALING_FORMAT=MLN","Sort=A","Dates=H","DateFormat=P","Fill=—","Direction=H","UseDPDF=Y")</f>
        <v>256848</v>
      </c>
      <c r="S38" s="16">
        <f>_xll.BDH("XOM US Equity","BS_TOT_NON_CUR_ASSET","FQ3 2012","FQ3 2012","Currency=USD","Period=FQ","BEST_FPERIOD_OVERRIDE=FQ","FILING_STATUS=OR","SCALING_FORMAT=MLN","Sort=A","Dates=H","DateFormat=P","Fill=—","Direction=H","UseDPDF=Y")</f>
        <v>263053</v>
      </c>
      <c r="T38" s="16">
        <f>_xll.BDH("XOM US Equity","BS_TOT_NON_CUR_ASSET","FQ4 2012","FQ4 2012","Currency=USD","Period=FQ","BEST_FPERIOD_OVERRIDE=FQ","FILING_STATUS=OR","SCALING_FORMAT=MLN","Sort=A","Dates=H","DateFormat=P","Fill=—","Direction=H","UseDPDF=Y")</f>
        <v>269335</v>
      </c>
      <c r="U38" s="16">
        <f>_xll.BDH("XOM US Equity","BS_TOT_NON_CUR_ASSET","FQ1 2013","FQ1 2013","Currency=USD","Period=FQ","BEST_FPERIOD_OVERRIDE=FQ","FILING_STATUS=OR","SCALING_FORMAT=MLN","Sort=A","Dates=H","DateFormat=P","Fill=—","Direction=H","UseDPDF=Y")</f>
        <v>277045</v>
      </c>
      <c r="V38" s="16">
        <f>_xll.BDH("XOM US Equity","BS_TOT_NON_CUR_ASSET","FQ2 2013","FQ2 2013","Currency=USD","Period=FQ","BEST_FPERIOD_OVERRIDE=FQ","FILING_STATUS=OR","SCALING_FORMAT=MLN","Sort=A","Dates=H","DateFormat=P","Fill=—","Direction=H","UseDPDF=Y")</f>
        <v>278771</v>
      </c>
      <c r="W38" s="16">
        <f>_xll.BDH("XOM US Equity","BS_TOT_NON_CUR_ASSET","FQ3 2013","FQ3 2013","Currency=USD","Period=FQ","BEST_FPERIOD_OVERRIDE=FQ","FILING_STATUS=OR","SCALING_FORMAT=MLN","Sort=A","Dates=H","DateFormat=P","Fill=—","Direction=H","UseDPDF=Y")</f>
        <v>286261</v>
      </c>
      <c r="X38" s="16">
        <f>_xll.BDH("XOM US Equity","BS_TOT_NON_CUR_ASSET","FQ4 2013","FQ4 2013","Currency=USD","Period=FQ","BEST_FPERIOD_OVERRIDE=FQ","FILING_STATUS=OR","SCALING_FORMAT=MLN","Sort=A","Dates=H","DateFormat=P","Fill=—","Direction=H","UseDPDF=Y")</f>
        <v>287500</v>
      </c>
      <c r="Y38" s="16">
        <f>_xll.BDH("XOM US Equity","BS_TOT_NON_CUR_ASSET","FQ1 2014","FQ1 2014","Currency=USD","Period=FQ","BEST_FPERIOD_OVERRIDE=FQ","FILING_STATUS=OR","SCALING_FORMAT=MLN","Sort=A","Dates=H","DateFormat=P","Fill=—","Direction=H","UseDPDF=Y")</f>
        <v>291169</v>
      </c>
      <c r="Z38" s="16">
        <f>_xll.BDH("XOM US Equity","BS_TOT_NON_CUR_ASSET","FQ2 2014","FQ2 2014","Currency=USD","Period=FQ","BEST_FPERIOD_OVERRIDE=FQ","FILING_STATUS=OR","SCALING_FORMAT=MLN","Sort=A","Dates=H","DateFormat=P","Fill=—","Direction=H","UseDPDF=Y")</f>
        <v>294573</v>
      </c>
      <c r="AA38" s="16">
        <f>_xll.BDH("XOM US Equity","BS_TOT_NON_CUR_ASSET","FQ3 2014","FQ3 2014","Currency=USD","Period=FQ","BEST_FPERIOD_OVERRIDE=FQ","FILING_STATUS=OR","SCALING_FORMAT=MLN","Sort=A","Dates=H","DateFormat=P","Fill=—","Direction=H","UseDPDF=Y")</f>
        <v>294169</v>
      </c>
      <c r="AB38" s="16">
        <f>_xll.BDH("XOM US Equity","BS_TOT_NON_CUR_ASSET","FQ4 2014","FQ4 2014","Currency=USD","Period=FQ","BEST_FPERIOD_OVERRIDE=FQ","FILING_STATUS=OR","SCALING_FORMAT=MLN","Sort=A","Dates=H","DateFormat=P","Fill=—","Direction=H","UseDPDF=Y")</f>
        <v>296583</v>
      </c>
      <c r="AC38" s="16">
        <f>_xll.BDH("XOM US Equity","BS_TOT_NON_CUR_ASSET","FQ1 2015","FQ1 2015","Currency=USD","Period=FQ","BEST_FPERIOD_OVERRIDE=FQ","FILING_STATUS=OR","SCALING_FORMAT=MLN","Sort=A","Dates=H","DateFormat=P","Fill=—","Direction=H","UseDPDF=Y")</f>
        <v>292303</v>
      </c>
      <c r="AD38" s="16">
        <f>_xll.BDH("XOM US Equity","BS_TOT_NON_CUR_ASSET","FQ2 2015","FQ2 2015","Currency=USD","Period=FQ","BEST_FPERIOD_OVERRIDE=FQ","FILING_STATUS=OR","SCALING_FORMAT=MLN","Sort=A","Dates=H","DateFormat=P","Fill=—","Direction=H","UseDPDF=Y")</f>
        <v>296613</v>
      </c>
      <c r="AE38" s="16">
        <f>_xll.BDH("XOM US Equity","BS_TOT_NON_CUR_ASSET","FQ3 2015","FQ3 2015","Currency=USD","Period=FQ","BEST_FPERIOD_OVERRIDE=FQ","FILING_STATUS=OR","SCALING_FORMAT=MLN","Sort=A","Dates=H","DateFormat=P","Fill=—","Direction=H","UseDPDF=Y")</f>
        <v>293428</v>
      </c>
      <c r="AF38" s="16">
        <f>_xll.BDH("XOM US Equity","BS_TOT_NON_CUR_ASSET","FQ4 2015","FQ4 2015","Currency=USD","Period=FQ","BEST_FPERIOD_OVERRIDE=FQ","FILING_STATUS=OR","SCALING_FORMAT=MLN","Sort=A","Dates=H","DateFormat=P","Fill=—","Direction=H","UseDPDF=Y")</f>
        <v>294135</v>
      </c>
      <c r="AG38" s="16">
        <f>_xll.BDH("XOM US Equity","BS_TOT_NON_CUR_ASSET","FQ1 2016","FQ1 2016","Currency=USD","Period=FQ","BEST_FPERIOD_OVERRIDE=FQ","FILING_STATUS=OR","SCALING_FORMAT=MLN","Sort=A","Dates=H","DateFormat=P","Fill=—","Direction=H","UseDPDF=Y")</f>
        <v>298538</v>
      </c>
      <c r="AH38" s="16">
        <f>_xll.BDH("XOM US Equity","BS_TOT_NON_CUR_ASSET","FQ2 2016","FQ2 2016","Currency=USD","Period=FQ","BEST_FPERIOD_OVERRIDE=FQ","FILING_STATUS=OR","SCALING_FORMAT=MLN","Sort=A","Dates=H","DateFormat=P","Fill=—","Direction=H","UseDPDF=Y")</f>
        <v>296645</v>
      </c>
      <c r="AI38" s="16">
        <f>_xll.BDH("XOM US Equity","BS_TOT_NON_CUR_ASSET","FQ3 2016","FQ3 2016","Currency=USD","Period=FQ","BEST_FPERIOD_OVERRIDE=FQ","FILING_STATUS=OR","SCALING_FORMAT=MLN","Sort=A","Dates=H","DateFormat=P","Fill=—","Direction=H","UseDPDF=Y")</f>
        <v>296441</v>
      </c>
      <c r="AJ38" s="16">
        <f>_xll.BDH("XOM US Equity","BS_TOT_NON_CUR_ASSET","FQ4 2016","FQ4 2016","Currency=USD","Period=FQ","BEST_FPERIOD_OVERRIDE=FQ","FILING_STATUS=OR","SCALING_FORMAT=MLN","Sort=A","Dates=H","DateFormat=P","Fill=—","Direction=H","UseDPDF=Y")</f>
        <v>288898</v>
      </c>
      <c r="AK38" s="16">
        <f>_xll.BDH("XOM US Equity","BS_TOT_NON_CUR_ASSET","FQ1 2017","FQ1 2017","Currency=USD","Period=FQ","BEST_FPERIOD_OVERRIDE=FQ","FILING_STATUS=OR","SCALING_FORMAT=MLN","Sort=A","Dates=H","DateFormat=P","Fill=—","Direction=H","UseDPDF=Y")</f>
        <v>301078</v>
      </c>
      <c r="AL38" s="16">
        <f>_xll.BDH("XOM US Equity","BS_TOT_NON_CUR_ASSET","FQ2 2017","FQ2 2017","Currency=USD","Period=FQ","BEST_FPERIOD_OVERRIDE=FQ","FILING_STATUS=OR","SCALING_FORMAT=MLN","Sort=A","Dates=H","DateFormat=P","Fill=—","Direction=H","UseDPDF=Y")</f>
        <v>300832</v>
      </c>
      <c r="AM38" s="16">
        <f>_xll.BDH("XOM US Equity","BS_TOT_NON_CUR_ASSET","FQ3 2017","FQ3 2017","Currency=USD","Period=FQ","BEST_FPERIOD_OVERRIDE=FQ","FILING_STATUS=OR","SCALING_FORMAT=MLN","Sort=A","Dates=H","DateFormat=P","Fill=—","Direction=H","UseDPDF=Y")</f>
        <v>303675</v>
      </c>
      <c r="AN38" s="16">
        <f>_xll.BDH("XOM US Equity","BS_TOT_NON_CUR_ASSET","FQ4 2017","FQ4 2017","Currency=USD","Period=FQ","BEST_FPERIOD_OVERRIDE=FQ","FILING_STATUS=OR","SCALING_FORMAT=MLN","Sort=A","Dates=H","DateFormat=P","Fill=—","Direction=H","UseDPDF=Y")</f>
        <v>301557</v>
      </c>
      <c r="AO38" s="16">
        <f>_xll.BDH("XOM US Equity","BS_TOT_NON_CUR_ASSET","FQ1 2018","FQ1 2018","Currency=USD","Period=FQ","BEST_FPERIOD_OVERRIDE=FQ","FILING_STATUS=OR","SCALING_FORMAT=MLN","Sort=A","Dates=H","DateFormat=P","Fill=—","Direction=H","UseDPDF=Y")</f>
        <v>300511</v>
      </c>
      <c r="AP38" s="16">
        <f>_xll.BDH("XOM US Equity","BS_TOT_NON_CUR_ASSET","FQ2 2018","FQ2 2018","Currency=USD","Period=FQ","BEST_FPERIOD_OVERRIDE=FQ","FILING_STATUS=OR","SCALING_FORMAT=MLN","Sort=A","Dates=H","DateFormat=P","Fill=—","Direction=H","UseDPDF=Y")</f>
        <v>298235</v>
      </c>
    </row>
    <row r="39" spans="1:42" x14ac:dyDescent="0.25">
      <c r="A39" s="6" t="s">
        <v>205</v>
      </c>
      <c r="B39" s="6" t="s">
        <v>268</v>
      </c>
      <c r="C39" s="16">
        <f>_xll.BDH("XOM US Equity","BS_TOT_ASSET","FQ3 2008","FQ3 2008","Currency=USD","Period=FQ","BEST_FPERIOD_OVERRIDE=FQ","FILING_STATUS=OR","SCALING_FORMAT=MLN","Sort=A","Dates=H","DateFormat=P","Fill=—","Direction=H","UseDPDF=Y")</f>
        <v>256218</v>
      </c>
      <c r="D39" s="16">
        <f>_xll.BDH("XOM US Equity","BS_TOT_ASSET","FQ4 2008","FQ4 2008","Currency=USD","Period=FQ","BEST_FPERIOD_OVERRIDE=FQ","FILING_STATUS=OR","SCALING_FORMAT=MLN","Sort=A","Dates=H","DateFormat=P","Fill=—","Direction=H","UseDPDF=Y")</f>
        <v>228052</v>
      </c>
      <c r="E39" s="16">
        <f>_xll.BDH("XOM US Equity","BS_TOT_ASSET","FQ1 2009","FQ1 2009","Currency=USD","Period=FQ","BEST_FPERIOD_OVERRIDE=FQ","FILING_STATUS=OR","SCALING_FORMAT=MLN","Sort=A","Dates=H","DateFormat=P","Fill=—","Direction=H","UseDPDF=Y")</f>
        <v>222491</v>
      </c>
      <c r="F39" s="16">
        <f>_xll.BDH("XOM US Equity","BS_TOT_ASSET","FQ2 2009","FQ2 2009","Currency=USD","Period=FQ","BEST_FPERIOD_OVERRIDE=FQ","FILING_STATUS=OR","SCALING_FORMAT=MLN","Sort=A","Dates=H","DateFormat=P","Fill=—","Direction=H","UseDPDF=Y")</f>
        <v>224661</v>
      </c>
      <c r="G39" s="16">
        <f>_xll.BDH("XOM US Equity","BS_TOT_ASSET","FQ3 2009","FQ3 2009","Currency=USD","Period=FQ","BEST_FPERIOD_OVERRIDE=FQ","FILING_STATUS=OR","SCALING_FORMAT=MLN","Sort=A","Dates=H","DateFormat=P","Fill=—","Direction=H","UseDPDF=Y")</f>
        <v>229307</v>
      </c>
      <c r="H39" s="16">
        <f>_xll.BDH("XOM US Equity","BS_TOT_ASSET","FQ4 2009","FQ4 2009","Currency=USD","Period=FQ","BEST_FPERIOD_OVERRIDE=FQ","FILING_STATUS=OR","SCALING_FORMAT=MLN","Sort=A","Dates=H","DateFormat=P","Fill=—","Direction=H","UseDPDF=Y")</f>
        <v>233323</v>
      </c>
      <c r="I39" s="16">
        <f>_xll.BDH("XOM US Equity","BS_TOT_ASSET","FQ1 2010","FQ1 2010","Currency=USD","Period=FQ","BEST_FPERIOD_OVERRIDE=FQ","FILING_STATUS=OR","SCALING_FORMAT=MLN","Sort=A","Dates=H","DateFormat=P","Fill=—","Direction=H","UseDPDF=Y")</f>
        <v>242748</v>
      </c>
      <c r="J39" s="16">
        <f>_xll.BDH("XOM US Equity","BS_TOT_ASSET","FQ2 2010","FQ2 2010","Currency=USD","Period=FQ","BEST_FPERIOD_OVERRIDE=FQ","FILING_STATUS=OR","SCALING_FORMAT=MLN","Sort=A","Dates=H","DateFormat=P","Fill=—","Direction=H","UseDPDF=Y")</f>
        <v>291068</v>
      </c>
      <c r="K39" s="16">
        <f>_xll.BDH("XOM US Equity","BS_TOT_ASSET","FQ3 2010","FQ3 2010","Currency=USD","Period=FQ","BEST_FPERIOD_OVERRIDE=FQ","FILING_STATUS=OR","SCALING_FORMAT=MLN","Sort=A","Dates=H","DateFormat=P","Fill=—","Direction=H","UseDPDF=Y")</f>
        <v>299994</v>
      </c>
      <c r="L39" s="16">
        <f>_xll.BDH("XOM US Equity","BS_TOT_ASSET","FQ4 2010","FQ4 2010","Currency=USD","Period=FQ","BEST_FPERIOD_OVERRIDE=FQ","FILING_STATUS=OR","SCALING_FORMAT=MLN","Sort=A","Dates=H","DateFormat=P","Fill=—","Direction=H","UseDPDF=Y")</f>
        <v>302510</v>
      </c>
      <c r="M39" s="16">
        <f>_xll.BDH("XOM US Equity","BS_TOT_ASSET","FQ1 2011","FQ1 2011","Currency=USD","Period=FQ","BEST_FPERIOD_OVERRIDE=FQ","FILING_STATUS=OR","SCALING_FORMAT=MLN","Sort=A","Dates=H","DateFormat=P","Fill=—","Direction=H","UseDPDF=Y")</f>
        <v>319533</v>
      </c>
      <c r="N39" s="16">
        <f>_xll.BDH("XOM US Equity","BS_TOT_ASSET","FQ2 2011","FQ2 2011","Currency=USD","Period=FQ","BEST_FPERIOD_OVERRIDE=FQ","FILING_STATUS=OR","SCALING_FORMAT=MLN","Sort=A","Dates=H","DateFormat=P","Fill=—","Direction=H","UseDPDF=Y")</f>
        <v>326204</v>
      </c>
      <c r="O39" s="16">
        <f>_xll.BDH("XOM US Equity","BS_TOT_ASSET","FQ3 2011","FQ3 2011","Currency=USD","Period=FQ","BEST_FPERIOD_OVERRIDE=FQ","FILING_STATUS=OR","SCALING_FORMAT=MLN","Sort=A","Dates=H","DateFormat=P","Fill=—","Direction=H","UseDPDF=Y")</f>
        <v>323227</v>
      </c>
      <c r="P39" s="16">
        <f>_xll.BDH("XOM US Equity","BS_TOT_ASSET","FQ4 2011","FQ4 2011","Currency=USD","Period=FQ","BEST_FPERIOD_OVERRIDE=FQ","FILING_STATUS=OR","SCALING_FORMAT=MLN","Sort=A","Dates=H","DateFormat=P","Fill=—","Direction=H","UseDPDF=Y")</f>
        <v>331052</v>
      </c>
      <c r="Q39" s="16">
        <f>_xll.BDH("XOM US Equity","BS_TOT_ASSET","FQ1 2012","FQ1 2012","Currency=USD","Period=FQ","BEST_FPERIOD_OVERRIDE=FQ","FILING_STATUS=OR","SCALING_FORMAT=MLN","Sort=A","Dates=H","DateFormat=P","Fill=—","Direction=H","UseDPDF=Y")</f>
        <v>345152</v>
      </c>
      <c r="R39" s="16">
        <f>_xll.BDH("XOM US Equity","BS_TOT_ASSET","FQ2 2012","FQ2 2012","Currency=USD","Period=FQ","BEST_FPERIOD_OVERRIDE=FQ","FILING_STATUS=OR","SCALING_FORMAT=MLN","Sort=A","Dates=H","DateFormat=P","Fill=—","Direction=H","UseDPDF=Y")</f>
        <v>329645</v>
      </c>
      <c r="S39" s="16">
        <f>_xll.BDH("XOM US Equity","BS_TOT_ASSET","FQ3 2012","FQ3 2012","Currency=USD","Period=FQ","BEST_FPERIOD_OVERRIDE=FQ","FILING_STATUS=OR","SCALING_FORMAT=MLN","Sort=A","Dates=H","DateFormat=P","Fill=—","Direction=H","UseDPDF=Y")</f>
        <v>335191</v>
      </c>
      <c r="T39" s="16">
        <f>_xll.BDH("XOM US Equity","BS_TOT_ASSET","FQ4 2012","FQ4 2012","Currency=USD","Period=FQ","BEST_FPERIOD_OVERRIDE=FQ","FILING_STATUS=OR","SCALING_FORMAT=MLN","Sort=A","Dates=H","DateFormat=P","Fill=—","Direction=H","UseDPDF=Y")</f>
        <v>333795</v>
      </c>
      <c r="U39" s="16">
        <f>_xll.BDH("XOM US Equity","BS_TOT_ASSET","FQ1 2013","FQ1 2013","Currency=USD","Period=FQ","BEST_FPERIOD_OVERRIDE=FQ","FILING_STATUS=OR","SCALING_FORMAT=MLN","Sort=A","Dates=H","DateFormat=P","Fill=—","Direction=H","UseDPDF=Y")</f>
        <v>339639</v>
      </c>
      <c r="V39" s="16">
        <f>_xll.BDH("XOM US Equity","BS_TOT_ASSET","FQ2 2013","FQ2 2013","Currency=USD","Period=FQ","BEST_FPERIOD_OVERRIDE=FQ","FILING_STATUS=OR","SCALING_FORMAT=MLN","Sort=A","Dates=H","DateFormat=P","Fill=—","Direction=H","UseDPDF=Y")</f>
        <v>341615</v>
      </c>
      <c r="W39" s="16">
        <f>_xll.BDH("XOM US Equity","BS_TOT_ASSET","FQ3 2013","FQ3 2013","Currency=USD","Period=FQ","BEST_FPERIOD_OVERRIDE=FQ","FILING_STATUS=OR","SCALING_FORMAT=MLN","Sort=A","Dates=H","DateFormat=P","Fill=—","Direction=H","UseDPDF=Y")</f>
        <v>347564</v>
      </c>
      <c r="X39" s="16">
        <f>_xll.BDH("XOM US Equity","BS_TOT_ASSET","FQ4 2013","FQ4 2013","Currency=USD","Period=FQ","BEST_FPERIOD_OVERRIDE=FQ","FILING_STATUS=OR","SCALING_FORMAT=MLN","Sort=A","Dates=H","DateFormat=P","Fill=—","Direction=H","UseDPDF=Y")</f>
        <v>346808</v>
      </c>
      <c r="Y39" s="16">
        <f>_xll.BDH("XOM US Equity","BS_TOT_ASSET","FQ1 2014","FQ1 2014","Currency=USD","Period=FQ","BEST_FPERIOD_OVERRIDE=FQ","FILING_STATUS=OR","SCALING_FORMAT=MLN","Sort=A","Dates=H","DateFormat=P","Fill=—","Direction=H","UseDPDF=Y")</f>
        <v>353033</v>
      </c>
      <c r="Z39" s="16">
        <f>_xll.BDH("XOM US Equity","BS_TOT_ASSET","FQ2 2014","FQ2 2014","Currency=USD","Period=FQ","BEST_FPERIOD_OVERRIDE=FQ","FILING_STATUS=OR","SCALING_FORMAT=MLN","Sort=A","Dates=H","DateFormat=P","Fill=—","Direction=H","UseDPDF=Y")</f>
        <v>358586</v>
      </c>
      <c r="AA39" s="16">
        <f>_xll.BDH("XOM US Equity","BS_TOT_ASSET","FQ3 2014","FQ3 2014","Currency=USD","Period=FQ","BEST_FPERIOD_OVERRIDE=FQ","FILING_STATUS=OR","SCALING_FORMAT=MLN","Sort=A","Dates=H","DateFormat=P","Fill=—","Direction=H","UseDPDF=Y")</f>
        <v>352764</v>
      </c>
      <c r="AB39" s="16">
        <f>_xll.BDH("XOM US Equity","BS_TOT_ASSET","FQ4 2014","FQ4 2014","Currency=USD","Period=FQ","BEST_FPERIOD_OVERRIDE=FQ","FILING_STATUS=OR","SCALING_FORMAT=MLN","Sort=A","Dates=H","DateFormat=P","Fill=—","Direction=H","UseDPDF=Y")</f>
        <v>349493</v>
      </c>
      <c r="AC39" s="16">
        <f>_xll.BDH("XOM US Equity","BS_TOT_ASSET","FQ1 2015","FQ1 2015","Currency=USD","Period=FQ","BEST_FPERIOD_OVERRIDE=FQ","FILING_STATUS=OR","SCALING_FORMAT=MLN","Sort=A","Dates=H","DateFormat=P","Fill=—","Direction=H","UseDPDF=Y")</f>
        <v>342961</v>
      </c>
      <c r="AD39" s="16">
        <f>_xll.BDH("XOM US Equity","BS_TOT_ASSET","FQ2 2015","FQ2 2015","Currency=USD","Period=FQ","BEST_FPERIOD_OVERRIDE=FQ","FILING_STATUS=OR","SCALING_FORMAT=MLN","Sort=A","Dates=H","DateFormat=P","Fill=—","Direction=H","UseDPDF=Y")</f>
        <v>348260</v>
      </c>
      <c r="AE39" s="16">
        <f>_xll.BDH("XOM US Equity","BS_TOT_ASSET","FQ3 2015","FQ3 2015","Currency=USD","Period=FQ","BEST_FPERIOD_OVERRIDE=FQ","FILING_STATUS=OR","SCALING_FORMAT=MLN","Sort=A","Dates=H","DateFormat=P","Fill=—","Direction=H","UseDPDF=Y")</f>
        <v>340662</v>
      </c>
      <c r="AF39" s="16">
        <f>_xll.BDH("XOM US Equity","BS_TOT_ASSET","FQ4 2015","FQ4 2015","Currency=USD","Period=FQ","BEST_FPERIOD_OVERRIDE=FQ","FILING_STATUS=OR","SCALING_FORMAT=MLN","Sort=A","Dates=H","DateFormat=P","Fill=—","Direction=H","UseDPDF=Y")</f>
        <v>336758</v>
      </c>
      <c r="AG39" s="16">
        <f>_xll.BDH("XOM US Equity","BS_TOT_ASSET","FQ1 2016","FQ1 2016","Currency=USD","Period=FQ","BEST_FPERIOD_OVERRIDE=FQ","FILING_STATUS=OR","SCALING_FORMAT=MLN","Sort=A","Dates=H","DateFormat=P","Fill=—","Direction=H","UseDPDF=Y")</f>
        <v>342789</v>
      </c>
      <c r="AH39" s="16">
        <f>_xll.BDH("XOM US Equity","BS_TOT_ASSET","FQ2 2016","FQ2 2016","Currency=USD","Period=FQ","BEST_FPERIOD_OVERRIDE=FQ","FILING_STATUS=OR","SCALING_FORMAT=MLN","Sort=A","Dates=H","DateFormat=P","Fill=—","Direction=H","UseDPDF=Y")</f>
        <v>342473</v>
      </c>
      <c r="AI39" s="16">
        <f>_xll.BDH("XOM US Equity","BS_TOT_ASSET","FQ3 2016","FQ3 2016","Currency=USD","Period=FQ","BEST_FPERIOD_OVERRIDE=FQ","FILING_STATUS=OR","SCALING_FORMAT=MLN","Sort=A","Dates=H","DateFormat=P","Fill=—","Direction=H","UseDPDF=Y")</f>
        <v>339386</v>
      </c>
      <c r="AJ39" s="16">
        <f>_xll.BDH("XOM US Equity","BS_TOT_ASSET","FQ4 2016","FQ4 2016","Currency=USD","Period=FQ","BEST_FPERIOD_OVERRIDE=FQ","FILING_STATUS=OR","SCALING_FORMAT=MLN","Sort=A","Dates=H","DateFormat=P","Fill=—","Direction=H","UseDPDF=Y")</f>
        <v>330314</v>
      </c>
      <c r="AK39" s="16">
        <f>_xll.BDH("XOM US Equity","BS_TOT_ASSET","FQ1 2017","FQ1 2017","Currency=USD","Period=FQ","BEST_FPERIOD_OVERRIDE=FQ","FILING_STATUS=OR","SCALING_FORMAT=MLN","Sort=A","Dates=H","DateFormat=P","Fill=—","Direction=H","UseDPDF=Y")</f>
        <v>344209</v>
      </c>
      <c r="AL39" s="16">
        <f>_xll.BDH("XOM US Equity","BS_TOT_ASSET","FQ2 2017","FQ2 2017","Currency=USD","Period=FQ","BEST_FPERIOD_OVERRIDE=FQ","FILING_STATUS=OR","SCALING_FORMAT=MLN","Sort=A","Dates=H","DateFormat=P","Fill=—","Direction=H","UseDPDF=Y")</f>
        <v>343012</v>
      </c>
      <c r="AM39" s="16">
        <f>_xll.BDH("XOM US Equity","BS_TOT_ASSET","FQ3 2017","FQ3 2017","Currency=USD","Period=FQ","BEST_FPERIOD_OVERRIDE=FQ","FILING_STATUS=OR","SCALING_FORMAT=MLN","Sort=A","Dates=H","DateFormat=P","Fill=—","Direction=H","UseDPDF=Y")</f>
        <v>349427</v>
      </c>
      <c r="AN39" s="16">
        <f>_xll.BDH("XOM US Equity","BS_TOT_ASSET","FQ4 2017","FQ4 2017","Currency=USD","Period=FQ","BEST_FPERIOD_OVERRIDE=FQ","FILING_STATUS=OR","SCALING_FORMAT=MLN","Sort=A","Dates=H","DateFormat=P","Fill=—","Direction=H","UseDPDF=Y")</f>
        <v>348691</v>
      </c>
      <c r="AO39" s="16">
        <f>_xll.BDH("XOM US Equity","BS_TOT_ASSET","FQ1 2018","FQ1 2018","Currency=USD","Period=FQ","BEST_FPERIOD_OVERRIDE=FQ","FILING_STATUS=OR","SCALING_FORMAT=MLN","Sort=A","Dates=H","DateFormat=P","Fill=—","Direction=H","UseDPDF=Y")</f>
        <v>348826</v>
      </c>
      <c r="AP39" s="16">
        <f>_xll.BDH("XOM US Equity","BS_TOT_ASSET","FQ2 2018","FQ2 2018","Currency=USD","Period=FQ","BEST_FPERIOD_OVERRIDE=FQ","FILING_STATUS=OR","SCALING_FORMAT=MLN","Sort=A","Dates=H","DateFormat=P","Fill=—","Direction=H","UseDPDF=Y")</f>
        <v>348790</v>
      </c>
    </row>
    <row r="40" spans="1:42" x14ac:dyDescent="0.25">
      <c r="A40" s="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x14ac:dyDescent="0.25">
      <c r="A41" s="6" t="s">
        <v>269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1:42" x14ac:dyDescent="0.25">
      <c r="A42" s="10" t="s">
        <v>270</v>
      </c>
      <c r="B42" s="10" t="s">
        <v>271</v>
      </c>
      <c r="C42" s="13">
        <f>_xll.BDH("XOM US Equity","ACCT_PAYABLE_&amp;_ACCRUALS_DETAILED","FQ3 2008","FQ3 2008","Currency=USD","Period=FQ","BEST_FPERIOD_OVERRIDE=FQ","FILING_STATUS=OR","SCALING_FORMAT=MLN","Sort=A","Dates=H","DateFormat=P","Fill=—","Direction=H","UseDPDF=Y")</f>
        <v>49087</v>
      </c>
      <c r="D42" s="13">
        <f>_xll.BDH("XOM US Equity","ACCT_PAYABLE_&amp;_ACCRUALS_DETAILED","FQ4 2008","FQ4 2008","Currency=USD","Period=FQ","BEST_FPERIOD_OVERRIDE=FQ","FILING_STATUS=OR","SCALING_FORMAT=MLN","Sort=A","Dates=H","DateFormat=P","Fill=—","Direction=H","UseDPDF=Y")</f>
        <v>21190</v>
      </c>
      <c r="E42" s="13">
        <f>_xll.BDH("XOM US Equity","ACCT_PAYABLE_&amp;_ACCRUALS_DETAILED","FQ1 2009","FQ1 2009","Currency=USD","Period=FQ","BEST_FPERIOD_OVERRIDE=FQ","FILING_STATUS=OR","SCALING_FORMAT=MLN","Sort=A","Dates=H","DateFormat=P","Fill=—","Direction=H","UseDPDF=Y")</f>
        <v>47342</v>
      </c>
      <c r="F42" s="13">
        <f>_xll.BDH("XOM US Equity","ACCT_PAYABLE_&amp;_ACCRUALS_DETAILED","FQ2 2009","FQ2 2009","Currency=USD","Period=FQ","BEST_FPERIOD_OVERRIDE=FQ","FILING_STATUS=OR","SCALING_FORMAT=MLN","Sort=A","Dates=H","DateFormat=P","Fill=—","Direction=H","UseDPDF=Y")</f>
        <v>49457</v>
      </c>
      <c r="G42" s="13">
        <f>_xll.BDH("XOM US Equity","ACCT_PAYABLE_&amp;_ACCRUALS_DETAILED","FQ3 2009","FQ3 2009","Currency=USD","Period=FQ","BEST_FPERIOD_OVERRIDE=FQ","FILING_STATUS=OR","SCALING_FORMAT=MLN","Sort=A","Dates=H","DateFormat=P","Fill=—","Direction=H","UseDPDF=Y")</f>
        <v>50515</v>
      </c>
      <c r="H42" s="13">
        <f>_xll.BDH("XOM US Equity","ACCT_PAYABLE_&amp;_ACCRUALS_DETAILED","FQ4 2009","FQ4 2009","Currency=USD","Period=FQ","BEST_FPERIOD_OVERRIDE=FQ","FILING_STATUS=OR","SCALING_FORMAT=MLN","Sort=A","Dates=H","DateFormat=P","Fill=—","Direction=H","UseDPDF=Y")</f>
        <v>49585</v>
      </c>
      <c r="I42" s="13">
        <f>_xll.BDH("XOM US Equity","ACCT_PAYABLE_&amp;_ACCRUALS_DETAILED","FQ1 2010","FQ1 2010","Currency=USD","Period=FQ","BEST_FPERIOD_OVERRIDE=FQ","FILING_STATUS=OR","SCALING_FORMAT=MLN","Sort=A","Dates=H","DateFormat=P","Fill=—","Direction=H","UseDPDF=Y")</f>
        <v>55348</v>
      </c>
      <c r="J42" s="13">
        <f>_xll.BDH("XOM US Equity","ACCT_PAYABLE_&amp;_ACCRUALS_DETAILED","FQ2 2010","FQ2 2010","Currency=USD","Period=FQ","BEST_FPERIOD_OVERRIDE=FQ","FILING_STATUS=OR","SCALING_FORMAT=MLN","Sort=A","Dates=H","DateFormat=P","Fill=—","Direction=H","UseDPDF=Y")</f>
        <v>54875</v>
      </c>
      <c r="K42" s="13">
        <f>_xll.BDH("XOM US Equity","ACCT_PAYABLE_&amp;_ACCRUALS_DETAILED","FQ3 2010","FQ3 2010","Currency=USD","Period=FQ","BEST_FPERIOD_OVERRIDE=FQ","FILING_STATUS=OR","SCALING_FORMAT=MLN","Sort=A","Dates=H","DateFormat=P","Fill=—","Direction=H","UseDPDF=Y")</f>
        <v>58694</v>
      </c>
      <c r="L42" s="13">
        <f>_xll.BDH("XOM US Equity","ACCT_PAYABLE_&amp;_ACCRUALS_DETAILED","FQ4 2010","FQ4 2010","Currency=USD","Period=FQ","BEST_FPERIOD_OVERRIDE=FQ","FILING_STATUS=OR","SCALING_FORMAT=MLN","Sort=A","Dates=H","DateFormat=P","Fill=—","Direction=H","UseDPDF=Y")</f>
        <v>59846</v>
      </c>
      <c r="M42" s="13">
        <f>_xll.BDH("XOM US Equity","ACCT_PAYABLE_&amp;_ACCRUALS_DETAILED","FQ1 2011","FQ1 2011","Currency=USD","Period=FQ","BEST_FPERIOD_OVERRIDE=FQ","FILING_STATUS=OR","SCALING_FORMAT=MLN","Sort=A","Dates=H","DateFormat=P","Fill=—","Direction=H","UseDPDF=Y")</f>
        <v>70016</v>
      </c>
      <c r="N42" s="13">
        <f>_xll.BDH("XOM US Equity","ACCT_PAYABLE_&amp;_ACCRUALS_DETAILED","FQ2 2011","FQ2 2011","Currency=USD","Period=FQ","BEST_FPERIOD_OVERRIDE=FQ","FILING_STATUS=OR","SCALING_FORMAT=MLN","Sort=A","Dates=H","DateFormat=P","Fill=—","Direction=H","UseDPDF=Y")</f>
        <v>70168</v>
      </c>
      <c r="O42" s="13">
        <f>_xll.BDH("XOM US Equity","ACCT_PAYABLE_&amp;_ACCRUALS_DETAILED","FQ3 2011","FQ3 2011","Currency=USD","Period=FQ","BEST_FPERIOD_OVERRIDE=FQ","FILING_STATUS=OR","SCALING_FORMAT=MLN","Sort=A","Dates=H","DateFormat=P","Fill=—","Direction=H","UseDPDF=Y")</f>
        <v>67540</v>
      </c>
      <c r="P42" s="13">
        <f>_xll.BDH("XOM US Equity","ACCT_PAYABLE_&amp;_ACCRUALS_DETAILED","FQ4 2011","FQ4 2011","Currency=USD","Period=FQ","BEST_FPERIOD_OVERRIDE=FQ","FILING_STATUS=OR","SCALING_FORMAT=MLN","Sort=A","Dates=H","DateFormat=P","Fill=—","Direction=H","UseDPDF=Y")</f>
        <v>69794</v>
      </c>
      <c r="Q42" s="13">
        <f>_xll.BDH("XOM US Equity","ACCT_PAYABLE_&amp;_ACCRUALS_DETAILED","FQ1 2012","FQ1 2012","Currency=USD","Period=FQ","BEST_FPERIOD_OVERRIDE=FQ","FILING_STATUS=OR","SCALING_FORMAT=MLN","Sort=A","Dates=H","DateFormat=P","Fill=—","Direction=H","UseDPDF=Y")</f>
        <v>73575</v>
      </c>
      <c r="R42" s="13">
        <f>_xll.BDH("XOM US Equity","ACCT_PAYABLE_&amp;_ACCRUALS_DETAILED","FQ2 2012","FQ2 2012","Currency=USD","Period=FQ","BEST_FPERIOD_OVERRIDE=FQ","FILING_STATUS=OR","SCALING_FORMAT=MLN","Sort=A","Dates=H","DateFormat=P","Fill=—","Direction=H","UseDPDF=Y")</f>
        <v>63432</v>
      </c>
      <c r="S42" s="13">
        <f>_xll.BDH("XOM US Equity","ACCT_PAYABLE_&amp;_ACCRUALS_DETAILED","FQ3 2012","FQ3 2012","Currency=USD","Period=FQ","BEST_FPERIOD_OVERRIDE=FQ","FILING_STATUS=OR","SCALING_FORMAT=MLN","Sort=A","Dates=H","DateFormat=P","Fill=—","Direction=H","UseDPDF=Y")</f>
        <v>66565</v>
      </c>
      <c r="T42" s="13">
        <f>_xll.BDH("XOM US Equity","ACCT_PAYABLE_&amp;_ACCRUALS_DETAILED","FQ4 2012","FQ4 2012","Currency=USD","Period=FQ","BEST_FPERIOD_OVERRIDE=FQ","FILING_STATUS=OR","SCALING_FORMAT=MLN","Sort=A","Dates=H","DateFormat=P","Fill=—","Direction=H","UseDPDF=Y")</f>
        <v>60486</v>
      </c>
      <c r="U42" s="13">
        <f>_xll.BDH("XOM US Equity","ACCT_PAYABLE_&amp;_ACCRUALS_DETAILED","FQ1 2013","FQ1 2013","Currency=USD","Period=FQ","BEST_FPERIOD_OVERRIDE=FQ","FILING_STATUS=OR","SCALING_FORMAT=MLN","Sort=A","Dates=H","DateFormat=P","Fill=—","Direction=H","UseDPDF=Y")</f>
        <v>64147</v>
      </c>
      <c r="V42" s="13">
        <f>_xll.BDH("XOM US Equity","ACCT_PAYABLE_&amp;_ACCRUALS_DETAILED","FQ2 2013","FQ2 2013","Currency=USD","Period=FQ","BEST_FPERIOD_OVERRIDE=FQ","FILING_STATUS=OR","SCALING_FORMAT=MLN","Sort=A","Dates=H","DateFormat=P","Fill=—","Direction=H","UseDPDF=Y")</f>
        <v>60827</v>
      </c>
      <c r="W42" s="13">
        <f>_xll.BDH("XOM US Equity","ACCT_PAYABLE_&amp;_ACCRUALS_DETAILED","FQ3 2013","FQ3 2013","Currency=USD","Period=FQ","BEST_FPERIOD_OVERRIDE=FQ","FILING_STATUS=OR","SCALING_FORMAT=MLN","Sort=A","Dates=H","DateFormat=P","Fill=—","Direction=H","UseDPDF=Y")</f>
        <v>58860</v>
      </c>
      <c r="X42" s="13">
        <f>_xll.BDH("XOM US Equity","ACCT_PAYABLE_&amp;_ACCRUALS_DETAILED","FQ4 2013","FQ4 2013","Currency=USD","Period=FQ","BEST_FPERIOD_OVERRIDE=FQ","FILING_STATUS=OR","SCALING_FORMAT=MLN","Sort=A","Dates=H","DateFormat=P","Fill=—","Direction=H","UseDPDF=Y")</f>
        <v>55916</v>
      </c>
      <c r="Y42" s="13">
        <f>_xll.BDH("XOM US Equity","ACCT_PAYABLE_&amp;_ACCRUALS_DETAILED","FQ1 2014","FQ1 2014","Currency=USD","Period=FQ","BEST_FPERIOD_OVERRIDE=FQ","FILING_STATUS=OR","SCALING_FORMAT=MLN","Sort=A","Dates=H","DateFormat=P","Fill=—","Direction=H","UseDPDF=Y")</f>
        <v>60885</v>
      </c>
      <c r="Z42" s="13">
        <f>_xll.BDH("XOM US Equity","ACCT_PAYABLE_&amp;_ACCRUALS_DETAILED","FQ2 2014","FQ2 2014","Currency=USD","Period=FQ","BEST_FPERIOD_OVERRIDE=FQ","FILING_STATUS=OR","SCALING_FORMAT=MLN","Sort=A","Dates=H","DateFormat=P","Fill=—","Direction=H","UseDPDF=Y")</f>
        <v>59581</v>
      </c>
      <c r="AA42" s="13">
        <f>_xll.BDH("XOM US Equity","ACCT_PAYABLE_&amp;_ACCRUALS_DETAILED","FQ3 2014","FQ3 2014","Currency=USD","Period=FQ","BEST_FPERIOD_OVERRIDE=FQ","FILING_STATUS=OR","SCALING_FORMAT=MLN","Sort=A","Dates=H","DateFormat=P","Fill=—","Direction=H","UseDPDF=Y")</f>
        <v>55741</v>
      </c>
      <c r="AB42" s="13">
        <f>_xll.BDH("XOM US Equity","ACCT_PAYABLE_&amp;_ACCRUALS_DETAILED","FQ4 2014","FQ4 2014","Currency=USD","Period=FQ","BEST_FPERIOD_OVERRIDE=FQ","FILING_STATUS=OR","SCALING_FORMAT=MLN","Sort=A","Dates=H","DateFormat=P","Fill=—","Direction=H","UseDPDF=Y")</f>
        <v>47165</v>
      </c>
      <c r="AC42" s="13">
        <f>_xll.BDH("XOM US Equity","ACCT_PAYABLE_&amp;_ACCRUALS_DETAILED","FQ1 2015","FQ1 2015","Currency=USD","Period=FQ","BEST_FPERIOD_OVERRIDE=FQ","FILING_STATUS=OR","SCALING_FORMAT=MLN","Sort=A","Dates=H","DateFormat=P","Fill=—","Direction=H","UseDPDF=Y")</f>
        <v>42656</v>
      </c>
      <c r="AD42" s="13">
        <f>_xll.BDH("XOM US Equity","ACCT_PAYABLE_&amp;_ACCRUALS_DETAILED","FQ2 2015","FQ2 2015","Currency=USD","Period=FQ","BEST_FPERIOD_OVERRIDE=FQ","FILING_STATUS=OR","SCALING_FORMAT=MLN","Sort=A","Dates=H","DateFormat=P","Fill=—","Direction=H","UseDPDF=Y")</f>
        <v>43963</v>
      </c>
      <c r="AE42" s="13">
        <f>_xll.BDH("XOM US Equity","ACCT_PAYABLE_&amp;_ACCRUALS_DETAILED","FQ3 2015","FQ3 2015","Currency=USD","Period=FQ","BEST_FPERIOD_OVERRIDE=FQ","FILING_STATUS=OR","SCALING_FORMAT=MLN","Sort=A","Dates=H","DateFormat=P","Fill=—","Direction=H","UseDPDF=Y")</f>
        <v>40355</v>
      </c>
      <c r="AF42" s="13">
        <f>_xll.BDH("XOM US Equity","ACCT_PAYABLE_&amp;_ACCRUALS_DETAILED","FQ4 2015","FQ4 2015","Currency=USD","Period=FQ","BEST_FPERIOD_OVERRIDE=FQ","FILING_STATUS=OR","SCALING_FORMAT=MLN","Sort=A","Dates=H","DateFormat=P","Fill=—","Direction=H","UseDPDF=Y")</f>
        <v>35214</v>
      </c>
      <c r="AG42" s="13">
        <f>_xll.BDH("XOM US Equity","ACCT_PAYABLE_&amp;_ACCRUALS_DETAILED","FQ1 2016","FQ1 2016","Currency=USD","Period=FQ","BEST_FPERIOD_OVERRIDE=FQ","FILING_STATUS=OR","SCALING_FORMAT=MLN","Sort=A","Dates=H","DateFormat=P","Fill=—","Direction=H","UseDPDF=Y")</f>
        <v>35186</v>
      </c>
      <c r="AH42" s="13">
        <f>_xll.BDH("XOM US Equity","ACCT_PAYABLE_&amp;_ACCRUALS_DETAILED","FQ2 2016","FQ2 2016","Currency=USD","Period=FQ","BEST_FPERIOD_OVERRIDE=FQ","FILING_STATUS=OR","SCALING_FORMAT=MLN","Sort=A","Dates=H","DateFormat=P","Fill=—","Direction=H","UseDPDF=Y")</f>
        <v>36532</v>
      </c>
      <c r="AI42" s="13">
        <f>_xll.BDH("XOM US Equity","ACCT_PAYABLE_&amp;_ACCRUALS_DETAILED","FQ3 2016","FQ3 2016","Currency=USD","Period=FQ","BEST_FPERIOD_OVERRIDE=FQ","FILING_STATUS=OR","SCALING_FORMAT=MLN","Sort=A","Dates=H","DateFormat=P","Fill=—","Direction=H","UseDPDF=Y")</f>
        <v>32782</v>
      </c>
      <c r="AJ42" s="13">
        <f>_xll.BDH("XOM US Equity","ACCT_PAYABLE_&amp;_ACCRUALS_DETAILED","FQ4 2016","FQ4 2016","Currency=USD","Period=FQ","BEST_FPERIOD_OVERRIDE=FQ","FILING_STATUS=OR","SCALING_FORMAT=MLN","Sort=A","Dates=H","DateFormat=P","Fill=—","Direction=H","UseDPDF=Y")</f>
        <v>33808</v>
      </c>
      <c r="AK42" s="13">
        <f>_xll.BDH("XOM US Equity","ACCT_PAYABLE_&amp;_ACCRUALS_DETAILED","FQ1 2017","FQ1 2017","Currency=USD","Period=FQ","BEST_FPERIOD_OVERRIDE=FQ","FILING_STATUS=OR","SCALING_FORMAT=MLN","Sort=A","Dates=H","DateFormat=P","Fill=—","Direction=H","UseDPDF=Y")</f>
        <v>34891</v>
      </c>
      <c r="AL42" s="13">
        <f>_xll.BDH("XOM US Equity","ACCT_PAYABLE_&amp;_ACCRUALS_DETAILED","FQ2 2017","FQ2 2017","Currency=USD","Period=FQ","BEST_FPERIOD_OVERRIDE=FQ","FILING_STATUS=OR","SCALING_FORMAT=MLN","Sort=A","Dates=H","DateFormat=P","Fill=—","Direction=H","UseDPDF=Y")</f>
        <v>33764</v>
      </c>
      <c r="AM42" s="13">
        <f>_xll.BDH("XOM US Equity","ACCT_PAYABLE_&amp;_ACCRUALS_DETAILED","FQ3 2017","FQ3 2017","Currency=USD","Period=FQ","BEST_FPERIOD_OVERRIDE=FQ","FILING_STATUS=OR","SCALING_FORMAT=MLN","Sort=A","Dates=H","DateFormat=P","Fill=—","Direction=H","UseDPDF=Y")</f>
        <v>38036</v>
      </c>
      <c r="AN42" s="13">
        <f>_xll.BDH("XOM US Equity","ACCT_PAYABLE_&amp;_ACCRUALS_DETAILED","FQ4 2017","FQ4 2017","Currency=USD","Period=FQ","BEST_FPERIOD_OVERRIDE=FQ","FILING_STATUS=OR","SCALING_FORMAT=MLN","Sort=A","Dates=H","DateFormat=P","Fill=—","Direction=H","UseDPDF=Y")</f>
        <v>39841</v>
      </c>
      <c r="AO42" s="13">
        <f>_xll.BDH("XOM US Equity","ACCT_PAYABLE_&amp;_ACCRUALS_DETAILED","FQ1 2018","FQ1 2018","Currency=USD","Period=FQ","BEST_FPERIOD_OVERRIDE=FQ","FILING_STATUS=OR","SCALING_FORMAT=MLN","Sort=A","Dates=H","DateFormat=P","Fill=—","Direction=H","UseDPDF=Y")</f>
        <v>40470</v>
      </c>
      <c r="AP42" s="13">
        <f>_xll.BDH("XOM US Equity","ACCT_PAYABLE_&amp;_ACCRUALS_DETAILED","FQ2 2018","FQ2 2018","Currency=USD","Period=FQ","BEST_FPERIOD_OVERRIDE=FQ","FILING_STATUS=OR","SCALING_FORMAT=MLN","Sort=A","Dates=H","DateFormat=P","Fill=—","Direction=H","UseDPDF=Y")</f>
        <v>41947</v>
      </c>
    </row>
    <row r="43" spans="1:42" x14ac:dyDescent="0.25">
      <c r="A43" s="10" t="s">
        <v>272</v>
      </c>
      <c r="B43" s="10" t="s">
        <v>273</v>
      </c>
      <c r="C43" s="13">
        <f>_xll.BDH("XOM US Equity","BS_ACCT_PAYABLE","FQ3 2008","FQ3 2008","Currency=USD","Period=FQ","BEST_FPERIOD_OVERRIDE=FQ","FILING_STATUS=OR","SCALING_FORMAT=MLN","Sort=A","Dates=H","DateFormat=P","Fill=—","Direction=H","UseDPDF=Y")</f>
        <v>49087</v>
      </c>
      <c r="D43" s="13">
        <f>_xll.BDH("XOM US Equity","BS_ACCT_PAYABLE","FQ4 2008","FQ4 2008","Currency=USD","Period=FQ","BEST_FPERIOD_OVERRIDE=FQ","FILING_STATUS=OR","SCALING_FORMAT=MLN","Sort=A","Dates=H","DateFormat=P","Fill=—","Direction=H","UseDPDF=Y")</f>
        <v>21190</v>
      </c>
      <c r="E43" s="13" t="str">
        <f>_xll.BDH("XOM US Equity","BS_ACCT_PAYABLE","FQ1 2009","FQ1 2009","Currency=USD","Period=FQ","BEST_FPERIOD_OVERRIDE=FQ","FILING_STATUS=OR","SCALING_FORMAT=MLN","Sort=A","Dates=H","DateFormat=P","Fill=—","Direction=H","UseDPDF=Y")</f>
        <v>—</v>
      </c>
      <c r="F43" s="13" t="str">
        <f>_xll.BDH("XOM US Equity","BS_ACCT_PAYABLE","FQ2 2009","FQ2 2009","Currency=USD","Period=FQ","BEST_FPERIOD_OVERRIDE=FQ","FILING_STATUS=OR","SCALING_FORMAT=MLN","Sort=A","Dates=H","DateFormat=P","Fill=—","Direction=H","UseDPDF=Y")</f>
        <v>—</v>
      </c>
      <c r="G43" s="13" t="str">
        <f>_xll.BDH("XOM US Equity","BS_ACCT_PAYABLE","FQ3 2009","FQ3 2009","Currency=USD","Period=FQ","BEST_FPERIOD_OVERRIDE=FQ","FILING_STATUS=OR","SCALING_FORMAT=MLN","Sort=A","Dates=H","DateFormat=P","Fill=—","Direction=H","UseDPDF=Y")</f>
        <v>—</v>
      </c>
      <c r="H43" s="13">
        <f>_xll.BDH("XOM US Equity","BS_ACCT_PAYABLE","FQ4 2009","FQ4 2009","Currency=USD","Period=FQ","BEST_FPERIOD_OVERRIDE=FQ","FILING_STATUS=OR","SCALING_FORMAT=MLN","Sort=A","Dates=H","DateFormat=P","Fill=—","Direction=H","UseDPDF=Y")</f>
        <v>24236</v>
      </c>
      <c r="I43" s="13" t="str">
        <f>_xll.BDH("XOM US Equity","BS_ACCT_PAYABLE","FQ1 2010","FQ1 2010","Currency=USD","Period=FQ","BEST_FPERIOD_OVERRIDE=FQ","FILING_STATUS=OR","SCALING_FORMAT=MLN","Sort=A","Dates=H","DateFormat=P","Fill=—","Direction=H","UseDPDF=Y")</f>
        <v>—</v>
      </c>
      <c r="J43" s="13" t="str">
        <f>_xll.BDH("XOM US Equity","BS_ACCT_PAYABLE","FQ2 2010","FQ2 2010","Currency=USD","Period=FQ","BEST_FPERIOD_OVERRIDE=FQ","FILING_STATUS=OR","SCALING_FORMAT=MLN","Sort=A","Dates=H","DateFormat=P","Fill=—","Direction=H","UseDPDF=Y")</f>
        <v>—</v>
      </c>
      <c r="K43" s="13" t="str">
        <f>_xll.BDH("XOM US Equity","BS_ACCT_PAYABLE","FQ3 2010","FQ3 2010","Currency=USD","Period=FQ","BEST_FPERIOD_OVERRIDE=FQ","FILING_STATUS=OR","SCALING_FORMAT=MLN","Sort=A","Dates=H","DateFormat=P","Fill=—","Direction=H","UseDPDF=Y")</f>
        <v>—</v>
      </c>
      <c r="L43" s="13">
        <f>_xll.BDH("XOM US Equity","BS_ACCT_PAYABLE","FQ4 2010","FQ4 2010","Currency=USD","Period=FQ","BEST_FPERIOD_OVERRIDE=FQ","FILING_STATUS=OR","SCALING_FORMAT=MLN","Sort=A","Dates=H","DateFormat=P","Fill=—","Direction=H","UseDPDF=Y")</f>
        <v>30780</v>
      </c>
      <c r="M43" s="13" t="str">
        <f>_xll.BDH("XOM US Equity","BS_ACCT_PAYABLE","FQ1 2011","FQ1 2011","Currency=USD","Period=FQ","BEST_FPERIOD_OVERRIDE=FQ","FILING_STATUS=OR","SCALING_FORMAT=MLN","Sort=A","Dates=H","DateFormat=P","Fill=—","Direction=H","UseDPDF=Y")</f>
        <v>—</v>
      </c>
      <c r="N43" s="13" t="str">
        <f>_xll.BDH("XOM US Equity","BS_ACCT_PAYABLE","FQ2 2011","FQ2 2011","Currency=USD","Period=FQ","BEST_FPERIOD_OVERRIDE=FQ","FILING_STATUS=OR","SCALING_FORMAT=MLN","Sort=A","Dates=H","DateFormat=P","Fill=—","Direction=H","UseDPDF=Y")</f>
        <v>—</v>
      </c>
      <c r="O43" s="13" t="str">
        <f>_xll.BDH("XOM US Equity","BS_ACCT_PAYABLE","FQ3 2011","FQ3 2011","Currency=USD","Period=FQ","BEST_FPERIOD_OVERRIDE=FQ","FILING_STATUS=OR","SCALING_FORMAT=MLN","Sort=A","Dates=H","DateFormat=P","Fill=—","Direction=H","UseDPDF=Y")</f>
        <v>—</v>
      </c>
      <c r="P43" s="13">
        <f>_xll.BDH("XOM US Equity","BS_ACCT_PAYABLE","FQ4 2011","FQ4 2011","Currency=USD","Period=FQ","BEST_FPERIOD_OVERRIDE=FQ","FILING_STATUS=OR","SCALING_FORMAT=MLN","Sort=A","Dates=H","DateFormat=P","Fill=—","Direction=H","UseDPDF=Y")</f>
        <v>33969</v>
      </c>
      <c r="Q43" s="13" t="str">
        <f>_xll.BDH("XOM US Equity","BS_ACCT_PAYABLE","FQ1 2012","FQ1 2012","Currency=USD","Period=FQ","BEST_FPERIOD_OVERRIDE=FQ","FILING_STATUS=OR","SCALING_FORMAT=MLN","Sort=A","Dates=H","DateFormat=P","Fill=—","Direction=H","UseDPDF=Y")</f>
        <v>—</v>
      </c>
      <c r="R43" s="13" t="str">
        <f>_xll.BDH("XOM US Equity","BS_ACCT_PAYABLE","FQ2 2012","FQ2 2012","Currency=USD","Period=FQ","BEST_FPERIOD_OVERRIDE=FQ","FILING_STATUS=OR","SCALING_FORMAT=MLN","Sort=A","Dates=H","DateFormat=P","Fill=—","Direction=H","UseDPDF=Y")</f>
        <v>—</v>
      </c>
      <c r="S43" s="13" t="str">
        <f>_xll.BDH("XOM US Equity","BS_ACCT_PAYABLE","FQ3 2012","FQ3 2012","Currency=USD","Period=FQ","BEST_FPERIOD_OVERRIDE=FQ","FILING_STATUS=OR","SCALING_FORMAT=MLN","Sort=A","Dates=H","DateFormat=P","Fill=—","Direction=H","UseDPDF=Y")</f>
        <v>—</v>
      </c>
      <c r="T43" s="13">
        <f>_xll.BDH("XOM US Equity","BS_ACCT_PAYABLE","FQ4 2012","FQ4 2012","Currency=USD","Period=FQ","BEST_FPERIOD_OVERRIDE=FQ","FILING_STATUS=OR","SCALING_FORMAT=MLN","Sort=A","Dates=H","DateFormat=P","Fill=—","Direction=H","UseDPDF=Y")</f>
        <v>33789</v>
      </c>
      <c r="U43" s="13" t="str">
        <f>_xll.BDH("XOM US Equity","BS_ACCT_PAYABLE","FQ1 2013","FQ1 2013","Currency=USD","Period=FQ","BEST_FPERIOD_OVERRIDE=FQ","FILING_STATUS=OR","SCALING_FORMAT=MLN","Sort=A","Dates=H","DateFormat=P","Fill=—","Direction=H","UseDPDF=Y")</f>
        <v>—</v>
      </c>
      <c r="V43" s="13" t="str">
        <f>_xll.BDH("XOM US Equity","BS_ACCT_PAYABLE","FQ2 2013","FQ2 2013","Currency=USD","Period=FQ","BEST_FPERIOD_OVERRIDE=FQ","FILING_STATUS=OR","SCALING_FORMAT=MLN","Sort=A","Dates=H","DateFormat=P","Fill=—","Direction=H","UseDPDF=Y")</f>
        <v>—</v>
      </c>
      <c r="W43" s="13" t="str">
        <f>_xll.BDH("XOM US Equity","BS_ACCT_PAYABLE","FQ3 2013","FQ3 2013","Currency=USD","Period=FQ","BEST_FPERIOD_OVERRIDE=FQ","FILING_STATUS=OR","SCALING_FORMAT=MLN","Sort=A","Dates=H","DateFormat=P","Fill=—","Direction=H","UseDPDF=Y")</f>
        <v>—</v>
      </c>
      <c r="X43" s="13">
        <f>_xll.BDH("XOM US Equity","BS_ACCT_PAYABLE","FQ4 2013","FQ4 2013","Currency=USD","Period=FQ","BEST_FPERIOD_OVERRIDE=FQ","FILING_STATUS=OR","SCALING_FORMAT=MLN","Sort=A","Dates=H","DateFormat=P","Fill=—","Direction=H","UseDPDF=Y")</f>
        <v>30920</v>
      </c>
      <c r="Y43" s="13" t="str">
        <f>_xll.BDH("XOM US Equity","BS_ACCT_PAYABLE","FQ1 2014","FQ1 2014","Currency=USD","Period=FQ","BEST_FPERIOD_OVERRIDE=FQ","FILING_STATUS=OR","SCALING_FORMAT=MLN","Sort=A","Dates=H","DateFormat=P","Fill=—","Direction=H","UseDPDF=Y")</f>
        <v>—</v>
      </c>
      <c r="Z43" s="13" t="str">
        <f>_xll.BDH("XOM US Equity","BS_ACCT_PAYABLE","FQ2 2014","FQ2 2014","Currency=USD","Period=FQ","BEST_FPERIOD_OVERRIDE=FQ","FILING_STATUS=OR","SCALING_FORMAT=MLN","Sort=A","Dates=H","DateFormat=P","Fill=—","Direction=H","UseDPDF=Y")</f>
        <v>—</v>
      </c>
      <c r="AA43" s="13" t="str">
        <f>_xll.BDH("XOM US Equity","BS_ACCT_PAYABLE","FQ3 2014","FQ3 2014","Currency=USD","Period=FQ","BEST_FPERIOD_OVERRIDE=FQ","FILING_STATUS=OR","SCALING_FORMAT=MLN","Sort=A","Dates=H","DateFormat=P","Fill=—","Direction=H","UseDPDF=Y")</f>
        <v>—</v>
      </c>
      <c r="AB43" s="13">
        <f>_xll.BDH("XOM US Equity","BS_ACCT_PAYABLE","FQ4 2014","FQ4 2014","Currency=USD","Period=FQ","BEST_FPERIOD_OVERRIDE=FQ","FILING_STATUS=OR","SCALING_FORMAT=MLN","Sort=A","Dates=H","DateFormat=P","Fill=—","Direction=H","UseDPDF=Y")</f>
        <v>25286</v>
      </c>
      <c r="AC43" s="13" t="str">
        <f>_xll.BDH("XOM US Equity","BS_ACCT_PAYABLE","FQ1 2015","FQ1 2015","Currency=USD","Period=FQ","BEST_FPERIOD_OVERRIDE=FQ","FILING_STATUS=OR","SCALING_FORMAT=MLN","Sort=A","Dates=H","DateFormat=P","Fill=—","Direction=H","UseDPDF=Y")</f>
        <v>—</v>
      </c>
      <c r="AD43" s="13" t="str">
        <f>_xll.BDH("XOM US Equity","BS_ACCT_PAYABLE","FQ2 2015","FQ2 2015","Currency=USD","Period=FQ","BEST_FPERIOD_OVERRIDE=FQ","FILING_STATUS=OR","SCALING_FORMAT=MLN","Sort=A","Dates=H","DateFormat=P","Fill=—","Direction=H","UseDPDF=Y")</f>
        <v>—</v>
      </c>
      <c r="AE43" s="13" t="str">
        <f>_xll.BDH("XOM US Equity","BS_ACCT_PAYABLE","FQ3 2015","FQ3 2015","Currency=USD","Period=FQ","BEST_FPERIOD_OVERRIDE=FQ","FILING_STATUS=OR","SCALING_FORMAT=MLN","Sort=A","Dates=H","DateFormat=P","Fill=—","Direction=H","UseDPDF=Y")</f>
        <v>—</v>
      </c>
      <c r="AF43" s="13">
        <f>_xll.BDH("XOM US Equity","BS_ACCT_PAYABLE","FQ4 2015","FQ4 2015","Currency=USD","Period=FQ","BEST_FPERIOD_OVERRIDE=FQ","FILING_STATUS=OR","SCALING_FORMAT=MLN","Sort=A","Dates=H","DateFormat=P","Fill=—","Direction=H","UseDPDF=Y")</f>
        <v>18074</v>
      </c>
      <c r="AG43" s="13" t="str">
        <f>_xll.BDH("XOM US Equity","BS_ACCT_PAYABLE","FQ1 2016","FQ1 2016","Currency=USD","Period=FQ","BEST_FPERIOD_OVERRIDE=FQ","FILING_STATUS=OR","SCALING_FORMAT=MLN","Sort=A","Dates=H","DateFormat=P","Fill=—","Direction=H","UseDPDF=Y")</f>
        <v>—</v>
      </c>
      <c r="AH43" s="13" t="str">
        <f>_xll.BDH("XOM US Equity","BS_ACCT_PAYABLE","FQ2 2016","FQ2 2016","Currency=USD","Period=FQ","BEST_FPERIOD_OVERRIDE=FQ","FILING_STATUS=OR","SCALING_FORMAT=MLN","Sort=A","Dates=H","DateFormat=P","Fill=—","Direction=H","UseDPDF=Y")</f>
        <v>—</v>
      </c>
      <c r="AI43" s="13" t="str">
        <f>_xll.BDH("XOM US Equity","BS_ACCT_PAYABLE","FQ3 2016","FQ3 2016","Currency=USD","Period=FQ","BEST_FPERIOD_OVERRIDE=FQ","FILING_STATUS=OR","SCALING_FORMAT=MLN","Sort=A","Dates=H","DateFormat=P","Fill=—","Direction=H","UseDPDF=Y")</f>
        <v>—</v>
      </c>
      <c r="AJ43" s="13">
        <f>_xll.BDH("XOM US Equity","BS_ACCT_PAYABLE","FQ4 2016","FQ4 2016","Currency=USD","Period=FQ","BEST_FPERIOD_OVERRIDE=FQ","FILING_STATUS=OR","SCALING_FORMAT=MLN","Sort=A","Dates=H","DateFormat=P","Fill=—","Direction=H","UseDPDF=Y")</f>
        <v>17801</v>
      </c>
      <c r="AK43" s="13" t="str">
        <f>_xll.BDH("XOM US Equity","BS_ACCT_PAYABLE","FQ1 2017","FQ1 2017","Currency=USD","Period=FQ","BEST_FPERIOD_OVERRIDE=FQ","FILING_STATUS=OR","SCALING_FORMAT=MLN","Sort=A","Dates=H","DateFormat=P","Fill=—","Direction=H","UseDPDF=Y")</f>
        <v>—</v>
      </c>
      <c r="AL43" s="13" t="str">
        <f>_xll.BDH("XOM US Equity","BS_ACCT_PAYABLE","FQ2 2017","FQ2 2017","Currency=USD","Period=FQ","BEST_FPERIOD_OVERRIDE=FQ","FILING_STATUS=OR","SCALING_FORMAT=MLN","Sort=A","Dates=H","DateFormat=P","Fill=—","Direction=H","UseDPDF=Y")</f>
        <v>—</v>
      </c>
      <c r="AM43" s="13" t="str">
        <f>_xll.BDH("XOM US Equity","BS_ACCT_PAYABLE","FQ3 2017","FQ3 2017","Currency=USD","Period=FQ","BEST_FPERIOD_OVERRIDE=FQ","FILING_STATUS=OR","SCALING_FORMAT=MLN","Sort=A","Dates=H","DateFormat=P","Fill=—","Direction=H","UseDPDF=Y")</f>
        <v>—</v>
      </c>
      <c r="AN43" s="13">
        <f>_xll.BDH("XOM US Equity","BS_ACCT_PAYABLE","FQ4 2017","FQ4 2017","Currency=USD","Period=FQ","BEST_FPERIOD_OVERRIDE=FQ","FILING_STATUS=OR","SCALING_FORMAT=MLN","Sort=A","Dates=H","DateFormat=P","Fill=—","Direction=H","UseDPDF=Y")</f>
        <v>21701</v>
      </c>
      <c r="AO43" s="13" t="str">
        <f>_xll.BDH("XOM US Equity","BS_ACCT_PAYABLE","FQ1 2018","FQ1 2018","Currency=USD","Period=FQ","BEST_FPERIOD_OVERRIDE=FQ","FILING_STATUS=OR","SCALING_FORMAT=MLN","Sort=A","Dates=H","DateFormat=P","Fill=—","Direction=H","UseDPDF=Y")</f>
        <v>—</v>
      </c>
      <c r="AP43" s="13" t="str">
        <f>_xll.BDH("XOM US Equity","BS_ACCT_PAYABLE","FQ2 2018","FQ2 2018","Currency=USD","Period=FQ","BEST_FPERIOD_OVERRIDE=FQ","FILING_STATUS=OR","SCALING_FORMAT=MLN","Sort=A","Dates=H","DateFormat=P","Fill=—","Direction=H","UseDPDF=Y")</f>
        <v>—</v>
      </c>
    </row>
    <row r="44" spans="1:42" x14ac:dyDescent="0.25">
      <c r="A44" s="10" t="s">
        <v>274</v>
      </c>
      <c r="B44" s="10" t="s">
        <v>275</v>
      </c>
      <c r="C44" s="13" t="str">
        <f>_xll.BDH("XOM US Equity","BS_TAXES_PAYABLE","FQ3 2008","FQ3 2008","Currency=USD","Period=FQ","BEST_FPERIOD_OVERRIDE=FQ","FILING_STATUS=OR","SCALING_FORMAT=MLN","Sort=A","Dates=H","DateFormat=P","Fill=—","Direction=H","UseDPDF=Y")</f>
        <v>—</v>
      </c>
      <c r="D44" s="13" t="str">
        <f>_xll.BDH("XOM US Equity","BS_TAXES_PAYABLE","FQ4 2008","FQ4 2008","Currency=USD","Period=FQ","BEST_FPERIOD_OVERRIDE=FQ","FILING_STATUS=OR","SCALING_FORMAT=MLN","Sort=A","Dates=H","DateFormat=P","Fill=—","Direction=H","UseDPDF=Y")</f>
        <v>—</v>
      </c>
      <c r="E44" s="13">
        <f>_xll.BDH("XOM US Equity","BS_TAXES_PAYABLE","FQ1 2009","FQ1 2009","Currency=USD","Period=FQ","BEST_FPERIOD_OVERRIDE=FQ","FILING_STATUS=OR","SCALING_FORMAT=MLN","Sort=A","Dates=H","DateFormat=P","Fill=—","Direction=H","UseDPDF=Y")</f>
        <v>8874</v>
      </c>
      <c r="F44" s="13">
        <f>_xll.BDH("XOM US Equity","BS_TAXES_PAYABLE","FQ2 2009","FQ2 2009","Currency=USD","Period=FQ","BEST_FPERIOD_OVERRIDE=FQ","FILING_STATUS=OR","SCALING_FORMAT=MLN","Sort=A","Dates=H","DateFormat=P","Fill=—","Direction=H","UseDPDF=Y")</f>
        <v>7562</v>
      </c>
      <c r="G44" s="13">
        <f>_xll.BDH("XOM US Equity","BS_TAXES_PAYABLE","FQ3 2009","FQ3 2009","Currency=USD","Period=FQ","BEST_FPERIOD_OVERRIDE=FQ","FILING_STATUS=OR","SCALING_FORMAT=MLN","Sort=A","Dates=H","DateFormat=P","Fill=—","Direction=H","UseDPDF=Y")</f>
        <v>7870</v>
      </c>
      <c r="H44" s="13">
        <f>_xll.BDH("XOM US Equity","BS_TAXES_PAYABLE","FQ4 2009","FQ4 2009","Currency=USD","Period=FQ","BEST_FPERIOD_OVERRIDE=FQ","FILING_STATUS=OR","SCALING_FORMAT=MLN","Sort=A","Dates=H","DateFormat=P","Fill=—","Direction=H","UseDPDF=Y")</f>
        <v>8310</v>
      </c>
      <c r="I44" s="13">
        <f>_xll.BDH("XOM US Equity","BS_TAXES_PAYABLE","FQ1 2010","FQ1 2010","Currency=USD","Period=FQ","BEST_FPERIOD_OVERRIDE=FQ","FILING_STATUS=OR","SCALING_FORMAT=MLN","Sort=A","Dates=H","DateFormat=P","Fill=—","Direction=H","UseDPDF=Y")</f>
        <v>9212</v>
      </c>
      <c r="J44" s="13">
        <f>_xll.BDH("XOM US Equity","BS_TAXES_PAYABLE","FQ2 2010","FQ2 2010","Currency=USD","Period=FQ","BEST_FPERIOD_OVERRIDE=FQ","FILING_STATUS=OR","SCALING_FORMAT=MLN","Sort=A","Dates=H","DateFormat=P","Fill=—","Direction=H","UseDPDF=Y")</f>
        <v>9421</v>
      </c>
      <c r="K44" s="13">
        <f>_xll.BDH("XOM US Equity","BS_TAXES_PAYABLE","FQ3 2010","FQ3 2010","Currency=USD","Period=FQ","BEST_FPERIOD_OVERRIDE=FQ","FILING_STATUS=OR","SCALING_FORMAT=MLN","Sort=A","Dates=H","DateFormat=P","Fill=—","Direction=H","UseDPDF=Y")</f>
        <v>10443</v>
      </c>
      <c r="L44" s="13">
        <f>_xll.BDH("XOM US Equity","BS_TAXES_PAYABLE","FQ4 2010","FQ4 2010","Currency=USD","Period=FQ","BEST_FPERIOD_OVERRIDE=FQ","FILING_STATUS=OR","SCALING_FORMAT=MLN","Sort=A","Dates=H","DateFormat=P","Fill=—","Direction=H","UseDPDF=Y")</f>
        <v>9812</v>
      </c>
      <c r="M44" s="13">
        <f>_xll.BDH("XOM US Equity","BS_TAXES_PAYABLE","FQ1 2011","FQ1 2011","Currency=USD","Period=FQ","BEST_FPERIOD_OVERRIDE=FQ","FILING_STATUS=OR","SCALING_FORMAT=MLN","Sort=A","Dates=H","DateFormat=P","Fill=—","Direction=H","UseDPDF=Y")</f>
        <v>12316</v>
      </c>
      <c r="N44" s="13">
        <f>_xll.BDH("XOM US Equity","BS_TAXES_PAYABLE","FQ2 2011","FQ2 2011","Currency=USD","Period=FQ","BEST_FPERIOD_OVERRIDE=FQ","FILING_STATUS=OR","SCALING_FORMAT=MLN","Sort=A","Dates=H","DateFormat=P","Fill=—","Direction=H","UseDPDF=Y")</f>
        <v>12315</v>
      </c>
      <c r="O44" s="13">
        <f>_xll.BDH("XOM US Equity","BS_TAXES_PAYABLE","FQ3 2011","FQ3 2011","Currency=USD","Period=FQ","BEST_FPERIOD_OVERRIDE=FQ","FILING_STATUS=OR","SCALING_FORMAT=MLN","Sort=A","Dates=H","DateFormat=P","Fill=—","Direction=H","UseDPDF=Y")</f>
        <v>12968</v>
      </c>
      <c r="P44" s="13">
        <f>_xll.BDH("XOM US Equity","BS_TAXES_PAYABLE","FQ4 2011","FQ4 2011","Currency=USD","Period=FQ","BEST_FPERIOD_OVERRIDE=FQ","FILING_STATUS=OR","SCALING_FORMAT=MLN","Sort=A","Dates=H","DateFormat=P","Fill=—","Direction=H","UseDPDF=Y")</f>
        <v>12727</v>
      </c>
      <c r="Q44" s="13">
        <f>_xll.BDH("XOM US Equity","BS_TAXES_PAYABLE","FQ1 2012","FQ1 2012","Currency=USD","Period=FQ","BEST_FPERIOD_OVERRIDE=FQ","FILING_STATUS=OR","SCALING_FORMAT=MLN","Sort=A","Dates=H","DateFormat=P","Fill=—","Direction=H","UseDPDF=Y")</f>
        <v>14491</v>
      </c>
      <c r="R44" s="13">
        <f>_xll.BDH("XOM US Equity","BS_TAXES_PAYABLE","FQ2 2012","FQ2 2012","Currency=USD","Period=FQ","BEST_FPERIOD_OVERRIDE=FQ","FILING_STATUS=OR","SCALING_FORMAT=MLN","Sort=A","Dates=H","DateFormat=P","Fill=—","Direction=H","UseDPDF=Y")</f>
        <v>12110</v>
      </c>
      <c r="S44" s="13">
        <f>_xll.BDH("XOM US Equity","BS_TAXES_PAYABLE","FQ3 2012","FQ3 2012","Currency=USD","Period=FQ","BEST_FPERIOD_OVERRIDE=FQ","FILING_STATUS=OR","SCALING_FORMAT=MLN","Sort=A","Dates=H","DateFormat=P","Fill=—","Direction=H","UseDPDF=Y")</f>
        <v>13049</v>
      </c>
      <c r="T44" s="13">
        <f>_xll.BDH("XOM US Equity","BS_TAXES_PAYABLE","FQ4 2012","FQ4 2012","Currency=USD","Period=FQ","BEST_FPERIOD_OVERRIDE=FQ","FILING_STATUS=OR","SCALING_FORMAT=MLN","Sort=A","Dates=H","DateFormat=P","Fill=—","Direction=H","UseDPDF=Y")</f>
        <v>9758</v>
      </c>
      <c r="U44" s="13">
        <f>_xll.BDH("XOM US Equity","BS_TAXES_PAYABLE","FQ1 2013","FQ1 2013","Currency=USD","Period=FQ","BEST_FPERIOD_OVERRIDE=FQ","FILING_STATUS=OR","SCALING_FORMAT=MLN","Sort=A","Dates=H","DateFormat=P","Fill=—","Direction=H","UseDPDF=Y")</f>
        <v>10169</v>
      </c>
      <c r="V44" s="13">
        <f>_xll.BDH("XOM US Equity","BS_TAXES_PAYABLE","FQ2 2013","FQ2 2013","Currency=USD","Period=FQ","BEST_FPERIOD_OVERRIDE=FQ","FILING_STATUS=OR","SCALING_FORMAT=MLN","Sort=A","Dates=H","DateFormat=P","Fill=—","Direction=H","UseDPDF=Y")</f>
        <v>8208</v>
      </c>
      <c r="W44" s="13">
        <f>_xll.BDH("XOM US Equity","BS_TAXES_PAYABLE","FQ3 2013","FQ3 2013","Currency=USD","Period=FQ","BEST_FPERIOD_OVERRIDE=FQ","FILING_STATUS=OR","SCALING_FORMAT=MLN","Sort=A","Dates=H","DateFormat=P","Fill=—","Direction=H","UseDPDF=Y")</f>
        <v>7600</v>
      </c>
      <c r="X44" s="13">
        <f>_xll.BDH("XOM US Equity","BS_TAXES_PAYABLE","FQ4 2013","FQ4 2013","Currency=USD","Period=FQ","BEST_FPERIOD_OVERRIDE=FQ","FILING_STATUS=OR","SCALING_FORMAT=MLN","Sort=A","Dates=H","DateFormat=P","Fill=—","Direction=H","UseDPDF=Y")</f>
        <v>7831</v>
      </c>
      <c r="Y44" s="13">
        <f>_xll.BDH("XOM US Equity","BS_TAXES_PAYABLE","FQ1 2014","FQ1 2014","Currency=USD","Period=FQ","BEST_FPERIOD_OVERRIDE=FQ","FILING_STATUS=OR","SCALING_FORMAT=MLN","Sort=A","Dates=H","DateFormat=P","Fill=—","Direction=H","UseDPDF=Y")</f>
        <v>8776</v>
      </c>
      <c r="Z44" s="13">
        <f>_xll.BDH("XOM US Equity","BS_TAXES_PAYABLE","FQ2 2014","FQ2 2014","Currency=USD","Period=FQ","BEST_FPERIOD_OVERRIDE=FQ","FILING_STATUS=OR","SCALING_FORMAT=MLN","Sort=A","Dates=H","DateFormat=P","Fill=—","Direction=H","UseDPDF=Y")</f>
        <v>7218</v>
      </c>
      <c r="AA44" s="13">
        <f>_xll.BDH("XOM US Equity","BS_TAXES_PAYABLE","FQ3 2014","FQ3 2014","Currency=USD","Period=FQ","BEST_FPERIOD_OVERRIDE=FQ","FILING_STATUS=OR","SCALING_FORMAT=MLN","Sort=A","Dates=H","DateFormat=P","Fill=—","Direction=H","UseDPDF=Y")</f>
        <v>6469</v>
      </c>
      <c r="AB44" s="13">
        <f>_xll.BDH("XOM US Equity","BS_TAXES_PAYABLE","FQ4 2014","FQ4 2014","Currency=USD","Period=FQ","BEST_FPERIOD_OVERRIDE=FQ","FILING_STATUS=OR","SCALING_FORMAT=MLN","Sort=A","Dates=H","DateFormat=P","Fill=—","Direction=H","UseDPDF=Y")</f>
        <v>8228</v>
      </c>
      <c r="AC44" s="13">
        <f>_xll.BDH("XOM US Equity","BS_TAXES_PAYABLE","FQ1 2015","FQ1 2015","Currency=USD","Period=FQ","BEST_FPERIOD_OVERRIDE=FQ","FILING_STATUS=OR","SCALING_FORMAT=MLN","Sort=A","Dates=H","DateFormat=P","Fill=—","Direction=H","UseDPDF=Y")</f>
        <v>4512</v>
      </c>
      <c r="AD44" s="13">
        <f>_xll.BDH("XOM US Equity","BS_TAXES_PAYABLE","FQ2 2015","FQ2 2015","Currency=USD","Period=FQ","BEST_FPERIOD_OVERRIDE=FQ","FILING_STATUS=OR","SCALING_FORMAT=MLN","Sort=A","Dates=H","DateFormat=P","Fill=—","Direction=H","UseDPDF=Y")</f>
        <v>4049</v>
      </c>
      <c r="AE44" s="13">
        <f>_xll.BDH("XOM US Equity","BS_TAXES_PAYABLE","FQ3 2015","FQ3 2015","Currency=USD","Period=FQ","BEST_FPERIOD_OVERRIDE=FQ","FILING_STATUS=OR","SCALING_FORMAT=MLN","Sort=A","Dates=H","DateFormat=P","Fill=—","Direction=H","UseDPDF=Y")</f>
        <v>3674</v>
      </c>
      <c r="AF44" s="13">
        <f>_xll.BDH("XOM US Equity","BS_TAXES_PAYABLE","FQ4 2015","FQ4 2015","Currency=USD","Period=FQ","BEST_FPERIOD_OVERRIDE=FQ","FILING_STATUS=OR","SCALING_FORMAT=MLN","Sort=A","Dates=H","DateFormat=P","Fill=—","Direction=H","UseDPDF=Y")</f>
        <v>5739</v>
      </c>
      <c r="AG44" s="13">
        <f>_xll.BDH("XOM US Equity","BS_TAXES_PAYABLE","FQ1 2016","FQ1 2016","Currency=USD","Period=FQ","BEST_FPERIOD_OVERRIDE=FQ","FILING_STATUS=OR","SCALING_FORMAT=MLN","Sort=A","Dates=H","DateFormat=P","Fill=—","Direction=H","UseDPDF=Y")</f>
        <v>2892</v>
      </c>
      <c r="AH44" s="13">
        <f>_xll.BDH("XOM US Equity","BS_TAXES_PAYABLE","FQ2 2016","FQ2 2016","Currency=USD","Period=FQ","BEST_FPERIOD_OVERRIDE=FQ","FILING_STATUS=OR","SCALING_FORMAT=MLN","Sort=A","Dates=H","DateFormat=P","Fill=—","Direction=H","UseDPDF=Y")</f>
        <v>2731</v>
      </c>
      <c r="AI44" s="13">
        <f>_xll.BDH("XOM US Equity","BS_TAXES_PAYABLE","FQ3 2016","FQ3 2016","Currency=USD","Period=FQ","BEST_FPERIOD_OVERRIDE=FQ","FILING_STATUS=OR","SCALING_FORMAT=MLN","Sort=A","Dates=H","DateFormat=P","Fill=—","Direction=H","UseDPDF=Y")</f>
        <v>2755</v>
      </c>
      <c r="AJ44" s="13">
        <f>_xll.BDH("XOM US Equity","BS_TAXES_PAYABLE","FQ4 2016","FQ4 2016","Currency=USD","Period=FQ","BEST_FPERIOD_OVERRIDE=FQ","FILING_STATUS=OR","SCALING_FORMAT=MLN","Sort=A","Dates=H","DateFormat=P","Fill=—","Direction=H","UseDPDF=Y")</f>
        <v>5268</v>
      </c>
      <c r="AK44" s="13">
        <f>_xll.BDH("XOM US Equity","BS_TAXES_PAYABLE","FQ1 2017","FQ1 2017","Currency=USD","Period=FQ","BEST_FPERIOD_OVERRIDE=FQ","FILING_STATUS=OR","SCALING_FORMAT=MLN","Sort=A","Dates=H","DateFormat=P","Fill=—","Direction=H","UseDPDF=Y")</f>
        <v>2822</v>
      </c>
      <c r="AL44" s="13">
        <f>_xll.BDH("XOM US Equity","BS_TAXES_PAYABLE","FQ2 2017","FQ2 2017","Currency=USD","Period=FQ","BEST_FPERIOD_OVERRIDE=FQ","FILING_STATUS=OR","SCALING_FORMAT=MLN","Sort=A","Dates=H","DateFormat=P","Fill=—","Direction=H","UseDPDF=Y")</f>
        <v>2664</v>
      </c>
      <c r="AM44" s="13">
        <f>_xll.BDH("XOM US Equity","BS_TAXES_PAYABLE","FQ3 2017","FQ3 2017","Currency=USD","Period=FQ","BEST_FPERIOD_OVERRIDE=FQ","FILING_STATUS=OR","SCALING_FORMAT=MLN","Sort=A","Dates=H","DateFormat=P","Fill=—","Direction=H","UseDPDF=Y")</f>
        <v>3338</v>
      </c>
      <c r="AN44" s="13">
        <f>_xll.BDH("XOM US Equity","BS_TAXES_PAYABLE","FQ4 2017","FQ4 2017","Currency=USD","Period=FQ","BEST_FPERIOD_OVERRIDE=FQ","FILING_STATUS=OR","SCALING_FORMAT=MLN","Sort=A","Dates=H","DateFormat=P","Fill=—","Direction=H","UseDPDF=Y")</f>
        <v>6356</v>
      </c>
      <c r="AO44" s="13">
        <f>_xll.BDH("XOM US Equity","BS_TAXES_PAYABLE","FQ1 2018","FQ1 2018","Currency=USD","Period=FQ","BEST_FPERIOD_OVERRIDE=FQ","FILING_STATUS=OR","SCALING_FORMAT=MLN","Sort=A","Dates=H","DateFormat=P","Fill=—","Direction=H","UseDPDF=Y")</f>
        <v>3263</v>
      </c>
      <c r="AP44" s="13">
        <f>_xll.BDH("XOM US Equity","BS_TAXES_PAYABLE","FQ2 2018","FQ2 2018","Currency=USD","Period=FQ","BEST_FPERIOD_OVERRIDE=FQ","FILING_STATUS=OR","SCALING_FORMAT=MLN","Sort=A","Dates=H","DateFormat=P","Fill=—","Direction=H","UseDPDF=Y")</f>
        <v>3457</v>
      </c>
    </row>
    <row r="45" spans="1:42" x14ac:dyDescent="0.25">
      <c r="A45" s="10" t="s">
        <v>276</v>
      </c>
      <c r="B45" s="10" t="s">
        <v>277</v>
      </c>
      <c r="C45" s="13" t="str">
        <f>_xll.BDH("XOM US Equity","BS_INTEREST_&amp;_DIVIDENDS_PAYABLE","FQ3 2008","FQ3 2008","Currency=USD","Period=FQ","BEST_FPERIOD_OVERRIDE=FQ","FILING_STATUS=OR","SCALING_FORMAT=MLN","Sort=A","Dates=H","DateFormat=P","Fill=—","Direction=H","UseDPDF=Y")</f>
        <v>—</v>
      </c>
      <c r="D45" s="13" t="str">
        <f>_xll.BDH("XOM US Equity","BS_INTEREST_&amp;_DIVIDENDS_PAYABLE","FQ4 2008","FQ4 2008","Currency=USD","Period=FQ","BEST_FPERIOD_OVERRIDE=FQ","FILING_STATUS=OR","SCALING_FORMAT=MLN","Sort=A","Dates=H","DateFormat=P","Fill=—","Direction=H","UseDPDF=Y")</f>
        <v>—</v>
      </c>
      <c r="E45" s="13" t="str">
        <f>_xll.BDH("XOM US Equity","BS_INTEREST_&amp;_DIVIDENDS_PAYABLE","FQ1 2009","FQ1 2009","Currency=USD","Period=FQ","BEST_FPERIOD_OVERRIDE=FQ","FILING_STATUS=OR","SCALING_FORMAT=MLN","Sort=A","Dates=H","DateFormat=P","Fill=—","Direction=H","UseDPDF=Y")</f>
        <v>—</v>
      </c>
      <c r="F45" s="13" t="str">
        <f>_xll.BDH("XOM US Equity","BS_INTEREST_&amp;_DIVIDENDS_PAYABLE","FQ2 2009","FQ2 2009","Currency=USD","Period=FQ","BEST_FPERIOD_OVERRIDE=FQ","FILING_STATUS=OR","SCALING_FORMAT=MLN","Sort=A","Dates=H","DateFormat=P","Fill=—","Direction=H","UseDPDF=Y")</f>
        <v>—</v>
      </c>
      <c r="G45" s="13" t="str">
        <f>_xll.BDH("XOM US Equity","BS_INTEREST_&amp;_DIVIDENDS_PAYABLE","FQ3 2009","FQ3 2009","Currency=USD","Period=FQ","BEST_FPERIOD_OVERRIDE=FQ","FILING_STATUS=OR","SCALING_FORMAT=MLN","Sort=A","Dates=H","DateFormat=P","Fill=—","Direction=H","UseDPDF=Y")</f>
        <v>—</v>
      </c>
      <c r="H45" s="13">
        <f>_xll.BDH("XOM US Equity","BS_INTEREST_&amp;_DIVIDENDS_PAYABLE","FQ4 2009","FQ4 2009","Currency=USD","Period=FQ","BEST_FPERIOD_OVERRIDE=FQ","FILING_STATUS=OR","SCALING_FORMAT=MLN","Sort=A","Dates=H","DateFormat=P","Fill=—","Direction=H","UseDPDF=Y")</f>
        <v>0</v>
      </c>
      <c r="I45" s="13" t="str">
        <f>_xll.BDH("XOM US Equity","BS_INTEREST_&amp;_DIVIDENDS_PAYABLE","FQ1 2010","FQ1 2010","Currency=USD","Period=FQ","BEST_FPERIOD_OVERRIDE=FQ","FILING_STATUS=OR","SCALING_FORMAT=MLN","Sort=A","Dates=H","DateFormat=P","Fill=—","Direction=H","UseDPDF=Y")</f>
        <v>—</v>
      </c>
      <c r="J45" s="13" t="str">
        <f>_xll.BDH("XOM US Equity","BS_INTEREST_&amp;_DIVIDENDS_PAYABLE","FQ2 2010","FQ2 2010","Currency=USD","Period=FQ","BEST_FPERIOD_OVERRIDE=FQ","FILING_STATUS=OR","SCALING_FORMAT=MLN","Sort=A","Dates=H","DateFormat=P","Fill=—","Direction=H","UseDPDF=Y")</f>
        <v>—</v>
      </c>
      <c r="K45" s="13" t="str">
        <f>_xll.BDH("XOM US Equity","BS_INTEREST_&amp;_DIVIDENDS_PAYABLE","FQ3 2010","FQ3 2010","Currency=USD","Period=FQ","BEST_FPERIOD_OVERRIDE=FQ","FILING_STATUS=OR","SCALING_FORMAT=MLN","Sort=A","Dates=H","DateFormat=P","Fill=—","Direction=H","UseDPDF=Y")</f>
        <v>—</v>
      </c>
      <c r="L45" s="13">
        <f>_xll.BDH("XOM US Equity","BS_INTEREST_&amp;_DIVIDENDS_PAYABLE","FQ4 2010","FQ4 2010","Currency=USD","Period=FQ","BEST_FPERIOD_OVERRIDE=FQ","FILING_STATUS=OR","SCALING_FORMAT=MLN","Sort=A","Dates=H","DateFormat=P","Fill=—","Direction=H","UseDPDF=Y")</f>
        <v>0</v>
      </c>
      <c r="M45" s="13" t="str">
        <f>_xll.BDH("XOM US Equity","BS_INTEREST_&amp;_DIVIDENDS_PAYABLE","FQ1 2011","FQ1 2011","Currency=USD","Period=FQ","BEST_FPERIOD_OVERRIDE=FQ","FILING_STATUS=OR","SCALING_FORMAT=MLN","Sort=A","Dates=H","DateFormat=P","Fill=—","Direction=H","UseDPDF=Y")</f>
        <v>—</v>
      </c>
      <c r="N45" s="13" t="str">
        <f>_xll.BDH("XOM US Equity","BS_INTEREST_&amp;_DIVIDENDS_PAYABLE","FQ2 2011","FQ2 2011","Currency=USD","Period=FQ","BEST_FPERIOD_OVERRIDE=FQ","FILING_STATUS=OR","SCALING_FORMAT=MLN","Sort=A","Dates=H","DateFormat=P","Fill=—","Direction=H","UseDPDF=Y")</f>
        <v>—</v>
      </c>
      <c r="O45" s="13" t="str">
        <f>_xll.BDH("XOM US Equity","BS_INTEREST_&amp;_DIVIDENDS_PAYABLE","FQ3 2011","FQ3 2011","Currency=USD","Period=FQ","BEST_FPERIOD_OVERRIDE=FQ","FILING_STATUS=OR","SCALING_FORMAT=MLN","Sort=A","Dates=H","DateFormat=P","Fill=—","Direction=H","UseDPDF=Y")</f>
        <v>—</v>
      </c>
      <c r="P45" s="13">
        <f>_xll.BDH("XOM US Equity","BS_INTEREST_&amp;_DIVIDENDS_PAYABLE","FQ4 2011","FQ4 2011","Currency=USD","Period=FQ","BEST_FPERIOD_OVERRIDE=FQ","FILING_STATUS=OR","SCALING_FORMAT=MLN","Sort=A","Dates=H","DateFormat=P","Fill=—","Direction=H","UseDPDF=Y")</f>
        <v>0</v>
      </c>
      <c r="Q45" s="13" t="str">
        <f>_xll.BDH("XOM US Equity","BS_INTEREST_&amp;_DIVIDENDS_PAYABLE","FQ1 2012","FQ1 2012","Currency=USD","Period=FQ","BEST_FPERIOD_OVERRIDE=FQ","FILING_STATUS=OR","SCALING_FORMAT=MLN","Sort=A","Dates=H","DateFormat=P","Fill=—","Direction=H","UseDPDF=Y")</f>
        <v>—</v>
      </c>
      <c r="R45" s="13" t="str">
        <f>_xll.BDH("XOM US Equity","BS_INTEREST_&amp;_DIVIDENDS_PAYABLE","FQ2 2012","FQ2 2012","Currency=USD","Period=FQ","BEST_FPERIOD_OVERRIDE=FQ","FILING_STATUS=OR","SCALING_FORMAT=MLN","Sort=A","Dates=H","DateFormat=P","Fill=—","Direction=H","UseDPDF=Y")</f>
        <v>—</v>
      </c>
      <c r="S45" s="13" t="str">
        <f>_xll.BDH("XOM US Equity","BS_INTEREST_&amp;_DIVIDENDS_PAYABLE","FQ3 2012","FQ3 2012","Currency=USD","Period=FQ","BEST_FPERIOD_OVERRIDE=FQ","FILING_STATUS=OR","SCALING_FORMAT=MLN","Sort=A","Dates=H","DateFormat=P","Fill=—","Direction=H","UseDPDF=Y")</f>
        <v>—</v>
      </c>
      <c r="T45" s="13">
        <f>_xll.BDH("XOM US Equity","BS_INTEREST_&amp;_DIVIDENDS_PAYABLE","FQ4 2012","FQ4 2012","Currency=USD","Period=FQ","BEST_FPERIOD_OVERRIDE=FQ","FILING_STATUS=OR","SCALING_FORMAT=MLN","Sort=A","Dates=H","DateFormat=P","Fill=—","Direction=H","UseDPDF=Y")</f>
        <v>0</v>
      </c>
      <c r="U45" s="13" t="str">
        <f>_xll.BDH("XOM US Equity","BS_INTEREST_&amp;_DIVIDENDS_PAYABLE","FQ1 2013","FQ1 2013","Currency=USD","Period=FQ","BEST_FPERIOD_OVERRIDE=FQ","FILING_STATUS=OR","SCALING_FORMAT=MLN","Sort=A","Dates=H","DateFormat=P","Fill=—","Direction=H","UseDPDF=Y")</f>
        <v>—</v>
      </c>
      <c r="V45" s="13" t="str">
        <f>_xll.BDH("XOM US Equity","BS_INTEREST_&amp;_DIVIDENDS_PAYABLE","FQ2 2013","FQ2 2013","Currency=USD","Period=FQ","BEST_FPERIOD_OVERRIDE=FQ","FILING_STATUS=OR","SCALING_FORMAT=MLN","Sort=A","Dates=H","DateFormat=P","Fill=—","Direction=H","UseDPDF=Y")</f>
        <v>—</v>
      </c>
      <c r="W45" s="13" t="str">
        <f>_xll.BDH("XOM US Equity","BS_INTEREST_&amp;_DIVIDENDS_PAYABLE","FQ3 2013","FQ3 2013","Currency=USD","Period=FQ","BEST_FPERIOD_OVERRIDE=FQ","FILING_STATUS=OR","SCALING_FORMAT=MLN","Sort=A","Dates=H","DateFormat=P","Fill=—","Direction=H","UseDPDF=Y")</f>
        <v>—</v>
      </c>
      <c r="X45" s="13">
        <f>_xll.BDH("XOM US Equity","BS_INTEREST_&amp;_DIVIDENDS_PAYABLE","FQ4 2013","FQ4 2013","Currency=USD","Period=FQ","BEST_FPERIOD_OVERRIDE=FQ","FILING_STATUS=OR","SCALING_FORMAT=MLN","Sort=A","Dates=H","DateFormat=P","Fill=—","Direction=H","UseDPDF=Y")</f>
        <v>0</v>
      </c>
      <c r="Y45" s="13" t="str">
        <f>_xll.BDH("XOM US Equity","BS_INTEREST_&amp;_DIVIDENDS_PAYABLE","FQ1 2014","FQ1 2014","Currency=USD","Period=FQ","BEST_FPERIOD_OVERRIDE=FQ","FILING_STATUS=OR","SCALING_FORMAT=MLN","Sort=A","Dates=H","DateFormat=P","Fill=—","Direction=H","UseDPDF=Y")</f>
        <v>—</v>
      </c>
      <c r="Z45" s="13" t="str">
        <f>_xll.BDH("XOM US Equity","BS_INTEREST_&amp;_DIVIDENDS_PAYABLE","FQ2 2014","FQ2 2014","Currency=USD","Period=FQ","BEST_FPERIOD_OVERRIDE=FQ","FILING_STATUS=OR","SCALING_FORMAT=MLN","Sort=A","Dates=H","DateFormat=P","Fill=—","Direction=H","UseDPDF=Y")</f>
        <v>—</v>
      </c>
      <c r="AA45" s="13" t="str">
        <f>_xll.BDH("XOM US Equity","BS_INTEREST_&amp;_DIVIDENDS_PAYABLE","FQ3 2014","FQ3 2014","Currency=USD","Period=FQ","BEST_FPERIOD_OVERRIDE=FQ","FILING_STATUS=OR","SCALING_FORMAT=MLN","Sort=A","Dates=H","DateFormat=P","Fill=—","Direction=H","UseDPDF=Y")</f>
        <v>—</v>
      </c>
      <c r="AB45" s="13" t="str">
        <f>_xll.BDH("XOM US Equity","BS_INTEREST_&amp;_DIVIDENDS_PAYABLE","FQ4 2014","FQ4 2014","Currency=USD","Period=FQ","BEST_FPERIOD_OVERRIDE=FQ","FILING_STATUS=OR","SCALING_FORMAT=MLN","Sort=A","Dates=H","DateFormat=P","Fill=—","Direction=H","UseDPDF=Y")</f>
        <v>—</v>
      </c>
      <c r="AC45" s="13" t="str">
        <f>_xll.BDH("XOM US Equity","BS_INTEREST_&amp;_DIVIDENDS_PAYABLE","FQ1 2015","FQ1 2015","Currency=USD","Period=FQ","BEST_FPERIOD_OVERRIDE=FQ","FILING_STATUS=OR","SCALING_FORMAT=MLN","Sort=A","Dates=H","DateFormat=P","Fill=—","Direction=H","UseDPDF=Y")</f>
        <v>—</v>
      </c>
      <c r="AD45" s="13" t="str">
        <f>_xll.BDH("XOM US Equity","BS_INTEREST_&amp;_DIVIDENDS_PAYABLE","FQ2 2015","FQ2 2015","Currency=USD","Period=FQ","BEST_FPERIOD_OVERRIDE=FQ","FILING_STATUS=OR","SCALING_FORMAT=MLN","Sort=A","Dates=H","DateFormat=P","Fill=—","Direction=H","UseDPDF=Y")</f>
        <v>—</v>
      </c>
      <c r="AE45" s="13" t="str">
        <f>_xll.BDH("XOM US Equity","BS_INTEREST_&amp;_DIVIDENDS_PAYABLE","FQ3 2015","FQ3 2015","Currency=USD","Period=FQ","BEST_FPERIOD_OVERRIDE=FQ","FILING_STATUS=OR","SCALING_FORMAT=MLN","Sort=A","Dates=H","DateFormat=P","Fill=—","Direction=H","UseDPDF=Y")</f>
        <v>—</v>
      </c>
      <c r="AF45" s="13" t="str">
        <f>_xll.BDH("XOM US Equity","BS_INTEREST_&amp;_DIVIDENDS_PAYABLE","FQ4 2015","FQ4 2015","Currency=USD","Period=FQ","BEST_FPERIOD_OVERRIDE=FQ","FILING_STATUS=OR","SCALING_FORMAT=MLN","Sort=A","Dates=H","DateFormat=P","Fill=—","Direction=H","UseDPDF=Y")</f>
        <v>—</v>
      </c>
      <c r="AG45" s="13" t="str">
        <f>_xll.BDH("XOM US Equity","BS_INTEREST_&amp;_DIVIDENDS_PAYABLE","FQ1 2016","FQ1 2016","Currency=USD","Period=FQ","BEST_FPERIOD_OVERRIDE=FQ","FILING_STATUS=OR","SCALING_FORMAT=MLN","Sort=A","Dates=H","DateFormat=P","Fill=—","Direction=H","UseDPDF=Y")</f>
        <v>—</v>
      </c>
      <c r="AH45" s="13" t="str">
        <f>_xll.BDH("XOM US Equity","BS_INTEREST_&amp;_DIVIDENDS_PAYABLE","FQ2 2016","FQ2 2016","Currency=USD","Period=FQ","BEST_FPERIOD_OVERRIDE=FQ","FILING_STATUS=OR","SCALING_FORMAT=MLN","Sort=A","Dates=H","DateFormat=P","Fill=—","Direction=H","UseDPDF=Y")</f>
        <v>—</v>
      </c>
      <c r="AI45" s="13" t="str">
        <f>_xll.BDH("XOM US Equity","BS_INTEREST_&amp;_DIVIDENDS_PAYABLE","FQ3 2016","FQ3 2016","Currency=USD","Period=FQ","BEST_FPERIOD_OVERRIDE=FQ","FILING_STATUS=OR","SCALING_FORMAT=MLN","Sort=A","Dates=H","DateFormat=P","Fill=—","Direction=H","UseDPDF=Y")</f>
        <v>—</v>
      </c>
      <c r="AJ45" s="13" t="str">
        <f>_xll.BDH("XOM US Equity","BS_INTEREST_&amp;_DIVIDENDS_PAYABLE","FQ4 2016","FQ4 2016","Currency=USD","Period=FQ","BEST_FPERIOD_OVERRIDE=FQ","FILING_STATUS=OR","SCALING_FORMAT=MLN","Sort=A","Dates=H","DateFormat=P","Fill=—","Direction=H","UseDPDF=Y")</f>
        <v>—</v>
      </c>
      <c r="AK45" s="13" t="str">
        <f>_xll.BDH("XOM US Equity","BS_INTEREST_&amp;_DIVIDENDS_PAYABLE","FQ1 2017","FQ1 2017","Currency=USD","Period=FQ","BEST_FPERIOD_OVERRIDE=FQ","FILING_STATUS=OR","SCALING_FORMAT=MLN","Sort=A","Dates=H","DateFormat=P","Fill=—","Direction=H","UseDPDF=Y")</f>
        <v>—</v>
      </c>
      <c r="AL45" s="13" t="str">
        <f>_xll.BDH("XOM US Equity","BS_INTEREST_&amp;_DIVIDENDS_PAYABLE","FQ2 2017","FQ2 2017","Currency=USD","Period=FQ","BEST_FPERIOD_OVERRIDE=FQ","FILING_STATUS=OR","SCALING_FORMAT=MLN","Sort=A","Dates=H","DateFormat=P","Fill=—","Direction=H","UseDPDF=Y")</f>
        <v>—</v>
      </c>
      <c r="AM45" s="13" t="str">
        <f>_xll.BDH("XOM US Equity","BS_INTEREST_&amp;_DIVIDENDS_PAYABLE","FQ3 2017","FQ3 2017","Currency=USD","Period=FQ","BEST_FPERIOD_OVERRIDE=FQ","FILING_STATUS=OR","SCALING_FORMAT=MLN","Sort=A","Dates=H","DateFormat=P","Fill=—","Direction=H","UseDPDF=Y")</f>
        <v>—</v>
      </c>
      <c r="AN45" s="13" t="str">
        <f>_xll.BDH("XOM US Equity","BS_INTEREST_&amp;_DIVIDENDS_PAYABLE","FQ4 2017","FQ4 2017","Currency=USD","Period=FQ","BEST_FPERIOD_OVERRIDE=FQ","FILING_STATUS=OR","SCALING_FORMAT=MLN","Sort=A","Dates=H","DateFormat=P","Fill=—","Direction=H","UseDPDF=Y")</f>
        <v>—</v>
      </c>
      <c r="AO45" s="13" t="str">
        <f>_xll.BDH("XOM US Equity","BS_INTEREST_&amp;_DIVIDENDS_PAYABLE","FQ1 2018","FQ1 2018","Currency=USD","Period=FQ","BEST_FPERIOD_OVERRIDE=FQ","FILING_STATUS=OR","SCALING_FORMAT=MLN","Sort=A","Dates=H","DateFormat=P","Fill=—","Direction=H","UseDPDF=Y")</f>
        <v>—</v>
      </c>
      <c r="AP45" s="13" t="str">
        <f>_xll.BDH("XOM US Equity","BS_INTEREST_&amp;_DIVIDENDS_PAYABLE","FQ2 2018","FQ2 2018","Currency=USD","Period=FQ","BEST_FPERIOD_OVERRIDE=FQ","FILING_STATUS=OR","SCALING_FORMAT=MLN","Sort=A","Dates=H","DateFormat=P","Fill=—","Direction=H","UseDPDF=Y")</f>
        <v>—</v>
      </c>
    </row>
    <row r="46" spans="1:42" x14ac:dyDescent="0.25">
      <c r="A46" s="10" t="s">
        <v>278</v>
      </c>
      <c r="B46" s="10" t="s">
        <v>279</v>
      </c>
      <c r="C46" s="13" t="str">
        <f>_xll.BDH("XOM US Equity","BS_ACCRUAL","FQ3 2008","FQ3 2008","Currency=USD","Period=FQ","BEST_FPERIOD_OVERRIDE=FQ","FILING_STATUS=OR","SCALING_FORMAT=MLN","Sort=A","Dates=H","DateFormat=P","Fill=—","Direction=H","UseDPDF=Y")</f>
        <v>—</v>
      </c>
      <c r="D46" s="13" t="str">
        <f>_xll.BDH("XOM US Equity","BS_ACCRUAL","FQ4 2008","FQ4 2008","Currency=USD","Period=FQ","BEST_FPERIOD_OVERRIDE=FQ","FILING_STATUS=OR","SCALING_FORMAT=MLN","Sort=A","Dates=H","DateFormat=P","Fill=—","Direction=H","UseDPDF=Y")</f>
        <v>—</v>
      </c>
      <c r="E46" s="13">
        <f>_xll.BDH("XOM US Equity","BS_ACCRUAL","FQ1 2009","FQ1 2009","Currency=USD","Period=FQ","BEST_FPERIOD_OVERRIDE=FQ","FILING_STATUS=OR","SCALING_FORMAT=MLN","Sort=A","Dates=H","DateFormat=P","Fill=—","Direction=H","UseDPDF=Y")</f>
        <v>38468</v>
      </c>
      <c r="F46" s="13">
        <f>_xll.BDH("XOM US Equity","BS_ACCRUAL","FQ2 2009","FQ2 2009","Currency=USD","Period=FQ","BEST_FPERIOD_OVERRIDE=FQ","FILING_STATUS=OR","SCALING_FORMAT=MLN","Sort=A","Dates=H","DateFormat=P","Fill=—","Direction=H","UseDPDF=Y")</f>
        <v>41895</v>
      </c>
      <c r="G46" s="13">
        <f>_xll.BDH("XOM US Equity","BS_ACCRUAL","FQ3 2009","FQ3 2009","Currency=USD","Period=FQ","BEST_FPERIOD_OVERRIDE=FQ","FILING_STATUS=OR","SCALING_FORMAT=MLN","Sort=A","Dates=H","DateFormat=P","Fill=—","Direction=H","UseDPDF=Y")</f>
        <v>42645</v>
      </c>
      <c r="H46" s="13">
        <f>_xll.BDH("XOM US Equity","BS_ACCRUAL","FQ4 2009","FQ4 2009","Currency=USD","Period=FQ","BEST_FPERIOD_OVERRIDE=FQ","FILING_STATUS=OR","SCALING_FORMAT=MLN","Sort=A","Dates=H","DateFormat=P","Fill=—","Direction=H","UseDPDF=Y")</f>
        <v>17039</v>
      </c>
      <c r="I46" s="13">
        <f>_xll.BDH("XOM US Equity","BS_ACCRUAL","FQ1 2010","FQ1 2010","Currency=USD","Period=FQ","BEST_FPERIOD_OVERRIDE=FQ","FILING_STATUS=OR","SCALING_FORMAT=MLN","Sort=A","Dates=H","DateFormat=P","Fill=—","Direction=H","UseDPDF=Y")</f>
        <v>46136</v>
      </c>
      <c r="J46" s="13">
        <f>_xll.BDH("XOM US Equity","BS_ACCRUAL","FQ2 2010","FQ2 2010","Currency=USD","Period=FQ","BEST_FPERIOD_OVERRIDE=FQ","FILING_STATUS=OR","SCALING_FORMAT=MLN","Sort=A","Dates=H","DateFormat=P","Fill=—","Direction=H","UseDPDF=Y")</f>
        <v>45454</v>
      </c>
      <c r="K46" s="13">
        <f>_xll.BDH("XOM US Equity","BS_ACCRUAL","FQ3 2010","FQ3 2010","Currency=USD","Period=FQ","BEST_FPERIOD_OVERRIDE=FQ","FILING_STATUS=OR","SCALING_FORMAT=MLN","Sort=A","Dates=H","DateFormat=P","Fill=—","Direction=H","UseDPDF=Y")</f>
        <v>48251</v>
      </c>
      <c r="L46" s="13">
        <f>_xll.BDH("XOM US Equity","BS_ACCRUAL","FQ4 2010","FQ4 2010","Currency=USD","Period=FQ","BEST_FPERIOD_OVERRIDE=FQ","FILING_STATUS=OR","SCALING_FORMAT=MLN","Sort=A","Dates=H","DateFormat=P","Fill=—","Direction=H","UseDPDF=Y")</f>
        <v>19254</v>
      </c>
      <c r="M46" s="13">
        <f>_xll.BDH("XOM US Equity","BS_ACCRUAL","FQ1 2011","FQ1 2011","Currency=USD","Period=FQ","BEST_FPERIOD_OVERRIDE=FQ","FILING_STATUS=OR","SCALING_FORMAT=MLN","Sort=A","Dates=H","DateFormat=P","Fill=—","Direction=H","UseDPDF=Y")</f>
        <v>57700</v>
      </c>
      <c r="N46" s="13">
        <f>_xll.BDH("XOM US Equity","BS_ACCRUAL","FQ2 2011","FQ2 2011","Currency=USD","Period=FQ","BEST_FPERIOD_OVERRIDE=FQ","FILING_STATUS=OR","SCALING_FORMAT=MLN","Sort=A","Dates=H","DateFormat=P","Fill=—","Direction=H","UseDPDF=Y")</f>
        <v>57853</v>
      </c>
      <c r="O46" s="13">
        <f>_xll.BDH("XOM US Equity","BS_ACCRUAL","FQ3 2011","FQ3 2011","Currency=USD","Period=FQ","BEST_FPERIOD_OVERRIDE=FQ","FILING_STATUS=OR","SCALING_FORMAT=MLN","Sort=A","Dates=H","DateFormat=P","Fill=—","Direction=H","UseDPDF=Y")</f>
        <v>54572</v>
      </c>
      <c r="P46" s="13">
        <f>_xll.BDH("XOM US Equity","BS_ACCRUAL","FQ4 2011","FQ4 2011","Currency=USD","Period=FQ","BEST_FPERIOD_OVERRIDE=FQ","FILING_STATUS=OR","SCALING_FORMAT=MLN","Sort=A","Dates=H","DateFormat=P","Fill=—","Direction=H","UseDPDF=Y")</f>
        <v>23098</v>
      </c>
      <c r="Q46" s="13">
        <f>_xll.BDH("XOM US Equity","BS_ACCRUAL","FQ1 2012","FQ1 2012","Currency=USD","Period=FQ","BEST_FPERIOD_OVERRIDE=FQ","FILING_STATUS=OR","SCALING_FORMAT=MLN","Sort=A","Dates=H","DateFormat=P","Fill=—","Direction=H","UseDPDF=Y")</f>
        <v>59084</v>
      </c>
      <c r="R46" s="13">
        <f>_xll.BDH("XOM US Equity","BS_ACCRUAL","FQ2 2012","FQ2 2012","Currency=USD","Period=FQ","BEST_FPERIOD_OVERRIDE=FQ","FILING_STATUS=OR","SCALING_FORMAT=MLN","Sort=A","Dates=H","DateFormat=P","Fill=—","Direction=H","UseDPDF=Y")</f>
        <v>51322</v>
      </c>
      <c r="S46" s="13">
        <f>_xll.BDH("XOM US Equity","BS_ACCRUAL","FQ3 2012","FQ3 2012","Currency=USD","Period=FQ","BEST_FPERIOD_OVERRIDE=FQ","FILING_STATUS=OR","SCALING_FORMAT=MLN","Sort=A","Dates=H","DateFormat=P","Fill=—","Direction=H","UseDPDF=Y")</f>
        <v>53516</v>
      </c>
      <c r="T46" s="13">
        <f>_xll.BDH("XOM US Equity","BS_ACCRUAL","FQ4 2012","FQ4 2012","Currency=USD","Period=FQ","BEST_FPERIOD_OVERRIDE=FQ","FILING_STATUS=OR","SCALING_FORMAT=MLN","Sort=A","Dates=H","DateFormat=P","Fill=—","Direction=H","UseDPDF=Y")</f>
        <v>16939</v>
      </c>
      <c r="U46" s="13">
        <f>_xll.BDH("XOM US Equity","BS_ACCRUAL","FQ1 2013","FQ1 2013","Currency=USD","Period=FQ","BEST_FPERIOD_OVERRIDE=FQ","FILING_STATUS=OR","SCALING_FORMAT=MLN","Sort=A","Dates=H","DateFormat=P","Fill=—","Direction=H","UseDPDF=Y")</f>
        <v>53978</v>
      </c>
      <c r="V46" s="13">
        <f>_xll.BDH("XOM US Equity","BS_ACCRUAL","FQ2 2013","FQ2 2013","Currency=USD","Period=FQ","BEST_FPERIOD_OVERRIDE=FQ","FILING_STATUS=OR","SCALING_FORMAT=MLN","Sort=A","Dates=H","DateFormat=P","Fill=—","Direction=H","UseDPDF=Y")</f>
        <v>52619</v>
      </c>
      <c r="W46" s="13">
        <f>_xll.BDH("XOM US Equity","BS_ACCRUAL","FQ3 2013","FQ3 2013","Currency=USD","Period=FQ","BEST_FPERIOD_OVERRIDE=FQ","FILING_STATUS=OR","SCALING_FORMAT=MLN","Sort=A","Dates=H","DateFormat=P","Fill=—","Direction=H","UseDPDF=Y")</f>
        <v>51260</v>
      </c>
      <c r="X46" s="13">
        <f>_xll.BDH("XOM US Equity","BS_ACCRUAL","FQ4 2013","FQ4 2013","Currency=USD","Period=FQ","BEST_FPERIOD_OVERRIDE=FQ","FILING_STATUS=OR","SCALING_FORMAT=MLN","Sort=A","Dates=H","DateFormat=P","Fill=—","Direction=H","UseDPDF=Y")</f>
        <v>17165</v>
      </c>
      <c r="Y46" s="13">
        <f>_xll.BDH("XOM US Equity","BS_ACCRUAL","FQ1 2014","FQ1 2014","Currency=USD","Period=FQ","BEST_FPERIOD_OVERRIDE=FQ","FILING_STATUS=OR","SCALING_FORMAT=MLN","Sort=A","Dates=H","DateFormat=P","Fill=—","Direction=H","UseDPDF=Y")</f>
        <v>52109</v>
      </c>
      <c r="Z46" s="13">
        <f>_xll.BDH("XOM US Equity","BS_ACCRUAL","FQ2 2014","FQ2 2014","Currency=USD","Period=FQ","BEST_FPERIOD_OVERRIDE=FQ","FILING_STATUS=OR","SCALING_FORMAT=MLN","Sort=A","Dates=H","DateFormat=P","Fill=—","Direction=H","UseDPDF=Y")</f>
        <v>52363</v>
      </c>
      <c r="AA46" s="13">
        <f>_xll.BDH("XOM US Equity","BS_ACCRUAL","FQ3 2014","FQ3 2014","Currency=USD","Period=FQ","BEST_FPERIOD_OVERRIDE=FQ","FILING_STATUS=OR","SCALING_FORMAT=MLN","Sort=A","Dates=H","DateFormat=P","Fill=—","Direction=H","UseDPDF=Y")</f>
        <v>49272</v>
      </c>
      <c r="AB46" s="13">
        <f>_xll.BDH("XOM US Equity","BS_ACCRUAL","FQ4 2014","FQ4 2014","Currency=USD","Period=FQ","BEST_FPERIOD_OVERRIDE=FQ","FILING_STATUS=OR","SCALING_FORMAT=MLN","Sort=A","Dates=H","DateFormat=P","Fill=—","Direction=H","UseDPDF=Y")</f>
        <v>13651</v>
      </c>
      <c r="AC46" s="13">
        <f>_xll.BDH("XOM US Equity","BS_ACCRUAL","FQ1 2015","FQ1 2015","Currency=USD","Period=FQ","BEST_FPERIOD_OVERRIDE=FQ","FILING_STATUS=OR","SCALING_FORMAT=MLN","Sort=A","Dates=H","DateFormat=P","Fill=—","Direction=H","UseDPDF=Y")</f>
        <v>38144</v>
      </c>
      <c r="AD46" s="13">
        <f>_xll.BDH("XOM US Equity","BS_ACCRUAL","FQ2 2015","FQ2 2015","Currency=USD","Period=FQ","BEST_FPERIOD_OVERRIDE=FQ","FILING_STATUS=OR","SCALING_FORMAT=MLN","Sort=A","Dates=H","DateFormat=P","Fill=—","Direction=H","UseDPDF=Y")</f>
        <v>39914</v>
      </c>
      <c r="AE46" s="13">
        <f>_xll.BDH("XOM US Equity","BS_ACCRUAL","FQ3 2015","FQ3 2015","Currency=USD","Period=FQ","BEST_FPERIOD_OVERRIDE=FQ","FILING_STATUS=OR","SCALING_FORMAT=MLN","Sort=A","Dates=H","DateFormat=P","Fill=—","Direction=H","UseDPDF=Y")</f>
        <v>36681</v>
      </c>
      <c r="AF46" s="13">
        <f>_xll.BDH("XOM US Equity","BS_ACCRUAL","FQ4 2015","FQ4 2015","Currency=USD","Period=FQ","BEST_FPERIOD_OVERRIDE=FQ","FILING_STATUS=OR","SCALING_FORMAT=MLN","Sort=A","Dates=H","DateFormat=P","Fill=—","Direction=H","UseDPDF=Y")</f>
        <v>11401</v>
      </c>
      <c r="AG46" s="13">
        <f>_xll.BDH("XOM US Equity","BS_ACCRUAL","FQ1 2016","FQ1 2016","Currency=USD","Period=FQ","BEST_FPERIOD_OVERRIDE=FQ","FILING_STATUS=OR","SCALING_FORMAT=MLN","Sort=A","Dates=H","DateFormat=P","Fill=—","Direction=H","UseDPDF=Y")</f>
        <v>32294</v>
      </c>
      <c r="AH46" s="13">
        <f>_xll.BDH("XOM US Equity","BS_ACCRUAL","FQ2 2016","FQ2 2016","Currency=USD","Period=FQ","BEST_FPERIOD_OVERRIDE=FQ","FILING_STATUS=OR","SCALING_FORMAT=MLN","Sort=A","Dates=H","DateFormat=P","Fill=—","Direction=H","UseDPDF=Y")</f>
        <v>33801</v>
      </c>
      <c r="AI46" s="13">
        <f>_xll.BDH("XOM US Equity","BS_ACCRUAL","FQ3 2016","FQ3 2016","Currency=USD","Period=FQ","BEST_FPERIOD_OVERRIDE=FQ","FILING_STATUS=OR","SCALING_FORMAT=MLN","Sort=A","Dates=H","DateFormat=P","Fill=—","Direction=H","UseDPDF=Y")</f>
        <v>30027</v>
      </c>
      <c r="AJ46" s="13">
        <f>_xll.BDH("XOM US Equity","BS_ACCRUAL","FQ4 2016","FQ4 2016","Currency=USD","Period=FQ","BEST_FPERIOD_OVERRIDE=FQ","FILING_STATUS=OR","SCALING_FORMAT=MLN","Sort=A","Dates=H","DateFormat=P","Fill=—","Direction=H","UseDPDF=Y")</f>
        <v>10739</v>
      </c>
      <c r="AK46" s="13">
        <f>_xll.BDH("XOM US Equity","BS_ACCRUAL","FQ1 2017","FQ1 2017","Currency=USD","Period=FQ","BEST_FPERIOD_OVERRIDE=FQ","FILING_STATUS=OR","SCALING_FORMAT=MLN","Sort=A","Dates=H","DateFormat=P","Fill=—","Direction=H","UseDPDF=Y")</f>
        <v>32069</v>
      </c>
      <c r="AL46" s="13">
        <f>_xll.BDH("XOM US Equity","BS_ACCRUAL","FQ2 2017","FQ2 2017","Currency=USD","Period=FQ","BEST_FPERIOD_OVERRIDE=FQ","FILING_STATUS=OR","SCALING_FORMAT=MLN","Sort=A","Dates=H","DateFormat=P","Fill=—","Direction=H","UseDPDF=Y")</f>
        <v>31100</v>
      </c>
      <c r="AM46" s="13">
        <f>_xll.BDH("XOM US Equity","BS_ACCRUAL","FQ3 2017","FQ3 2017","Currency=USD","Period=FQ","BEST_FPERIOD_OVERRIDE=FQ","FILING_STATUS=OR","SCALING_FORMAT=MLN","Sort=A","Dates=H","DateFormat=P","Fill=—","Direction=H","UseDPDF=Y")</f>
        <v>34698</v>
      </c>
      <c r="AN46" s="13">
        <f>_xll.BDH("XOM US Equity","BS_ACCRUAL","FQ4 2017","FQ4 2017","Currency=USD","Period=FQ","BEST_FPERIOD_OVERRIDE=FQ","FILING_STATUS=OR","SCALING_FORMAT=MLN","Sort=A","Dates=H","DateFormat=P","Fill=—","Direction=H","UseDPDF=Y")</f>
        <v>11784</v>
      </c>
      <c r="AO46" s="13">
        <f>_xll.BDH("XOM US Equity","BS_ACCRUAL","FQ1 2018","FQ1 2018","Currency=USD","Period=FQ","BEST_FPERIOD_OVERRIDE=FQ","FILING_STATUS=OR","SCALING_FORMAT=MLN","Sort=A","Dates=H","DateFormat=P","Fill=—","Direction=H","UseDPDF=Y")</f>
        <v>37207</v>
      </c>
      <c r="AP46" s="13">
        <f>_xll.BDH("XOM US Equity","BS_ACCRUAL","FQ2 2018","FQ2 2018","Currency=USD","Period=FQ","BEST_FPERIOD_OVERRIDE=FQ","FILING_STATUS=OR","SCALING_FORMAT=MLN","Sort=A","Dates=H","DateFormat=P","Fill=—","Direction=H","UseDPDF=Y")</f>
        <v>38490</v>
      </c>
    </row>
    <row r="47" spans="1:42" x14ac:dyDescent="0.25">
      <c r="A47" s="10" t="s">
        <v>280</v>
      </c>
      <c r="B47" s="10" t="s">
        <v>281</v>
      </c>
      <c r="C47" s="13">
        <f>_xll.BDH("XOM US Equity","BS_ST_BORROW","FQ3 2008","FQ3 2008","Currency=USD","Period=FQ","BEST_FPERIOD_OVERRIDE=FQ","FILING_STATUS=OR","SCALING_FORMAT=MLN","Sort=A","Dates=H","DateFormat=P","Fill=—","Direction=H","UseDPDF=Y")</f>
        <v>2881</v>
      </c>
      <c r="D47" s="13">
        <f>_xll.BDH("XOM US Equity","BS_ST_BORROW","FQ4 2008","FQ4 2008","Currency=USD","Period=FQ","BEST_FPERIOD_OVERRIDE=FQ","FILING_STATUS=OR","SCALING_FORMAT=MLN","Sort=A","Dates=H","DateFormat=P","Fill=—","Direction=H","UseDPDF=Y")</f>
        <v>2400</v>
      </c>
      <c r="E47" s="13">
        <f>_xll.BDH("XOM US Equity","BS_ST_BORROW","FQ1 2009","FQ1 2009","Currency=USD","Period=FQ","BEST_FPERIOD_OVERRIDE=FQ","FILING_STATUS=OR","SCALING_FORMAT=MLN","Sort=A","Dates=H","DateFormat=P","Fill=—","Direction=H","UseDPDF=Y")</f>
        <v>2163</v>
      </c>
      <c r="F47" s="13">
        <f>_xll.BDH("XOM US Equity","BS_ST_BORROW","FQ2 2009","FQ2 2009","Currency=USD","Period=FQ","BEST_FPERIOD_OVERRIDE=FQ","FILING_STATUS=OR","SCALING_FORMAT=MLN","Sort=A","Dates=H","DateFormat=P","Fill=—","Direction=H","UseDPDF=Y")</f>
        <v>2157</v>
      </c>
      <c r="G47" s="13">
        <f>_xll.BDH("XOM US Equity","BS_ST_BORROW","FQ3 2009","FQ3 2009","Currency=USD","Period=FQ","BEST_FPERIOD_OVERRIDE=FQ","FILING_STATUS=OR","SCALING_FORMAT=MLN","Sort=A","Dates=H","DateFormat=P","Fill=—","Direction=H","UseDPDF=Y")</f>
        <v>2418</v>
      </c>
      <c r="H47" s="13">
        <f>_xll.BDH("XOM US Equity","BS_ST_BORROW","FQ4 2009","FQ4 2009","Currency=USD","Period=FQ","BEST_FPERIOD_OVERRIDE=FQ","FILING_STATUS=OR","SCALING_FORMAT=MLN","Sort=A","Dates=H","DateFormat=P","Fill=—","Direction=H","UseDPDF=Y")</f>
        <v>2476</v>
      </c>
      <c r="I47" s="13">
        <f>_xll.BDH("XOM US Equity","BS_ST_BORROW","FQ1 2010","FQ1 2010","Currency=USD","Period=FQ","BEST_FPERIOD_OVERRIDE=FQ","FILING_STATUS=OR","SCALING_FORMAT=MLN","Sort=A","Dates=H","DateFormat=P","Fill=—","Direction=H","UseDPDF=Y")</f>
        <v>2396</v>
      </c>
      <c r="J47" s="13">
        <f>_xll.BDH("XOM US Equity","BS_ST_BORROW","FQ2 2010","FQ2 2010","Currency=USD","Period=FQ","BEST_FPERIOD_OVERRIDE=FQ","FILING_STATUS=OR","SCALING_FORMAT=MLN","Sort=A","Dates=H","DateFormat=P","Fill=—","Direction=H","UseDPDF=Y")</f>
        <v>2946</v>
      </c>
      <c r="K47" s="13">
        <f>_xll.BDH("XOM US Equity","BS_ST_BORROW","FQ3 2010","FQ3 2010","Currency=USD","Period=FQ","BEST_FPERIOD_OVERRIDE=FQ","FILING_STATUS=OR","SCALING_FORMAT=MLN","Sort=A","Dates=H","DateFormat=P","Fill=—","Direction=H","UseDPDF=Y")</f>
        <v>3046</v>
      </c>
      <c r="L47" s="13">
        <f>_xll.BDH("XOM US Equity","BS_ST_BORROW","FQ4 2010","FQ4 2010","Currency=USD","Period=FQ","BEST_FPERIOD_OVERRIDE=FQ","FILING_STATUS=OR","SCALING_FORMAT=MLN","Sort=A","Dates=H","DateFormat=P","Fill=—","Direction=H","UseDPDF=Y")</f>
        <v>2787</v>
      </c>
      <c r="M47" s="13">
        <f>_xll.BDH("XOM US Equity","BS_ST_BORROW","FQ1 2011","FQ1 2011","Currency=USD","Period=FQ","BEST_FPERIOD_OVERRIDE=FQ","FILING_STATUS=OR","SCALING_FORMAT=MLN","Sort=A","Dates=H","DateFormat=P","Fill=—","Direction=H","UseDPDF=Y")</f>
        <v>3560</v>
      </c>
      <c r="N47" s="13">
        <f>_xll.BDH("XOM US Equity","BS_ST_BORROW","FQ2 2011","FQ2 2011","Currency=USD","Period=FQ","BEST_FPERIOD_OVERRIDE=FQ","FILING_STATUS=OR","SCALING_FORMAT=MLN","Sort=A","Dates=H","DateFormat=P","Fill=—","Direction=H","UseDPDF=Y")</f>
        <v>4365</v>
      </c>
      <c r="O47" s="13">
        <f>_xll.BDH("XOM US Equity","BS_ST_BORROW","FQ3 2011","FQ3 2011","Currency=USD","Period=FQ","BEST_FPERIOD_OVERRIDE=FQ","FILING_STATUS=OR","SCALING_FORMAT=MLN","Sort=A","Dates=H","DateFormat=P","Fill=—","Direction=H","UseDPDF=Y")</f>
        <v>7431</v>
      </c>
      <c r="P47" s="13">
        <f>_xll.BDH("XOM US Equity","BS_ST_BORROW","FQ4 2011","FQ4 2011","Currency=USD","Period=FQ","BEST_FPERIOD_OVERRIDE=FQ","FILING_STATUS=OR","SCALING_FORMAT=MLN","Sort=A","Dates=H","DateFormat=P","Fill=—","Direction=H","UseDPDF=Y")</f>
        <v>7711</v>
      </c>
      <c r="Q47" s="13">
        <f>_xll.BDH("XOM US Equity","BS_ST_BORROW","FQ1 2012","FQ1 2012","Currency=USD","Period=FQ","BEST_FPERIOD_OVERRIDE=FQ","FILING_STATUS=OR","SCALING_FORMAT=MLN","Sort=A","Dates=H","DateFormat=P","Fill=—","Direction=H","UseDPDF=Y")</f>
        <v>6419</v>
      </c>
      <c r="R47" s="13">
        <f>_xll.BDH("XOM US Equity","BS_ST_BORROW","FQ2 2012","FQ2 2012","Currency=USD","Period=FQ","BEST_FPERIOD_OVERRIDE=FQ","FILING_STATUS=OR","SCALING_FORMAT=MLN","Sort=A","Dates=H","DateFormat=P","Fill=—","Direction=H","UseDPDF=Y")</f>
        <v>6704</v>
      </c>
      <c r="S47" s="13">
        <f>_xll.BDH("XOM US Equity","BS_ST_BORROW","FQ3 2012","FQ3 2012","Currency=USD","Period=FQ","BEST_FPERIOD_OVERRIDE=FQ","FILING_STATUS=OR","SCALING_FORMAT=MLN","Sort=A","Dates=H","DateFormat=P","Fill=—","Direction=H","UseDPDF=Y")</f>
        <v>3496</v>
      </c>
      <c r="T47" s="13">
        <f>_xll.BDH("XOM US Equity","BS_ST_BORROW","FQ4 2012","FQ4 2012","Currency=USD","Period=FQ","BEST_FPERIOD_OVERRIDE=FQ","FILING_STATUS=OR","SCALING_FORMAT=MLN","Sort=A","Dates=H","DateFormat=P","Fill=—","Direction=H","UseDPDF=Y")</f>
        <v>3653</v>
      </c>
      <c r="U47" s="13">
        <f>_xll.BDH("XOM US Equity","BS_ST_BORROW","FQ1 2013","FQ1 2013","Currency=USD","Period=FQ","BEST_FPERIOD_OVERRIDE=FQ","FILING_STATUS=OR","SCALING_FORMAT=MLN","Sort=A","Dates=H","DateFormat=P","Fill=—","Direction=H","UseDPDF=Y")</f>
        <v>5937</v>
      </c>
      <c r="V47" s="13">
        <f>_xll.BDH("XOM US Equity","BS_ST_BORROW","FQ2 2013","FQ2 2013","Currency=USD","Period=FQ","BEST_FPERIOD_OVERRIDE=FQ","FILING_STATUS=OR","SCALING_FORMAT=MLN","Sort=A","Dates=H","DateFormat=P","Fill=—","Direction=H","UseDPDF=Y")</f>
        <v>11861</v>
      </c>
      <c r="W47" s="13">
        <f>_xll.BDH("XOM US Equity","BS_ST_BORROW","FQ3 2013","FQ3 2013","Currency=USD","Period=FQ","BEST_FPERIOD_OVERRIDE=FQ","FILING_STATUS=OR","SCALING_FORMAT=MLN","Sort=A","Dates=H","DateFormat=P","Fill=—","Direction=H","UseDPDF=Y")</f>
        <v>13889</v>
      </c>
      <c r="X47" s="13">
        <f>_xll.BDH("XOM US Equity","BS_ST_BORROW","FQ4 2013","FQ4 2013","Currency=USD","Period=FQ","BEST_FPERIOD_OVERRIDE=FQ","FILING_STATUS=OR","SCALING_FORMAT=MLN","Sort=A","Dates=H","DateFormat=P","Fill=—","Direction=H","UseDPDF=Y")</f>
        <v>15808</v>
      </c>
      <c r="Y47" s="13">
        <f>_xll.BDH("XOM US Equity","BS_ST_BORROW","FQ1 2014","FQ1 2014","Currency=USD","Period=FQ","BEST_FPERIOD_OVERRIDE=FQ","FILING_STATUS=OR","SCALING_FORMAT=MLN","Sort=A","Dates=H","DateFormat=P","Fill=—","Direction=H","UseDPDF=Y")</f>
        <v>9223</v>
      </c>
      <c r="Z47" s="13">
        <f>_xll.BDH("XOM US Equity","BS_ST_BORROW","FQ2 2014","FQ2 2014","Currency=USD","Period=FQ","BEST_FPERIOD_OVERRIDE=FQ","FILING_STATUS=OR","SCALING_FORMAT=MLN","Sort=A","Dates=H","DateFormat=P","Fill=—","Direction=H","UseDPDF=Y")</f>
        <v>9948</v>
      </c>
      <c r="AA47" s="13">
        <f>_xll.BDH("XOM US Equity","BS_ST_BORROW","FQ3 2014","FQ3 2014","Currency=USD","Period=FQ","BEST_FPERIOD_OVERRIDE=FQ","FILING_STATUS=OR","SCALING_FORMAT=MLN","Sort=A","Dates=H","DateFormat=P","Fill=—","Direction=H","UseDPDF=Y")</f>
        <v>10243</v>
      </c>
      <c r="AB47" s="13">
        <f>_xll.BDH("XOM US Equity","BS_ST_BORROW","FQ4 2014","FQ4 2014","Currency=USD","Period=FQ","BEST_FPERIOD_OVERRIDE=FQ","FILING_STATUS=OR","SCALING_FORMAT=MLN","Sort=A","Dates=H","DateFormat=P","Fill=—","Direction=H","UseDPDF=Y")</f>
        <v>17468</v>
      </c>
      <c r="AC47" s="13">
        <f>_xll.BDH("XOM US Equity","BS_ST_BORROW","FQ1 2015","FQ1 2015","Currency=USD","Period=FQ","BEST_FPERIOD_OVERRIDE=FQ","FILING_STATUS=OR","SCALING_FORMAT=MLN","Sort=A","Dates=H","DateFormat=P","Fill=—","Direction=H","UseDPDF=Y")</f>
        <v>13277</v>
      </c>
      <c r="AD47" s="13">
        <f>_xll.BDH("XOM US Equity","BS_ST_BORROW","FQ2 2015","FQ2 2015","Currency=USD","Period=FQ","BEST_FPERIOD_OVERRIDE=FQ","FILING_STATUS=OR","SCALING_FORMAT=MLN","Sort=A","Dates=H","DateFormat=P","Fill=—","Direction=H","UseDPDF=Y")</f>
        <v>14409</v>
      </c>
      <c r="AE47" s="13">
        <f>_xll.BDH("XOM US Equity","BS_ST_BORROW","FQ3 2015","FQ3 2015","Currency=USD","Period=FQ","BEST_FPERIOD_OVERRIDE=FQ","FILING_STATUS=OR","SCALING_FORMAT=MLN","Sort=A","Dates=H","DateFormat=P","Fill=—","Direction=H","UseDPDF=Y")</f>
        <v>14473</v>
      </c>
      <c r="AF47" s="13">
        <f>_xll.BDH("XOM US Equity","BS_ST_BORROW","FQ4 2015","FQ4 2015","Currency=USD","Period=FQ","BEST_FPERIOD_OVERRIDE=FQ","FILING_STATUS=OR","SCALING_FORMAT=MLN","Sort=A","Dates=H","DateFormat=P","Fill=—","Direction=H","UseDPDF=Y")</f>
        <v>18762</v>
      </c>
      <c r="AG47" s="13">
        <f>_xll.BDH("XOM US Equity","BS_ST_BORROW","FQ1 2016","FQ1 2016","Currency=USD","Period=FQ","BEST_FPERIOD_OVERRIDE=FQ","FILING_STATUS=OR","SCALING_FORMAT=MLN","Sort=A","Dates=H","DateFormat=P","Fill=—","Direction=H","UseDPDF=Y")</f>
        <v>13540</v>
      </c>
      <c r="AH47" s="13">
        <f>_xll.BDH("XOM US Equity","BS_ST_BORROW","FQ2 2016","FQ2 2016","Currency=USD","Period=FQ","BEST_FPERIOD_OVERRIDE=FQ","FILING_STATUS=OR","SCALING_FORMAT=MLN","Sort=A","Dates=H","DateFormat=P","Fill=—","Direction=H","UseDPDF=Y")</f>
        <v>14972</v>
      </c>
      <c r="AI47" s="13">
        <f>_xll.BDH("XOM US Equity","BS_ST_BORROW","FQ3 2016","FQ3 2016","Currency=USD","Period=FQ","BEST_FPERIOD_OVERRIDE=FQ","FILING_STATUS=OR","SCALING_FORMAT=MLN","Sort=A","Dates=H","DateFormat=P","Fill=—","Direction=H","UseDPDF=Y")</f>
        <v>17239</v>
      </c>
      <c r="AJ47" s="13">
        <f>_xll.BDH("XOM US Equity","BS_ST_BORROW","FQ4 2016","FQ4 2016","Currency=USD","Period=FQ","BEST_FPERIOD_OVERRIDE=FQ","FILING_STATUS=OR","SCALING_FORMAT=MLN","Sort=A","Dates=H","DateFormat=P","Fill=—","Direction=H","UseDPDF=Y")</f>
        <v>13830</v>
      </c>
      <c r="AK47" s="13">
        <f>_xll.BDH("XOM US Equity","BS_ST_BORROW","FQ1 2017","FQ1 2017","Currency=USD","Period=FQ","BEST_FPERIOD_OVERRIDE=FQ","FILING_STATUS=OR","SCALING_FORMAT=MLN","Sort=A","Dates=H","DateFormat=P","Fill=—","Direction=H","UseDPDF=Y")</f>
        <v>18483</v>
      </c>
      <c r="AL47" s="13">
        <f>_xll.BDH("XOM US Equity","BS_ST_BORROW","FQ2 2017","FQ2 2017","Currency=USD","Period=FQ","BEST_FPERIOD_OVERRIDE=FQ","FILING_STATUS=OR","SCALING_FORMAT=MLN","Sort=A","Dates=H","DateFormat=P","Fill=—","Direction=H","UseDPDF=Y")</f>
        <v>17185</v>
      </c>
      <c r="AM47" s="13">
        <f>_xll.BDH("XOM US Equity","BS_ST_BORROW","FQ3 2017","FQ3 2017","Currency=USD","Period=FQ","BEST_FPERIOD_OVERRIDE=FQ","FILING_STATUS=OR","SCALING_FORMAT=MLN","Sort=A","Dates=H","DateFormat=P","Fill=—","Direction=H","UseDPDF=Y")</f>
        <v>15741</v>
      </c>
      <c r="AN47" s="13">
        <f>_xll.BDH("XOM US Equity","BS_ST_BORROW","FQ4 2017","FQ4 2017","Currency=USD","Period=FQ","BEST_FPERIOD_OVERRIDE=FQ","FILING_STATUS=OR","SCALING_FORMAT=MLN","Sort=A","Dates=H","DateFormat=P","Fill=—","Direction=H","UseDPDF=Y")</f>
        <v>17930</v>
      </c>
      <c r="AO47" s="13">
        <f>_xll.BDH("XOM US Equity","BS_ST_BORROW","FQ1 2018","FQ1 2018","Currency=USD","Period=FQ","BEST_FPERIOD_OVERRIDE=FQ","FILING_STATUS=OR","SCALING_FORMAT=MLN","Sort=A","Dates=H","DateFormat=P","Fill=—","Direction=H","UseDPDF=Y")</f>
        <v>19836</v>
      </c>
      <c r="AP47" s="13">
        <f>_xll.BDH("XOM US Equity","BS_ST_BORROW","FQ2 2018","FQ2 2018","Currency=USD","Period=FQ","BEST_FPERIOD_OVERRIDE=FQ","FILING_STATUS=OR","SCALING_FORMAT=MLN","Sort=A","Dates=H","DateFormat=P","Fill=—","Direction=H","UseDPDF=Y")</f>
        <v>20500</v>
      </c>
    </row>
    <row r="48" spans="1:42" x14ac:dyDescent="0.25">
      <c r="A48" s="10" t="s">
        <v>282</v>
      </c>
      <c r="B48" s="10" t="s">
        <v>283</v>
      </c>
      <c r="C48" s="13" t="str">
        <f>_xll.BDH("XOM US Equity","SHORT_TERM_DEBT_DETAILED","FQ3 2008","FQ3 2008","Currency=USD","Period=FQ","BEST_FPERIOD_OVERRIDE=FQ","FILING_STATUS=OR","SCALING_FORMAT=MLN","Sort=A","Dates=H","DateFormat=P","Fill=—","Direction=H","UseDPDF=Y")</f>
        <v>—</v>
      </c>
      <c r="D48" s="13" t="str">
        <f>_xll.BDH("XOM US Equity","SHORT_TERM_DEBT_DETAILED","FQ4 2008","FQ4 2008","Currency=USD","Period=FQ","BEST_FPERIOD_OVERRIDE=FQ","FILING_STATUS=OR","SCALING_FORMAT=MLN","Sort=A","Dates=H","DateFormat=P","Fill=—","Direction=H","UseDPDF=Y")</f>
        <v>—</v>
      </c>
      <c r="E48" s="13">
        <f>_xll.BDH("XOM US Equity","SHORT_TERM_DEBT_DETAILED","FQ1 2009","FQ1 2009","Currency=USD","Period=FQ","BEST_FPERIOD_OVERRIDE=FQ","FILING_STATUS=OR","SCALING_FORMAT=MLN","Sort=A","Dates=H","DateFormat=P","Fill=—","Direction=H","UseDPDF=Y")</f>
        <v>2163</v>
      </c>
      <c r="F48" s="13">
        <f>_xll.BDH("XOM US Equity","SHORT_TERM_DEBT_DETAILED","FQ2 2009","FQ2 2009","Currency=USD","Period=FQ","BEST_FPERIOD_OVERRIDE=FQ","FILING_STATUS=OR","SCALING_FORMAT=MLN","Sort=A","Dates=H","DateFormat=P","Fill=—","Direction=H","UseDPDF=Y")</f>
        <v>2157</v>
      </c>
      <c r="G48" s="13">
        <f>_xll.BDH("XOM US Equity","SHORT_TERM_DEBT_DETAILED","FQ3 2009","FQ3 2009","Currency=USD","Period=FQ","BEST_FPERIOD_OVERRIDE=FQ","FILING_STATUS=OR","SCALING_FORMAT=MLN","Sort=A","Dates=H","DateFormat=P","Fill=—","Direction=H","UseDPDF=Y")</f>
        <v>2418</v>
      </c>
      <c r="H48" s="13">
        <f>_xll.BDH("XOM US Equity","SHORT_TERM_DEBT_DETAILED","FQ4 2009","FQ4 2009","Currency=USD","Period=FQ","BEST_FPERIOD_OVERRIDE=FQ","FILING_STATUS=OR","SCALING_FORMAT=MLN","Sort=A","Dates=H","DateFormat=P","Fill=—","Direction=H","UseDPDF=Y")</f>
        <v>2128</v>
      </c>
      <c r="I48" s="13">
        <f>_xll.BDH("XOM US Equity","SHORT_TERM_DEBT_DETAILED","FQ1 2010","FQ1 2010","Currency=USD","Period=FQ","BEST_FPERIOD_OVERRIDE=FQ","FILING_STATUS=OR","SCALING_FORMAT=MLN","Sort=A","Dates=H","DateFormat=P","Fill=—","Direction=H","UseDPDF=Y")</f>
        <v>2396</v>
      </c>
      <c r="J48" s="13">
        <f>_xll.BDH("XOM US Equity","SHORT_TERM_DEBT_DETAILED","FQ2 2010","FQ2 2010","Currency=USD","Period=FQ","BEST_FPERIOD_OVERRIDE=FQ","FILING_STATUS=OR","SCALING_FORMAT=MLN","Sort=A","Dates=H","DateFormat=P","Fill=—","Direction=H","UseDPDF=Y")</f>
        <v>1920</v>
      </c>
      <c r="K48" s="13">
        <f>_xll.BDH("XOM US Equity","SHORT_TERM_DEBT_DETAILED","FQ3 2010","FQ3 2010","Currency=USD","Period=FQ","BEST_FPERIOD_OVERRIDE=FQ","FILING_STATUS=OR","SCALING_FORMAT=MLN","Sort=A","Dates=H","DateFormat=P","Fill=—","Direction=H","UseDPDF=Y")</f>
        <v>2020</v>
      </c>
      <c r="L48" s="13">
        <f>_xll.BDH("XOM US Equity","SHORT_TERM_DEBT_DETAILED","FQ4 2010","FQ4 2010","Currency=USD","Period=FQ","BEST_FPERIOD_OVERRIDE=FQ","FILING_STATUS=OR","SCALING_FORMAT=MLN","Sort=A","Dates=H","DateFormat=P","Fill=—","Direction=H","UseDPDF=Y")</f>
        <v>2442</v>
      </c>
      <c r="M48" s="13">
        <f>_xll.BDH("XOM US Equity","SHORT_TERM_DEBT_DETAILED","FQ1 2011","FQ1 2011","Currency=USD","Period=FQ","BEST_FPERIOD_OVERRIDE=FQ","FILING_STATUS=OR","SCALING_FORMAT=MLN","Sort=A","Dates=H","DateFormat=P","Fill=—","Direction=H","UseDPDF=Y")</f>
        <v>3560</v>
      </c>
      <c r="N48" s="13">
        <f>_xll.BDH("XOM US Equity","SHORT_TERM_DEBT_DETAILED","FQ2 2011","FQ2 2011","Currency=USD","Period=FQ","BEST_FPERIOD_OVERRIDE=FQ","FILING_STATUS=OR","SCALING_FORMAT=MLN","Sort=A","Dates=H","DateFormat=P","Fill=—","Direction=H","UseDPDF=Y")</f>
        <v>4365</v>
      </c>
      <c r="O48" s="13">
        <f>_xll.BDH("XOM US Equity","SHORT_TERM_DEBT_DETAILED","FQ3 2011","FQ3 2011","Currency=USD","Period=FQ","BEST_FPERIOD_OVERRIDE=FQ","FILING_STATUS=OR","SCALING_FORMAT=MLN","Sort=A","Dates=H","DateFormat=P","Fill=—","Direction=H","UseDPDF=Y")</f>
        <v>7431</v>
      </c>
      <c r="P48" s="13">
        <f>_xll.BDH("XOM US Equity","SHORT_TERM_DEBT_DETAILED","FQ4 2011","FQ4 2011","Currency=USD","Period=FQ","BEST_FPERIOD_OVERRIDE=FQ","FILING_STATUS=OR","SCALING_FORMAT=MLN","Sort=A","Dates=H","DateFormat=P","Fill=—","Direction=H","UseDPDF=Y")</f>
        <v>4280</v>
      </c>
      <c r="Q48" s="13">
        <f>_xll.BDH("XOM US Equity","SHORT_TERM_DEBT_DETAILED","FQ1 2012","FQ1 2012","Currency=USD","Period=FQ","BEST_FPERIOD_OVERRIDE=FQ","FILING_STATUS=OR","SCALING_FORMAT=MLN","Sort=A","Dates=H","DateFormat=P","Fill=—","Direction=H","UseDPDF=Y")</f>
        <v>6419</v>
      </c>
      <c r="R48" s="13">
        <f>_xll.BDH("XOM US Equity","SHORT_TERM_DEBT_DETAILED","FQ2 2012","FQ2 2012","Currency=USD","Period=FQ","BEST_FPERIOD_OVERRIDE=FQ","FILING_STATUS=OR","SCALING_FORMAT=MLN","Sort=A","Dates=H","DateFormat=P","Fill=—","Direction=H","UseDPDF=Y")</f>
        <v>6704</v>
      </c>
      <c r="S48" s="13">
        <f>_xll.BDH("XOM US Equity","SHORT_TERM_DEBT_DETAILED","FQ3 2012","FQ3 2012","Currency=USD","Period=FQ","BEST_FPERIOD_OVERRIDE=FQ","FILING_STATUS=OR","SCALING_FORMAT=MLN","Sort=A","Dates=H","DateFormat=P","Fill=—","Direction=H","UseDPDF=Y")</f>
        <v>3496</v>
      </c>
      <c r="T48" s="13">
        <f>_xll.BDH("XOM US Equity","SHORT_TERM_DEBT_DETAILED","FQ4 2012","FQ4 2012","Currency=USD","Period=FQ","BEST_FPERIOD_OVERRIDE=FQ","FILING_STATUS=OR","SCALING_FORMAT=MLN","Sort=A","Dates=H","DateFormat=P","Fill=—","Direction=H","UseDPDF=Y")</f>
        <v>2628</v>
      </c>
      <c r="U48" s="13">
        <f>_xll.BDH("XOM US Equity","SHORT_TERM_DEBT_DETAILED","FQ1 2013","FQ1 2013","Currency=USD","Period=FQ","BEST_FPERIOD_OVERRIDE=FQ","FILING_STATUS=OR","SCALING_FORMAT=MLN","Sort=A","Dates=H","DateFormat=P","Fill=—","Direction=H","UseDPDF=Y")</f>
        <v>5937</v>
      </c>
      <c r="V48" s="13">
        <f>_xll.BDH("XOM US Equity","SHORT_TERM_DEBT_DETAILED","FQ2 2013","FQ2 2013","Currency=USD","Period=FQ","BEST_FPERIOD_OVERRIDE=FQ","FILING_STATUS=OR","SCALING_FORMAT=MLN","Sort=A","Dates=H","DateFormat=P","Fill=—","Direction=H","UseDPDF=Y")</f>
        <v>11861</v>
      </c>
      <c r="W48" s="13">
        <f>_xll.BDH("XOM US Equity","SHORT_TERM_DEBT_DETAILED","FQ3 2013","FQ3 2013","Currency=USD","Period=FQ","BEST_FPERIOD_OVERRIDE=FQ","FILING_STATUS=OR","SCALING_FORMAT=MLN","Sort=A","Dates=H","DateFormat=P","Fill=—","Direction=H","UseDPDF=Y")</f>
        <v>13889</v>
      </c>
      <c r="X48" s="13">
        <f>_xll.BDH("XOM US Equity","SHORT_TERM_DEBT_DETAILED","FQ4 2013","FQ4 2013","Currency=USD","Period=FQ","BEST_FPERIOD_OVERRIDE=FQ","FILING_STATUS=OR","SCALING_FORMAT=MLN","Sort=A","Dates=H","DateFormat=P","Fill=—","Direction=H","UseDPDF=Y")</f>
        <v>14774</v>
      </c>
      <c r="Y48" s="13">
        <f>_xll.BDH("XOM US Equity","SHORT_TERM_DEBT_DETAILED","FQ1 2014","FQ1 2014","Currency=USD","Period=FQ","BEST_FPERIOD_OVERRIDE=FQ","FILING_STATUS=OR","SCALING_FORMAT=MLN","Sort=A","Dates=H","DateFormat=P","Fill=—","Direction=H","UseDPDF=Y")</f>
        <v>9223</v>
      </c>
      <c r="Z48" s="13">
        <f>_xll.BDH("XOM US Equity","SHORT_TERM_DEBT_DETAILED","FQ2 2014","FQ2 2014","Currency=USD","Period=FQ","BEST_FPERIOD_OVERRIDE=FQ","FILING_STATUS=OR","SCALING_FORMAT=MLN","Sort=A","Dates=H","DateFormat=P","Fill=—","Direction=H","UseDPDF=Y")</f>
        <v>9948</v>
      </c>
      <c r="AA48" s="13">
        <f>_xll.BDH("XOM US Equity","SHORT_TERM_DEBT_DETAILED","FQ3 2014","FQ3 2014","Currency=USD","Period=FQ","BEST_FPERIOD_OVERRIDE=FQ","FILING_STATUS=OR","SCALING_FORMAT=MLN","Sort=A","Dates=H","DateFormat=P","Fill=—","Direction=H","UseDPDF=Y")</f>
        <v>10243</v>
      </c>
      <c r="AB48" s="13">
        <f>_xll.BDH("XOM US Equity","SHORT_TERM_DEBT_DETAILED","FQ4 2014","FQ4 2014","Currency=USD","Period=FQ","BEST_FPERIOD_OVERRIDE=FQ","FILING_STATUS=OR","SCALING_FORMAT=MLN","Sort=A","Dates=H","DateFormat=P","Fill=—","Direction=H","UseDPDF=Y")</f>
        <v>16698</v>
      </c>
      <c r="AC48" s="13">
        <f>_xll.BDH("XOM US Equity","SHORT_TERM_DEBT_DETAILED","FQ1 2015","FQ1 2015","Currency=USD","Period=FQ","BEST_FPERIOD_OVERRIDE=FQ","FILING_STATUS=OR","SCALING_FORMAT=MLN","Sort=A","Dates=H","DateFormat=P","Fill=—","Direction=H","UseDPDF=Y")</f>
        <v>13277</v>
      </c>
      <c r="AD48" s="13">
        <f>_xll.BDH("XOM US Equity","SHORT_TERM_DEBT_DETAILED","FQ2 2015","FQ2 2015","Currency=USD","Period=FQ","BEST_FPERIOD_OVERRIDE=FQ","FILING_STATUS=OR","SCALING_FORMAT=MLN","Sort=A","Dates=H","DateFormat=P","Fill=—","Direction=H","UseDPDF=Y")</f>
        <v>14409</v>
      </c>
      <c r="AE48" s="13">
        <f>_xll.BDH("XOM US Equity","SHORT_TERM_DEBT_DETAILED","FQ3 2015","FQ3 2015","Currency=USD","Period=FQ","BEST_FPERIOD_OVERRIDE=FQ","FILING_STATUS=OR","SCALING_FORMAT=MLN","Sort=A","Dates=H","DateFormat=P","Fill=—","Direction=H","UseDPDF=Y")</f>
        <v>14473</v>
      </c>
      <c r="AF48" s="13">
        <f>_xll.BDH("XOM US Equity","SHORT_TERM_DEBT_DETAILED","FQ4 2015","FQ4 2015","Currency=USD","Period=FQ","BEST_FPERIOD_OVERRIDE=FQ","FILING_STATUS=OR","SCALING_FORMAT=MLN","Sort=A","Dates=H","DateFormat=P","Fill=—","Direction=H","UseDPDF=Y")</f>
        <v>18204</v>
      </c>
      <c r="AG48" s="13">
        <f>_xll.BDH("XOM US Equity","SHORT_TERM_DEBT_DETAILED","FQ1 2016","FQ1 2016","Currency=USD","Period=FQ","BEST_FPERIOD_OVERRIDE=FQ","FILING_STATUS=OR","SCALING_FORMAT=MLN","Sort=A","Dates=H","DateFormat=P","Fill=—","Direction=H","UseDPDF=Y")</f>
        <v>13540</v>
      </c>
      <c r="AH48" s="13">
        <f>_xll.BDH("XOM US Equity","SHORT_TERM_DEBT_DETAILED","FQ2 2016","FQ2 2016","Currency=USD","Period=FQ","BEST_FPERIOD_OVERRIDE=FQ","FILING_STATUS=OR","SCALING_FORMAT=MLN","Sort=A","Dates=H","DateFormat=P","Fill=—","Direction=H","UseDPDF=Y")</f>
        <v>14972</v>
      </c>
      <c r="AI48" s="13">
        <f>_xll.BDH("XOM US Equity","SHORT_TERM_DEBT_DETAILED","FQ3 2016","FQ3 2016","Currency=USD","Period=FQ","BEST_FPERIOD_OVERRIDE=FQ","FILING_STATUS=OR","SCALING_FORMAT=MLN","Sort=A","Dates=H","DateFormat=P","Fill=—","Direction=H","UseDPDF=Y")</f>
        <v>17239</v>
      </c>
      <c r="AJ48" s="13">
        <f>_xll.BDH("XOM US Equity","SHORT_TERM_DEBT_DETAILED","FQ4 2016","FQ4 2016","Currency=USD","Period=FQ","BEST_FPERIOD_OVERRIDE=FQ","FILING_STATUS=OR","SCALING_FORMAT=MLN","Sort=A","Dates=H","DateFormat=P","Fill=—","Direction=H","UseDPDF=Y")</f>
        <v>10870</v>
      </c>
      <c r="AK48" s="13">
        <f>_xll.BDH("XOM US Equity","SHORT_TERM_DEBT_DETAILED","FQ1 2017","FQ1 2017","Currency=USD","Period=FQ","BEST_FPERIOD_OVERRIDE=FQ","FILING_STATUS=OR","SCALING_FORMAT=MLN","Sort=A","Dates=H","DateFormat=P","Fill=—","Direction=H","UseDPDF=Y")</f>
        <v>18483</v>
      </c>
      <c r="AL48" s="13">
        <f>_xll.BDH("XOM US Equity","SHORT_TERM_DEBT_DETAILED","FQ2 2017","FQ2 2017","Currency=USD","Period=FQ","BEST_FPERIOD_OVERRIDE=FQ","FILING_STATUS=OR","SCALING_FORMAT=MLN","Sort=A","Dates=H","DateFormat=P","Fill=—","Direction=H","UseDPDF=Y")</f>
        <v>17185</v>
      </c>
      <c r="AM48" s="13">
        <f>_xll.BDH("XOM US Equity","SHORT_TERM_DEBT_DETAILED","FQ3 2017","FQ3 2017","Currency=USD","Period=FQ","BEST_FPERIOD_OVERRIDE=FQ","FILING_STATUS=OR","SCALING_FORMAT=MLN","Sort=A","Dates=H","DateFormat=P","Fill=—","Direction=H","UseDPDF=Y")</f>
        <v>15741</v>
      </c>
      <c r="AN48" s="13">
        <f>_xll.BDH("XOM US Equity","SHORT_TERM_DEBT_DETAILED","FQ4 2017","FQ4 2017","Currency=USD","Period=FQ","BEST_FPERIOD_OVERRIDE=FQ","FILING_STATUS=OR","SCALING_FORMAT=MLN","Sort=A","Dates=H","DateFormat=P","Fill=—","Direction=H","UseDPDF=Y")</f>
        <v>13164</v>
      </c>
      <c r="AO48" s="13">
        <f>_xll.BDH("XOM US Equity","SHORT_TERM_DEBT_DETAILED","FQ1 2018","FQ1 2018","Currency=USD","Period=FQ","BEST_FPERIOD_OVERRIDE=FQ","FILING_STATUS=OR","SCALING_FORMAT=MLN","Sort=A","Dates=H","DateFormat=P","Fill=—","Direction=H","UseDPDF=Y")</f>
        <v>19836</v>
      </c>
      <c r="AP48" s="13">
        <f>_xll.BDH("XOM US Equity","SHORT_TERM_DEBT_DETAILED","FQ2 2018","FQ2 2018","Currency=USD","Period=FQ","BEST_FPERIOD_OVERRIDE=FQ","FILING_STATUS=OR","SCALING_FORMAT=MLN","Sort=A","Dates=H","DateFormat=P","Fill=—","Direction=H","UseDPDF=Y")</f>
        <v>20500</v>
      </c>
    </row>
    <row r="49" spans="1:42" x14ac:dyDescent="0.25">
      <c r="A49" s="10" t="s">
        <v>284</v>
      </c>
      <c r="B49" s="10" t="s">
        <v>285</v>
      </c>
      <c r="C49" s="13" t="str">
        <f>_xll.BDH("XOM US Equity","BS_CURR_PORTION_LT_DEBT","FQ3 2008","FQ3 2008","Currency=USD","Period=FQ","BEST_FPERIOD_OVERRIDE=FQ","FILING_STATUS=OR","SCALING_FORMAT=MLN","Sort=A","Dates=H","DateFormat=P","Fill=—","Direction=H","UseDPDF=Y")</f>
        <v>—</v>
      </c>
      <c r="D49" s="13" t="str">
        <f>_xll.BDH("XOM US Equity","BS_CURR_PORTION_LT_DEBT","FQ4 2008","FQ4 2008","Currency=USD","Period=FQ","BEST_FPERIOD_OVERRIDE=FQ","FILING_STATUS=OR","SCALING_FORMAT=MLN","Sort=A","Dates=H","DateFormat=P","Fill=—","Direction=H","UseDPDF=Y")</f>
        <v>—</v>
      </c>
      <c r="E49" s="13" t="str">
        <f>_xll.BDH("XOM US Equity","BS_CURR_PORTION_LT_DEBT","FQ1 2009","FQ1 2009","Currency=USD","Period=FQ","BEST_FPERIOD_OVERRIDE=FQ","FILING_STATUS=OR","SCALING_FORMAT=MLN","Sort=A","Dates=H","DateFormat=P","Fill=—","Direction=H","UseDPDF=Y")</f>
        <v>—</v>
      </c>
      <c r="F49" s="13" t="str">
        <f>_xll.BDH("XOM US Equity","BS_CURR_PORTION_LT_DEBT","FQ2 2009","FQ2 2009","Currency=USD","Period=FQ","BEST_FPERIOD_OVERRIDE=FQ","FILING_STATUS=OR","SCALING_FORMAT=MLN","Sort=A","Dates=H","DateFormat=P","Fill=—","Direction=H","UseDPDF=Y")</f>
        <v>—</v>
      </c>
      <c r="G49" s="13" t="str">
        <f>_xll.BDH("XOM US Equity","BS_CURR_PORTION_LT_DEBT","FQ3 2009","FQ3 2009","Currency=USD","Period=FQ","BEST_FPERIOD_OVERRIDE=FQ","FILING_STATUS=OR","SCALING_FORMAT=MLN","Sort=A","Dates=H","DateFormat=P","Fill=—","Direction=H","UseDPDF=Y")</f>
        <v>—</v>
      </c>
      <c r="H49" s="13">
        <f>_xll.BDH("XOM US Equity","BS_CURR_PORTION_LT_DEBT","FQ4 2009","FQ4 2009","Currency=USD","Period=FQ","BEST_FPERIOD_OVERRIDE=FQ","FILING_STATUS=OR","SCALING_FORMAT=MLN","Sort=A","Dates=H","DateFormat=P","Fill=—","Direction=H","UseDPDF=Y")</f>
        <v>348</v>
      </c>
      <c r="I49" s="13" t="str">
        <f>_xll.BDH("XOM US Equity","BS_CURR_PORTION_LT_DEBT","FQ1 2010","FQ1 2010","Currency=USD","Period=FQ","BEST_FPERIOD_OVERRIDE=FQ","FILING_STATUS=OR","SCALING_FORMAT=MLN","Sort=A","Dates=H","DateFormat=P","Fill=—","Direction=H","UseDPDF=Y")</f>
        <v>#N/A Requesting Data...</v>
      </c>
      <c r="J49" s="13">
        <f>_xll.BDH("XOM US Equity","BS_CURR_PORTION_LT_DEBT","FQ2 2010","FQ2 2010","Currency=USD","Period=FQ","BEST_FPERIOD_OVERRIDE=FQ","FILING_STATUS=OR","SCALING_FORMAT=MLN","Sort=A","Dates=H","DateFormat=P","Fill=—","Direction=H","UseDPDF=Y")</f>
        <v>1026</v>
      </c>
      <c r="K49" s="13">
        <f>_xll.BDH("XOM US Equity","BS_CURR_PORTION_LT_DEBT","FQ3 2010","FQ3 2010","Currency=USD","Period=FQ","BEST_FPERIOD_OVERRIDE=FQ","FILING_STATUS=OR","SCALING_FORMAT=MLN","Sort=A","Dates=H","DateFormat=P","Fill=—","Direction=H","UseDPDF=Y")</f>
        <v>1026</v>
      </c>
      <c r="L49" s="13">
        <f>_xll.BDH("XOM US Equity","BS_CURR_PORTION_LT_DEBT","FQ4 2010","FQ4 2010","Currency=USD","Period=FQ","BEST_FPERIOD_OVERRIDE=FQ","FILING_STATUS=OR","SCALING_FORMAT=MLN","Sort=A","Dates=H","DateFormat=P","Fill=—","Direction=H","UseDPDF=Y")</f>
        <v>345</v>
      </c>
      <c r="M49" s="13" t="str">
        <f>_xll.BDH("XOM US Equity","BS_CURR_PORTION_LT_DEBT","FQ1 2011","FQ1 2011","Currency=USD","Period=FQ","BEST_FPERIOD_OVERRIDE=FQ","FILING_STATUS=OR","SCALING_FORMAT=MLN","Sort=A","Dates=H","DateFormat=P","Fill=—","Direction=H","UseDPDF=Y")</f>
        <v>—</v>
      </c>
      <c r="N49" s="13" t="str">
        <f>_xll.BDH("XOM US Equity","BS_CURR_PORTION_LT_DEBT","FQ2 2011","FQ2 2011","Currency=USD","Period=FQ","BEST_FPERIOD_OVERRIDE=FQ","FILING_STATUS=OR","SCALING_FORMAT=MLN","Sort=A","Dates=H","DateFormat=P","Fill=—","Direction=H","UseDPDF=Y")</f>
        <v>—</v>
      </c>
      <c r="O49" s="13" t="str">
        <f>_xll.BDH("XOM US Equity","BS_CURR_PORTION_LT_DEBT","FQ3 2011","FQ3 2011","Currency=USD","Period=FQ","BEST_FPERIOD_OVERRIDE=FQ","FILING_STATUS=OR","SCALING_FORMAT=MLN","Sort=A","Dates=H","DateFormat=P","Fill=—","Direction=H","UseDPDF=Y")</f>
        <v>—</v>
      </c>
      <c r="P49" s="13">
        <f>_xll.BDH("XOM US Equity","BS_CURR_PORTION_LT_DEBT","FQ4 2011","FQ4 2011","Currency=USD","Period=FQ","BEST_FPERIOD_OVERRIDE=FQ","FILING_STATUS=OR","SCALING_FORMAT=MLN","Sort=A","Dates=H","DateFormat=P","Fill=—","Direction=H","UseDPDF=Y")</f>
        <v>3431</v>
      </c>
      <c r="Q49" s="13" t="str">
        <f>_xll.BDH("XOM US Equity","BS_CURR_PORTION_LT_DEBT","FQ1 2012","FQ1 2012","Currency=USD","Period=FQ","BEST_FPERIOD_OVERRIDE=FQ","FILING_STATUS=OR","SCALING_FORMAT=MLN","Sort=A","Dates=H","DateFormat=P","Fill=—","Direction=H","UseDPDF=Y")</f>
        <v>—</v>
      </c>
      <c r="R49" s="13" t="str">
        <f>_xll.BDH("XOM US Equity","BS_CURR_PORTION_LT_DEBT","FQ2 2012","FQ2 2012","Currency=USD","Period=FQ","BEST_FPERIOD_OVERRIDE=FQ","FILING_STATUS=OR","SCALING_FORMAT=MLN","Sort=A","Dates=H","DateFormat=P","Fill=—","Direction=H","UseDPDF=Y")</f>
        <v>—</v>
      </c>
      <c r="S49" s="13" t="str">
        <f>_xll.BDH("XOM US Equity","BS_CURR_PORTION_LT_DEBT","FQ3 2012","FQ3 2012","Currency=USD","Period=FQ","BEST_FPERIOD_OVERRIDE=FQ","FILING_STATUS=OR","SCALING_FORMAT=MLN","Sort=A","Dates=H","DateFormat=P","Fill=—","Direction=H","UseDPDF=Y")</f>
        <v>—</v>
      </c>
      <c r="T49" s="13">
        <f>_xll.BDH("XOM US Equity","BS_CURR_PORTION_LT_DEBT","FQ4 2012","FQ4 2012","Currency=USD","Period=FQ","BEST_FPERIOD_OVERRIDE=FQ","FILING_STATUS=OR","SCALING_FORMAT=MLN","Sort=A","Dates=H","DateFormat=P","Fill=—","Direction=H","UseDPDF=Y")</f>
        <v>1025</v>
      </c>
      <c r="U49" s="13" t="str">
        <f>_xll.BDH("XOM US Equity","BS_CURR_PORTION_LT_DEBT","FQ1 2013","FQ1 2013","Currency=USD","Period=FQ","BEST_FPERIOD_OVERRIDE=FQ","FILING_STATUS=OR","SCALING_FORMAT=MLN","Sort=A","Dates=H","DateFormat=P","Fill=—","Direction=H","UseDPDF=Y")</f>
        <v>—</v>
      </c>
      <c r="V49" s="13" t="str">
        <f>_xll.BDH("XOM US Equity","BS_CURR_PORTION_LT_DEBT","FQ2 2013","FQ2 2013","Currency=USD","Period=FQ","BEST_FPERIOD_OVERRIDE=FQ","FILING_STATUS=OR","SCALING_FORMAT=MLN","Sort=A","Dates=H","DateFormat=P","Fill=—","Direction=H","UseDPDF=Y")</f>
        <v>—</v>
      </c>
      <c r="W49" s="13" t="str">
        <f>_xll.BDH("XOM US Equity","BS_CURR_PORTION_LT_DEBT","FQ3 2013","FQ3 2013","Currency=USD","Period=FQ","BEST_FPERIOD_OVERRIDE=FQ","FILING_STATUS=OR","SCALING_FORMAT=MLN","Sort=A","Dates=H","DateFormat=P","Fill=—","Direction=H","UseDPDF=Y")</f>
        <v>—</v>
      </c>
      <c r="X49" s="13">
        <f>_xll.BDH("XOM US Equity","BS_CURR_PORTION_LT_DEBT","FQ4 2013","FQ4 2013","Currency=USD","Period=FQ","BEST_FPERIOD_OVERRIDE=FQ","FILING_STATUS=OR","SCALING_FORMAT=MLN","Sort=A","Dates=H","DateFormat=P","Fill=—","Direction=H","UseDPDF=Y")</f>
        <v>1034</v>
      </c>
      <c r="Y49" s="13" t="str">
        <f>_xll.BDH("XOM US Equity","BS_CURR_PORTION_LT_DEBT","FQ1 2014","FQ1 2014","Currency=USD","Period=FQ","BEST_FPERIOD_OVERRIDE=FQ","FILING_STATUS=OR","SCALING_FORMAT=MLN","Sort=A","Dates=H","DateFormat=P","Fill=—","Direction=H","UseDPDF=Y")</f>
        <v>—</v>
      </c>
      <c r="Z49" s="13" t="str">
        <f>_xll.BDH("XOM US Equity","BS_CURR_PORTION_LT_DEBT","FQ2 2014","FQ2 2014","Currency=USD","Period=FQ","BEST_FPERIOD_OVERRIDE=FQ","FILING_STATUS=OR","SCALING_FORMAT=MLN","Sort=A","Dates=H","DateFormat=P","Fill=—","Direction=H","UseDPDF=Y")</f>
        <v>—</v>
      </c>
      <c r="AA49" s="13" t="str">
        <f>_xll.BDH("XOM US Equity","BS_CURR_PORTION_LT_DEBT","FQ3 2014","FQ3 2014","Currency=USD","Period=FQ","BEST_FPERIOD_OVERRIDE=FQ","FILING_STATUS=OR","SCALING_FORMAT=MLN","Sort=A","Dates=H","DateFormat=P","Fill=—","Direction=H","UseDPDF=Y")</f>
        <v>—</v>
      </c>
      <c r="AB49" s="13">
        <f>_xll.BDH("XOM US Equity","BS_CURR_PORTION_LT_DEBT","FQ4 2014","FQ4 2014","Currency=USD","Period=FQ","BEST_FPERIOD_OVERRIDE=FQ","FILING_STATUS=OR","SCALING_FORMAT=MLN","Sort=A","Dates=H","DateFormat=P","Fill=—","Direction=H","UseDPDF=Y")</f>
        <v>770</v>
      </c>
      <c r="AC49" s="13" t="str">
        <f>_xll.BDH("XOM US Equity","BS_CURR_PORTION_LT_DEBT","FQ1 2015","FQ1 2015","Currency=USD","Period=FQ","BEST_FPERIOD_OVERRIDE=FQ","FILING_STATUS=OR","SCALING_FORMAT=MLN","Sort=A","Dates=H","DateFormat=P","Fill=—","Direction=H","UseDPDF=Y")</f>
        <v>—</v>
      </c>
      <c r="AD49" s="13" t="str">
        <f>_xll.BDH("XOM US Equity","BS_CURR_PORTION_LT_DEBT","FQ2 2015","FQ2 2015","Currency=USD","Period=FQ","BEST_FPERIOD_OVERRIDE=FQ","FILING_STATUS=OR","SCALING_FORMAT=MLN","Sort=A","Dates=H","DateFormat=P","Fill=—","Direction=H","UseDPDF=Y")</f>
        <v>—</v>
      </c>
      <c r="AE49" s="13" t="str">
        <f>_xll.BDH("XOM US Equity","BS_CURR_PORTION_LT_DEBT","FQ3 2015","FQ3 2015","Currency=USD","Period=FQ","BEST_FPERIOD_OVERRIDE=FQ","FILING_STATUS=OR","SCALING_FORMAT=MLN","Sort=A","Dates=H","DateFormat=P","Fill=—","Direction=H","UseDPDF=Y")</f>
        <v>—</v>
      </c>
      <c r="AF49" s="13">
        <f>_xll.BDH("XOM US Equity","BS_CURR_PORTION_LT_DEBT","FQ4 2015","FQ4 2015","Currency=USD","Period=FQ","BEST_FPERIOD_OVERRIDE=FQ","FILING_STATUS=OR","SCALING_FORMAT=MLN","Sort=A","Dates=H","DateFormat=P","Fill=—","Direction=H","UseDPDF=Y")</f>
        <v>558</v>
      </c>
      <c r="AG49" s="13" t="str">
        <f>_xll.BDH("XOM US Equity","BS_CURR_PORTION_LT_DEBT","FQ1 2016","FQ1 2016","Currency=USD","Period=FQ","BEST_FPERIOD_OVERRIDE=FQ","FILING_STATUS=OR","SCALING_FORMAT=MLN","Sort=A","Dates=H","DateFormat=P","Fill=—","Direction=H","UseDPDF=Y")</f>
        <v>—</v>
      </c>
      <c r="AH49" s="13" t="str">
        <f>_xll.BDH("XOM US Equity","BS_CURR_PORTION_LT_DEBT","FQ2 2016","FQ2 2016","Currency=USD","Period=FQ","BEST_FPERIOD_OVERRIDE=FQ","FILING_STATUS=OR","SCALING_FORMAT=MLN","Sort=A","Dates=H","DateFormat=P","Fill=—","Direction=H","UseDPDF=Y")</f>
        <v>—</v>
      </c>
      <c r="AI49" s="13" t="str">
        <f>_xll.BDH("XOM US Equity","BS_CURR_PORTION_LT_DEBT","FQ3 2016","FQ3 2016","Currency=USD","Period=FQ","BEST_FPERIOD_OVERRIDE=FQ","FILING_STATUS=OR","SCALING_FORMAT=MLN","Sort=A","Dates=H","DateFormat=P","Fill=—","Direction=H","UseDPDF=Y")</f>
        <v>—</v>
      </c>
      <c r="AJ49" s="13">
        <f>_xll.BDH("XOM US Equity","BS_CURR_PORTION_LT_DEBT","FQ4 2016","FQ4 2016","Currency=USD","Period=FQ","BEST_FPERIOD_OVERRIDE=FQ","FILING_STATUS=OR","SCALING_FORMAT=MLN","Sort=A","Dates=H","DateFormat=P","Fill=—","Direction=H","UseDPDF=Y")</f>
        <v>2960</v>
      </c>
      <c r="AK49" s="13" t="str">
        <f>_xll.BDH("XOM US Equity","BS_CURR_PORTION_LT_DEBT","FQ1 2017","FQ1 2017","Currency=USD","Period=FQ","BEST_FPERIOD_OVERRIDE=FQ","FILING_STATUS=OR","SCALING_FORMAT=MLN","Sort=A","Dates=H","DateFormat=P","Fill=—","Direction=H","UseDPDF=Y")</f>
        <v>—</v>
      </c>
      <c r="AL49" s="13" t="str">
        <f>_xll.BDH("XOM US Equity","BS_CURR_PORTION_LT_DEBT","FQ2 2017","FQ2 2017","Currency=USD","Period=FQ","BEST_FPERIOD_OVERRIDE=FQ","FILING_STATUS=OR","SCALING_FORMAT=MLN","Sort=A","Dates=H","DateFormat=P","Fill=—","Direction=H","UseDPDF=Y")</f>
        <v>—</v>
      </c>
      <c r="AM49" s="13" t="str">
        <f>_xll.BDH("XOM US Equity","BS_CURR_PORTION_LT_DEBT","FQ3 2017","FQ3 2017","Currency=USD","Period=FQ","BEST_FPERIOD_OVERRIDE=FQ","FILING_STATUS=OR","SCALING_FORMAT=MLN","Sort=A","Dates=H","DateFormat=P","Fill=—","Direction=H","UseDPDF=Y")</f>
        <v>—</v>
      </c>
      <c r="AN49" s="13">
        <f>_xll.BDH("XOM US Equity","BS_CURR_PORTION_LT_DEBT","FQ4 2017","FQ4 2017","Currency=USD","Period=FQ","BEST_FPERIOD_OVERRIDE=FQ","FILING_STATUS=OR","SCALING_FORMAT=MLN","Sort=A","Dates=H","DateFormat=P","Fill=—","Direction=H","UseDPDF=Y")</f>
        <v>4766</v>
      </c>
      <c r="AO49" s="13" t="str">
        <f>_xll.BDH("XOM US Equity","BS_CURR_PORTION_LT_DEBT","FQ1 2018","FQ1 2018","Currency=USD","Period=FQ","BEST_FPERIOD_OVERRIDE=FQ","FILING_STATUS=OR","SCALING_FORMAT=MLN","Sort=A","Dates=H","DateFormat=P","Fill=—","Direction=H","UseDPDF=Y")</f>
        <v>—</v>
      </c>
      <c r="AP49" s="13" t="str">
        <f>_xll.BDH("XOM US Equity","BS_CURR_PORTION_LT_DEBT","FQ2 2018","FQ2 2018","Currency=USD","Period=FQ","BEST_FPERIOD_OVERRIDE=FQ","FILING_STATUS=OR","SCALING_FORMAT=MLN","Sort=A","Dates=H","DateFormat=P","Fill=—","Direction=H","UseDPDF=Y")</f>
        <v>—</v>
      </c>
    </row>
    <row r="50" spans="1:42" x14ac:dyDescent="0.25">
      <c r="A50" s="10" t="s">
        <v>286</v>
      </c>
      <c r="B50" s="10" t="s">
        <v>287</v>
      </c>
      <c r="C50" s="13">
        <f>_xll.BDH("XOM US Equity","OTHER_CURRENT_LIABS_SUB_DETAILED","FQ3 2008","FQ3 2008","Currency=USD","Period=FQ","BEST_FPERIOD_OVERRIDE=FQ","FILING_STATUS=OR","SCALING_FORMAT=MLN","Sort=A","Dates=H","DateFormat=P","Fill=—","Direction=H","UseDPDF=Y")</f>
        <v>15663</v>
      </c>
      <c r="D50" s="13">
        <f>_xll.BDH("XOM US Equity","OTHER_CURRENT_LIABS_SUB_DETAILED","FQ4 2008","FQ4 2008","Currency=USD","Period=FQ","BEST_FPERIOD_OVERRIDE=FQ","FILING_STATUS=OR","SCALING_FORMAT=MLN","Sort=A","Dates=H","DateFormat=P","Fill=—","Direction=H","UseDPDF=Y")</f>
        <v>25510</v>
      </c>
      <c r="E50" s="13">
        <f>_xll.BDH("XOM US Equity","OTHER_CURRENT_LIABS_SUB_DETAILED","FQ1 2009","FQ1 2009","Currency=USD","Period=FQ","BEST_FPERIOD_OVERRIDE=FQ","FILING_STATUS=OR","SCALING_FORMAT=MLN","Sort=A","Dates=H","DateFormat=P","Fill=—","Direction=H","UseDPDF=Y")</f>
        <v>0</v>
      </c>
      <c r="F50" s="13">
        <f>_xll.BDH("XOM US Equity","OTHER_CURRENT_LIABS_SUB_DETAILED","FQ2 2009","FQ2 2009","Currency=USD","Period=FQ","BEST_FPERIOD_OVERRIDE=FQ","FILING_STATUS=OR","SCALING_FORMAT=MLN","Sort=A","Dates=H","DateFormat=P","Fill=—","Direction=H","UseDPDF=Y")</f>
        <v>0</v>
      </c>
      <c r="G50" s="13">
        <f>_xll.BDH("XOM US Equity","OTHER_CURRENT_LIABS_SUB_DETAILED","FQ3 2009","FQ3 2009","Currency=USD","Period=FQ","BEST_FPERIOD_OVERRIDE=FQ","FILING_STATUS=OR","SCALING_FORMAT=MLN","Sort=A","Dates=H","DateFormat=P","Fill=—","Direction=H","UseDPDF=Y")</f>
        <v>0</v>
      </c>
      <c r="H50" s="13">
        <f>_xll.BDH("XOM US Equity","OTHER_CURRENT_LIABS_SUB_DETAILED","FQ4 2009","FQ4 2009","Currency=USD","Period=FQ","BEST_FPERIOD_OVERRIDE=FQ","FILING_STATUS=OR","SCALING_FORMAT=MLN","Sort=A","Dates=H","DateFormat=P","Fill=—","Direction=H","UseDPDF=Y")</f>
        <v>0</v>
      </c>
      <c r="I50" s="13">
        <f>_xll.BDH("XOM US Equity","OTHER_CURRENT_LIABS_SUB_DETAILED","FQ1 2010","FQ1 2010","Currency=USD","Period=FQ","BEST_FPERIOD_OVERRIDE=FQ","FILING_STATUS=OR","SCALING_FORMAT=MLN","Sort=A","Dates=H","DateFormat=P","Fill=—","Direction=H","UseDPDF=Y")</f>
        <v>0</v>
      </c>
      <c r="J50" s="13">
        <f>_xll.BDH("XOM US Equity","OTHER_CURRENT_LIABS_SUB_DETAILED","FQ2 2010","FQ2 2010","Currency=USD","Period=FQ","BEST_FPERIOD_OVERRIDE=FQ","FILING_STATUS=OR","SCALING_FORMAT=MLN","Sort=A","Dates=H","DateFormat=P","Fill=—","Direction=H","UseDPDF=Y")</f>
        <v>0</v>
      </c>
      <c r="K50" s="13">
        <f>_xll.BDH("XOM US Equity","OTHER_CURRENT_LIABS_SUB_DETAILED","FQ3 2010","FQ3 2010","Currency=USD","Period=FQ","BEST_FPERIOD_OVERRIDE=FQ","FILING_STATUS=OR","SCALING_FORMAT=MLN","Sort=A","Dates=H","DateFormat=P","Fill=—","Direction=H","UseDPDF=Y")</f>
        <v>0</v>
      </c>
      <c r="L50" s="13">
        <f>_xll.BDH("XOM US Equity","OTHER_CURRENT_LIABS_SUB_DETAILED","FQ4 2010","FQ4 2010","Currency=USD","Period=FQ","BEST_FPERIOD_OVERRIDE=FQ","FILING_STATUS=OR","SCALING_FORMAT=MLN","Sort=A","Dates=H","DateFormat=P","Fill=—","Direction=H","UseDPDF=Y")</f>
        <v>0</v>
      </c>
      <c r="M50" s="13">
        <f>_xll.BDH("XOM US Equity","OTHER_CURRENT_LIABS_SUB_DETAILED","FQ1 2011","FQ1 2011","Currency=USD","Period=FQ","BEST_FPERIOD_OVERRIDE=FQ","FILING_STATUS=OR","SCALING_FORMAT=MLN","Sort=A","Dates=H","DateFormat=P","Fill=—","Direction=H","UseDPDF=Y")</f>
        <v>0</v>
      </c>
      <c r="N50" s="13">
        <f>_xll.BDH("XOM US Equity","OTHER_CURRENT_LIABS_SUB_DETAILED","FQ2 2011","FQ2 2011","Currency=USD","Period=FQ","BEST_FPERIOD_OVERRIDE=FQ","FILING_STATUS=OR","SCALING_FORMAT=MLN","Sort=A","Dates=H","DateFormat=P","Fill=—","Direction=H","UseDPDF=Y")</f>
        <v>0</v>
      </c>
      <c r="O50" s="13">
        <f>_xll.BDH("XOM US Equity","OTHER_CURRENT_LIABS_SUB_DETAILED","FQ3 2011","FQ3 2011","Currency=USD","Period=FQ","BEST_FPERIOD_OVERRIDE=FQ","FILING_STATUS=OR","SCALING_FORMAT=MLN","Sort=A","Dates=H","DateFormat=P","Fill=—","Direction=H","UseDPDF=Y")</f>
        <v>0</v>
      </c>
      <c r="P50" s="13">
        <f>_xll.BDH("XOM US Equity","OTHER_CURRENT_LIABS_SUB_DETAILED","FQ4 2011","FQ4 2011","Currency=USD","Period=FQ","BEST_FPERIOD_OVERRIDE=FQ","FILING_STATUS=OR","SCALING_FORMAT=MLN","Sort=A","Dates=H","DateFormat=P","Fill=—","Direction=H","UseDPDF=Y")</f>
        <v>0</v>
      </c>
      <c r="Q50" s="13">
        <f>_xll.BDH("XOM US Equity","OTHER_CURRENT_LIABS_SUB_DETAILED","FQ1 2012","FQ1 2012","Currency=USD","Period=FQ","BEST_FPERIOD_OVERRIDE=FQ","FILING_STATUS=OR","SCALING_FORMAT=MLN","Sort=A","Dates=H","DateFormat=P","Fill=—","Direction=H","UseDPDF=Y")</f>
        <v>0</v>
      </c>
      <c r="R50" s="13">
        <f>_xll.BDH("XOM US Equity","OTHER_CURRENT_LIABS_SUB_DETAILED","FQ2 2012","FQ2 2012","Currency=USD","Period=FQ","BEST_FPERIOD_OVERRIDE=FQ","FILING_STATUS=OR","SCALING_FORMAT=MLN","Sort=A","Dates=H","DateFormat=P","Fill=—","Direction=H","UseDPDF=Y")</f>
        <v>0</v>
      </c>
      <c r="S50" s="13">
        <f>_xll.BDH("XOM US Equity","OTHER_CURRENT_LIABS_SUB_DETAILED","FQ3 2012","FQ3 2012","Currency=USD","Period=FQ","BEST_FPERIOD_OVERRIDE=FQ","FILING_STATUS=OR","SCALING_FORMAT=MLN","Sort=A","Dates=H","DateFormat=P","Fill=—","Direction=H","UseDPDF=Y")</f>
        <v>0</v>
      </c>
      <c r="T50" s="13">
        <f>_xll.BDH("XOM US Equity","OTHER_CURRENT_LIABS_SUB_DETAILED","FQ4 2012","FQ4 2012","Currency=USD","Period=FQ","BEST_FPERIOD_OVERRIDE=FQ","FILING_STATUS=OR","SCALING_FORMAT=MLN","Sort=A","Dates=H","DateFormat=P","Fill=—","Direction=H","UseDPDF=Y")</f>
        <v>0</v>
      </c>
      <c r="U50" s="13">
        <f>_xll.BDH("XOM US Equity","OTHER_CURRENT_LIABS_SUB_DETAILED","FQ1 2013","FQ1 2013","Currency=USD","Period=FQ","BEST_FPERIOD_OVERRIDE=FQ","FILING_STATUS=OR","SCALING_FORMAT=MLN","Sort=A","Dates=H","DateFormat=P","Fill=—","Direction=H","UseDPDF=Y")</f>
        <v>0</v>
      </c>
      <c r="V50" s="13">
        <f>_xll.BDH("XOM US Equity","OTHER_CURRENT_LIABS_SUB_DETAILED","FQ2 2013","FQ2 2013","Currency=USD","Period=FQ","BEST_FPERIOD_OVERRIDE=FQ","FILING_STATUS=OR","SCALING_FORMAT=MLN","Sort=A","Dates=H","DateFormat=P","Fill=—","Direction=H","UseDPDF=Y")</f>
        <v>0</v>
      </c>
      <c r="W50" s="13">
        <f>_xll.BDH("XOM US Equity","OTHER_CURRENT_LIABS_SUB_DETAILED","FQ3 2013","FQ3 2013","Currency=USD","Period=FQ","BEST_FPERIOD_OVERRIDE=FQ","FILING_STATUS=OR","SCALING_FORMAT=MLN","Sort=A","Dates=H","DateFormat=P","Fill=—","Direction=H","UseDPDF=Y")</f>
        <v>0</v>
      </c>
      <c r="X50" s="13">
        <f>_xll.BDH("XOM US Equity","OTHER_CURRENT_LIABS_SUB_DETAILED","FQ4 2013","FQ4 2013","Currency=USD","Period=FQ","BEST_FPERIOD_OVERRIDE=FQ","FILING_STATUS=OR","SCALING_FORMAT=MLN","Sort=A","Dates=H","DateFormat=P","Fill=—","Direction=H","UseDPDF=Y")</f>
        <v>0</v>
      </c>
      <c r="Y50" s="13">
        <f>_xll.BDH("XOM US Equity","OTHER_CURRENT_LIABS_SUB_DETAILED","FQ1 2014","FQ1 2014","Currency=USD","Period=FQ","BEST_FPERIOD_OVERRIDE=FQ","FILING_STATUS=OR","SCALING_FORMAT=MLN","Sort=A","Dates=H","DateFormat=P","Fill=—","Direction=H","UseDPDF=Y")</f>
        <v>0</v>
      </c>
      <c r="Z50" s="13">
        <f>_xll.BDH("XOM US Equity","OTHER_CURRENT_LIABS_SUB_DETAILED","FQ2 2014","FQ2 2014","Currency=USD","Period=FQ","BEST_FPERIOD_OVERRIDE=FQ","FILING_STATUS=OR","SCALING_FORMAT=MLN","Sort=A","Dates=H","DateFormat=P","Fill=—","Direction=H","UseDPDF=Y")</f>
        <v>0</v>
      </c>
      <c r="AA50" s="13">
        <f>_xll.BDH("XOM US Equity","OTHER_CURRENT_LIABS_SUB_DETAILED","FQ3 2014","FQ3 2014","Currency=USD","Period=FQ","BEST_FPERIOD_OVERRIDE=FQ","FILING_STATUS=OR","SCALING_FORMAT=MLN","Sort=A","Dates=H","DateFormat=P","Fill=—","Direction=H","UseDPDF=Y")</f>
        <v>0</v>
      </c>
      <c r="AB50" s="13">
        <f>_xll.BDH("XOM US Equity","OTHER_CURRENT_LIABS_SUB_DETAILED","FQ4 2014","FQ4 2014","Currency=USD","Period=FQ","BEST_FPERIOD_OVERRIDE=FQ","FILING_STATUS=OR","SCALING_FORMAT=MLN","Sort=A","Dates=H","DateFormat=P","Fill=—","Direction=H","UseDPDF=Y")</f>
        <v>0</v>
      </c>
      <c r="AC50" s="13">
        <f>_xll.BDH("XOM US Equity","OTHER_CURRENT_LIABS_SUB_DETAILED","FQ1 2015","FQ1 2015","Currency=USD","Period=FQ","BEST_FPERIOD_OVERRIDE=FQ","FILING_STATUS=OR","SCALING_FORMAT=MLN","Sort=A","Dates=H","DateFormat=P","Fill=—","Direction=H","UseDPDF=Y")</f>
        <v>0</v>
      </c>
      <c r="AD50" s="13">
        <f>_xll.BDH("XOM US Equity","OTHER_CURRENT_LIABS_SUB_DETAILED","FQ2 2015","FQ2 2015","Currency=USD","Period=FQ","BEST_FPERIOD_OVERRIDE=FQ","FILING_STATUS=OR","SCALING_FORMAT=MLN","Sort=A","Dates=H","DateFormat=P","Fill=—","Direction=H","UseDPDF=Y")</f>
        <v>0</v>
      </c>
      <c r="AE50" s="13">
        <f>_xll.BDH("XOM US Equity","OTHER_CURRENT_LIABS_SUB_DETAILED","FQ3 2015","FQ3 2015","Currency=USD","Period=FQ","BEST_FPERIOD_OVERRIDE=FQ","FILING_STATUS=OR","SCALING_FORMAT=MLN","Sort=A","Dates=H","DateFormat=P","Fill=—","Direction=H","UseDPDF=Y")</f>
        <v>0</v>
      </c>
      <c r="AF50" s="13">
        <f>_xll.BDH("XOM US Equity","OTHER_CURRENT_LIABS_SUB_DETAILED","FQ4 2015","FQ4 2015","Currency=USD","Period=FQ","BEST_FPERIOD_OVERRIDE=FQ","FILING_STATUS=OR","SCALING_FORMAT=MLN","Sort=A","Dates=H","DateFormat=P","Fill=—","Direction=H","UseDPDF=Y")</f>
        <v>0</v>
      </c>
      <c r="AG50" s="13">
        <f>_xll.BDH("XOM US Equity","OTHER_CURRENT_LIABS_SUB_DETAILED","FQ1 2016","FQ1 2016","Currency=USD","Period=FQ","BEST_FPERIOD_OVERRIDE=FQ","FILING_STATUS=OR","SCALING_FORMAT=MLN","Sort=A","Dates=H","DateFormat=P","Fill=—","Direction=H","UseDPDF=Y")</f>
        <v>0</v>
      </c>
      <c r="AH50" s="13">
        <f>_xll.BDH("XOM US Equity","OTHER_CURRENT_LIABS_SUB_DETAILED","FQ2 2016","FQ2 2016","Currency=USD","Period=FQ","BEST_FPERIOD_OVERRIDE=FQ","FILING_STATUS=OR","SCALING_FORMAT=MLN","Sort=A","Dates=H","DateFormat=P","Fill=—","Direction=H","UseDPDF=Y")</f>
        <v>0</v>
      </c>
      <c r="AI50" s="13">
        <f>_xll.BDH("XOM US Equity","OTHER_CURRENT_LIABS_SUB_DETAILED","FQ3 2016","FQ3 2016","Currency=USD","Period=FQ","BEST_FPERIOD_OVERRIDE=FQ","FILING_STATUS=OR","SCALING_FORMAT=MLN","Sort=A","Dates=H","DateFormat=P","Fill=—","Direction=H","UseDPDF=Y")</f>
        <v>0</v>
      </c>
      <c r="AJ50" s="13">
        <f>_xll.BDH("XOM US Equity","OTHER_CURRENT_LIABS_SUB_DETAILED","FQ4 2016","FQ4 2016","Currency=USD","Period=FQ","BEST_FPERIOD_OVERRIDE=FQ","FILING_STATUS=OR","SCALING_FORMAT=MLN","Sort=A","Dates=H","DateFormat=P","Fill=—","Direction=H","UseDPDF=Y")</f>
        <v>0</v>
      </c>
      <c r="AK50" s="13">
        <f>_xll.BDH("XOM US Equity","OTHER_CURRENT_LIABS_SUB_DETAILED","FQ1 2017","FQ1 2017","Currency=USD","Period=FQ","BEST_FPERIOD_OVERRIDE=FQ","FILING_STATUS=OR","SCALING_FORMAT=MLN","Sort=A","Dates=H","DateFormat=P","Fill=—","Direction=H","UseDPDF=Y")</f>
        <v>0</v>
      </c>
      <c r="AL50" s="13">
        <f>_xll.BDH("XOM US Equity","OTHER_CURRENT_LIABS_SUB_DETAILED","FQ2 2017","FQ2 2017","Currency=USD","Period=FQ","BEST_FPERIOD_OVERRIDE=FQ","FILING_STATUS=OR","SCALING_FORMAT=MLN","Sort=A","Dates=H","DateFormat=P","Fill=—","Direction=H","UseDPDF=Y")</f>
        <v>0</v>
      </c>
      <c r="AM50" s="13">
        <f>_xll.BDH("XOM US Equity","OTHER_CURRENT_LIABS_SUB_DETAILED","FQ3 2017","FQ3 2017","Currency=USD","Period=FQ","BEST_FPERIOD_OVERRIDE=FQ","FILING_STATUS=OR","SCALING_FORMAT=MLN","Sort=A","Dates=H","DateFormat=P","Fill=—","Direction=H","UseDPDF=Y")</f>
        <v>0</v>
      </c>
      <c r="AN50" s="13">
        <f>_xll.BDH("XOM US Equity","OTHER_CURRENT_LIABS_SUB_DETAILED","FQ4 2017","FQ4 2017","Currency=USD","Period=FQ","BEST_FPERIOD_OVERRIDE=FQ","FILING_STATUS=OR","SCALING_FORMAT=MLN","Sort=A","Dates=H","DateFormat=P","Fill=—","Direction=H","UseDPDF=Y")</f>
        <v>0</v>
      </c>
      <c r="AO50" s="13">
        <f>_xll.BDH("XOM US Equity","OTHER_CURRENT_LIABS_SUB_DETAILED","FQ1 2018","FQ1 2018","Currency=USD","Period=FQ","BEST_FPERIOD_OVERRIDE=FQ","FILING_STATUS=OR","SCALING_FORMAT=MLN","Sort=A","Dates=H","DateFormat=P","Fill=—","Direction=H","UseDPDF=Y")</f>
        <v>0</v>
      </c>
      <c r="AP50" s="13">
        <f>_xll.BDH("XOM US Equity","OTHER_CURRENT_LIABS_SUB_DETAILED","FQ2 2018","FQ2 2018","Currency=USD","Period=FQ","BEST_FPERIOD_OVERRIDE=FQ","FILING_STATUS=OR","SCALING_FORMAT=MLN","Sort=A","Dates=H","DateFormat=P","Fill=—","Direction=H","UseDPDF=Y")</f>
        <v>0</v>
      </c>
    </row>
    <row r="51" spans="1:42" x14ac:dyDescent="0.25">
      <c r="A51" s="10" t="s">
        <v>288</v>
      </c>
      <c r="B51" s="10" t="s">
        <v>289</v>
      </c>
      <c r="C51" s="13" t="str">
        <f>_xll.BDH("XOM US Equity","ST_DEFERRED_REVENUE","FQ3 2008","FQ3 2008","Currency=USD","Period=FQ","BEST_FPERIOD_OVERRIDE=FQ","FILING_STATUS=OR","SCALING_FORMAT=MLN","Sort=A","Dates=H","DateFormat=P","Fill=—","Direction=H","UseDPDF=Y")</f>
        <v>—</v>
      </c>
      <c r="D51" s="13" t="str">
        <f>_xll.BDH("XOM US Equity","ST_DEFERRED_REVENUE","FQ4 2008","FQ4 2008","Currency=USD","Period=FQ","BEST_FPERIOD_OVERRIDE=FQ","FILING_STATUS=OR","SCALING_FORMAT=MLN","Sort=A","Dates=H","DateFormat=P","Fill=—","Direction=H","UseDPDF=Y")</f>
        <v>—</v>
      </c>
      <c r="E51" s="13" t="str">
        <f>_xll.BDH("XOM US Equity","ST_DEFERRED_REVENUE","FQ1 2009","FQ1 2009","Currency=USD","Period=FQ","BEST_FPERIOD_OVERRIDE=FQ","FILING_STATUS=OR","SCALING_FORMAT=MLN","Sort=A","Dates=H","DateFormat=P","Fill=—","Direction=H","UseDPDF=Y")</f>
        <v>—</v>
      </c>
      <c r="F51" s="13" t="str">
        <f>_xll.BDH("XOM US Equity","ST_DEFERRED_REVENUE","FQ2 2009","FQ2 2009","Currency=USD","Period=FQ","BEST_FPERIOD_OVERRIDE=FQ","FILING_STATUS=OR","SCALING_FORMAT=MLN","Sort=A","Dates=H","DateFormat=P","Fill=—","Direction=H","UseDPDF=Y")</f>
        <v>—</v>
      </c>
      <c r="G51" s="13" t="str">
        <f>_xll.BDH("XOM US Equity","ST_DEFERRED_REVENUE","FQ3 2009","FQ3 2009","Currency=USD","Period=FQ","BEST_FPERIOD_OVERRIDE=FQ","FILING_STATUS=OR","SCALING_FORMAT=MLN","Sort=A","Dates=H","DateFormat=P","Fill=—","Direction=H","UseDPDF=Y")</f>
        <v>—</v>
      </c>
      <c r="H51" s="13">
        <f>_xll.BDH("XOM US Equity","ST_DEFERRED_REVENUE","FQ4 2009","FQ4 2009","Currency=USD","Period=FQ","BEST_FPERIOD_OVERRIDE=FQ","FILING_STATUS=OR","SCALING_FORMAT=MLN","Sort=A","Dates=H","DateFormat=P","Fill=—","Direction=H","UseDPDF=Y")</f>
        <v>0</v>
      </c>
      <c r="I51" s="13" t="str">
        <f>_xll.BDH("XOM US Equity","ST_DEFERRED_REVENUE","FQ1 2010","FQ1 2010","Currency=USD","Period=FQ","BEST_FPERIOD_OVERRIDE=FQ","FILING_STATUS=OR","SCALING_FORMAT=MLN","Sort=A","Dates=H","DateFormat=P","Fill=—","Direction=H","UseDPDF=Y")</f>
        <v>—</v>
      </c>
      <c r="J51" s="13" t="str">
        <f>_xll.BDH("XOM US Equity","ST_DEFERRED_REVENUE","FQ2 2010","FQ2 2010","Currency=USD","Period=FQ","BEST_FPERIOD_OVERRIDE=FQ","FILING_STATUS=OR","SCALING_FORMAT=MLN","Sort=A","Dates=H","DateFormat=P","Fill=—","Direction=H","UseDPDF=Y")</f>
        <v>—</v>
      </c>
      <c r="K51" s="13" t="str">
        <f>_xll.BDH("XOM US Equity","ST_DEFERRED_REVENUE","FQ3 2010","FQ3 2010","Currency=USD","Period=FQ","BEST_FPERIOD_OVERRIDE=FQ","FILING_STATUS=OR","SCALING_FORMAT=MLN","Sort=A","Dates=H","DateFormat=P","Fill=—","Direction=H","UseDPDF=Y")</f>
        <v>—</v>
      </c>
      <c r="L51" s="13">
        <f>_xll.BDH("XOM US Equity","ST_DEFERRED_REVENUE","FQ4 2010","FQ4 2010","Currency=USD","Period=FQ","BEST_FPERIOD_OVERRIDE=FQ","FILING_STATUS=OR","SCALING_FORMAT=MLN","Sort=A","Dates=H","DateFormat=P","Fill=—","Direction=H","UseDPDF=Y")</f>
        <v>0</v>
      </c>
      <c r="M51" s="13" t="str">
        <f>_xll.BDH("XOM US Equity","ST_DEFERRED_REVENUE","FQ1 2011","FQ1 2011","Currency=USD","Period=FQ","BEST_FPERIOD_OVERRIDE=FQ","FILING_STATUS=OR","SCALING_FORMAT=MLN","Sort=A","Dates=H","DateFormat=P","Fill=—","Direction=H","UseDPDF=Y")</f>
        <v>—</v>
      </c>
      <c r="N51" s="13" t="str">
        <f>_xll.BDH("XOM US Equity","ST_DEFERRED_REVENUE","FQ2 2011","FQ2 2011","Currency=USD","Period=FQ","BEST_FPERIOD_OVERRIDE=FQ","FILING_STATUS=OR","SCALING_FORMAT=MLN","Sort=A","Dates=H","DateFormat=P","Fill=—","Direction=H","UseDPDF=Y")</f>
        <v>—</v>
      </c>
      <c r="O51" s="13" t="str">
        <f>_xll.BDH("XOM US Equity","ST_DEFERRED_REVENUE","FQ3 2011","FQ3 2011","Currency=USD","Period=FQ","BEST_FPERIOD_OVERRIDE=FQ","FILING_STATUS=OR","SCALING_FORMAT=MLN","Sort=A","Dates=H","DateFormat=P","Fill=—","Direction=H","UseDPDF=Y")</f>
        <v>—</v>
      </c>
      <c r="P51" s="13">
        <f>_xll.BDH("XOM US Equity","ST_DEFERRED_REVENUE","FQ4 2011","FQ4 2011","Currency=USD","Period=FQ","BEST_FPERIOD_OVERRIDE=FQ","FILING_STATUS=OR","SCALING_FORMAT=MLN","Sort=A","Dates=H","DateFormat=P","Fill=—","Direction=H","UseDPDF=Y")</f>
        <v>0</v>
      </c>
      <c r="Q51" s="13" t="str">
        <f>_xll.BDH("XOM US Equity","ST_DEFERRED_REVENUE","FQ1 2012","FQ1 2012","Currency=USD","Period=FQ","BEST_FPERIOD_OVERRIDE=FQ","FILING_STATUS=OR","SCALING_FORMAT=MLN","Sort=A","Dates=H","DateFormat=P","Fill=—","Direction=H","UseDPDF=Y")</f>
        <v>—</v>
      </c>
      <c r="R51" s="13" t="str">
        <f>_xll.BDH("XOM US Equity","ST_DEFERRED_REVENUE","FQ2 2012","FQ2 2012","Currency=USD","Period=FQ","BEST_FPERIOD_OVERRIDE=FQ","FILING_STATUS=OR","SCALING_FORMAT=MLN","Sort=A","Dates=H","DateFormat=P","Fill=—","Direction=H","UseDPDF=Y")</f>
        <v>—</v>
      </c>
      <c r="S51" s="13" t="str">
        <f>_xll.BDH("XOM US Equity","ST_DEFERRED_REVENUE","FQ3 2012","FQ3 2012","Currency=USD","Period=FQ","BEST_FPERIOD_OVERRIDE=FQ","FILING_STATUS=OR","SCALING_FORMAT=MLN","Sort=A","Dates=H","DateFormat=P","Fill=—","Direction=H","UseDPDF=Y")</f>
        <v>—</v>
      </c>
      <c r="T51" s="13">
        <f>_xll.BDH("XOM US Equity","ST_DEFERRED_REVENUE","FQ4 2012","FQ4 2012","Currency=USD","Period=FQ","BEST_FPERIOD_OVERRIDE=FQ","FILING_STATUS=OR","SCALING_FORMAT=MLN","Sort=A","Dates=H","DateFormat=P","Fill=—","Direction=H","UseDPDF=Y")</f>
        <v>0</v>
      </c>
      <c r="U51" s="13" t="str">
        <f>_xll.BDH("XOM US Equity","ST_DEFERRED_REVENUE","FQ1 2013","FQ1 2013","Currency=USD","Period=FQ","BEST_FPERIOD_OVERRIDE=FQ","FILING_STATUS=OR","SCALING_FORMAT=MLN","Sort=A","Dates=H","DateFormat=P","Fill=—","Direction=H","UseDPDF=Y")</f>
        <v>—</v>
      </c>
      <c r="V51" s="13" t="str">
        <f>_xll.BDH("XOM US Equity","ST_DEFERRED_REVENUE","FQ2 2013","FQ2 2013","Currency=USD","Period=FQ","BEST_FPERIOD_OVERRIDE=FQ","FILING_STATUS=OR","SCALING_FORMAT=MLN","Sort=A","Dates=H","DateFormat=P","Fill=—","Direction=H","UseDPDF=Y")</f>
        <v>—</v>
      </c>
      <c r="W51" s="13" t="str">
        <f>_xll.BDH("XOM US Equity","ST_DEFERRED_REVENUE","FQ3 2013","FQ3 2013","Currency=USD","Period=FQ","BEST_FPERIOD_OVERRIDE=FQ","FILING_STATUS=OR","SCALING_FORMAT=MLN","Sort=A","Dates=H","DateFormat=P","Fill=—","Direction=H","UseDPDF=Y")</f>
        <v>—</v>
      </c>
      <c r="X51" s="13">
        <f>_xll.BDH("XOM US Equity","ST_DEFERRED_REVENUE","FQ4 2013","FQ4 2013","Currency=USD","Period=FQ","BEST_FPERIOD_OVERRIDE=FQ","FILING_STATUS=OR","SCALING_FORMAT=MLN","Sort=A","Dates=H","DateFormat=P","Fill=—","Direction=H","UseDPDF=Y")</f>
        <v>0</v>
      </c>
      <c r="Y51" s="13" t="str">
        <f>_xll.BDH("XOM US Equity","ST_DEFERRED_REVENUE","FQ1 2014","FQ1 2014","Currency=USD","Period=FQ","BEST_FPERIOD_OVERRIDE=FQ","FILING_STATUS=OR","SCALING_FORMAT=MLN","Sort=A","Dates=H","DateFormat=P","Fill=—","Direction=H","UseDPDF=Y")</f>
        <v>—</v>
      </c>
      <c r="Z51" s="13" t="str">
        <f>_xll.BDH("XOM US Equity","ST_DEFERRED_REVENUE","FQ2 2014","FQ2 2014","Currency=USD","Period=FQ","BEST_FPERIOD_OVERRIDE=FQ","FILING_STATUS=OR","SCALING_FORMAT=MLN","Sort=A","Dates=H","DateFormat=P","Fill=—","Direction=H","UseDPDF=Y")</f>
        <v>—</v>
      </c>
      <c r="AA51" s="13" t="str">
        <f>_xll.BDH("XOM US Equity","ST_DEFERRED_REVENUE","FQ3 2014","FQ3 2014","Currency=USD","Period=FQ","BEST_FPERIOD_OVERRIDE=FQ","FILING_STATUS=OR","SCALING_FORMAT=MLN","Sort=A","Dates=H","DateFormat=P","Fill=—","Direction=H","UseDPDF=Y")</f>
        <v>—</v>
      </c>
      <c r="AB51" s="13">
        <f>_xll.BDH("XOM US Equity","ST_DEFERRED_REVENUE","FQ4 2014","FQ4 2014","Currency=USD","Period=FQ","BEST_FPERIOD_OVERRIDE=FQ","FILING_STATUS=OR","SCALING_FORMAT=MLN","Sort=A","Dates=H","DateFormat=P","Fill=—","Direction=H","UseDPDF=Y")</f>
        <v>0</v>
      </c>
      <c r="AC51" s="13" t="str">
        <f>_xll.BDH("XOM US Equity","ST_DEFERRED_REVENUE","FQ1 2015","FQ1 2015","Currency=USD","Period=FQ","BEST_FPERIOD_OVERRIDE=FQ","FILING_STATUS=OR","SCALING_FORMAT=MLN","Sort=A","Dates=H","DateFormat=P","Fill=—","Direction=H","UseDPDF=Y")</f>
        <v>—</v>
      </c>
      <c r="AD51" s="13" t="str">
        <f>_xll.BDH("XOM US Equity","ST_DEFERRED_REVENUE","FQ2 2015","FQ2 2015","Currency=USD","Period=FQ","BEST_FPERIOD_OVERRIDE=FQ","FILING_STATUS=OR","SCALING_FORMAT=MLN","Sort=A","Dates=H","DateFormat=P","Fill=—","Direction=H","UseDPDF=Y")</f>
        <v>—</v>
      </c>
      <c r="AE51" s="13" t="str">
        <f>_xll.BDH("XOM US Equity","ST_DEFERRED_REVENUE","FQ3 2015","FQ3 2015","Currency=USD","Period=FQ","BEST_FPERIOD_OVERRIDE=FQ","FILING_STATUS=OR","SCALING_FORMAT=MLN","Sort=A","Dates=H","DateFormat=P","Fill=—","Direction=H","UseDPDF=Y")</f>
        <v>—</v>
      </c>
      <c r="AF51" s="13">
        <f>_xll.BDH("XOM US Equity","ST_DEFERRED_REVENUE","FQ4 2015","FQ4 2015","Currency=USD","Period=FQ","BEST_FPERIOD_OVERRIDE=FQ","FILING_STATUS=OR","SCALING_FORMAT=MLN","Sort=A","Dates=H","DateFormat=P","Fill=—","Direction=H","UseDPDF=Y")</f>
        <v>0</v>
      </c>
      <c r="AG51" s="13" t="str">
        <f>_xll.BDH("XOM US Equity","ST_DEFERRED_REVENUE","FQ1 2016","FQ1 2016","Currency=USD","Period=FQ","BEST_FPERIOD_OVERRIDE=FQ","FILING_STATUS=OR","SCALING_FORMAT=MLN","Sort=A","Dates=H","DateFormat=P","Fill=—","Direction=H","UseDPDF=Y")</f>
        <v>—</v>
      </c>
      <c r="AH51" s="13" t="str">
        <f>_xll.BDH("XOM US Equity","ST_DEFERRED_REVENUE","FQ2 2016","FQ2 2016","Currency=USD","Period=FQ","BEST_FPERIOD_OVERRIDE=FQ","FILING_STATUS=OR","SCALING_FORMAT=MLN","Sort=A","Dates=H","DateFormat=P","Fill=—","Direction=H","UseDPDF=Y")</f>
        <v>—</v>
      </c>
      <c r="AI51" s="13" t="str">
        <f>_xll.BDH("XOM US Equity","ST_DEFERRED_REVENUE","FQ3 2016","FQ3 2016","Currency=USD","Period=FQ","BEST_FPERIOD_OVERRIDE=FQ","FILING_STATUS=OR","SCALING_FORMAT=MLN","Sort=A","Dates=H","DateFormat=P","Fill=—","Direction=H","UseDPDF=Y")</f>
        <v>—</v>
      </c>
      <c r="AJ51" s="13">
        <f>_xll.BDH("XOM US Equity","ST_DEFERRED_REVENUE","FQ4 2016","FQ4 2016","Currency=USD","Period=FQ","BEST_FPERIOD_OVERRIDE=FQ","FILING_STATUS=OR","SCALING_FORMAT=MLN","Sort=A","Dates=H","DateFormat=P","Fill=—","Direction=H","UseDPDF=Y")</f>
        <v>0</v>
      </c>
      <c r="AK51" s="13" t="str">
        <f>_xll.BDH("XOM US Equity","ST_DEFERRED_REVENUE","FQ1 2017","FQ1 2017","Currency=USD","Period=FQ","BEST_FPERIOD_OVERRIDE=FQ","FILING_STATUS=OR","SCALING_FORMAT=MLN","Sort=A","Dates=H","DateFormat=P","Fill=—","Direction=H","UseDPDF=Y")</f>
        <v>—</v>
      </c>
      <c r="AL51" s="13" t="str">
        <f>_xll.BDH("XOM US Equity","ST_DEFERRED_REVENUE","FQ2 2017","FQ2 2017","Currency=USD","Period=FQ","BEST_FPERIOD_OVERRIDE=FQ","FILING_STATUS=OR","SCALING_FORMAT=MLN","Sort=A","Dates=H","DateFormat=P","Fill=—","Direction=H","UseDPDF=Y")</f>
        <v>—</v>
      </c>
      <c r="AM51" s="13" t="str">
        <f>_xll.BDH("XOM US Equity","ST_DEFERRED_REVENUE","FQ3 2017","FQ3 2017","Currency=USD","Period=FQ","BEST_FPERIOD_OVERRIDE=FQ","FILING_STATUS=OR","SCALING_FORMAT=MLN","Sort=A","Dates=H","DateFormat=P","Fill=—","Direction=H","UseDPDF=Y")</f>
        <v>—</v>
      </c>
      <c r="AN51" s="13">
        <f>_xll.BDH("XOM US Equity","ST_DEFERRED_REVENUE","FQ4 2017","FQ4 2017","Currency=USD","Period=FQ","BEST_FPERIOD_OVERRIDE=FQ","FILING_STATUS=OR","SCALING_FORMAT=MLN","Sort=A","Dates=H","DateFormat=P","Fill=—","Direction=H","UseDPDF=Y")</f>
        <v>0</v>
      </c>
      <c r="AO51" s="13" t="str">
        <f>_xll.BDH("XOM US Equity","ST_DEFERRED_REVENUE","FQ1 2018","FQ1 2018","Currency=USD","Period=FQ","BEST_FPERIOD_OVERRIDE=FQ","FILING_STATUS=OR","SCALING_FORMAT=MLN","Sort=A","Dates=H","DateFormat=P","Fill=—","Direction=H","UseDPDF=Y")</f>
        <v>—</v>
      </c>
      <c r="AP51" s="13" t="str">
        <f>_xll.BDH("XOM US Equity","ST_DEFERRED_REVENUE","FQ2 2018","FQ2 2018","Currency=USD","Period=FQ","BEST_FPERIOD_OVERRIDE=FQ","FILING_STATUS=OR","SCALING_FORMAT=MLN","Sort=A","Dates=H","DateFormat=P","Fill=—","Direction=H","UseDPDF=Y")</f>
        <v>—</v>
      </c>
    </row>
    <row r="52" spans="1:42" x14ac:dyDescent="0.25">
      <c r="A52" s="10" t="s">
        <v>290</v>
      </c>
      <c r="B52" s="10" t="s">
        <v>291</v>
      </c>
      <c r="C52" s="13" t="str">
        <f>_xll.BDH("XOM US Equity","BS_DERIVATIVE_&amp;_HEDGING_LIABS_ST","FQ3 2008","FQ3 2008","Currency=USD","Period=FQ","BEST_FPERIOD_OVERRIDE=FQ","FILING_STATUS=OR","SCALING_FORMAT=MLN","Sort=A","Dates=H","DateFormat=P","Fill=—","Direction=H","UseDPDF=Y")</f>
        <v>—</v>
      </c>
      <c r="D52" s="13" t="str">
        <f>_xll.BDH("XOM US Equity","BS_DERIVATIVE_&amp;_HEDGING_LIABS_ST","FQ4 2008","FQ4 2008","Currency=USD","Period=FQ","BEST_FPERIOD_OVERRIDE=FQ","FILING_STATUS=OR","SCALING_FORMAT=MLN","Sort=A","Dates=H","DateFormat=P","Fill=—","Direction=H","UseDPDF=Y")</f>
        <v>—</v>
      </c>
      <c r="E52" s="13" t="str">
        <f>_xll.BDH("XOM US Equity","BS_DERIVATIVE_&amp;_HEDGING_LIABS_ST","FQ1 2009","FQ1 2009","Currency=USD","Period=FQ","BEST_FPERIOD_OVERRIDE=FQ","FILING_STATUS=OR","SCALING_FORMAT=MLN","Sort=A","Dates=H","DateFormat=P","Fill=—","Direction=H","UseDPDF=Y")</f>
        <v>—</v>
      </c>
      <c r="F52" s="13" t="str">
        <f>_xll.BDH("XOM US Equity","BS_DERIVATIVE_&amp;_HEDGING_LIABS_ST","FQ2 2009","FQ2 2009","Currency=USD","Period=FQ","BEST_FPERIOD_OVERRIDE=FQ","FILING_STATUS=OR","SCALING_FORMAT=MLN","Sort=A","Dates=H","DateFormat=P","Fill=—","Direction=H","UseDPDF=Y")</f>
        <v>—</v>
      </c>
      <c r="G52" s="13" t="str">
        <f>_xll.BDH("XOM US Equity","BS_DERIVATIVE_&amp;_HEDGING_LIABS_ST","FQ3 2009","FQ3 2009","Currency=USD","Period=FQ","BEST_FPERIOD_OVERRIDE=FQ","FILING_STATUS=OR","SCALING_FORMAT=MLN","Sort=A","Dates=H","DateFormat=P","Fill=—","Direction=H","UseDPDF=Y")</f>
        <v>—</v>
      </c>
      <c r="H52" s="13" t="str">
        <f>_xll.BDH("XOM US Equity","BS_DERIVATIVE_&amp;_HEDGING_LIABS_ST","FQ4 2009","FQ4 2009","Currency=USD","Period=FQ","BEST_FPERIOD_OVERRIDE=FQ","FILING_STATUS=OR","SCALING_FORMAT=MLN","Sort=A","Dates=H","DateFormat=P","Fill=—","Direction=H","UseDPDF=Y")</f>
        <v>—</v>
      </c>
      <c r="I52" s="13" t="str">
        <f>_xll.BDH("XOM US Equity","BS_DERIVATIVE_&amp;_HEDGING_LIABS_ST","FQ1 2010","FQ1 2010","Currency=USD","Period=FQ","BEST_FPERIOD_OVERRIDE=FQ","FILING_STATUS=OR","SCALING_FORMAT=MLN","Sort=A","Dates=H","DateFormat=P","Fill=—","Direction=H","UseDPDF=Y")</f>
        <v>—</v>
      </c>
      <c r="J52" s="13" t="str">
        <f>_xll.BDH("XOM US Equity","BS_DERIVATIVE_&amp;_HEDGING_LIABS_ST","FQ2 2010","FQ2 2010","Currency=USD","Period=FQ","BEST_FPERIOD_OVERRIDE=FQ","FILING_STATUS=OR","SCALING_FORMAT=MLN","Sort=A","Dates=H","DateFormat=P","Fill=—","Direction=H","UseDPDF=Y")</f>
        <v>—</v>
      </c>
      <c r="K52" s="13" t="str">
        <f>_xll.BDH("XOM US Equity","BS_DERIVATIVE_&amp;_HEDGING_LIABS_ST","FQ3 2010","FQ3 2010","Currency=USD","Period=FQ","BEST_FPERIOD_OVERRIDE=FQ","FILING_STATUS=OR","SCALING_FORMAT=MLN","Sort=A","Dates=H","DateFormat=P","Fill=—","Direction=H","UseDPDF=Y")</f>
        <v>—</v>
      </c>
      <c r="L52" s="13" t="str">
        <f>_xll.BDH("XOM US Equity","BS_DERIVATIVE_&amp;_HEDGING_LIABS_ST","FQ4 2010","FQ4 2010","Currency=USD","Period=FQ","BEST_FPERIOD_OVERRIDE=FQ","FILING_STATUS=OR","SCALING_FORMAT=MLN","Sort=A","Dates=H","DateFormat=P","Fill=—","Direction=H","UseDPDF=Y")</f>
        <v>—</v>
      </c>
      <c r="M52" s="13" t="str">
        <f>_xll.BDH("XOM US Equity","BS_DERIVATIVE_&amp;_HEDGING_LIABS_ST","FQ1 2011","FQ1 2011","Currency=USD","Period=FQ","BEST_FPERIOD_OVERRIDE=FQ","FILING_STATUS=OR","SCALING_FORMAT=MLN","Sort=A","Dates=H","DateFormat=P","Fill=—","Direction=H","UseDPDF=Y")</f>
        <v>—</v>
      </c>
      <c r="N52" s="13" t="str">
        <f>_xll.BDH("XOM US Equity","BS_DERIVATIVE_&amp;_HEDGING_LIABS_ST","FQ2 2011","FQ2 2011","Currency=USD","Period=FQ","BEST_FPERIOD_OVERRIDE=FQ","FILING_STATUS=OR","SCALING_FORMAT=MLN","Sort=A","Dates=H","DateFormat=P","Fill=—","Direction=H","UseDPDF=Y")</f>
        <v>—</v>
      </c>
      <c r="O52" s="13" t="str">
        <f>_xll.BDH("XOM US Equity","BS_DERIVATIVE_&amp;_HEDGING_LIABS_ST","FQ3 2011","FQ3 2011","Currency=USD","Period=FQ","BEST_FPERIOD_OVERRIDE=FQ","FILING_STATUS=OR","SCALING_FORMAT=MLN","Sort=A","Dates=H","DateFormat=P","Fill=—","Direction=H","UseDPDF=Y")</f>
        <v>—</v>
      </c>
      <c r="P52" s="13" t="str">
        <f>_xll.BDH("XOM US Equity","BS_DERIVATIVE_&amp;_HEDGING_LIABS_ST","FQ4 2011","FQ4 2011","Currency=USD","Period=FQ","BEST_FPERIOD_OVERRIDE=FQ","FILING_STATUS=OR","SCALING_FORMAT=MLN","Sort=A","Dates=H","DateFormat=P","Fill=—","Direction=H","UseDPDF=Y")</f>
        <v>—</v>
      </c>
      <c r="Q52" s="13" t="str">
        <f>_xll.BDH("XOM US Equity","BS_DERIVATIVE_&amp;_HEDGING_LIABS_ST","FQ1 2012","FQ1 2012","Currency=USD","Period=FQ","BEST_FPERIOD_OVERRIDE=FQ","FILING_STATUS=OR","SCALING_FORMAT=MLN","Sort=A","Dates=H","DateFormat=P","Fill=—","Direction=H","UseDPDF=Y")</f>
        <v>—</v>
      </c>
      <c r="R52" s="13" t="str">
        <f>_xll.BDH("XOM US Equity","BS_DERIVATIVE_&amp;_HEDGING_LIABS_ST","FQ2 2012","FQ2 2012","Currency=USD","Period=FQ","BEST_FPERIOD_OVERRIDE=FQ","FILING_STATUS=OR","SCALING_FORMAT=MLN","Sort=A","Dates=H","DateFormat=P","Fill=—","Direction=H","UseDPDF=Y")</f>
        <v>—</v>
      </c>
      <c r="S52" s="13" t="str">
        <f>_xll.BDH("XOM US Equity","BS_DERIVATIVE_&amp;_HEDGING_LIABS_ST","FQ3 2012","FQ3 2012","Currency=USD","Period=FQ","BEST_FPERIOD_OVERRIDE=FQ","FILING_STATUS=OR","SCALING_FORMAT=MLN","Sort=A","Dates=H","DateFormat=P","Fill=—","Direction=H","UseDPDF=Y")</f>
        <v>—</v>
      </c>
      <c r="T52" s="13" t="str">
        <f>_xll.BDH("XOM US Equity","BS_DERIVATIVE_&amp;_HEDGING_LIABS_ST","FQ4 2012","FQ4 2012","Currency=USD","Period=FQ","BEST_FPERIOD_OVERRIDE=FQ","FILING_STATUS=OR","SCALING_FORMAT=MLN","Sort=A","Dates=H","DateFormat=P","Fill=—","Direction=H","UseDPDF=Y")</f>
        <v>—</v>
      </c>
      <c r="U52" s="13" t="str">
        <f>_xll.BDH("XOM US Equity","BS_DERIVATIVE_&amp;_HEDGING_LIABS_ST","FQ1 2013","FQ1 2013","Currency=USD","Period=FQ","BEST_FPERIOD_OVERRIDE=FQ","FILING_STATUS=OR","SCALING_FORMAT=MLN","Sort=A","Dates=H","DateFormat=P","Fill=—","Direction=H","UseDPDF=Y")</f>
        <v>—</v>
      </c>
      <c r="V52" s="13" t="str">
        <f>_xll.BDH("XOM US Equity","BS_DERIVATIVE_&amp;_HEDGING_LIABS_ST","FQ2 2013","FQ2 2013","Currency=USD","Period=FQ","BEST_FPERIOD_OVERRIDE=FQ","FILING_STATUS=OR","SCALING_FORMAT=MLN","Sort=A","Dates=H","DateFormat=P","Fill=—","Direction=H","UseDPDF=Y")</f>
        <v>—</v>
      </c>
      <c r="W52" s="13" t="str">
        <f>_xll.BDH("XOM US Equity","BS_DERIVATIVE_&amp;_HEDGING_LIABS_ST","FQ3 2013","FQ3 2013","Currency=USD","Period=FQ","BEST_FPERIOD_OVERRIDE=FQ","FILING_STATUS=OR","SCALING_FORMAT=MLN","Sort=A","Dates=H","DateFormat=P","Fill=—","Direction=H","UseDPDF=Y")</f>
        <v>—</v>
      </c>
      <c r="X52" s="13" t="str">
        <f>_xll.BDH("XOM US Equity","BS_DERIVATIVE_&amp;_HEDGING_LIABS_ST","FQ4 2013","FQ4 2013","Currency=USD","Period=FQ","BEST_FPERIOD_OVERRIDE=FQ","FILING_STATUS=OR","SCALING_FORMAT=MLN","Sort=A","Dates=H","DateFormat=P","Fill=—","Direction=H","UseDPDF=Y")</f>
        <v>—</v>
      </c>
      <c r="Y52" s="13" t="str">
        <f>_xll.BDH("XOM US Equity","BS_DERIVATIVE_&amp;_HEDGING_LIABS_ST","FQ1 2014","FQ1 2014","Currency=USD","Period=FQ","BEST_FPERIOD_OVERRIDE=FQ","FILING_STATUS=OR","SCALING_FORMAT=MLN","Sort=A","Dates=H","DateFormat=P","Fill=—","Direction=H","UseDPDF=Y")</f>
        <v>—</v>
      </c>
      <c r="Z52" s="13" t="str">
        <f>_xll.BDH("XOM US Equity","BS_DERIVATIVE_&amp;_HEDGING_LIABS_ST","FQ2 2014","FQ2 2014","Currency=USD","Period=FQ","BEST_FPERIOD_OVERRIDE=FQ","FILING_STATUS=OR","SCALING_FORMAT=MLN","Sort=A","Dates=H","DateFormat=P","Fill=—","Direction=H","UseDPDF=Y")</f>
        <v>—</v>
      </c>
      <c r="AA52" s="13" t="str">
        <f>_xll.BDH("XOM US Equity","BS_DERIVATIVE_&amp;_HEDGING_LIABS_ST","FQ3 2014","FQ3 2014","Currency=USD","Period=FQ","BEST_FPERIOD_OVERRIDE=FQ","FILING_STATUS=OR","SCALING_FORMAT=MLN","Sort=A","Dates=H","DateFormat=P","Fill=—","Direction=H","UseDPDF=Y")</f>
        <v>—</v>
      </c>
      <c r="AB52" s="13" t="str">
        <f>_xll.BDH("XOM US Equity","BS_DERIVATIVE_&amp;_HEDGING_LIABS_ST","FQ4 2014","FQ4 2014","Currency=USD","Period=FQ","BEST_FPERIOD_OVERRIDE=FQ","FILING_STATUS=OR","SCALING_FORMAT=MLN","Sort=A","Dates=H","DateFormat=P","Fill=—","Direction=H","UseDPDF=Y")</f>
        <v>—</v>
      </c>
      <c r="AC52" s="13" t="str">
        <f>_xll.BDH("XOM US Equity","BS_DERIVATIVE_&amp;_HEDGING_LIABS_ST","FQ1 2015","FQ1 2015","Currency=USD","Period=FQ","BEST_FPERIOD_OVERRIDE=FQ","FILING_STATUS=OR","SCALING_FORMAT=MLN","Sort=A","Dates=H","DateFormat=P","Fill=—","Direction=H","UseDPDF=Y")</f>
        <v>—</v>
      </c>
      <c r="AD52" s="13" t="str">
        <f>_xll.BDH("XOM US Equity","BS_DERIVATIVE_&amp;_HEDGING_LIABS_ST","FQ2 2015","FQ2 2015","Currency=USD","Period=FQ","BEST_FPERIOD_OVERRIDE=FQ","FILING_STATUS=OR","SCALING_FORMAT=MLN","Sort=A","Dates=H","DateFormat=P","Fill=—","Direction=H","UseDPDF=Y")</f>
        <v>—</v>
      </c>
      <c r="AE52" s="13" t="str">
        <f>_xll.BDH("XOM US Equity","BS_DERIVATIVE_&amp;_HEDGING_LIABS_ST","FQ3 2015","FQ3 2015","Currency=USD","Period=FQ","BEST_FPERIOD_OVERRIDE=FQ","FILING_STATUS=OR","SCALING_FORMAT=MLN","Sort=A","Dates=H","DateFormat=P","Fill=—","Direction=H","UseDPDF=Y")</f>
        <v>—</v>
      </c>
      <c r="AF52" s="13">
        <f>_xll.BDH("XOM US Equity","BS_DERIVATIVE_&amp;_HEDGING_LIABS_ST","FQ4 2015","FQ4 2015","Currency=USD","Period=FQ","BEST_FPERIOD_OVERRIDE=FQ","FILING_STATUS=OR","SCALING_FORMAT=MLN","Sort=A","Dates=H","DateFormat=P","Fill=—","Direction=H","UseDPDF=Y")</f>
        <v>0</v>
      </c>
      <c r="AG52" s="13" t="str">
        <f>_xll.BDH("XOM US Equity","BS_DERIVATIVE_&amp;_HEDGING_LIABS_ST","FQ1 2016","FQ1 2016","Currency=USD","Period=FQ","BEST_FPERIOD_OVERRIDE=FQ","FILING_STATUS=OR","SCALING_FORMAT=MLN","Sort=A","Dates=H","DateFormat=P","Fill=—","Direction=H","UseDPDF=Y")</f>
        <v>—</v>
      </c>
      <c r="AH52" s="13" t="str">
        <f>_xll.BDH("XOM US Equity","BS_DERIVATIVE_&amp;_HEDGING_LIABS_ST","FQ2 2016","FQ2 2016","Currency=USD","Period=FQ","BEST_FPERIOD_OVERRIDE=FQ","FILING_STATUS=OR","SCALING_FORMAT=MLN","Sort=A","Dates=H","DateFormat=P","Fill=—","Direction=H","UseDPDF=Y")</f>
        <v>—</v>
      </c>
      <c r="AI52" s="13" t="str">
        <f>_xll.BDH("XOM US Equity","BS_DERIVATIVE_&amp;_HEDGING_LIABS_ST","FQ3 2016","FQ3 2016","Currency=USD","Period=FQ","BEST_FPERIOD_OVERRIDE=FQ","FILING_STATUS=OR","SCALING_FORMAT=MLN","Sort=A","Dates=H","DateFormat=P","Fill=—","Direction=H","UseDPDF=Y")</f>
        <v>—</v>
      </c>
      <c r="AJ52" s="13" t="str">
        <f>_xll.BDH("XOM US Equity","BS_DERIVATIVE_&amp;_HEDGING_LIABS_ST","FQ4 2016","FQ4 2016","Currency=USD","Period=FQ","BEST_FPERIOD_OVERRIDE=FQ","FILING_STATUS=OR","SCALING_FORMAT=MLN","Sort=A","Dates=H","DateFormat=P","Fill=—","Direction=H","UseDPDF=Y")</f>
        <v>—</v>
      </c>
      <c r="AK52" s="13" t="str">
        <f>_xll.BDH("XOM US Equity","BS_DERIVATIVE_&amp;_HEDGING_LIABS_ST","FQ1 2017","FQ1 2017","Currency=USD","Period=FQ","BEST_FPERIOD_OVERRIDE=FQ","FILING_STATUS=OR","SCALING_FORMAT=MLN","Sort=A","Dates=H","DateFormat=P","Fill=—","Direction=H","UseDPDF=Y")</f>
        <v>—</v>
      </c>
      <c r="AL52" s="13" t="str">
        <f>_xll.BDH("XOM US Equity","BS_DERIVATIVE_&amp;_HEDGING_LIABS_ST","FQ2 2017","FQ2 2017","Currency=USD","Period=FQ","BEST_FPERIOD_OVERRIDE=FQ","FILING_STATUS=OR","SCALING_FORMAT=MLN","Sort=A","Dates=H","DateFormat=P","Fill=—","Direction=H","UseDPDF=Y")</f>
        <v>—</v>
      </c>
      <c r="AM52" s="13" t="str">
        <f>_xll.BDH("XOM US Equity","BS_DERIVATIVE_&amp;_HEDGING_LIABS_ST","FQ3 2017","FQ3 2017","Currency=USD","Period=FQ","BEST_FPERIOD_OVERRIDE=FQ","FILING_STATUS=OR","SCALING_FORMAT=MLN","Sort=A","Dates=H","DateFormat=P","Fill=—","Direction=H","UseDPDF=Y")</f>
        <v>—</v>
      </c>
      <c r="AN52" s="13">
        <f>_xll.BDH("XOM US Equity","BS_DERIVATIVE_&amp;_HEDGING_LIABS_ST","FQ4 2017","FQ4 2017","Currency=USD","Period=FQ","BEST_FPERIOD_OVERRIDE=FQ","FILING_STATUS=OR","SCALING_FORMAT=MLN","Sort=A","Dates=H","DateFormat=P","Fill=—","Direction=H","UseDPDF=Y")</f>
        <v>0</v>
      </c>
      <c r="AO52" s="13" t="str">
        <f>_xll.BDH("XOM US Equity","BS_DERIVATIVE_&amp;_HEDGING_LIABS_ST","FQ1 2018","FQ1 2018","Currency=USD","Period=FQ","BEST_FPERIOD_OVERRIDE=FQ","FILING_STATUS=OR","SCALING_FORMAT=MLN","Sort=A","Dates=H","DateFormat=P","Fill=—","Direction=H","UseDPDF=Y")</f>
        <v>—</v>
      </c>
      <c r="AP52" s="13" t="str">
        <f>_xll.BDH("XOM US Equity","BS_DERIVATIVE_&amp;_HEDGING_LIABS_ST","FQ2 2018","FQ2 2018","Currency=USD","Period=FQ","BEST_FPERIOD_OVERRIDE=FQ","FILING_STATUS=OR","SCALING_FORMAT=MLN","Sort=A","Dates=H","DateFormat=P","Fill=—","Direction=H","UseDPDF=Y")</f>
        <v>—</v>
      </c>
    </row>
    <row r="53" spans="1:42" x14ac:dyDescent="0.25">
      <c r="A53" s="10" t="s">
        <v>292</v>
      </c>
      <c r="B53" s="10" t="s">
        <v>293</v>
      </c>
      <c r="C53" s="13" t="str">
        <f>_xll.BDH("XOM US Equity","BS_DEFERRED_TAX_LIABS_ST","FQ3 2008","FQ3 2008","Currency=USD","Period=FQ","BEST_FPERIOD_OVERRIDE=FQ","FILING_STATUS=OR","SCALING_FORMAT=MLN","Sort=A","Dates=H","DateFormat=P","Fill=—","Direction=H","UseDPDF=Y")</f>
        <v>—</v>
      </c>
      <c r="D53" s="13" t="str">
        <f>_xll.BDH("XOM US Equity","BS_DEFERRED_TAX_LIABS_ST","FQ4 2008","FQ4 2008","Currency=USD","Period=FQ","BEST_FPERIOD_OVERRIDE=FQ","FILING_STATUS=OR","SCALING_FORMAT=MLN","Sort=A","Dates=H","DateFormat=P","Fill=—","Direction=H","UseDPDF=Y")</f>
        <v>—</v>
      </c>
      <c r="E53" s="13" t="str">
        <f>_xll.BDH("XOM US Equity","BS_DEFERRED_TAX_LIABS_ST","FQ1 2009","FQ1 2009","Currency=USD","Period=FQ","BEST_FPERIOD_OVERRIDE=FQ","FILING_STATUS=OR","SCALING_FORMAT=MLN","Sort=A","Dates=H","DateFormat=P","Fill=—","Direction=H","UseDPDF=Y")</f>
        <v>—</v>
      </c>
      <c r="F53" s="13" t="str">
        <f>_xll.BDH("XOM US Equity","BS_DEFERRED_TAX_LIABS_ST","FQ2 2009","FQ2 2009","Currency=USD","Period=FQ","BEST_FPERIOD_OVERRIDE=FQ","FILING_STATUS=OR","SCALING_FORMAT=MLN","Sort=A","Dates=H","DateFormat=P","Fill=—","Direction=H","UseDPDF=Y")</f>
        <v>—</v>
      </c>
      <c r="G53" s="13" t="str">
        <f>_xll.BDH("XOM US Equity","BS_DEFERRED_TAX_LIABS_ST","FQ3 2009","FQ3 2009","Currency=USD","Period=FQ","BEST_FPERIOD_OVERRIDE=FQ","FILING_STATUS=OR","SCALING_FORMAT=MLN","Sort=A","Dates=H","DateFormat=P","Fill=—","Direction=H","UseDPDF=Y")</f>
        <v>—</v>
      </c>
      <c r="H53" s="13" t="str">
        <f>_xll.BDH("XOM US Equity","BS_DEFERRED_TAX_LIABS_ST","FQ4 2009","FQ4 2009","Currency=USD","Period=FQ","BEST_FPERIOD_OVERRIDE=FQ","FILING_STATUS=OR","SCALING_FORMAT=MLN","Sort=A","Dates=H","DateFormat=P","Fill=—","Direction=H","UseDPDF=Y")</f>
        <v>—</v>
      </c>
      <c r="I53" s="13" t="str">
        <f>_xll.BDH("XOM US Equity","BS_DEFERRED_TAX_LIABS_ST","FQ1 2010","FQ1 2010","Currency=USD","Period=FQ","BEST_FPERIOD_OVERRIDE=FQ","FILING_STATUS=OR","SCALING_FORMAT=MLN","Sort=A","Dates=H","DateFormat=P","Fill=—","Direction=H","UseDPDF=Y")</f>
        <v>—</v>
      </c>
      <c r="J53" s="13" t="str">
        <f>_xll.BDH("XOM US Equity","BS_DEFERRED_TAX_LIABS_ST","FQ2 2010","FQ2 2010","Currency=USD","Period=FQ","BEST_FPERIOD_OVERRIDE=FQ","FILING_STATUS=OR","SCALING_FORMAT=MLN","Sort=A","Dates=H","DateFormat=P","Fill=—","Direction=H","UseDPDF=Y")</f>
        <v>—</v>
      </c>
      <c r="K53" s="13" t="str">
        <f>_xll.BDH("XOM US Equity","BS_DEFERRED_TAX_LIABS_ST","FQ3 2010","FQ3 2010","Currency=USD","Period=FQ","BEST_FPERIOD_OVERRIDE=FQ","FILING_STATUS=OR","SCALING_FORMAT=MLN","Sort=A","Dates=H","DateFormat=P","Fill=—","Direction=H","UseDPDF=Y")</f>
        <v>—</v>
      </c>
      <c r="L53" s="13" t="str">
        <f>_xll.BDH("XOM US Equity","BS_DEFERRED_TAX_LIABS_ST","FQ4 2010","FQ4 2010","Currency=USD","Period=FQ","BEST_FPERIOD_OVERRIDE=FQ","FILING_STATUS=OR","SCALING_FORMAT=MLN","Sort=A","Dates=H","DateFormat=P","Fill=—","Direction=H","UseDPDF=Y")</f>
        <v>—</v>
      </c>
      <c r="M53" s="13" t="str">
        <f>_xll.BDH("XOM US Equity","BS_DEFERRED_TAX_LIABS_ST","FQ1 2011","FQ1 2011","Currency=USD","Period=FQ","BEST_FPERIOD_OVERRIDE=FQ","FILING_STATUS=OR","SCALING_FORMAT=MLN","Sort=A","Dates=H","DateFormat=P","Fill=—","Direction=H","UseDPDF=Y")</f>
        <v>—</v>
      </c>
      <c r="N53" s="13" t="str">
        <f>_xll.BDH("XOM US Equity","BS_DEFERRED_TAX_LIABS_ST","FQ2 2011","FQ2 2011","Currency=USD","Period=FQ","BEST_FPERIOD_OVERRIDE=FQ","FILING_STATUS=OR","SCALING_FORMAT=MLN","Sort=A","Dates=H","DateFormat=P","Fill=—","Direction=H","UseDPDF=Y")</f>
        <v>—</v>
      </c>
      <c r="O53" s="13" t="str">
        <f>_xll.BDH("XOM US Equity","BS_DEFERRED_TAX_LIABS_ST","FQ3 2011","FQ3 2011","Currency=USD","Period=FQ","BEST_FPERIOD_OVERRIDE=FQ","FILING_STATUS=OR","SCALING_FORMAT=MLN","Sort=A","Dates=H","DateFormat=P","Fill=—","Direction=H","UseDPDF=Y")</f>
        <v>—</v>
      </c>
      <c r="P53" s="13" t="str">
        <f>_xll.BDH("XOM US Equity","BS_DEFERRED_TAX_LIABS_ST","FQ4 2011","FQ4 2011","Currency=USD","Period=FQ","BEST_FPERIOD_OVERRIDE=FQ","FILING_STATUS=OR","SCALING_FORMAT=MLN","Sort=A","Dates=H","DateFormat=P","Fill=—","Direction=H","UseDPDF=Y")</f>
        <v>—</v>
      </c>
      <c r="Q53" s="13" t="str">
        <f>_xll.BDH("XOM US Equity","BS_DEFERRED_TAX_LIABS_ST","FQ1 2012","FQ1 2012","Currency=USD","Period=FQ","BEST_FPERIOD_OVERRIDE=FQ","FILING_STATUS=OR","SCALING_FORMAT=MLN","Sort=A","Dates=H","DateFormat=P","Fill=—","Direction=H","UseDPDF=Y")</f>
        <v>—</v>
      </c>
      <c r="R53" s="13" t="str">
        <f>_xll.BDH("XOM US Equity","BS_DEFERRED_TAX_LIABS_ST","FQ2 2012","FQ2 2012","Currency=USD","Period=FQ","BEST_FPERIOD_OVERRIDE=FQ","FILING_STATUS=OR","SCALING_FORMAT=MLN","Sort=A","Dates=H","DateFormat=P","Fill=—","Direction=H","UseDPDF=Y")</f>
        <v>—</v>
      </c>
      <c r="S53" s="13" t="str">
        <f>_xll.BDH("XOM US Equity","BS_DEFERRED_TAX_LIABS_ST","FQ3 2012","FQ3 2012","Currency=USD","Period=FQ","BEST_FPERIOD_OVERRIDE=FQ","FILING_STATUS=OR","SCALING_FORMAT=MLN","Sort=A","Dates=H","DateFormat=P","Fill=—","Direction=H","UseDPDF=Y")</f>
        <v>—</v>
      </c>
      <c r="T53" s="13" t="str">
        <f>_xll.BDH("XOM US Equity","BS_DEFERRED_TAX_LIABS_ST","FQ4 2012","FQ4 2012","Currency=USD","Period=FQ","BEST_FPERIOD_OVERRIDE=FQ","FILING_STATUS=OR","SCALING_FORMAT=MLN","Sort=A","Dates=H","DateFormat=P","Fill=—","Direction=H","UseDPDF=Y")</f>
        <v>—</v>
      </c>
      <c r="U53" s="13" t="str">
        <f>_xll.BDH("XOM US Equity","BS_DEFERRED_TAX_LIABS_ST","FQ1 2013","FQ1 2013","Currency=USD","Period=FQ","BEST_FPERIOD_OVERRIDE=FQ","FILING_STATUS=OR","SCALING_FORMAT=MLN","Sort=A","Dates=H","DateFormat=P","Fill=—","Direction=H","UseDPDF=Y")</f>
        <v>—</v>
      </c>
      <c r="V53" s="13" t="str">
        <f>_xll.BDH("XOM US Equity","BS_DEFERRED_TAX_LIABS_ST","FQ2 2013","FQ2 2013","Currency=USD","Period=FQ","BEST_FPERIOD_OVERRIDE=FQ","FILING_STATUS=OR","SCALING_FORMAT=MLN","Sort=A","Dates=H","DateFormat=P","Fill=—","Direction=H","UseDPDF=Y")</f>
        <v>—</v>
      </c>
      <c r="W53" s="13" t="str">
        <f>_xll.BDH("XOM US Equity","BS_DEFERRED_TAX_LIABS_ST","FQ3 2013","FQ3 2013","Currency=USD","Period=FQ","BEST_FPERIOD_OVERRIDE=FQ","FILING_STATUS=OR","SCALING_FORMAT=MLN","Sort=A","Dates=H","DateFormat=P","Fill=—","Direction=H","UseDPDF=Y")</f>
        <v>—</v>
      </c>
      <c r="X53" s="13" t="str">
        <f>_xll.BDH("XOM US Equity","BS_DEFERRED_TAX_LIABS_ST","FQ4 2013","FQ4 2013","Currency=USD","Period=FQ","BEST_FPERIOD_OVERRIDE=FQ","FILING_STATUS=OR","SCALING_FORMAT=MLN","Sort=A","Dates=H","DateFormat=P","Fill=—","Direction=H","UseDPDF=Y")</f>
        <v>—</v>
      </c>
      <c r="Y53" s="13" t="str">
        <f>_xll.BDH("XOM US Equity","BS_DEFERRED_TAX_LIABS_ST","FQ1 2014","FQ1 2014","Currency=USD","Period=FQ","BEST_FPERIOD_OVERRIDE=FQ","FILING_STATUS=OR","SCALING_FORMAT=MLN","Sort=A","Dates=H","DateFormat=P","Fill=—","Direction=H","UseDPDF=Y")</f>
        <v>—</v>
      </c>
      <c r="Z53" s="13" t="str">
        <f>_xll.BDH("XOM US Equity","BS_DEFERRED_TAX_LIABS_ST","FQ2 2014","FQ2 2014","Currency=USD","Period=FQ","BEST_FPERIOD_OVERRIDE=FQ","FILING_STATUS=OR","SCALING_FORMAT=MLN","Sort=A","Dates=H","DateFormat=P","Fill=—","Direction=H","UseDPDF=Y")</f>
        <v>—</v>
      </c>
      <c r="AA53" s="13" t="str">
        <f>_xll.BDH("XOM US Equity","BS_DEFERRED_TAX_LIABS_ST","FQ3 2014","FQ3 2014","Currency=USD","Period=FQ","BEST_FPERIOD_OVERRIDE=FQ","FILING_STATUS=OR","SCALING_FORMAT=MLN","Sort=A","Dates=H","DateFormat=P","Fill=—","Direction=H","UseDPDF=Y")</f>
        <v>—</v>
      </c>
      <c r="AB53" s="13" t="str">
        <f>_xll.BDH("XOM US Equity","BS_DEFERRED_TAX_LIABS_ST","FQ4 2014","FQ4 2014","Currency=USD","Period=FQ","BEST_FPERIOD_OVERRIDE=FQ","FILING_STATUS=OR","SCALING_FORMAT=MLN","Sort=A","Dates=H","DateFormat=P","Fill=—","Direction=H","UseDPDF=Y")</f>
        <v>—</v>
      </c>
      <c r="AC53" s="13" t="str">
        <f>_xll.BDH("XOM US Equity","BS_DEFERRED_TAX_LIABS_ST","FQ1 2015","FQ1 2015","Currency=USD","Period=FQ","BEST_FPERIOD_OVERRIDE=FQ","FILING_STATUS=OR","SCALING_FORMAT=MLN","Sort=A","Dates=H","DateFormat=P","Fill=—","Direction=H","UseDPDF=Y")</f>
        <v>—</v>
      </c>
      <c r="AD53" s="13" t="str">
        <f>_xll.BDH("XOM US Equity","BS_DEFERRED_TAX_LIABS_ST","FQ2 2015","FQ2 2015","Currency=USD","Period=FQ","BEST_FPERIOD_OVERRIDE=FQ","FILING_STATUS=OR","SCALING_FORMAT=MLN","Sort=A","Dates=H","DateFormat=P","Fill=—","Direction=H","UseDPDF=Y")</f>
        <v>—</v>
      </c>
      <c r="AE53" s="13" t="str">
        <f>_xll.BDH("XOM US Equity","BS_DEFERRED_TAX_LIABS_ST","FQ3 2015","FQ3 2015","Currency=USD","Period=FQ","BEST_FPERIOD_OVERRIDE=FQ","FILING_STATUS=OR","SCALING_FORMAT=MLN","Sort=A","Dates=H","DateFormat=P","Fill=—","Direction=H","UseDPDF=Y")</f>
        <v>—</v>
      </c>
      <c r="AF53" s="13" t="str">
        <f>_xll.BDH("XOM US Equity","BS_DEFERRED_TAX_LIABS_ST","FQ4 2015","FQ4 2015","Currency=USD","Period=FQ","BEST_FPERIOD_OVERRIDE=FQ","FILING_STATUS=OR","SCALING_FORMAT=MLN","Sort=A","Dates=H","DateFormat=P","Fill=—","Direction=H","UseDPDF=Y")</f>
        <v>—</v>
      </c>
      <c r="AG53" s="13" t="str">
        <f>_xll.BDH("XOM US Equity","BS_DEFERRED_TAX_LIABS_ST","FQ1 2016","FQ1 2016","Currency=USD","Period=FQ","BEST_FPERIOD_OVERRIDE=FQ","FILING_STATUS=OR","SCALING_FORMAT=MLN","Sort=A","Dates=H","DateFormat=P","Fill=—","Direction=H","UseDPDF=Y")</f>
        <v>—</v>
      </c>
      <c r="AH53" s="13" t="str">
        <f>_xll.BDH("XOM US Equity","BS_DEFERRED_TAX_LIABS_ST","FQ2 2016","FQ2 2016","Currency=USD","Period=FQ","BEST_FPERIOD_OVERRIDE=FQ","FILING_STATUS=OR","SCALING_FORMAT=MLN","Sort=A","Dates=H","DateFormat=P","Fill=—","Direction=H","UseDPDF=Y")</f>
        <v>—</v>
      </c>
      <c r="AI53" s="13">
        <f>_xll.BDH("XOM US Equity","BS_DEFERRED_TAX_LIABS_ST","FQ3 2016","FQ3 2016","Currency=USD","Period=FQ","BEST_FPERIOD_OVERRIDE=FQ","FILING_STATUS=OR","SCALING_FORMAT=MLN","Sort=A","Dates=H","DateFormat=P","Fill=—","Direction=H","UseDPDF=Y")</f>
        <v>0</v>
      </c>
      <c r="AJ53" s="13" t="str">
        <f>_xll.BDH("XOM US Equity","BS_DEFERRED_TAX_LIABS_ST","FQ4 2016","FQ4 2016","Currency=USD","Period=FQ","BEST_FPERIOD_OVERRIDE=FQ","FILING_STATUS=OR","SCALING_FORMAT=MLN","Sort=A","Dates=H","DateFormat=P","Fill=—","Direction=H","UseDPDF=Y")</f>
        <v>—</v>
      </c>
      <c r="AK53" s="13" t="str">
        <f>_xll.BDH("XOM US Equity","BS_DEFERRED_TAX_LIABS_ST","FQ1 2017","FQ1 2017","Currency=USD","Period=FQ","BEST_FPERIOD_OVERRIDE=FQ","FILING_STATUS=OR","SCALING_FORMAT=MLN","Sort=A","Dates=H","DateFormat=P","Fill=—","Direction=H","UseDPDF=Y")</f>
        <v>—</v>
      </c>
      <c r="AL53" s="13" t="str">
        <f>_xll.BDH("XOM US Equity","BS_DEFERRED_TAX_LIABS_ST","FQ2 2017","FQ2 2017","Currency=USD","Period=FQ","BEST_FPERIOD_OVERRIDE=FQ","FILING_STATUS=OR","SCALING_FORMAT=MLN","Sort=A","Dates=H","DateFormat=P","Fill=—","Direction=H","UseDPDF=Y")</f>
        <v>—</v>
      </c>
      <c r="AM53" s="13" t="str">
        <f>_xll.BDH("XOM US Equity","BS_DEFERRED_TAX_LIABS_ST","FQ3 2017","FQ3 2017","Currency=USD","Period=FQ","BEST_FPERIOD_OVERRIDE=FQ","FILING_STATUS=OR","SCALING_FORMAT=MLN","Sort=A","Dates=H","DateFormat=P","Fill=—","Direction=H","UseDPDF=Y")</f>
        <v>—</v>
      </c>
      <c r="AN53" s="13" t="str">
        <f>_xll.BDH("XOM US Equity","BS_DEFERRED_TAX_LIABS_ST","FQ4 2017","FQ4 2017","Currency=USD","Period=FQ","BEST_FPERIOD_OVERRIDE=FQ","FILING_STATUS=OR","SCALING_FORMAT=MLN","Sort=A","Dates=H","DateFormat=P","Fill=—","Direction=H","UseDPDF=Y")</f>
        <v>—</v>
      </c>
      <c r="AO53" s="13" t="str">
        <f>_xll.BDH("XOM US Equity","BS_DEFERRED_TAX_LIABS_ST","FQ1 2018","FQ1 2018","Currency=USD","Period=FQ","BEST_FPERIOD_OVERRIDE=FQ","FILING_STATUS=OR","SCALING_FORMAT=MLN","Sort=A","Dates=H","DateFormat=P","Fill=—","Direction=H","UseDPDF=Y")</f>
        <v>—</v>
      </c>
      <c r="AP53" s="13" t="str">
        <f>_xll.BDH("XOM US Equity","BS_DEFERRED_TAX_LIABS_ST","FQ2 2018","FQ2 2018","Currency=USD","Period=FQ","BEST_FPERIOD_OVERRIDE=FQ","FILING_STATUS=OR","SCALING_FORMAT=MLN","Sort=A","Dates=H","DateFormat=P","Fill=—","Direction=H","UseDPDF=Y")</f>
        <v>—</v>
      </c>
    </row>
    <row r="54" spans="1:42" x14ac:dyDescent="0.25">
      <c r="A54" s="10" t="s">
        <v>294</v>
      </c>
      <c r="B54" s="10" t="s">
        <v>295</v>
      </c>
      <c r="C54" s="13">
        <f>_xll.BDH("XOM US Equity","OTHER_CURRENT_LIABS_DETAILED","FQ3 2008","FQ3 2008","Currency=USD","Period=FQ","BEST_FPERIOD_OVERRIDE=FQ","FILING_STATUS=OR","SCALING_FORMAT=MLN","Sort=A","Dates=H","DateFormat=P","Fill=—","Direction=H","UseDPDF=Y")</f>
        <v>15663</v>
      </c>
      <c r="D54" s="13">
        <f>_xll.BDH("XOM US Equity","OTHER_CURRENT_LIABS_DETAILED","FQ4 2008","FQ4 2008","Currency=USD","Period=FQ","BEST_FPERIOD_OVERRIDE=FQ","FILING_STATUS=OR","SCALING_FORMAT=MLN","Sort=A","Dates=H","DateFormat=P","Fill=—","Direction=H","UseDPDF=Y")</f>
        <v>25510</v>
      </c>
      <c r="E54" s="13">
        <f>_xll.BDH("XOM US Equity","OTHER_CURRENT_LIABS_DETAILED","FQ1 2009","FQ1 2009","Currency=USD","Period=FQ","BEST_FPERIOD_OVERRIDE=FQ","FILING_STATUS=OR","SCALING_FORMAT=MLN","Sort=A","Dates=H","DateFormat=P","Fill=—","Direction=H","UseDPDF=Y")</f>
        <v>0</v>
      </c>
      <c r="F54" s="13">
        <f>_xll.BDH("XOM US Equity","OTHER_CURRENT_LIABS_DETAILED","FQ2 2009","FQ2 2009","Currency=USD","Period=FQ","BEST_FPERIOD_OVERRIDE=FQ","FILING_STATUS=OR","SCALING_FORMAT=MLN","Sort=A","Dates=H","DateFormat=P","Fill=—","Direction=H","UseDPDF=Y")</f>
        <v>0</v>
      </c>
      <c r="G54" s="13">
        <f>_xll.BDH("XOM US Equity","OTHER_CURRENT_LIABS_DETAILED","FQ3 2009","FQ3 2009","Currency=USD","Period=FQ","BEST_FPERIOD_OVERRIDE=FQ","FILING_STATUS=OR","SCALING_FORMAT=MLN","Sort=A","Dates=H","DateFormat=P","Fill=—","Direction=H","UseDPDF=Y")</f>
        <v>0</v>
      </c>
      <c r="H54" s="13">
        <f>_xll.BDH("XOM US Equity","OTHER_CURRENT_LIABS_DETAILED","FQ4 2009","FQ4 2009","Currency=USD","Period=FQ","BEST_FPERIOD_OVERRIDE=FQ","FILING_STATUS=OR","SCALING_FORMAT=MLN","Sort=A","Dates=H","DateFormat=P","Fill=—","Direction=H","UseDPDF=Y")</f>
        <v>0</v>
      </c>
      <c r="I54" s="13">
        <f>_xll.BDH("XOM US Equity","OTHER_CURRENT_LIABS_DETAILED","FQ1 2010","FQ1 2010","Currency=USD","Period=FQ","BEST_FPERIOD_OVERRIDE=FQ","FILING_STATUS=OR","SCALING_FORMAT=MLN","Sort=A","Dates=H","DateFormat=P","Fill=—","Direction=H","UseDPDF=Y")</f>
        <v>0</v>
      </c>
      <c r="J54" s="13">
        <f>_xll.BDH("XOM US Equity","OTHER_CURRENT_LIABS_DETAILED","FQ2 2010","FQ2 2010","Currency=USD","Period=FQ","BEST_FPERIOD_OVERRIDE=FQ","FILING_STATUS=OR","SCALING_FORMAT=MLN","Sort=A","Dates=H","DateFormat=P","Fill=—","Direction=H","UseDPDF=Y")</f>
        <v>0</v>
      </c>
      <c r="K54" s="13">
        <f>_xll.BDH("XOM US Equity","OTHER_CURRENT_LIABS_DETAILED","FQ3 2010","FQ3 2010","Currency=USD","Period=FQ","BEST_FPERIOD_OVERRIDE=FQ","FILING_STATUS=OR","SCALING_FORMAT=MLN","Sort=A","Dates=H","DateFormat=P","Fill=—","Direction=H","UseDPDF=Y")</f>
        <v>0</v>
      </c>
      <c r="L54" s="13">
        <f>_xll.BDH("XOM US Equity","OTHER_CURRENT_LIABS_DETAILED","FQ4 2010","FQ4 2010","Currency=USD","Period=FQ","BEST_FPERIOD_OVERRIDE=FQ","FILING_STATUS=OR","SCALING_FORMAT=MLN","Sort=A","Dates=H","DateFormat=P","Fill=—","Direction=H","UseDPDF=Y")</f>
        <v>0</v>
      </c>
      <c r="M54" s="13">
        <f>_xll.BDH("XOM US Equity","OTHER_CURRENT_LIABS_DETAILED","FQ1 2011","FQ1 2011","Currency=USD","Period=FQ","BEST_FPERIOD_OVERRIDE=FQ","FILING_STATUS=OR","SCALING_FORMAT=MLN","Sort=A","Dates=H","DateFormat=P","Fill=—","Direction=H","UseDPDF=Y")</f>
        <v>0</v>
      </c>
      <c r="N54" s="13">
        <f>_xll.BDH("XOM US Equity","OTHER_CURRENT_LIABS_DETAILED","FQ2 2011","FQ2 2011","Currency=USD","Period=FQ","BEST_FPERIOD_OVERRIDE=FQ","FILING_STATUS=OR","SCALING_FORMAT=MLN","Sort=A","Dates=H","DateFormat=P","Fill=—","Direction=H","UseDPDF=Y")</f>
        <v>0</v>
      </c>
      <c r="O54" s="13">
        <f>_xll.BDH("XOM US Equity","OTHER_CURRENT_LIABS_DETAILED","FQ3 2011","FQ3 2011","Currency=USD","Period=FQ","BEST_FPERIOD_OVERRIDE=FQ","FILING_STATUS=OR","SCALING_FORMAT=MLN","Sort=A","Dates=H","DateFormat=P","Fill=—","Direction=H","UseDPDF=Y")</f>
        <v>0</v>
      </c>
      <c r="P54" s="13">
        <f>_xll.BDH("XOM US Equity","OTHER_CURRENT_LIABS_DETAILED","FQ4 2011","FQ4 2011","Currency=USD","Period=FQ","BEST_FPERIOD_OVERRIDE=FQ","FILING_STATUS=OR","SCALING_FORMAT=MLN","Sort=A","Dates=H","DateFormat=P","Fill=—","Direction=H","UseDPDF=Y")</f>
        <v>0</v>
      </c>
      <c r="Q54" s="13">
        <f>_xll.BDH("XOM US Equity","OTHER_CURRENT_LIABS_DETAILED","FQ1 2012","FQ1 2012","Currency=USD","Period=FQ","BEST_FPERIOD_OVERRIDE=FQ","FILING_STATUS=OR","SCALING_FORMAT=MLN","Sort=A","Dates=H","DateFormat=P","Fill=—","Direction=H","UseDPDF=Y")</f>
        <v>0</v>
      </c>
      <c r="R54" s="13">
        <f>_xll.BDH("XOM US Equity","OTHER_CURRENT_LIABS_DETAILED","FQ2 2012","FQ2 2012","Currency=USD","Period=FQ","BEST_FPERIOD_OVERRIDE=FQ","FILING_STATUS=OR","SCALING_FORMAT=MLN","Sort=A","Dates=H","DateFormat=P","Fill=—","Direction=H","UseDPDF=Y")</f>
        <v>0</v>
      </c>
      <c r="S54" s="13">
        <f>_xll.BDH("XOM US Equity","OTHER_CURRENT_LIABS_DETAILED","FQ3 2012","FQ3 2012","Currency=USD","Period=FQ","BEST_FPERIOD_OVERRIDE=FQ","FILING_STATUS=OR","SCALING_FORMAT=MLN","Sort=A","Dates=H","DateFormat=P","Fill=—","Direction=H","UseDPDF=Y")</f>
        <v>0</v>
      </c>
      <c r="T54" s="13">
        <f>_xll.BDH("XOM US Equity","OTHER_CURRENT_LIABS_DETAILED","FQ4 2012","FQ4 2012","Currency=USD","Period=FQ","BEST_FPERIOD_OVERRIDE=FQ","FILING_STATUS=OR","SCALING_FORMAT=MLN","Sort=A","Dates=H","DateFormat=P","Fill=—","Direction=H","UseDPDF=Y")</f>
        <v>0</v>
      </c>
      <c r="U54" s="13">
        <f>_xll.BDH("XOM US Equity","OTHER_CURRENT_LIABS_DETAILED","FQ1 2013","FQ1 2013","Currency=USD","Period=FQ","BEST_FPERIOD_OVERRIDE=FQ","FILING_STATUS=OR","SCALING_FORMAT=MLN","Sort=A","Dates=H","DateFormat=P","Fill=—","Direction=H","UseDPDF=Y")</f>
        <v>0</v>
      </c>
      <c r="V54" s="13">
        <f>_xll.BDH("XOM US Equity","OTHER_CURRENT_LIABS_DETAILED","FQ2 2013","FQ2 2013","Currency=USD","Period=FQ","BEST_FPERIOD_OVERRIDE=FQ","FILING_STATUS=OR","SCALING_FORMAT=MLN","Sort=A","Dates=H","DateFormat=P","Fill=—","Direction=H","UseDPDF=Y")</f>
        <v>0</v>
      </c>
      <c r="W54" s="13">
        <f>_xll.BDH("XOM US Equity","OTHER_CURRENT_LIABS_DETAILED","FQ3 2013","FQ3 2013","Currency=USD","Period=FQ","BEST_FPERIOD_OVERRIDE=FQ","FILING_STATUS=OR","SCALING_FORMAT=MLN","Sort=A","Dates=H","DateFormat=P","Fill=—","Direction=H","UseDPDF=Y")</f>
        <v>0</v>
      </c>
      <c r="X54" s="13">
        <f>_xll.BDH("XOM US Equity","OTHER_CURRENT_LIABS_DETAILED","FQ4 2013","FQ4 2013","Currency=USD","Period=FQ","BEST_FPERIOD_OVERRIDE=FQ","FILING_STATUS=OR","SCALING_FORMAT=MLN","Sort=A","Dates=H","DateFormat=P","Fill=—","Direction=H","UseDPDF=Y")</f>
        <v>0</v>
      </c>
      <c r="Y54" s="13">
        <f>_xll.BDH("XOM US Equity","OTHER_CURRENT_LIABS_DETAILED","FQ1 2014","FQ1 2014","Currency=USD","Period=FQ","BEST_FPERIOD_OVERRIDE=FQ","FILING_STATUS=OR","SCALING_FORMAT=MLN","Sort=A","Dates=H","DateFormat=P","Fill=—","Direction=H","UseDPDF=Y")</f>
        <v>0</v>
      </c>
      <c r="Z54" s="13">
        <f>_xll.BDH("XOM US Equity","OTHER_CURRENT_LIABS_DETAILED","FQ2 2014","FQ2 2014","Currency=USD","Period=FQ","BEST_FPERIOD_OVERRIDE=FQ","FILING_STATUS=OR","SCALING_FORMAT=MLN","Sort=A","Dates=H","DateFormat=P","Fill=—","Direction=H","UseDPDF=Y")</f>
        <v>0</v>
      </c>
      <c r="AA54" s="13">
        <f>_xll.BDH("XOM US Equity","OTHER_CURRENT_LIABS_DETAILED","FQ3 2014","FQ3 2014","Currency=USD","Period=FQ","BEST_FPERIOD_OVERRIDE=FQ","FILING_STATUS=OR","SCALING_FORMAT=MLN","Sort=A","Dates=H","DateFormat=P","Fill=—","Direction=H","UseDPDF=Y")</f>
        <v>0</v>
      </c>
      <c r="AB54" s="13">
        <f>_xll.BDH("XOM US Equity","OTHER_CURRENT_LIABS_DETAILED","FQ4 2014","FQ4 2014","Currency=USD","Period=FQ","BEST_FPERIOD_OVERRIDE=FQ","FILING_STATUS=OR","SCALING_FORMAT=MLN","Sort=A","Dates=H","DateFormat=P","Fill=—","Direction=H","UseDPDF=Y")</f>
        <v>0</v>
      </c>
      <c r="AC54" s="13">
        <f>_xll.BDH("XOM US Equity","OTHER_CURRENT_LIABS_DETAILED","FQ1 2015","FQ1 2015","Currency=USD","Period=FQ","BEST_FPERIOD_OVERRIDE=FQ","FILING_STATUS=OR","SCALING_FORMAT=MLN","Sort=A","Dates=H","DateFormat=P","Fill=—","Direction=H","UseDPDF=Y")</f>
        <v>0</v>
      </c>
      <c r="AD54" s="13">
        <f>_xll.BDH("XOM US Equity","OTHER_CURRENT_LIABS_DETAILED","FQ2 2015","FQ2 2015","Currency=USD","Period=FQ","BEST_FPERIOD_OVERRIDE=FQ","FILING_STATUS=OR","SCALING_FORMAT=MLN","Sort=A","Dates=H","DateFormat=P","Fill=—","Direction=H","UseDPDF=Y")</f>
        <v>0</v>
      </c>
      <c r="AE54" s="13">
        <f>_xll.BDH("XOM US Equity","OTHER_CURRENT_LIABS_DETAILED","FQ3 2015","FQ3 2015","Currency=USD","Period=FQ","BEST_FPERIOD_OVERRIDE=FQ","FILING_STATUS=OR","SCALING_FORMAT=MLN","Sort=A","Dates=H","DateFormat=P","Fill=—","Direction=H","UseDPDF=Y")</f>
        <v>0</v>
      </c>
      <c r="AF54" s="13">
        <f>_xll.BDH("XOM US Equity","OTHER_CURRENT_LIABS_DETAILED","FQ4 2015","FQ4 2015","Currency=USD","Period=FQ","BEST_FPERIOD_OVERRIDE=FQ","FILING_STATUS=OR","SCALING_FORMAT=MLN","Sort=A","Dates=H","DateFormat=P","Fill=—","Direction=H","UseDPDF=Y")</f>
        <v>0</v>
      </c>
      <c r="AG54" s="13">
        <f>_xll.BDH("XOM US Equity","OTHER_CURRENT_LIABS_DETAILED","FQ1 2016","FQ1 2016","Currency=USD","Period=FQ","BEST_FPERIOD_OVERRIDE=FQ","FILING_STATUS=OR","SCALING_FORMAT=MLN","Sort=A","Dates=H","DateFormat=P","Fill=—","Direction=H","UseDPDF=Y")</f>
        <v>0</v>
      </c>
      <c r="AH54" s="13">
        <f>_xll.BDH("XOM US Equity","OTHER_CURRENT_LIABS_DETAILED","FQ2 2016","FQ2 2016","Currency=USD","Period=FQ","BEST_FPERIOD_OVERRIDE=FQ","FILING_STATUS=OR","SCALING_FORMAT=MLN","Sort=A","Dates=H","DateFormat=P","Fill=—","Direction=H","UseDPDF=Y")</f>
        <v>0</v>
      </c>
      <c r="AI54" s="13">
        <f>_xll.BDH("XOM US Equity","OTHER_CURRENT_LIABS_DETAILED","FQ3 2016","FQ3 2016","Currency=USD","Period=FQ","BEST_FPERIOD_OVERRIDE=FQ","FILING_STATUS=OR","SCALING_FORMAT=MLN","Sort=A","Dates=H","DateFormat=P","Fill=—","Direction=H","UseDPDF=Y")</f>
        <v>0</v>
      </c>
      <c r="AJ54" s="13">
        <f>_xll.BDH("XOM US Equity","OTHER_CURRENT_LIABS_DETAILED","FQ4 2016","FQ4 2016","Currency=USD","Period=FQ","BEST_FPERIOD_OVERRIDE=FQ","FILING_STATUS=OR","SCALING_FORMAT=MLN","Sort=A","Dates=H","DateFormat=P","Fill=—","Direction=H","UseDPDF=Y")</f>
        <v>0</v>
      </c>
      <c r="AK54" s="13">
        <f>_xll.BDH("XOM US Equity","OTHER_CURRENT_LIABS_DETAILED","FQ1 2017","FQ1 2017","Currency=USD","Period=FQ","BEST_FPERIOD_OVERRIDE=FQ","FILING_STATUS=OR","SCALING_FORMAT=MLN","Sort=A","Dates=H","DateFormat=P","Fill=—","Direction=H","UseDPDF=Y")</f>
        <v>0</v>
      </c>
      <c r="AL54" s="13">
        <f>_xll.BDH("XOM US Equity","OTHER_CURRENT_LIABS_DETAILED","FQ2 2017","FQ2 2017","Currency=USD","Period=FQ","BEST_FPERIOD_OVERRIDE=FQ","FILING_STATUS=OR","SCALING_FORMAT=MLN","Sort=A","Dates=H","DateFormat=P","Fill=—","Direction=H","UseDPDF=Y")</f>
        <v>0</v>
      </c>
      <c r="AM54" s="13">
        <f>_xll.BDH("XOM US Equity","OTHER_CURRENT_LIABS_DETAILED","FQ3 2017","FQ3 2017","Currency=USD","Period=FQ","BEST_FPERIOD_OVERRIDE=FQ","FILING_STATUS=OR","SCALING_FORMAT=MLN","Sort=A","Dates=H","DateFormat=P","Fill=—","Direction=H","UseDPDF=Y")</f>
        <v>0</v>
      </c>
      <c r="AN54" s="13">
        <f>_xll.BDH("XOM US Equity","OTHER_CURRENT_LIABS_DETAILED","FQ4 2017","FQ4 2017","Currency=USD","Period=FQ","BEST_FPERIOD_OVERRIDE=FQ","FILING_STATUS=OR","SCALING_FORMAT=MLN","Sort=A","Dates=H","DateFormat=P","Fill=—","Direction=H","UseDPDF=Y")</f>
        <v>0</v>
      </c>
      <c r="AO54" s="13">
        <f>_xll.BDH("XOM US Equity","OTHER_CURRENT_LIABS_DETAILED","FQ1 2018","FQ1 2018","Currency=USD","Period=FQ","BEST_FPERIOD_OVERRIDE=FQ","FILING_STATUS=OR","SCALING_FORMAT=MLN","Sort=A","Dates=H","DateFormat=P","Fill=—","Direction=H","UseDPDF=Y")</f>
        <v>0</v>
      </c>
      <c r="AP54" s="13">
        <f>_xll.BDH("XOM US Equity","OTHER_CURRENT_LIABS_DETAILED","FQ2 2018","FQ2 2018","Currency=USD","Period=FQ","BEST_FPERIOD_OVERRIDE=FQ","FILING_STATUS=OR","SCALING_FORMAT=MLN","Sort=A","Dates=H","DateFormat=P","Fill=—","Direction=H","UseDPDF=Y")</f>
        <v>0</v>
      </c>
    </row>
    <row r="55" spans="1:42" x14ac:dyDescent="0.25">
      <c r="A55" s="6" t="s">
        <v>296</v>
      </c>
      <c r="B55" s="6" t="s">
        <v>297</v>
      </c>
      <c r="C55" s="16">
        <f>_xll.BDH("XOM US Equity","BS_CUR_LIAB","FQ3 2008","FQ3 2008","Currency=USD","Period=FQ","BEST_FPERIOD_OVERRIDE=FQ","FILING_STATUS=OR","SCALING_FORMAT=MLN","Sort=A","Dates=H","DateFormat=P","Fill=—","Direction=H","UseDPDF=Y")</f>
        <v>67631</v>
      </c>
      <c r="D55" s="16">
        <f>_xll.BDH("XOM US Equity","BS_CUR_LIAB","FQ4 2008","FQ4 2008","Currency=USD","Period=FQ","BEST_FPERIOD_OVERRIDE=FQ","FILING_STATUS=OR","SCALING_FORMAT=MLN","Sort=A","Dates=H","DateFormat=P","Fill=—","Direction=H","UseDPDF=Y")</f>
        <v>49100</v>
      </c>
      <c r="E55" s="16">
        <f>_xll.BDH("XOM US Equity","BS_CUR_LIAB","FQ1 2009","FQ1 2009","Currency=USD","Period=FQ","BEST_FPERIOD_OVERRIDE=FQ","FILING_STATUS=OR","SCALING_FORMAT=MLN","Sort=A","Dates=H","DateFormat=P","Fill=—","Direction=H","UseDPDF=Y")</f>
        <v>49505</v>
      </c>
      <c r="F55" s="16">
        <f>_xll.BDH("XOM US Equity","BS_CUR_LIAB","FQ2 2009","FQ2 2009","Currency=USD","Period=FQ","BEST_FPERIOD_OVERRIDE=FQ","FILING_STATUS=OR","SCALING_FORMAT=MLN","Sort=A","Dates=H","DateFormat=P","Fill=—","Direction=H","UseDPDF=Y")</f>
        <v>51614</v>
      </c>
      <c r="G55" s="16">
        <f>_xll.BDH("XOM US Equity","BS_CUR_LIAB","FQ3 2009","FQ3 2009","Currency=USD","Period=FQ","BEST_FPERIOD_OVERRIDE=FQ","FILING_STATUS=OR","SCALING_FORMAT=MLN","Sort=A","Dates=H","DateFormat=P","Fill=—","Direction=H","UseDPDF=Y")</f>
        <v>52933</v>
      </c>
      <c r="H55" s="16">
        <f>_xll.BDH("XOM US Equity","BS_CUR_LIAB","FQ4 2009","FQ4 2009","Currency=USD","Period=FQ","BEST_FPERIOD_OVERRIDE=FQ","FILING_STATUS=OR","SCALING_FORMAT=MLN","Sort=A","Dates=H","DateFormat=P","Fill=—","Direction=H","UseDPDF=Y")</f>
        <v>52061</v>
      </c>
      <c r="I55" s="16">
        <f>_xll.BDH("XOM US Equity","BS_CUR_LIAB","FQ1 2010","FQ1 2010","Currency=USD","Period=FQ","BEST_FPERIOD_OVERRIDE=FQ","FILING_STATUS=OR","SCALING_FORMAT=MLN","Sort=A","Dates=H","DateFormat=P","Fill=—","Direction=H","UseDPDF=Y")</f>
        <v>57744</v>
      </c>
      <c r="J55" s="16">
        <f>_xll.BDH("XOM US Equity","BS_CUR_LIAB","FQ2 2010","FQ2 2010","Currency=USD","Period=FQ","BEST_FPERIOD_OVERRIDE=FQ","FILING_STATUS=OR","SCALING_FORMAT=MLN","Sort=A","Dates=H","DateFormat=P","Fill=—","Direction=H","UseDPDF=Y")</f>
        <v>57821</v>
      </c>
      <c r="K55" s="16">
        <f>_xll.BDH("XOM US Equity","BS_CUR_LIAB","FQ3 2010","FQ3 2010","Currency=USD","Period=FQ","BEST_FPERIOD_OVERRIDE=FQ","FILING_STATUS=OR","SCALING_FORMAT=MLN","Sort=A","Dates=H","DateFormat=P","Fill=—","Direction=H","UseDPDF=Y")</f>
        <v>61740</v>
      </c>
      <c r="L55" s="16">
        <f>_xll.BDH("XOM US Equity","BS_CUR_LIAB","FQ4 2010","FQ4 2010","Currency=USD","Period=FQ","BEST_FPERIOD_OVERRIDE=FQ","FILING_STATUS=OR","SCALING_FORMAT=MLN","Sort=A","Dates=H","DateFormat=P","Fill=—","Direction=H","UseDPDF=Y")</f>
        <v>62633</v>
      </c>
      <c r="M55" s="16">
        <f>_xll.BDH("XOM US Equity","BS_CUR_LIAB","FQ1 2011","FQ1 2011","Currency=USD","Period=FQ","BEST_FPERIOD_OVERRIDE=FQ","FILING_STATUS=OR","SCALING_FORMAT=MLN","Sort=A","Dates=H","DateFormat=P","Fill=—","Direction=H","UseDPDF=Y")</f>
        <v>73576</v>
      </c>
      <c r="N55" s="16">
        <f>_xll.BDH("XOM US Equity","BS_CUR_LIAB","FQ2 2011","FQ2 2011","Currency=USD","Period=FQ","BEST_FPERIOD_OVERRIDE=FQ","FILING_STATUS=OR","SCALING_FORMAT=MLN","Sort=A","Dates=H","DateFormat=P","Fill=—","Direction=H","UseDPDF=Y")</f>
        <v>74533</v>
      </c>
      <c r="O55" s="16">
        <f>_xll.BDH("XOM US Equity","BS_CUR_LIAB","FQ3 2011","FQ3 2011","Currency=USD","Period=FQ","BEST_FPERIOD_OVERRIDE=FQ","FILING_STATUS=OR","SCALING_FORMAT=MLN","Sort=A","Dates=H","DateFormat=P","Fill=—","Direction=H","UseDPDF=Y")</f>
        <v>74971</v>
      </c>
      <c r="P55" s="16">
        <f>_xll.BDH("XOM US Equity","BS_CUR_LIAB","FQ4 2011","FQ4 2011","Currency=USD","Period=FQ","BEST_FPERIOD_OVERRIDE=FQ","FILING_STATUS=OR","SCALING_FORMAT=MLN","Sort=A","Dates=H","DateFormat=P","Fill=—","Direction=H","UseDPDF=Y")</f>
        <v>77505</v>
      </c>
      <c r="Q55" s="16">
        <f>_xll.BDH("XOM US Equity","BS_CUR_LIAB","FQ1 2012","FQ1 2012","Currency=USD","Period=FQ","BEST_FPERIOD_OVERRIDE=FQ","FILING_STATUS=OR","SCALING_FORMAT=MLN","Sort=A","Dates=H","DateFormat=P","Fill=—","Direction=H","UseDPDF=Y")</f>
        <v>79994</v>
      </c>
      <c r="R55" s="16">
        <f>_xll.BDH("XOM US Equity","BS_CUR_LIAB","FQ2 2012","FQ2 2012","Currency=USD","Period=FQ","BEST_FPERIOD_OVERRIDE=FQ","FILING_STATUS=OR","SCALING_FORMAT=MLN","Sort=A","Dates=H","DateFormat=P","Fill=—","Direction=H","UseDPDF=Y")</f>
        <v>70136</v>
      </c>
      <c r="S55" s="16">
        <f>_xll.BDH("XOM US Equity","BS_CUR_LIAB","FQ3 2012","FQ3 2012","Currency=USD","Period=FQ","BEST_FPERIOD_OVERRIDE=FQ","FILING_STATUS=OR","SCALING_FORMAT=MLN","Sort=A","Dates=H","DateFormat=P","Fill=—","Direction=H","UseDPDF=Y")</f>
        <v>70061</v>
      </c>
      <c r="T55" s="16">
        <f>_xll.BDH("XOM US Equity","BS_CUR_LIAB","FQ4 2012","FQ4 2012","Currency=USD","Period=FQ","BEST_FPERIOD_OVERRIDE=FQ","FILING_STATUS=OR","SCALING_FORMAT=MLN","Sort=A","Dates=H","DateFormat=P","Fill=—","Direction=H","UseDPDF=Y")</f>
        <v>64139</v>
      </c>
      <c r="U55" s="16">
        <f>_xll.BDH("XOM US Equity","BS_CUR_LIAB","FQ1 2013","FQ1 2013","Currency=USD","Period=FQ","BEST_FPERIOD_OVERRIDE=FQ","FILING_STATUS=OR","SCALING_FORMAT=MLN","Sort=A","Dates=H","DateFormat=P","Fill=—","Direction=H","UseDPDF=Y")</f>
        <v>70084</v>
      </c>
      <c r="V55" s="16">
        <f>_xll.BDH("XOM US Equity","BS_CUR_LIAB","FQ2 2013","FQ2 2013","Currency=USD","Period=FQ","BEST_FPERIOD_OVERRIDE=FQ","FILING_STATUS=OR","SCALING_FORMAT=MLN","Sort=A","Dates=H","DateFormat=P","Fill=—","Direction=H","UseDPDF=Y")</f>
        <v>72688</v>
      </c>
      <c r="W55" s="16">
        <f>_xll.BDH("XOM US Equity","BS_CUR_LIAB","FQ3 2013","FQ3 2013","Currency=USD","Period=FQ","BEST_FPERIOD_OVERRIDE=FQ","FILING_STATUS=OR","SCALING_FORMAT=MLN","Sort=A","Dates=H","DateFormat=P","Fill=—","Direction=H","UseDPDF=Y")</f>
        <v>72749</v>
      </c>
      <c r="X55" s="16">
        <f>_xll.BDH("XOM US Equity","BS_CUR_LIAB","FQ4 2013","FQ4 2013","Currency=USD","Period=FQ","BEST_FPERIOD_OVERRIDE=FQ","FILING_STATUS=OR","SCALING_FORMAT=MLN","Sort=A","Dates=H","DateFormat=P","Fill=—","Direction=H","UseDPDF=Y")</f>
        <v>71724</v>
      </c>
      <c r="Y55" s="16">
        <f>_xll.BDH("XOM US Equity","BS_CUR_LIAB","FQ1 2014","FQ1 2014","Currency=USD","Period=FQ","BEST_FPERIOD_OVERRIDE=FQ","FILING_STATUS=OR","SCALING_FORMAT=MLN","Sort=A","Dates=H","DateFormat=P","Fill=—","Direction=H","UseDPDF=Y")</f>
        <v>70108</v>
      </c>
      <c r="Z55" s="16">
        <f>_xll.BDH("XOM US Equity","BS_CUR_LIAB","FQ2 2014","FQ2 2014","Currency=USD","Period=FQ","BEST_FPERIOD_OVERRIDE=FQ","FILING_STATUS=OR","SCALING_FORMAT=MLN","Sort=A","Dates=H","DateFormat=P","Fill=—","Direction=H","UseDPDF=Y")</f>
        <v>69529</v>
      </c>
      <c r="AA55" s="16">
        <f>_xll.BDH("XOM US Equity","BS_CUR_LIAB","FQ3 2014","FQ3 2014","Currency=USD","Period=FQ","BEST_FPERIOD_OVERRIDE=FQ","FILING_STATUS=OR","SCALING_FORMAT=MLN","Sort=A","Dates=H","DateFormat=P","Fill=—","Direction=H","UseDPDF=Y")</f>
        <v>65984</v>
      </c>
      <c r="AB55" s="16">
        <f>_xll.BDH("XOM US Equity","BS_CUR_LIAB","FQ4 2014","FQ4 2014","Currency=USD","Period=FQ","BEST_FPERIOD_OVERRIDE=FQ","FILING_STATUS=OR","SCALING_FORMAT=MLN","Sort=A","Dates=H","DateFormat=P","Fill=—","Direction=H","UseDPDF=Y")</f>
        <v>64633</v>
      </c>
      <c r="AC55" s="16">
        <f>_xll.BDH("XOM US Equity","BS_CUR_LIAB","FQ1 2015","FQ1 2015","Currency=USD","Period=FQ","BEST_FPERIOD_OVERRIDE=FQ","FILING_STATUS=OR","SCALING_FORMAT=MLN","Sort=A","Dates=H","DateFormat=P","Fill=—","Direction=H","UseDPDF=Y")</f>
        <v>55933</v>
      </c>
      <c r="AD55" s="16">
        <f>_xll.BDH("XOM US Equity","BS_CUR_LIAB","FQ2 2015","FQ2 2015","Currency=USD","Period=FQ","BEST_FPERIOD_OVERRIDE=FQ","FILING_STATUS=OR","SCALING_FORMAT=MLN","Sort=A","Dates=H","DateFormat=P","Fill=—","Direction=H","UseDPDF=Y")</f>
        <v>58372</v>
      </c>
      <c r="AE55" s="16">
        <f>_xll.BDH("XOM US Equity","BS_CUR_LIAB","FQ3 2015","FQ3 2015","Currency=USD","Period=FQ","BEST_FPERIOD_OVERRIDE=FQ","FILING_STATUS=OR","SCALING_FORMAT=MLN","Sort=A","Dates=H","DateFormat=P","Fill=—","Direction=H","UseDPDF=Y")</f>
        <v>54828</v>
      </c>
      <c r="AF55" s="16">
        <f>_xll.BDH("XOM US Equity","BS_CUR_LIAB","FQ4 2015","FQ4 2015","Currency=USD","Period=FQ","BEST_FPERIOD_OVERRIDE=FQ","FILING_STATUS=OR","SCALING_FORMAT=MLN","Sort=A","Dates=H","DateFormat=P","Fill=—","Direction=H","UseDPDF=Y")</f>
        <v>53976</v>
      </c>
      <c r="AG55" s="16">
        <f>_xll.BDH("XOM US Equity","BS_CUR_LIAB","FQ1 2016","FQ1 2016","Currency=USD","Period=FQ","BEST_FPERIOD_OVERRIDE=FQ","FILING_STATUS=OR","SCALING_FORMAT=MLN","Sort=A","Dates=H","DateFormat=P","Fill=—","Direction=H","UseDPDF=Y")</f>
        <v>48726</v>
      </c>
      <c r="AH55" s="16">
        <f>_xll.BDH("XOM US Equity","BS_CUR_LIAB","FQ2 2016","FQ2 2016","Currency=USD","Period=FQ","BEST_FPERIOD_OVERRIDE=FQ","FILING_STATUS=OR","SCALING_FORMAT=MLN","Sort=A","Dates=H","DateFormat=P","Fill=—","Direction=H","UseDPDF=Y")</f>
        <v>51504</v>
      </c>
      <c r="AI55" s="16">
        <f>_xll.BDH("XOM US Equity","BS_CUR_LIAB","FQ3 2016","FQ3 2016","Currency=USD","Period=FQ","BEST_FPERIOD_OVERRIDE=FQ","FILING_STATUS=OR","SCALING_FORMAT=MLN","Sort=A","Dates=H","DateFormat=P","Fill=—","Direction=H","UseDPDF=Y")</f>
        <v>50021</v>
      </c>
      <c r="AJ55" s="16">
        <f>_xll.BDH("XOM US Equity","BS_CUR_LIAB","FQ4 2016","FQ4 2016","Currency=USD","Period=FQ","BEST_FPERIOD_OVERRIDE=FQ","FILING_STATUS=OR","SCALING_FORMAT=MLN","Sort=A","Dates=H","DateFormat=P","Fill=—","Direction=H","UseDPDF=Y")</f>
        <v>47638</v>
      </c>
      <c r="AK55" s="16">
        <f>_xll.BDH("XOM US Equity","BS_CUR_LIAB","FQ1 2017","FQ1 2017","Currency=USD","Period=FQ","BEST_FPERIOD_OVERRIDE=FQ","FILING_STATUS=OR","SCALING_FORMAT=MLN","Sort=A","Dates=H","DateFormat=P","Fill=—","Direction=H","UseDPDF=Y")</f>
        <v>53374</v>
      </c>
      <c r="AL55" s="16">
        <f>_xll.BDH("XOM US Equity","BS_CUR_LIAB","FQ2 2017","FQ2 2017","Currency=USD","Period=FQ","BEST_FPERIOD_OVERRIDE=FQ","FILING_STATUS=OR","SCALING_FORMAT=MLN","Sort=A","Dates=H","DateFormat=P","Fill=—","Direction=H","UseDPDF=Y")</f>
        <v>50949</v>
      </c>
      <c r="AM55" s="16">
        <f>_xll.BDH("XOM US Equity","BS_CUR_LIAB","FQ3 2017","FQ3 2017","Currency=USD","Period=FQ","BEST_FPERIOD_OVERRIDE=FQ","FILING_STATUS=OR","SCALING_FORMAT=MLN","Sort=A","Dates=H","DateFormat=P","Fill=—","Direction=H","UseDPDF=Y")</f>
        <v>53777</v>
      </c>
      <c r="AN55" s="16">
        <f>_xll.BDH("XOM US Equity","BS_CUR_LIAB","FQ4 2017","FQ4 2017","Currency=USD","Period=FQ","BEST_FPERIOD_OVERRIDE=FQ","FILING_STATUS=OR","SCALING_FORMAT=MLN","Sort=A","Dates=H","DateFormat=P","Fill=—","Direction=H","UseDPDF=Y")</f>
        <v>57771</v>
      </c>
      <c r="AO55" s="16">
        <f>_xll.BDH("XOM US Equity","BS_CUR_LIAB","FQ1 2018","FQ1 2018","Currency=USD","Period=FQ","BEST_FPERIOD_OVERRIDE=FQ","FILING_STATUS=OR","SCALING_FORMAT=MLN","Sort=A","Dates=H","DateFormat=P","Fill=—","Direction=H","UseDPDF=Y")</f>
        <v>60306</v>
      </c>
      <c r="AP55" s="16">
        <f>_xll.BDH("XOM US Equity","BS_CUR_LIAB","FQ2 2018","FQ2 2018","Currency=USD","Period=FQ","BEST_FPERIOD_OVERRIDE=FQ","FILING_STATUS=OR","SCALING_FORMAT=MLN","Sort=A","Dates=H","DateFormat=P","Fill=—","Direction=H","UseDPDF=Y")</f>
        <v>62447</v>
      </c>
    </row>
    <row r="56" spans="1:42" x14ac:dyDescent="0.25">
      <c r="A56" s="10" t="s">
        <v>298</v>
      </c>
      <c r="B56" s="10" t="s">
        <v>299</v>
      </c>
      <c r="C56" s="13">
        <f>_xll.BDH("XOM US Equity","BS_LT_BORROW","FQ3 2008","FQ3 2008","Currency=USD","Period=FQ","BEST_FPERIOD_OVERRIDE=FQ","FILING_STATUS=OR","SCALING_FORMAT=MLN","Sort=A","Dates=H","DateFormat=P","Fill=—","Direction=H","UseDPDF=Y")</f>
        <v>7383</v>
      </c>
      <c r="D56" s="13">
        <f>_xll.BDH("XOM US Equity","BS_LT_BORROW","FQ4 2008","FQ4 2008","Currency=USD","Period=FQ","BEST_FPERIOD_OVERRIDE=FQ","FILING_STATUS=OR","SCALING_FORMAT=MLN","Sort=A","Dates=H","DateFormat=P","Fill=—","Direction=H","UseDPDF=Y")</f>
        <v>7025</v>
      </c>
      <c r="E56" s="13">
        <f>_xll.BDH("XOM US Equity","BS_LT_BORROW","FQ1 2009","FQ1 2009","Currency=USD","Period=FQ","BEST_FPERIOD_OVERRIDE=FQ","FILING_STATUS=OR","SCALING_FORMAT=MLN","Sort=A","Dates=H","DateFormat=P","Fill=—","Direction=H","UseDPDF=Y")</f>
        <v>7041</v>
      </c>
      <c r="F56" s="13">
        <f>_xll.BDH("XOM US Equity","BS_LT_BORROW","FQ2 2009","FQ2 2009","Currency=USD","Period=FQ","BEST_FPERIOD_OVERRIDE=FQ","FILING_STATUS=OR","SCALING_FORMAT=MLN","Sort=A","Dates=H","DateFormat=P","Fill=—","Direction=H","UseDPDF=Y")</f>
        <v>7117</v>
      </c>
      <c r="G56" s="13">
        <f>_xll.BDH("XOM US Equity","BS_LT_BORROW","FQ3 2009","FQ3 2009","Currency=USD","Period=FQ","BEST_FPERIOD_OVERRIDE=FQ","FILING_STATUS=OR","SCALING_FORMAT=MLN","Sort=A","Dates=H","DateFormat=P","Fill=—","Direction=H","UseDPDF=Y")</f>
        <v>7185</v>
      </c>
      <c r="H56" s="13">
        <f>_xll.BDH("XOM US Equity","BS_LT_BORROW","FQ4 2009","FQ4 2009","Currency=USD","Period=FQ","BEST_FPERIOD_OVERRIDE=FQ","FILING_STATUS=OR","SCALING_FORMAT=MLN","Sort=A","Dates=H","DateFormat=P","Fill=—","Direction=H","UseDPDF=Y")</f>
        <v>7129</v>
      </c>
      <c r="I56" s="13">
        <f>_xll.BDH("XOM US Equity","BS_LT_BORROW","FQ1 2010","FQ1 2010","Currency=USD","Period=FQ","BEST_FPERIOD_OVERRIDE=FQ","FILING_STATUS=OR","SCALING_FORMAT=MLN","Sort=A","Dates=H","DateFormat=P","Fill=—","Direction=H","UseDPDF=Y")</f>
        <v>7054</v>
      </c>
      <c r="J56" s="13">
        <f>_xll.BDH("XOM US Equity","BS_LT_BORROW","FQ2 2010","FQ2 2010","Currency=USD","Period=FQ","BEST_FPERIOD_OVERRIDE=FQ","FILING_STATUS=OR","SCALING_FORMAT=MLN","Sort=A","Dates=H","DateFormat=P","Fill=—","Direction=H","UseDPDF=Y")</f>
        <v>17486</v>
      </c>
      <c r="K56" s="13">
        <f>_xll.BDH("XOM US Equity","BS_LT_BORROW","FQ3 2010","FQ3 2010","Currency=USD","Period=FQ","BEST_FPERIOD_OVERRIDE=FQ","FILING_STATUS=OR","SCALING_FORMAT=MLN","Sort=A","Dates=H","DateFormat=P","Fill=—","Direction=H","UseDPDF=Y")</f>
        <v>15248</v>
      </c>
      <c r="L56" s="13">
        <f>_xll.BDH("XOM US Equity","BS_LT_BORROW","FQ4 2010","FQ4 2010","Currency=USD","Period=FQ","BEST_FPERIOD_OVERRIDE=FQ","FILING_STATUS=OR","SCALING_FORMAT=MLN","Sort=A","Dates=H","DateFormat=P","Fill=—","Direction=H","UseDPDF=Y")</f>
        <v>12227</v>
      </c>
      <c r="M56" s="13">
        <f>_xll.BDH("XOM US Equity","BS_LT_BORROW","FQ1 2011","FQ1 2011","Currency=USD","Period=FQ","BEST_FPERIOD_OVERRIDE=FQ","FILING_STATUS=OR","SCALING_FORMAT=MLN","Sort=A","Dates=H","DateFormat=P","Fill=—","Direction=H","UseDPDF=Y")</f>
        <v>12316</v>
      </c>
      <c r="N56" s="13">
        <f>_xll.BDH("XOM US Equity","BS_LT_BORROW","FQ2 2011","FQ2 2011","Currency=USD","Period=FQ","BEST_FPERIOD_OVERRIDE=FQ","FILING_STATUS=OR","SCALING_FORMAT=MLN","Sort=A","Dates=H","DateFormat=P","Fill=—","Direction=H","UseDPDF=Y")</f>
        <v>12123</v>
      </c>
      <c r="O56" s="13">
        <f>_xll.BDH("XOM US Equity","BS_LT_BORROW","FQ3 2011","FQ3 2011","Currency=USD","Period=FQ","BEST_FPERIOD_OVERRIDE=FQ","FILING_STATUS=OR","SCALING_FORMAT=MLN","Sort=A","Dates=H","DateFormat=P","Fill=—","Direction=H","UseDPDF=Y")</f>
        <v>9331</v>
      </c>
      <c r="P56" s="13">
        <f>_xll.BDH("XOM US Equity","BS_LT_BORROW","FQ4 2011","FQ4 2011","Currency=USD","Period=FQ","BEST_FPERIOD_OVERRIDE=FQ","FILING_STATUS=OR","SCALING_FORMAT=MLN","Sort=A","Dates=H","DateFormat=P","Fill=—","Direction=H","UseDPDF=Y")</f>
        <v>9322</v>
      </c>
      <c r="Q56" s="13">
        <f>_xll.BDH("XOM US Equity","BS_LT_BORROW","FQ1 2012","FQ1 2012","Currency=USD","Period=FQ","BEST_FPERIOD_OVERRIDE=FQ","FILING_STATUS=OR","SCALING_FORMAT=MLN","Sort=A","Dates=H","DateFormat=P","Fill=—","Direction=H","UseDPDF=Y")</f>
        <v>9231</v>
      </c>
      <c r="R56" s="13">
        <f>_xll.BDH("XOM US Equity","BS_LT_BORROW","FQ2 2012","FQ2 2012","Currency=USD","Period=FQ","BEST_FPERIOD_OVERRIDE=FQ","FILING_STATUS=OR","SCALING_FORMAT=MLN","Sort=A","Dates=H","DateFormat=P","Fill=—","Direction=H","UseDPDF=Y")</f>
        <v>8877</v>
      </c>
      <c r="S56" s="13">
        <f>_xll.BDH("XOM US Equity","BS_LT_BORROW","FQ3 2012","FQ3 2012","Currency=USD","Period=FQ","BEST_FPERIOD_OVERRIDE=FQ","FILING_STATUS=OR","SCALING_FORMAT=MLN","Sort=A","Dates=H","DateFormat=P","Fill=—","Direction=H","UseDPDF=Y")</f>
        <v>8928</v>
      </c>
      <c r="T56" s="13">
        <f>_xll.BDH("XOM US Equity","BS_LT_BORROW","FQ4 2012","FQ4 2012","Currency=USD","Period=FQ","BEST_FPERIOD_OVERRIDE=FQ","FILING_STATUS=OR","SCALING_FORMAT=MLN","Sort=A","Dates=H","DateFormat=P","Fill=—","Direction=H","UseDPDF=Y")</f>
        <v>7928</v>
      </c>
      <c r="U56" s="13">
        <f>_xll.BDH("XOM US Equity","BS_LT_BORROW","FQ1 2013","FQ1 2013","Currency=USD","Period=FQ","BEST_FPERIOD_OVERRIDE=FQ","FILING_STATUS=OR","SCALING_FORMAT=MLN","Sort=A","Dates=H","DateFormat=P","Fill=—","Direction=H","UseDPDF=Y")</f>
        <v>7475</v>
      </c>
      <c r="V56" s="13">
        <f>_xll.BDH("XOM US Equity","BS_LT_BORROW","FQ2 2013","FQ2 2013","Currency=USD","Period=FQ","BEST_FPERIOD_OVERRIDE=FQ","FILING_STATUS=OR","SCALING_FORMAT=MLN","Sort=A","Dates=H","DateFormat=P","Fill=—","Direction=H","UseDPDF=Y")</f>
        <v>7496</v>
      </c>
      <c r="W56" s="13">
        <f>_xll.BDH("XOM US Equity","BS_LT_BORROW","FQ3 2013","FQ3 2013","Currency=USD","Period=FQ","BEST_FPERIOD_OVERRIDE=FQ","FILING_STATUS=OR","SCALING_FORMAT=MLN","Sort=A","Dates=H","DateFormat=P","Fill=—","Direction=H","UseDPDF=Y")</f>
        <v>7404</v>
      </c>
      <c r="X56" s="13">
        <f>_xll.BDH("XOM US Equity","BS_LT_BORROW","FQ4 2013","FQ4 2013","Currency=USD","Period=FQ","BEST_FPERIOD_OVERRIDE=FQ","FILING_STATUS=OR","SCALING_FORMAT=MLN","Sort=A","Dates=H","DateFormat=P","Fill=—","Direction=H","UseDPDF=Y")</f>
        <v>6891</v>
      </c>
      <c r="Y56" s="13">
        <f>_xll.BDH("XOM US Equity","BS_LT_BORROW","FQ1 2014","FQ1 2014","Currency=USD","Period=FQ","BEST_FPERIOD_OVERRIDE=FQ","FILING_STATUS=OR","SCALING_FORMAT=MLN","Sort=A","Dates=H","DateFormat=P","Fill=—","Direction=H","UseDPDF=Y")</f>
        <v>12144</v>
      </c>
      <c r="Z56" s="13">
        <f>_xll.BDH("XOM US Equity","BS_LT_BORROW","FQ2 2014","FQ2 2014","Currency=USD","Period=FQ","BEST_FPERIOD_OVERRIDE=FQ","FILING_STATUS=OR","SCALING_FORMAT=MLN","Sort=A","Dates=H","DateFormat=P","Fill=—","Direction=H","UseDPDF=Y")</f>
        <v>11817</v>
      </c>
      <c r="AA56" s="13">
        <f>_xll.BDH("XOM US Equity","BS_LT_BORROW","FQ3 2014","FQ3 2014","Currency=USD","Period=FQ","BEST_FPERIOD_OVERRIDE=FQ","FILING_STATUS=OR","SCALING_FORMAT=MLN","Sort=A","Dates=H","DateFormat=P","Fill=—","Direction=H","UseDPDF=Y")</f>
        <v>11591</v>
      </c>
      <c r="AB56" s="13">
        <f>_xll.BDH("XOM US Equity","BS_LT_BORROW","FQ4 2014","FQ4 2014","Currency=USD","Period=FQ","BEST_FPERIOD_OVERRIDE=FQ","FILING_STATUS=OR","SCALING_FORMAT=MLN","Sort=A","Dates=H","DateFormat=P","Fill=—","Direction=H","UseDPDF=Y")</f>
        <v>11653</v>
      </c>
      <c r="AC56" s="13">
        <f>_xll.BDH("XOM US Equity","BS_LT_BORROW","FQ1 2015","FQ1 2015","Currency=USD","Period=FQ","BEST_FPERIOD_OVERRIDE=FQ","FILING_STATUS=OR","SCALING_FORMAT=MLN","Sort=A","Dates=H","DateFormat=P","Fill=—","Direction=H","UseDPDF=Y")</f>
        <v>19494</v>
      </c>
      <c r="AD56" s="13">
        <f>_xll.BDH("XOM US Equity","BS_LT_BORROW","FQ2 2015","FQ2 2015","Currency=USD","Period=FQ","BEST_FPERIOD_OVERRIDE=FQ","FILING_STATUS=OR","SCALING_FORMAT=MLN","Sort=A","Dates=H","DateFormat=P","Fill=—","Direction=H","UseDPDF=Y")</f>
        <v>19431</v>
      </c>
      <c r="AE56" s="13">
        <f>_xll.BDH("XOM US Equity","BS_LT_BORROW","FQ3 2015","FQ3 2015","Currency=USD","Period=FQ","BEST_FPERIOD_OVERRIDE=FQ","FILING_STATUS=OR","SCALING_FORMAT=MLN","Sort=A","Dates=H","DateFormat=P","Fill=—","Direction=H","UseDPDF=Y")</f>
        <v>19839</v>
      </c>
      <c r="AF56" s="13">
        <f>_xll.BDH("XOM US Equity","BS_LT_BORROW","FQ4 2015","FQ4 2015","Currency=USD","Period=FQ","BEST_FPERIOD_OVERRIDE=FQ","FILING_STATUS=OR","SCALING_FORMAT=MLN","Sort=A","Dates=H","DateFormat=P","Fill=—","Direction=H","UseDPDF=Y")</f>
        <v>19925</v>
      </c>
      <c r="AG56" s="13">
        <f>_xll.BDH("XOM US Equity","BS_LT_BORROW","FQ1 2016","FQ1 2016","Currency=USD","Period=FQ","BEST_FPERIOD_OVERRIDE=FQ","FILING_STATUS=OR","SCALING_FORMAT=MLN","Sort=A","Dates=H","DateFormat=P","Fill=—","Direction=H","UseDPDF=Y")</f>
        <v>29568</v>
      </c>
      <c r="AH56" s="13">
        <f>_xll.BDH("XOM US Equity","BS_LT_BORROW","FQ2 2016","FQ2 2016","Currency=USD","Period=FQ","BEST_FPERIOD_OVERRIDE=FQ","FILING_STATUS=OR","SCALING_FORMAT=MLN","Sort=A","Dates=H","DateFormat=P","Fill=—","Direction=H","UseDPDF=Y")</f>
        <v>29499</v>
      </c>
      <c r="AI56" s="13">
        <f>_xll.BDH("XOM US Equity","BS_LT_BORROW","FQ3 2016","FQ3 2016","Currency=USD","Period=FQ","BEST_FPERIOD_OVERRIDE=FQ","FILING_STATUS=OR","SCALING_FORMAT=MLN","Sort=A","Dates=H","DateFormat=P","Fill=—","Direction=H","UseDPDF=Y")</f>
        <v>28916</v>
      </c>
      <c r="AJ56" s="13">
        <f>_xll.BDH("XOM US Equity","BS_LT_BORROW","FQ4 2016","FQ4 2016","Currency=USD","Period=FQ","BEST_FPERIOD_OVERRIDE=FQ","FILING_STATUS=OR","SCALING_FORMAT=MLN","Sort=A","Dates=H","DateFormat=P","Fill=—","Direction=H","UseDPDF=Y")</f>
        <v>28932</v>
      </c>
      <c r="AK56" s="13">
        <f>_xll.BDH("XOM US Equity","BS_LT_BORROW","FQ1 2017","FQ1 2017","Currency=USD","Period=FQ","BEST_FPERIOD_OVERRIDE=FQ","FILING_STATUS=OR","SCALING_FORMAT=MLN","Sort=A","Dates=H","DateFormat=P","Fill=—","Direction=H","UseDPDF=Y")</f>
        <v>25124</v>
      </c>
      <c r="AL56" s="13">
        <f>_xll.BDH("XOM US Equity","BS_LT_BORROW","FQ2 2017","FQ2 2017","Currency=USD","Period=FQ","BEST_FPERIOD_OVERRIDE=FQ","FILING_STATUS=OR","SCALING_FORMAT=MLN","Sort=A","Dates=H","DateFormat=P","Fill=—","Direction=H","UseDPDF=Y")</f>
        <v>24750</v>
      </c>
      <c r="AM56" s="13">
        <f>_xll.BDH("XOM US Equity","BS_LT_BORROW","FQ3 2017","FQ3 2017","Currency=USD","Period=FQ","BEST_FPERIOD_OVERRIDE=FQ","FILING_STATUS=OR","SCALING_FORMAT=MLN","Sort=A","Dates=H","DateFormat=P","Fill=—","Direction=H","UseDPDF=Y")</f>
        <v>24869</v>
      </c>
      <c r="AN56" s="13">
        <f>_xll.BDH("XOM US Equity","BS_LT_BORROW","FQ4 2017","FQ4 2017","Currency=USD","Period=FQ","BEST_FPERIOD_OVERRIDE=FQ","FILING_STATUS=OR","SCALING_FORMAT=MLN","Sort=A","Dates=H","DateFormat=P","Fill=—","Direction=H","UseDPDF=Y")</f>
        <v>24406</v>
      </c>
      <c r="AO56" s="13">
        <f>_xll.BDH("XOM US Equity","BS_LT_BORROW","FQ1 2018","FQ1 2018","Currency=USD","Period=FQ","BEST_FPERIOD_OVERRIDE=FQ","FILING_STATUS=OR","SCALING_FORMAT=MLN","Sort=A","Dates=H","DateFormat=P","Fill=—","Direction=H","UseDPDF=Y")</f>
        <v>20781</v>
      </c>
      <c r="AP56" s="13">
        <f>_xll.BDH("XOM US Equity","BS_LT_BORROW","FQ2 2018","FQ2 2018","Currency=USD","Period=FQ","BEST_FPERIOD_OVERRIDE=FQ","FILING_STATUS=OR","SCALING_FORMAT=MLN","Sort=A","Dates=H","DateFormat=P","Fill=—","Direction=H","UseDPDF=Y")</f>
        <v>20720</v>
      </c>
    </row>
    <row r="57" spans="1:42" x14ac:dyDescent="0.25">
      <c r="A57" s="10" t="s">
        <v>300</v>
      </c>
      <c r="B57" s="10" t="s">
        <v>301</v>
      </c>
      <c r="C57" s="13" t="str">
        <f>_xll.BDH("XOM US Equity","LONG_TERM_BORROWINGS_DETAILED","FQ3 2008","FQ3 2008","Currency=USD","Period=FQ","BEST_FPERIOD_OVERRIDE=FQ","FILING_STATUS=OR","SCALING_FORMAT=MLN","Sort=A","Dates=H","DateFormat=P","Fill=—","Direction=H","UseDPDF=Y")</f>
        <v>—</v>
      </c>
      <c r="D57" s="13" t="str">
        <f>_xll.BDH("XOM US Equity","LONG_TERM_BORROWINGS_DETAILED","FQ4 2008","FQ4 2008","Currency=USD","Period=FQ","BEST_FPERIOD_OVERRIDE=FQ","FILING_STATUS=OR","SCALING_FORMAT=MLN","Sort=A","Dates=H","DateFormat=P","Fill=—","Direction=H","UseDPDF=Y")</f>
        <v>—</v>
      </c>
      <c r="E57" s="13">
        <f>_xll.BDH("XOM US Equity","LONG_TERM_BORROWINGS_DETAILED","FQ1 2009","FQ1 2009","Currency=USD","Period=FQ","BEST_FPERIOD_OVERRIDE=FQ","FILING_STATUS=OR","SCALING_FORMAT=MLN","Sort=A","Dates=H","DateFormat=P","Fill=—","Direction=H","UseDPDF=Y")</f>
        <v>7041</v>
      </c>
      <c r="F57" s="13">
        <f>_xll.BDH("XOM US Equity","LONG_TERM_BORROWINGS_DETAILED","FQ2 2009","FQ2 2009","Currency=USD","Period=FQ","BEST_FPERIOD_OVERRIDE=FQ","FILING_STATUS=OR","SCALING_FORMAT=MLN","Sort=A","Dates=H","DateFormat=P","Fill=—","Direction=H","UseDPDF=Y")</f>
        <v>7117</v>
      </c>
      <c r="G57" s="13">
        <f>_xll.BDH("XOM US Equity","LONG_TERM_BORROWINGS_DETAILED","FQ3 2009","FQ3 2009","Currency=USD","Period=FQ","BEST_FPERIOD_OVERRIDE=FQ","FILING_STATUS=OR","SCALING_FORMAT=MLN","Sort=A","Dates=H","DateFormat=P","Fill=—","Direction=H","UseDPDF=Y")</f>
        <v>7185</v>
      </c>
      <c r="H57" s="13">
        <f>_xll.BDH("XOM US Equity","LONG_TERM_BORROWINGS_DETAILED","FQ4 2009","FQ4 2009","Currency=USD","Period=FQ","BEST_FPERIOD_OVERRIDE=FQ","FILING_STATUS=OR","SCALING_FORMAT=MLN","Sort=A","Dates=H","DateFormat=P","Fill=—","Direction=H","UseDPDF=Y")</f>
        <v>7129</v>
      </c>
      <c r="I57" s="13">
        <f>_xll.BDH("XOM US Equity","LONG_TERM_BORROWINGS_DETAILED","FQ1 2010","FQ1 2010","Currency=USD","Period=FQ","BEST_FPERIOD_OVERRIDE=FQ","FILING_STATUS=OR","SCALING_FORMAT=MLN","Sort=A","Dates=H","DateFormat=P","Fill=—","Direction=H","UseDPDF=Y")</f>
        <v>7054</v>
      </c>
      <c r="J57" s="13">
        <f>_xll.BDH("XOM US Equity","LONG_TERM_BORROWINGS_DETAILED","FQ2 2010","FQ2 2010","Currency=USD","Period=FQ","BEST_FPERIOD_OVERRIDE=FQ","FILING_STATUS=OR","SCALING_FORMAT=MLN","Sort=A","Dates=H","DateFormat=P","Fill=—","Direction=H","UseDPDF=Y")</f>
        <v>17486</v>
      </c>
      <c r="K57" s="13">
        <f>_xll.BDH("XOM US Equity","LONG_TERM_BORROWINGS_DETAILED","FQ3 2010","FQ3 2010","Currency=USD","Period=FQ","BEST_FPERIOD_OVERRIDE=FQ","FILING_STATUS=OR","SCALING_FORMAT=MLN","Sort=A","Dates=H","DateFormat=P","Fill=—","Direction=H","UseDPDF=Y")</f>
        <v>15248</v>
      </c>
      <c r="L57" s="13">
        <f>_xll.BDH("XOM US Equity","LONG_TERM_BORROWINGS_DETAILED","FQ4 2010","FQ4 2010","Currency=USD","Period=FQ","BEST_FPERIOD_OVERRIDE=FQ","FILING_STATUS=OR","SCALING_FORMAT=MLN","Sort=A","Dates=H","DateFormat=P","Fill=—","Direction=H","UseDPDF=Y")</f>
        <v>12227</v>
      </c>
      <c r="M57" s="13">
        <f>_xll.BDH("XOM US Equity","LONG_TERM_BORROWINGS_DETAILED","FQ1 2011","FQ1 2011","Currency=USD","Period=FQ","BEST_FPERIOD_OVERRIDE=FQ","FILING_STATUS=OR","SCALING_FORMAT=MLN","Sort=A","Dates=H","DateFormat=P","Fill=—","Direction=H","UseDPDF=Y")</f>
        <v>12316</v>
      </c>
      <c r="N57" s="13">
        <f>_xll.BDH("XOM US Equity","LONG_TERM_BORROWINGS_DETAILED","FQ2 2011","FQ2 2011","Currency=USD","Period=FQ","BEST_FPERIOD_OVERRIDE=FQ","FILING_STATUS=OR","SCALING_FORMAT=MLN","Sort=A","Dates=H","DateFormat=P","Fill=—","Direction=H","UseDPDF=Y")</f>
        <v>12123</v>
      </c>
      <c r="O57" s="13">
        <f>_xll.BDH("XOM US Equity","LONG_TERM_BORROWINGS_DETAILED","FQ3 2011","FQ3 2011","Currency=USD","Period=FQ","BEST_FPERIOD_OVERRIDE=FQ","FILING_STATUS=OR","SCALING_FORMAT=MLN","Sort=A","Dates=H","DateFormat=P","Fill=—","Direction=H","UseDPDF=Y")</f>
        <v>9331</v>
      </c>
      <c r="P57" s="13">
        <f>_xll.BDH("XOM US Equity","LONG_TERM_BORROWINGS_DETAILED","FQ4 2011","FQ4 2011","Currency=USD","Period=FQ","BEST_FPERIOD_OVERRIDE=FQ","FILING_STATUS=OR","SCALING_FORMAT=MLN","Sort=A","Dates=H","DateFormat=P","Fill=—","Direction=H","UseDPDF=Y")</f>
        <v>9322</v>
      </c>
      <c r="Q57" s="13">
        <f>_xll.BDH("XOM US Equity","LONG_TERM_BORROWINGS_DETAILED","FQ1 2012","FQ1 2012","Currency=USD","Period=FQ","BEST_FPERIOD_OVERRIDE=FQ","FILING_STATUS=OR","SCALING_FORMAT=MLN","Sort=A","Dates=H","DateFormat=P","Fill=—","Direction=H","UseDPDF=Y")</f>
        <v>9231</v>
      </c>
      <c r="R57" s="13">
        <f>_xll.BDH("XOM US Equity","LONG_TERM_BORROWINGS_DETAILED","FQ2 2012","FQ2 2012","Currency=USD","Period=FQ","BEST_FPERIOD_OVERRIDE=FQ","FILING_STATUS=OR","SCALING_FORMAT=MLN","Sort=A","Dates=H","DateFormat=P","Fill=—","Direction=H","UseDPDF=Y")</f>
        <v>8877</v>
      </c>
      <c r="S57" s="13">
        <f>_xll.BDH("XOM US Equity","LONG_TERM_BORROWINGS_DETAILED","FQ3 2012","FQ3 2012","Currency=USD","Period=FQ","BEST_FPERIOD_OVERRIDE=FQ","FILING_STATUS=OR","SCALING_FORMAT=MLN","Sort=A","Dates=H","DateFormat=P","Fill=—","Direction=H","UseDPDF=Y")</f>
        <v>8928</v>
      </c>
      <c r="T57" s="13">
        <f>_xll.BDH("XOM US Equity","LONG_TERM_BORROWINGS_DETAILED","FQ4 2012","FQ4 2012","Currency=USD","Period=FQ","BEST_FPERIOD_OVERRIDE=FQ","FILING_STATUS=OR","SCALING_FORMAT=MLN","Sort=A","Dates=H","DateFormat=P","Fill=—","Direction=H","UseDPDF=Y")</f>
        <v>7928</v>
      </c>
      <c r="U57" s="13">
        <f>_xll.BDH("XOM US Equity","LONG_TERM_BORROWINGS_DETAILED","FQ1 2013","FQ1 2013","Currency=USD","Period=FQ","BEST_FPERIOD_OVERRIDE=FQ","FILING_STATUS=OR","SCALING_FORMAT=MLN","Sort=A","Dates=H","DateFormat=P","Fill=—","Direction=H","UseDPDF=Y")</f>
        <v>7475</v>
      </c>
      <c r="V57" s="13">
        <f>_xll.BDH("XOM US Equity","LONG_TERM_BORROWINGS_DETAILED","FQ2 2013","FQ2 2013","Currency=USD","Period=FQ","BEST_FPERIOD_OVERRIDE=FQ","FILING_STATUS=OR","SCALING_FORMAT=MLN","Sort=A","Dates=H","DateFormat=P","Fill=—","Direction=H","UseDPDF=Y")</f>
        <v>7496</v>
      </c>
      <c r="W57" s="13">
        <f>_xll.BDH("XOM US Equity","LONG_TERM_BORROWINGS_DETAILED","FQ3 2013","FQ3 2013","Currency=USD","Period=FQ","BEST_FPERIOD_OVERRIDE=FQ","FILING_STATUS=OR","SCALING_FORMAT=MLN","Sort=A","Dates=H","DateFormat=P","Fill=—","Direction=H","UseDPDF=Y")</f>
        <v>7404</v>
      </c>
      <c r="X57" s="13">
        <f>_xll.BDH("XOM US Equity","LONG_TERM_BORROWINGS_DETAILED","FQ4 2013","FQ4 2013","Currency=USD","Period=FQ","BEST_FPERIOD_OVERRIDE=FQ","FILING_STATUS=OR","SCALING_FORMAT=MLN","Sort=A","Dates=H","DateFormat=P","Fill=—","Direction=H","UseDPDF=Y")</f>
        <v>6891</v>
      </c>
      <c r="Y57" s="13">
        <f>_xll.BDH("XOM US Equity","LONG_TERM_BORROWINGS_DETAILED","FQ1 2014","FQ1 2014","Currency=USD","Period=FQ","BEST_FPERIOD_OVERRIDE=FQ","FILING_STATUS=OR","SCALING_FORMAT=MLN","Sort=A","Dates=H","DateFormat=P","Fill=—","Direction=H","UseDPDF=Y")</f>
        <v>12144</v>
      </c>
      <c r="Z57" s="13">
        <f>_xll.BDH("XOM US Equity","LONG_TERM_BORROWINGS_DETAILED","FQ2 2014","FQ2 2014","Currency=USD","Period=FQ","BEST_FPERIOD_OVERRIDE=FQ","FILING_STATUS=OR","SCALING_FORMAT=MLN","Sort=A","Dates=H","DateFormat=P","Fill=—","Direction=H","UseDPDF=Y")</f>
        <v>11817</v>
      </c>
      <c r="AA57" s="13">
        <f>_xll.BDH("XOM US Equity","LONG_TERM_BORROWINGS_DETAILED","FQ3 2014","FQ3 2014","Currency=USD","Period=FQ","BEST_FPERIOD_OVERRIDE=FQ","FILING_STATUS=OR","SCALING_FORMAT=MLN","Sort=A","Dates=H","DateFormat=P","Fill=—","Direction=H","UseDPDF=Y")</f>
        <v>11591</v>
      </c>
      <c r="AB57" s="13">
        <f>_xll.BDH("XOM US Equity","LONG_TERM_BORROWINGS_DETAILED","FQ4 2014","FQ4 2014","Currency=USD","Period=FQ","BEST_FPERIOD_OVERRIDE=FQ","FILING_STATUS=OR","SCALING_FORMAT=MLN","Sort=A","Dates=H","DateFormat=P","Fill=—","Direction=H","UseDPDF=Y")</f>
        <v>11653</v>
      </c>
      <c r="AC57" s="13">
        <f>_xll.BDH("XOM US Equity","LONG_TERM_BORROWINGS_DETAILED","FQ1 2015","FQ1 2015","Currency=USD","Period=FQ","BEST_FPERIOD_OVERRIDE=FQ","FILING_STATUS=OR","SCALING_FORMAT=MLN","Sort=A","Dates=H","DateFormat=P","Fill=—","Direction=H","UseDPDF=Y")</f>
        <v>19494</v>
      </c>
      <c r="AD57" s="13">
        <f>_xll.BDH("XOM US Equity","LONG_TERM_BORROWINGS_DETAILED","FQ2 2015","FQ2 2015","Currency=USD","Period=FQ","BEST_FPERIOD_OVERRIDE=FQ","FILING_STATUS=OR","SCALING_FORMAT=MLN","Sort=A","Dates=H","DateFormat=P","Fill=—","Direction=H","UseDPDF=Y")</f>
        <v>19431</v>
      </c>
      <c r="AE57" s="13">
        <f>_xll.BDH("XOM US Equity","LONG_TERM_BORROWINGS_DETAILED","FQ3 2015","FQ3 2015","Currency=USD","Period=FQ","BEST_FPERIOD_OVERRIDE=FQ","FILING_STATUS=OR","SCALING_FORMAT=MLN","Sort=A","Dates=H","DateFormat=P","Fill=—","Direction=H","UseDPDF=Y")</f>
        <v>19839</v>
      </c>
      <c r="AF57" s="13">
        <f>_xll.BDH("XOM US Equity","LONG_TERM_BORROWINGS_DETAILED","FQ4 2015","FQ4 2015","Currency=USD","Period=FQ","BEST_FPERIOD_OVERRIDE=FQ","FILING_STATUS=OR","SCALING_FORMAT=MLN","Sort=A","Dates=H","DateFormat=P","Fill=—","Direction=H","UseDPDF=Y")</f>
        <v>19925</v>
      </c>
      <c r="AG57" s="13">
        <f>_xll.BDH("XOM US Equity","LONG_TERM_BORROWINGS_DETAILED","FQ1 2016","FQ1 2016","Currency=USD","Period=FQ","BEST_FPERIOD_OVERRIDE=FQ","FILING_STATUS=OR","SCALING_FORMAT=MLN","Sort=A","Dates=H","DateFormat=P","Fill=—","Direction=H","UseDPDF=Y")</f>
        <v>29568</v>
      </c>
      <c r="AH57" s="13">
        <f>_xll.BDH("XOM US Equity","LONG_TERM_BORROWINGS_DETAILED","FQ2 2016","FQ2 2016","Currency=USD","Period=FQ","BEST_FPERIOD_OVERRIDE=FQ","FILING_STATUS=OR","SCALING_FORMAT=MLN","Sort=A","Dates=H","DateFormat=P","Fill=—","Direction=H","UseDPDF=Y")</f>
        <v>29499</v>
      </c>
      <c r="AI57" s="13">
        <f>_xll.BDH("XOM US Equity","LONG_TERM_BORROWINGS_DETAILED","FQ3 2016","FQ3 2016","Currency=USD","Period=FQ","BEST_FPERIOD_OVERRIDE=FQ","FILING_STATUS=OR","SCALING_FORMAT=MLN","Sort=A","Dates=H","DateFormat=P","Fill=—","Direction=H","UseDPDF=Y")</f>
        <v>28916</v>
      </c>
      <c r="AJ57" s="13">
        <f>_xll.BDH("XOM US Equity","LONG_TERM_BORROWINGS_DETAILED","FQ4 2016","FQ4 2016","Currency=USD","Period=FQ","BEST_FPERIOD_OVERRIDE=FQ","FILING_STATUS=OR","SCALING_FORMAT=MLN","Sort=A","Dates=H","DateFormat=P","Fill=—","Direction=H","UseDPDF=Y")</f>
        <v>28932</v>
      </c>
      <c r="AK57" s="13">
        <f>_xll.BDH("XOM US Equity","LONG_TERM_BORROWINGS_DETAILED","FQ1 2017","FQ1 2017","Currency=USD","Period=FQ","BEST_FPERIOD_OVERRIDE=FQ","FILING_STATUS=OR","SCALING_FORMAT=MLN","Sort=A","Dates=H","DateFormat=P","Fill=—","Direction=H","UseDPDF=Y")</f>
        <v>25124</v>
      </c>
      <c r="AL57" s="13">
        <f>_xll.BDH("XOM US Equity","LONG_TERM_BORROWINGS_DETAILED","FQ2 2017","FQ2 2017","Currency=USD","Period=FQ","BEST_FPERIOD_OVERRIDE=FQ","FILING_STATUS=OR","SCALING_FORMAT=MLN","Sort=A","Dates=H","DateFormat=P","Fill=—","Direction=H","UseDPDF=Y")</f>
        <v>24750</v>
      </c>
      <c r="AM57" s="13">
        <f>_xll.BDH("XOM US Equity","LONG_TERM_BORROWINGS_DETAILED","FQ3 2017","FQ3 2017","Currency=USD","Period=FQ","BEST_FPERIOD_OVERRIDE=FQ","FILING_STATUS=OR","SCALING_FORMAT=MLN","Sort=A","Dates=H","DateFormat=P","Fill=—","Direction=H","UseDPDF=Y")</f>
        <v>24869</v>
      </c>
      <c r="AN57" s="13">
        <f>_xll.BDH("XOM US Equity","LONG_TERM_BORROWINGS_DETAILED","FQ4 2017","FQ4 2017","Currency=USD","Period=FQ","BEST_FPERIOD_OVERRIDE=FQ","FILING_STATUS=OR","SCALING_FORMAT=MLN","Sort=A","Dates=H","DateFormat=P","Fill=—","Direction=H","UseDPDF=Y")</f>
        <v>24406</v>
      </c>
      <c r="AO57" s="13">
        <f>_xll.BDH("XOM US Equity","LONG_TERM_BORROWINGS_DETAILED","FQ1 2018","FQ1 2018","Currency=USD","Period=FQ","BEST_FPERIOD_OVERRIDE=FQ","FILING_STATUS=OR","SCALING_FORMAT=MLN","Sort=A","Dates=H","DateFormat=P","Fill=—","Direction=H","UseDPDF=Y")</f>
        <v>20781</v>
      </c>
      <c r="AP57" s="13">
        <f>_xll.BDH("XOM US Equity","LONG_TERM_BORROWINGS_DETAILED","FQ2 2018","FQ2 2018","Currency=USD","Period=FQ","BEST_FPERIOD_OVERRIDE=FQ","FILING_STATUS=OR","SCALING_FORMAT=MLN","Sort=A","Dates=H","DateFormat=P","Fill=—","Direction=H","UseDPDF=Y")</f>
        <v>20720</v>
      </c>
    </row>
    <row r="58" spans="1:42" x14ac:dyDescent="0.25">
      <c r="A58" s="10" t="s">
        <v>302</v>
      </c>
      <c r="B58" s="10" t="s">
        <v>303</v>
      </c>
      <c r="C58" s="13">
        <f>_xll.BDH("XOM US Equity","OTHER_NONCUR_LIABS_SUB_DETAILED","FQ3 2008","FQ3 2008","Currency=USD","Period=FQ","BEST_FPERIOD_OVERRIDE=FQ","FILING_STATUS=OR","SCALING_FORMAT=MLN","Sort=A","Dates=H","DateFormat=P","Fill=—","Direction=H","UseDPDF=Y")</f>
        <v>55918</v>
      </c>
      <c r="D58" s="13">
        <f>_xll.BDH("XOM US Equity","OTHER_NONCUR_LIABS_SUB_DETAILED","FQ4 2008","FQ4 2008","Currency=USD","Period=FQ","BEST_FPERIOD_OVERRIDE=FQ","FILING_STATUS=OR","SCALING_FORMAT=MLN","Sort=A","Dates=H","DateFormat=P","Fill=—","Direction=H","UseDPDF=Y")</f>
        <v>54404</v>
      </c>
      <c r="E58" s="13">
        <f>_xll.BDH("XOM US Equity","OTHER_NONCUR_LIABS_SUB_DETAILED","FQ1 2009","FQ1 2009","Currency=USD","Period=FQ","BEST_FPERIOD_OVERRIDE=FQ","FILING_STATUS=OR","SCALING_FORMAT=MLN","Sort=A","Dates=H","DateFormat=P","Fill=—","Direction=H","UseDPDF=Y")</f>
        <v>54567</v>
      </c>
      <c r="F58" s="13">
        <f>_xll.BDH("XOM US Equity","OTHER_NONCUR_LIABS_SUB_DETAILED","FQ2 2009","FQ2 2009","Currency=USD","Period=FQ","BEST_FPERIOD_OVERRIDE=FQ","FILING_STATUS=OR","SCALING_FORMAT=MLN","Sort=A","Dates=H","DateFormat=P","Fill=—","Direction=H","UseDPDF=Y")</f>
        <v>54777</v>
      </c>
      <c r="G58" s="13">
        <f>_xll.BDH("XOM US Equity","OTHER_NONCUR_LIABS_SUB_DETAILED","FQ3 2009","FQ3 2009","Currency=USD","Period=FQ","BEST_FPERIOD_OVERRIDE=FQ","FILING_STATUS=OR","SCALING_FORMAT=MLN","Sort=A","Dates=H","DateFormat=P","Fill=—","Direction=H","UseDPDF=Y")</f>
        <v>57084</v>
      </c>
      <c r="H58" s="13">
        <f>_xll.BDH("XOM US Equity","OTHER_NONCUR_LIABS_SUB_DETAILED","FQ4 2009","FQ4 2009","Currency=USD","Period=FQ","BEST_FPERIOD_OVERRIDE=FQ","FILING_STATUS=OR","SCALING_FORMAT=MLN","Sort=A","Dates=H","DateFormat=P","Fill=—","Direction=H","UseDPDF=Y")</f>
        <v>58741</v>
      </c>
      <c r="I58" s="13">
        <f>_xll.BDH("XOM US Equity","OTHER_NONCUR_LIABS_SUB_DETAILED","FQ1 2010","FQ1 2010","Currency=USD","Period=FQ","BEST_FPERIOD_OVERRIDE=FQ","FILING_STATUS=OR","SCALING_FORMAT=MLN","Sort=A","Dates=H","DateFormat=P","Fill=—","Direction=H","UseDPDF=Y")</f>
        <v>60284</v>
      </c>
      <c r="J58" s="13">
        <f>_xll.BDH("XOM US Equity","OTHER_NONCUR_LIABS_SUB_DETAILED","FQ2 2010","FQ2 2010","Currency=USD","Period=FQ","BEST_FPERIOD_OVERRIDE=FQ","FILING_STATUS=OR","SCALING_FORMAT=MLN","Sort=A","Dates=H","DateFormat=P","Fill=—","Direction=H","UseDPDF=Y")</f>
        <v>70394</v>
      </c>
      <c r="K58" s="13">
        <f>_xll.BDH("XOM US Equity","OTHER_NONCUR_LIABS_SUB_DETAILED","FQ3 2010","FQ3 2010","Currency=USD","Period=FQ","BEST_FPERIOD_OVERRIDE=FQ","FILING_STATUS=OR","SCALING_FORMAT=MLN","Sort=A","Dates=H","DateFormat=P","Fill=—","Direction=H","UseDPDF=Y")</f>
        <v>72406</v>
      </c>
      <c r="L58" s="13">
        <f>_xll.BDH("XOM US Equity","OTHER_NONCUR_LIABS_SUB_DETAILED","FQ4 2010","FQ4 2010","Currency=USD","Period=FQ","BEST_FPERIOD_OVERRIDE=FQ","FILING_STATUS=OR","SCALING_FORMAT=MLN","Sort=A","Dates=H","DateFormat=P","Fill=—","Direction=H","UseDPDF=Y")</f>
        <v>74971</v>
      </c>
      <c r="M58" s="13">
        <f>_xll.BDH("XOM US Equity","OTHER_NONCUR_LIABS_SUB_DETAILED","FQ1 2011","FQ1 2011","Currency=USD","Period=FQ","BEST_FPERIOD_OVERRIDE=FQ","FILING_STATUS=OR","SCALING_FORMAT=MLN","Sort=A","Dates=H","DateFormat=P","Fill=—","Direction=H","UseDPDF=Y")</f>
        <v>76110</v>
      </c>
      <c r="N58" s="13">
        <f>_xll.BDH("XOM US Equity","OTHER_NONCUR_LIABS_SUB_DETAILED","FQ2 2011","FQ2 2011","Currency=USD","Period=FQ","BEST_FPERIOD_OVERRIDE=FQ","FILING_STATUS=OR","SCALING_FORMAT=MLN","Sort=A","Dates=H","DateFormat=P","Fill=—","Direction=H","UseDPDF=Y")</f>
        <v>77713</v>
      </c>
      <c r="O58" s="13">
        <f>_xll.BDH("XOM US Equity","OTHER_NONCUR_LIABS_SUB_DETAILED","FQ3 2011","FQ3 2011","Currency=USD","Period=FQ","BEST_FPERIOD_OVERRIDE=FQ","FILING_STATUS=OR","SCALING_FORMAT=MLN","Sort=A","Dates=H","DateFormat=P","Fill=—","Direction=H","UseDPDF=Y")</f>
        <v>76713</v>
      </c>
      <c r="P58" s="13">
        <f>_xll.BDH("XOM US Equity","OTHER_NONCUR_LIABS_SUB_DETAILED","FQ4 2011","FQ4 2011","Currency=USD","Period=FQ","BEST_FPERIOD_OVERRIDE=FQ","FILING_STATUS=OR","SCALING_FORMAT=MLN","Sort=A","Dates=H","DateFormat=P","Fill=—","Direction=H","UseDPDF=Y")</f>
        <v>83481</v>
      </c>
      <c r="Q58" s="13">
        <f>_xll.BDH("XOM US Equity","OTHER_NONCUR_LIABS_SUB_DETAILED","FQ1 2012","FQ1 2012","Currency=USD","Period=FQ","BEST_FPERIOD_OVERRIDE=FQ","FILING_STATUS=OR","SCALING_FORMAT=MLN","Sort=A","Dates=H","DateFormat=P","Fill=—","Direction=H","UseDPDF=Y")</f>
        <v>91810</v>
      </c>
      <c r="R58" s="13">
        <f>_xll.BDH("XOM US Equity","OTHER_NONCUR_LIABS_SUB_DETAILED","FQ2 2012","FQ2 2012","Currency=USD","Period=FQ","BEST_FPERIOD_OVERRIDE=FQ","FILING_STATUS=OR","SCALING_FORMAT=MLN","Sort=A","Dates=H","DateFormat=P","Fill=—","Direction=H","UseDPDF=Y")</f>
        <v>82647</v>
      </c>
      <c r="S58" s="13">
        <f>_xll.BDH("XOM US Equity","OTHER_NONCUR_LIABS_SUB_DETAILED","FQ3 2012","FQ3 2012","Currency=USD","Period=FQ","BEST_FPERIOD_OVERRIDE=FQ","FILING_STATUS=OR","SCALING_FORMAT=MLN","Sort=A","Dates=H","DateFormat=P","Fill=—","Direction=H","UseDPDF=Y")</f>
        <v>83847</v>
      </c>
      <c r="T58" s="13">
        <f>_xll.BDH("XOM US Equity","OTHER_NONCUR_LIABS_SUB_DETAILED","FQ4 2012","FQ4 2012","Currency=USD","Period=FQ","BEST_FPERIOD_OVERRIDE=FQ","FILING_STATUS=OR","SCALING_FORMAT=MLN","Sort=A","Dates=H","DateFormat=P","Fill=—","Direction=H","UseDPDF=Y")</f>
        <v>90068</v>
      </c>
      <c r="U58" s="13">
        <f>_xll.BDH("XOM US Equity","OTHER_NONCUR_LIABS_SUB_DETAILED","FQ1 2013","FQ1 2013","Currency=USD","Period=FQ","BEST_FPERIOD_OVERRIDE=FQ","FILING_STATUS=OR","SCALING_FORMAT=MLN","Sort=A","Dates=H","DateFormat=P","Fill=—","Direction=H","UseDPDF=Y")</f>
        <v>89003</v>
      </c>
      <c r="V58" s="13">
        <f>_xll.BDH("XOM US Equity","OTHER_NONCUR_LIABS_SUB_DETAILED","FQ2 2013","FQ2 2013","Currency=USD","Period=FQ","BEST_FPERIOD_OVERRIDE=FQ","FILING_STATUS=OR","SCALING_FORMAT=MLN","Sort=A","Dates=H","DateFormat=P","Fill=—","Direction=H","UseDPDF=Y")</f>
        <v>89843</v>
      </c>
      <c r="W58" s="13">
        <f>_xll.BDH("XOM US Equity","OTHER_NONCUR_LIABS_SUB_DETAILED","FQ3 2013","FQ3 2013","Currency=USD","Period=FQ","BEST_FPERIOD_OVERRIDE=FQ","FILING_STATUS=OR","SCALING_FORMAT=MLN","Sort=A","Dates=H","DateFormat=P","Fill=—","Direction=H","UseDPDF=Y")</f>
        <v>91933</v>
      </c>
      <c r="X58" s="13">
        <f>_xll.BDH("XOM US Equity","OTHER_NONCUR_LIABS_SUB_DETAILED","FQ4 2013","FQ4 2013","Currency=USD","Period=FQ","BEST_FPERIOD_OVERRIDE=FQ","FILING_STATUS=OR","SCALING_FORMAT=MLN","Sort=A","Dates=H","DateFormat=P","Fill=—","Direction=H","UseDPDF=Y")</f>
        <v>87698</v>
      </c>
      <c r="Y58" s="13">
        <f>_xll.BDH("XOM US Equity","OTHER_NONCUR_LIABS_SUB_DETAILED","FQ1 2014","FQ1 2014","Currency=USD","Period=FQ","BEST_FPERIOD_OVERRIDE=FQ","FILING_STATUS=OR","SCALING_FORMAT=MLN","Sort=A","Dates=H","DateFormat=P","Fill=—","Direction=H","UseDPDF=Y")</f>
        <v>87890</v>
      </c>
      <c r="Z58" s="13">
        <f>_xll.BDH("XOM US Equity","OTHER_NONCUR_LIABS_SUB_DETAILED","FQ2 2014","FQ2 2014","Currency=USD","Period=FQ","BEST_FPERIOD_OVERRIDE=FQ","FILING_STATUS=OR","SCALING_FORMAT=MLN","Sort=A","Dates=H","DateFormat=P","Fill=—","Direction=H","UseDPDF=Y")</f>
        <v>89109</v>
      </c>
      <c r="AA58" s="13">
        <f>_xll.BDH("XOM US Equity","OTHER_NONCUR_LIABS_SUB_DETAILED","FQ3 2014","FQ3 2014","Currency=USD","Period=FQ","BEST_FPERIOD_OVERRIDE=FQ","FILING_STATUS=OR","SCALING_FORMAT=MLN","Sort=A","Dates=H","DateFormat=P","Fill=—","Direction=H","UseDPDF=Y")</f>
        <v>87694</v>
      </c>
      <c r="AB58" s="13">
        <f>_xll.BDH("XOM US Equity","OTHER_NONCUR_LIABS_SUB_DETAILED","FQ4 2014","FQ4 2014","Currency=USD","Period=FQ","BEST_FPERIOD_OVERRIDE=FQ","FILING_STATUS=OR","SCALING_FORMAT=MLN","Sort=A","Dates=H","DateFormat=P","Fill=—","Direction=H","UseDPDF=Y")</f>
        <v>92143</v>
      </c>
      <c r="AC58" s="13">
        <f>_xll.BDH("XOM US Equity","OTHER_NONCUR_LIABS_SUB_DETAILED","FQ1 2015","FQ1 2015","Currency=USD","Period=FQ","BEST_FPERIOD_OVERRIDE=FQ","FILING_STATUS=OR","SCALING_FORMAT=MLN","Sort=A","Dates=H","DateFormat=P","Fill=—","Direction=H","UseDPDF=Y")</f>
        <v>90088</v>
      </c>
      <c r="AD58" s="13">
        <f>_xll.BDH("XOM US Equity","OTHER_NONCUR_LIABS_SUB_DETAILED","FQ2 2015","FQ2 2015","Currency=USD","Period=FQ","BEST_FPERIOD_OVERRIDE=FQ","FILING_STATUS=OR","SCALING_FORMAT=MLN","Sort=A","Dates=H","DateFormat=P","Fill=—","Direction=H","UseDPDF=Y")</f>
        <v>91459</v>
      </c>
      <c r="AE58" s="13">
        <f>_xll.BDH("XOM US Equity","OTHER_NONCUR_LIABS_SUB_DETAILED","FQ3 2015","FQ3 2015","Currency=USD","Period=FQ","BEST_FPERIOD_OVERRIDE=FQ","FILING_STATUS=OR","SCALING_FORMAT=MLN","Sort=A","Dates=H","DateFormat=P","Fill=—","Direction=H","UseDPDF=Y")</f>
        <v>89156</v>
      </c>
      <c r="AF58" s="13">
        <f>_xll.BDH("XOM US Equity","OTHER_NONCUR_LIABS_SUB_DETAILED","FQ4 2015","FQ4 2015","Currency=USD","Period=FQ","BEST_FPERIOD_OVERRIDE=FQ","FILING_STATUS=OR","SCALING_FORMAT=MLN","Sort=A","Dates=H","DateFormat=P","Fill=—","Direction=H","UseDPDF=Y")</f>
        <v>86047</v>
      </c>
      <c r="AG58" s="13">
        <f>_xll.BDH("XOM US Equity","OTHER_NONCUR_LIABS_SUB_DETAILED","FQ1 2016","FQ1 2016","Currency=USD","Period=FQ","BEST_FPERIOD_OVERRIDE=FQ","FILING_STATUS=OR","SCALING_FORMAT=MLN","Sort=A","Dates=H","DateFormat=P","Fill=—","Direction=H","UseDPDF=Y")</f>
        <v>85997</v>
      </c>
      <c r="AH58" s="13">
        <f>_xll.BDH("XOM US Equity","OTHER_NONCUR_LIABS_SUB_DETAILED","FQ2 2016","FQ2 2016","Currency=USD","Period=FQ","BEST_FPERIOD_OVERRIDE=FQ","FILING_STATUS=OR","SCALING_FORMAT=MLN","Sort=A","Dates=H","DateFormat=P","Fill=—","Direction=H","UseDPDF=Y")</f>
        <v>84595</v>
      </c>
      <c r="AI58" s="13">
        <f>_xll.BDH("XOM US Equity","OTHER_NONCUR_LIABS_SUB_DETAILED","FQ3 2016","FQ3 2016","Currency=USD","Period=FQ","BEST_FPERIOD_OVERRIDE=FQ","FILING_STATUS=OR","SCALING_FORMAT=MLN","Sort=A","Dates=H","DateFormat=P","Fill=—","Direction=H","UseDPDF=Y")</f>
        <v>83439</v>
      </c>
      <c r="AJ58" s="13">
        <f>_xll.BDH("XOM US Equity","OTHER_NONCUR_LIABS_SUB_DETAILED","FQ4 2016","FQ4 2016","Currency=USD","Period=FQ","BEST_FPERIOD_OVERRIDE=FQ","FILING_STATUS=OR","SCALING_FORMAT=MLN","Sort=A","Dates=H","DateFormat=P","Fill=—","Direction=H","UseDPDF=Y")</f>
        <v>79914</v>
      </c>
      <c r="AK58" s="13">
        <f>_xll.BDH("XOM US Equity","OTHER_NONCUR_LIABS_SUB_DETAILED","FQ1 2017","FQ1 2017","Currency=USD","Period=FQ","BEST_FPERIOD_OVERRIDE=FQ","FILING_STATUS=OR","SCALING_FORMAT=MLN","Sort=A","Dates=H","DateFormat=P","Fill=—","Direction=H","UseDPDF=Y")</f>
        <v>81940</v>
      </c>
      <c r="AL58" s="13">
        <f>_xll.BDH("XOM US Equity","OTHER_NONCUR_LIABS_SUB_DETAILED","FQ2 2017","FQ2 2017","Currency=USD","Period=FQ","BEST_FPERIOD_OVERRIDE=FQ","FILING_STATUS=OR","SCALING_FORMAT=MLN","Sort=A","Dates=H","DateFormat=P","Fill=—","Direction=H","UseDPDF=Y")</f>
        <v>81475</v>
      </c>
      <c r="AM58" s="13">
        <f>_xll.BDH("XOM US Equity","OTHER_NONCUR_LIABS_SUB_DETAILED","FQ3 2017","FQ3 2017","Currency=USD","Period=FQ","BEST_FPERIOD_OVERRIDE=FQ","FILING_STATUS=OR","SCALING_FORMAT=MLN","Sort=A","Dates=H","DateFormat=P","Fill=—","Direction=H","UseDPDF=Y")</f>
        <v>81583</v>
      </c>
      <c r="AN58" s="13">
        <f>_xll.BDH("XOM US Equity","OTHER_NONCUR_LIABS_SUB_DETAILED","FQ4 2017","FQ4 2017","Currency=USD","Period=FQ","BEST_FPERIOD_OVERRIDE=FQ","FILING_STATUS=OR","SCALING_FORMAT=MLN","Sort=A","Dates=H","DateFormat=P","Fill=—","Direction=H","UseDPDF=Y")</f>
        <v>72014</v>
      </c>
      <c r="AO58" s="13">
        <f>_xll.BDH("XOM US Equity","OTHER_NONCUR_LIABS_SUB_DETAILED","FQ1 2018","FQ1 2018","Currency=USD","Period=FQ","BEST_FPERIOD_OVERRIDE=FQ","FILING_STATUS=OR","SCALING_FORMAT=MLN","Sort=A","Dates=H","DateFormat=P","Fill=—","Direction=H","UseDPDF=Y")</f>
        <v>72828</v>
      </c>
      <c r="AP58" s="13">
        <f>_xll.BDH("XOM US Equity","OTHER_NONCUR_LIABS_SUB_DETAILED","FQ2 2018","FQ2 2018","Currency=USD","Period=FQ","BEST_FPERIOD_OVERRIDE=FQ","FILING_STATUS=OR","SCALING_FORMAT=MLN","Sort=A","Dates=H","DateFormat=P","Fill=—","Direction=H","UseDPDF=Y")</f>
        <v>72090</v>
      </c>
    </row>
    <row r="59" spans="1:42" x14ac:dyDescent="0.25">
      <c r="A59" s="10" t="s">
        <v>304</v>
      </c>
      <c r="B59" s="10" t="s">
        <v>305</v>
      </c>
      <c r="C59" s="13" t="str">
        <f>_xll.BDH("XOM US Equity","BS_ACCRUED_LIABILITIES","FQ3 2008","FQ3 2008","Currency=USD","Period=FQ","BEST_FPERIOD_OVERRIDE=FQ","FILING_STATUS=OR","SCALING_FORMAT=MLN","Sort=A","Dates=H","DateFormat=P","Fill=—","Direction=H","UseDPDF=Y")</f>
        <v>—</v>
      </c>
      <c r="D59" s="13" t="str">
        <f>_xll.BDH("XOM US Equity","BS_ACCRUED_LIABILITIES","FQ4 2008","FQ4 2008","Currency=USD","Period=FQ","BEST_FPERIOD_OVERRIDE=FQ","FILING_STATUS=OR","SCALING_FORMAT=MLN","Sort=A","Dates=H","DateFormat=P","Fill=—","Direction=H","UseDPDF=Y")</f>
        <v>—</v>
      </c>
      <c r="E59" s="13" t="str">
        <f>_xll.BDH("XOM US Equity","BS_ACCRUED_LIABILITIES","FQ1 2009","FQ1 2009","Currency=USD","Period=FQ","BEST_FPERIOD_OVERRIDE=FQ","FILING_STATUS=OR","SCALING_FORMAT=MLN","Sort=A","Dates=H","DateFormat=P","Fill=—","Direction=H","UseDPDF=Y")</f>
        <v>—</v>
      </c>
      <c r="F59" s="13" t="str">
        <f>_xll.BDH("XOM US Equity","BS_ACCRUED_LIABILITIES","FQ2 2009","FQ2 2009","Currency=USD","Period=FQ","BEST_FPERIOD_OVERRIDE=FQ","FILING_STATUS=OR","SCALING_FORMAT=MLN","Sort=A","Dates=H","DateFormat=P","Fill=—","Direction=H","UseDPDF=Y")</f>
        <v>—</v>
      </c>
      <c r="G59" s="13" t="str">
        <f>_xll.BDH("XOM US Equity","BS_ACCRUED_LIABILITIES","FQ3 2009","FQ3 2009","Currency=USD","Period=FQ","BEST_FPERIOD_OVERRIDE=FQ","FILING_STATUS=OR","SCALING_FORMAT=MLN","Sort=A","Dates=H","DateFormat=P","Fill=—","Direction=H","UseDPDF=Y")</f>
        <v>—</v>
      </c>
      <c r="H59" s="13">
        <f>_xll.BDH("XOM US Equity","BS_ACCRUED_LIABILITIES","FQ4 2009","FQ4 2009","Currency=USD","Period=FQ","BEST_FPERIOD_OVERRIDE=FQ","FILING_STATUS=OR","SCALING_FORMAT=MLN","Sort=A","Dates=H","DateFormat=P","Fill=—","Direction=H","UseDPDF=Y")</f>
        <v>0</v>
      </c>
      <c r="I59" s="13" t="str">
        <f>_xll.BDH("XOM US Equity","BS_ACCRUED_LIABILITIES","FQ1 2010","FQ1 2010","Currency=USD","Period=FQ","BEST_FPERIOD_OVERRIDE=FQ","FILING_STATUS=OR","SCALING_FORMAT=MLN","Sort=A","Dates=H","DateFormat=P","Fill=—","Direction=H","UseDPDF=Y")</f>
        <v>—</v>
      </c>
      <c r="J59" s="13" t="str">
        <f>_xll.BDH("XOM US Equity","BS_ACCRUED_LIABILITIES","FQ2 2010","FQ2 2010","Currency=USD","Period=FQ","BEST_FPERIOD_OVERRIDE=FQ","FILING_STATUS=OR","SCALING_FORMAT=MLN","Sort=A","Dates=H","DateFormat=P","Fill=—","Direction=H","UseDPDF=Y")</f>
        <v>—</v>
      </c>
      <c r="K59" s="13" t="str">
        <f>_xll.BDH("XOM US Equity","BS_ACCRUED_LIABILITIES","FQ3 2010","FQ3 2010","Currency=USD","Period=FQ","BEST_FPERIOD_OVERRIDE=FQ","FILING_STATUS=OR","SCALING_FORMAT=MLN","Sort=A","Dates=H","DateFormat=P","Fill=—","Direction=H","UseDPDF=Y")</f>
        <v>—</v>
      </c>
      <c r="L59" s="13">
        <f>_xll.BDH("XOM US Equity","BS_ACCRUED_LIABILITIES","FQ4 2010","FQ4 2010","Currency=USD","Period=FQ","BEST_FPERIOD_OVERRIDE=FQ","FILING_STATUS=OR","SCALING_FORMAT=MLN","Sort=A","Dates=H","DateFormat=P","Fill=—","Direction=H","UseDPDF=Y")</f>
        <v>0</v>
      </c>
      <c r="M59" s="13" t="str">
        <f>_xll.BDH("XOM US Equity","BS_ACCRUED_LIABILITIES","FQ1 2011","FQ1 2011","Currency=USD","Period=FQ","BEST_FPERIOD_OVERRIDE=FQ","FILING_STATUS=OR","SCALING_FORMAT=MLN","Sort=A","Dates=H","DateFormat=P","Fill=—","Direction=H","UseDPDF=Y")</f>
        <v>—</v>
      </c>
      <c r="N59" s="13" t="str">
        <f>_xll.BDH("XOM US Equity","BS_ACCRUED_LIABILITIES","FQ2 2011","FQ2 2011","Currency=USD","Period=FQ","BEST_FPERIOD_OVERRIDE=FQ","FILING_STATUS=OR","SCALING_FORMAT=MLN","Sort=A","Dates=H","DateFormat=P","Fill=—","Direction=H","UseDPDF=Y")</f>
        <v>—</v>
      </c>
      <c r="O59" s="13" t="str">
        <f>_xll.BDH("XOM US Equity","BS_ACCRUED_LIABILITIES","FQ3 2011","FQ3 2011","Currency=USD","Period=FQ","BEST_FPERIOD_OVERRIDE=FQ","FILING_STATUS=OR","SCALING_FORMAT=MLN","Sort=A","Dates=H","DateFormat=P","Fill=—","Direction=H","UseDPDF=Y")</f>
        <v>—</v>
      </c>
      <c r="P59" s="13">
        <f>_xll.BDH("XOM US Equity","BS_ACCRUED_LIABILITIES","FQ4 2011","FQ4 2011","Currency=USD","Period=FQ","BEST_FPERIOD_OVERRIDE=FQ","FILING_STATUS=OR","SCALING_FORMAT=MLN","Sort=A","Dates=H","DateFormat=P","Fill=—","Direction=H","UseDPDF=Y")</f>
        <v>0</v>
      </c>
      <c r="Q59" s="13" t="str">
        <f>_xll.BDH("XOM US Equity","BS_ACCRUED_LIABILITIES","FQ1 2012","FQ1 2012","Currency=USD","Period=FQ","BEST_FPERIOD_OVERRIDE=FQ","FILING_STATUS=OR","SCALING_FORMAT=MLN","Sort=A","Dates=H","DateFormat=P","Fill=—","Direction=H","UseDPDF=Y")</f>
        <v>—</v>
      </c>
      <c r="R59" s="13" t="str">
        <f>_xll.BDH("XOM US Equity","BS_ACCRUED_LIABILITIES","FQ2 2012","FQ2 2012","Currency=USD","Period=FQ","BEST_FPERIOD_OVERRIDE=FQ","FILING_STATUS=OR","SCALING_FORMAT=MLN","Sort=A","Dates=H","DateFormat=P","Fill=—","Direction=H","UseDPDF=Y")</f>
        <v>—</v>
      </c>
      <c r="S59" s="13" t="str">
        <f>_xll.BDH("XOM US Equity","BS_ACCRUED_LIABILITIES","FQ3 2012","FQ3 2012","Currency=USD","Period=FQ","BEST_FPERIOD_OVERRIDE=FQ","FILING_STATUS=OR","SCALING_FORMAT=MLN","Sort=A","Dates=H","DateFormat=P","Fill=—","Direction=H","UseDPDF=Y")</f>
        <v>—</v>
      </c>
      <c r="T59" s="13">
        <f>_xll.BDH("XOM US Equity","BS_ACCRUED_LIABILITIES","FQ4 2012","FQ4 2012","Currency=USD","Period=FQ","BEST_FPERIOD_OVERRIDE=FQ","FILING_STATUS=OR","SCALING_FORMAT=MLN","Sort=A","Dates=H","DateFormat=P","Fill=—","Direction=H","UseDPDF=Y")</f>
        <v>0</v>
      </c>
      <c r="U59" s="13" t="str">
        <f>_xll.BDH("XOM US Equity","BS_ACCRUED_LIABILITIES","FQ1 2013","FQ1 2013","Currency=USD","Period=FQ","BEST_FPERIOD_OVERRIDE=FQ","FILING_STATUS=OR","SCALING_FORMAT=MLN","Sort=A","Dates=H","DateFormat=P","Fill=—","Direction=H","UseDPDF=Y")</f>
        <v>—</v>
      </c>
      <c r="V59" s="13" t="str">
        <f>_xll.BDH("XOM US Equity","BS_ACCRUED_LIABILITIES","FQ2 2013","FQ2 2013","Currency=USD","Period=FQ","BEST_FPERIOD_OVERRIDE=FQ","FILING_STATUS=OR","SCALING_FORMAT=MLN","Sort=A","Dates=H","DateFormat=P","Fill=—","Direction=H","UseDPDF=Y")</f>
        <v>—</v>
      </c>
      <c r="W59" s="13" t="str">
        <f>_xll.BDH("XOM US Equity","BS_ACCRUED_LIABILITIES","FQ3 2013","FQ3 2013","Currency=USD","Period=FQ","BEST_FPERIOD_OVERRIDE=FQ","FILING_STATUS=OR","SCALING_FORMAT=MLN","Sort=A","Dates=H","DateFormat=P","Fill=—","Direction=H","UseDPDF=Y")</f>
        <v>—</v>
      </c>
      <c r="X59" s="13">
        <f>_xll.BDH("XOM US Equity","BS_ACCRUED_LIABILITIES","FQ4 2013","FQ4 2013","Currency=USD","Period=FQ","BEST_FPERIOD_OVERRIDE=FQ","FILING_STATUS=OR","SCALING_FORMAT=MLN","Sort=A","Dates=H","DateFormat=P","Fill=—","Direction=H","UseDPDF=Y")</f>
        <v>0</v>
      </c>
      <c r="Y59" s="13" t="str">
        <f>_xll.BDH("XOM US Equity","BS_ACCRUED_LIABILITIES","FQ1 2014","FQ1 2014","Currency=USD","Period=FQ","BEST_FPERIOD_OVERRIDE=FQ","FILING_STATUS=OR","SCALING_FORMAT=MLN","Sort=A","Dates=H","DateFormat=P","Fill=—","Direction=H","UseDPDF=Y")</f>
        <v>—</v>
      </c>
      <c r="Z59" s="13" t="str">
        <f>_xll.BDH("XOM US Equity","BS_ACCRUED_LIABILITIES","FQ2 2014","FQ2 2014","Currency=USD","Period=FQ","BEST_FPERIOD_OVERRIDE=FQ","FILING_STATUS=OR","SCALING_FORMAT=MLN","Sort=A","Dates=H","DateFormat=P","Fill=—","Direction=H","UseDPDF=Y")</f>
        <v>—</v>
      </c>
      <c r="AA59" s="13" t="str">
        <f>_xll.BDH("XOM US Equity","BS_ACCRUED_LIABILITIES","FQ3 2014","FQ3 2014","Currency=USD","Period=FQ","BEST_FPERIOD_OVERRIDE=FQ","FILING_STATUS=OR","SCALING_FORMAT=MLN","Sort=A","Dates=H","DateFormat=P","Fill=—","Direction=H","UseDPDF=Y")</f>
        <v>—</v>
      </c>
      <c r="AB59" s="13">
        <f>_xll.BDH("XOM US Equity","BS_ACCRUED_LIABILITIES","FQ4 2014","FQ4 2014","Currency=USD","Period=FQ","BEST_FPERIOD_OVERRIDE=FQ","FILING_STATUS=OR","SCALING_FORMAT=MLN","Sort=A","Dates=H","DateFormat=P","Fill=—","Direction=H","UseDPDF=Y")</f>
        <v>0</v>
      </c>
      <c r="AC59" s="13" t="str">
        <f>_xll.BDH("XOM US Equity","BS_ACCRUED_LIABILITIES","FQ1 2015","FQ1 2015","Currency=USD","Period=FQ","BEST_FPERIOD_OVERRIDE=FQ","FILING_STATUS=OR","SCALING_FORMAT=MLN","Sort=A","Dates=H","DateFormat=P","Fill=—","Direction=H","UseDPDF=Y")</f>
        <v>—</v>
      </c>
      <c r="AD59" s="13" t="str">
        <f>_xll.BDH("XOM US Equity","BS_ACCRUED_LIABILITIES","FQ2 2015","FQ2 2015","Currency=USD","Period=FQ","BEST_FPERIOD_OVERRIDE=FQ","FILING_STATUS=OR","SCALING_FORMAT=MLN","Sort=A","Dates=H","DateFormat=P","Fill=—","Direction=H","UseDPDF=Y")</f>
        <v>—</v>
      </c>
      <c r="AE59" s="13" t="str">
        <f>_xll.BDH("XOM US Equity","BS_ACCRUED_LIABILITIES","FQ3 2015","FQ3 2015","Currency=USD","Period=FQ","BEST_FPERIOD_OVERRIDE=FQ","FILING_STATUS=OR","SCALING_FORMAT=MLN","Sort=A","Dates=H","DateFormat=P","Fill=—","Direction=H","UseDPDF=Y")</f>
        <v>—</v>
      </c>
      <c r="AF59" s="13">
        <f>_xll.BDH("XOM US Equity","BS_ACCRUED_LIABILITIES","FQ4 2015","FQ4 2015","Currency=USD","Period=FQ","BEST_FPERIOD_OVERRIDE=FQ","FILING_STATUS=OR","SCALING_FORMAT=MLN","Sort=A","Dates=H","DateFormat=P","Fill=—","Direction=H","UseDPDF=Y")</f>
        <v>0</v>
      </c>
      <c r="AG59" s="13" t="str">
        <f>_xll.BDH("XOM US Equity","BS_ACCRUED_LIABILITIES","FQ1 2016","FQ1 2016","Currency=USD","Period=FQ","BEST_FPERIOD_OVERRIDE=FQ","FILING_STATUS=OR","SCALING_FORMAT=MLN","Sort=A","Dates=H","DateFormat=P","Fill=—","Direction=H","UseDPDF=Y")</f>
        <v>—</v>
      </c>
      <c r="AH59" s="13" t="str">
        <f>_xll.BDH("XOM US Equity","BS_ACCRUED_LIABILITIES","FQ2 2016","FQ2 2016","Currency=USD","Period=FQ","BEST_FPERIOD_OVERRIDE=FQ","FILING_STATUS=OR","SCALING_FORMAT=MLN","Sort=A","Dates=H","DateFormat=P","Fill=—","Direction=H","UseDPDF=Y")</f>
        <v>—</v>
      </c>
      <c r="AI59" s="13" t="str">
        <f>_xll.BDH("XOM US Equity","BS_ACCRUED_LIABILITIES","FQ3 2016","FQ3 2016","Currency=USD","Period=FQ","BEST_FPERIOD_OVERRIDE=FQ","FILING_STATUS=OR","SCALING_FORMAT=MLN","Sort=A","Dates=H","DateFormat=P","Fill=—","Direction=H","UseDPDF=Y")</f>
        <v>—</v>
      </c>
      <c r="AJ59" s="13">
        <f>_xll.BDH("XOM US Equity","BS_ACCRUED_LIABILITIES","FQ4 2016","FQ4 2016","Currency=USD","Period=FQ","BEST_FPERIOD_OVERRIDE=FQ","FILING_STATUS=OR","SCALING_FORMAT=MLN","Sort=A","Dates=H","DateFormat=P","Fill=—","Direction=H","UseDPDF=Y")</f>
        <v>0</v>
      </c>
      <c r="AK59" s="13" t="str">
        <f>_xll.BDH("XOM US Equity","BS_ACCRUED_LIABILITIES","FQ1 2017","FQ1 2017","Currency=USD","Period=FQ","BEST_FPERIOD_OVERRIDE=FQ","FILING_STATUS=OR","SCALING_FORMAT=MLN","Sort=A","Dates=H","DateFormat=P","Fill=—","Direction=H","UseDPDF=Y")</f>
        <v>—</v>
      </c>
      <c r="AL59" s="13" t="str">
        <f>_xll.BDH("XOM US Equity","BS_ACCRUED_LIABILITIES","FQ2 2017","FQ2 2017","Currency=USD","Period=FQ","BEST_FPERIOD_OVERRIDE=FQ","FILING_STATUS=OR","SCALING_FORMAT=MLN","Sort=A","Dates=H","DateFormat=P","Fill=—","Direction=H","UseDPDF=Y")</f>
        <v>—</v>
      </c>
      <c r="AM59" s="13" t="str">
        <f>_xll.BDH("XOM US Equity","BS_ACCRUED_LIABILITIES","FQ3 2017","FQ3 2017","Currency=USD","Period=FQ","BEST_FPERIOD_OVERRIDE=FQ","FILING_STATUS=OR","SCALING_FORMAT=MLN","Sort=A","Dates=H","DateFormat=P","Fill=—","Direction=H","UseDPDF=Y")</f>
        <v>—</v>
      </c>
      <c r="AN59" s="13">
        <f>_xll.BDH("XOM US Equity","BS_ACCRUED_LIABILITIES","FQ4 2017","FQ4 2017","Currency=USD","Period=FQ","BEST_FPERIOD_OVERRIDE=FQ","FILING_STATUS=OR","SCALING_FORMAT=MLN","Sort=A","Dates=H","DateFormat=P","Fill=—","Direction=H","UseDPDF=Y")</f>
        <v>0</v>
      </c>
      <c r="AO59" s="13" t="str">
        <f>_xll.BDH("XOM US Equity","BS_ACCRUED_LIABILITIES","FQ1 2018","FQ1 2018","Currency=USD","Period=FQ","BEST_FPERIOD_OVERRIDE=FQ","FILING_STATUS=OR","SCALING_FORMAT=MLN","Sort=A","Dates=H","DateFormat=P","Fill=—","Direction=H","UseDPDF=Y")</f>
        <v>—</v>
      </c>
      <c r="AP59" s="13" t="str">
        <f>_xll.BDH("XOM US Equity","BS_ACCRUED_LIABILITIES","FQ2 2018","FQ2 2018","Currency=USD","Period=FQ","BEST_FPERIOD_OVERRIDE=FQ","FILING_STATUS=OR","SCALING_FORMAT=MLN","Sort=A","Dates=H","DateFormat=P","Fill=—","Direction=H","UseDPDF=Y")</f>
        <v>—</v>
      </c>
    </row>
    <row r="60" spans="1:42" x14ac:dyDescent="0.25">
      <c r="A60" s="10" t="s">
        <v>306</v>
      </c>
      <c r="B60" s="10" t="s">
        <v>307</v>
      </c>
      <c r="C60" s="13" t="str">
        <f>_xll.BDH("XOM US Equity","PENSION_LIABILITIES","FQ3 2008","FQ3 2008","Currency=USD","Period=FQ","BEST_FPERIOD_OVERRIDE=FQ","FILING_STATUS=OR","SCALING_FORMAT=MLN","Sort=A","Dates=H","DateFormat=P","Fill=—","Direction=H","UseDPDF=Y")</f>
        <v>—</v>
      </c>
      <c r="D60" s="13" t="str">
        <f>_xll.BDH("XOM US Equity","PENSION_LIABILITIES","FQ4 2008","FQ4 2008","Currency=USD","Period=FQ","BEST_FPERIOD_OVERRIDE=FQ","FILING_STATUS=OR","SCALING_FORMAT=MLN","Sort=A","Dates=H","DateFormat=P","Fill=—","Direction=H","UseDPDF=Y")</f>
        <v>—</v>
      </c>
      <c r="E60" s="13">
        <f>_xll.BDH("XOM US Equity","PENSION_LIABILITIES","FQ1 2009","FQ1 2009","Currency=USD","Period=FQ","BEST_FPERIOD_OVERRIDE=FQ","FILING_STATUS=OR","SCALING_FORMAT=MLN","Sort=A","Dates=H","DateFormat=P","Fill=—","Direction=H","UseDPDF=Y")</f>
        <v>20451</v>
      </c>
      <c r="F60" s="13">
        <f>_xll.BDH("XOM US Equity","PENSION_LIABILITIES","FQ2 2009","FQ2 2009","Currency=USD","Period=FQ","BEST_FPERIOD_OVERRIDE=FQ","FILING_STATUS=OR","SCALING_FORMAT=MLN","Sort=A","Dates=H","DateFormat=P","Fill=—","Direction=H","UseDPDF=Y")</f>
        <v>18287</v>
      </c>
      <c r="G60" s="13">
        <f>_xll.BDH("XOM US Equity","PENSION_LIABILITIES","FQ3 2009","FQ3 2009","Currency=USD","Period=FQ","BEST_FPERIOD_OVERRIDE=FQ","FILING_STATUS=OR","SCALING_FORMAT=MLN","Sort=A","Dates=H","DateFormat=P","Fill=—","Direction=H","UseDPDF=Y")</f>
        <v>18632</v>
      </c>
      <c r="H60" s="13">
        <f>_xll.BDH("XOM US Equity","PENSION_LIABILITIES","FQ4 2009","FQ4 2009","Currency=USD","Period=FQ","BEST_FPERIOD_OVERRIDE=FQ","FILING_STATUS=OR","SCALING_FORMAT=MLN","Sort=A","Dates=H","DateFormat=P","Fill=—","Direction=H","UseDPDF=Y")</f>
        <v>17942</v>
      </c>
      <c r="I60" s="13">
        <f>_xll.BDH("XOM US Equity","PENSION_LIABILITIES","FQ1 2010","FQ1 2010","Currency=USD","Period=FQ","BEST_FPERIOD_OVERRIDE=FQ","FILING_STATUS=OR","SCALING_FORMAT=MLN","Sort=A","Dates=H","DateFormat=P","Fill=—","Direction=H","UseDPDF=Y")</f>
        <v>17587</v>
      </c>
      <c r="J60" s="13">
        <f>_xll.BDH("XOM US Equity","PENSION_LIABILITIES","FQ2 2010","FQ2 2010","Currency=USD","Period=FQ","BEST_FPERIOD_OVERRIDE=FQ","FILING_STATUS=OR","SCALING_FORMAT=MLN","Sort=A","Dates=H","DateFormat=P","Fill=—","Direction=H","UseDPDF=Y")</f>
        <v>17143</v>
      </c>
      <c r="K60" s="13">
        <f>_xll.BDH("XOM US Equity","PENSION_LIABILITIES","FQ3 2010","FQ3 2010","Currency=USD","Period=FQ","BEST_FPERIOD_OVERRIDE=FQ","FILING_STATUS=OR","SCALING_FORMAT=MLN","Sort=A","Dates=H","DateFormat=P","Fill=—","Direction=H","UseDPDF=Y")</f>
        <v>18012</v>
      </c>
      <c r="L60" s="13">
        <f>_xll.BDH("XOM US Equity","PENSION_LIABILITIES","FQ4 2010","FQ4 2010","Currency=USD","Period=FQ","BEST_FPERIOD_OVERRIDE=FQ","FILING_STATUS=OR","SCALING_FORMAT=MLN","Sort=A","Dates=H","DateFormat=P","Fill=—","Direction=H","UseDPDF=Y")</f>
        <v>19367</v>
      </c>
      <c r="M60" s="13">
        <f>_xll.BDH("XOM US Equity","PENSION_LIABILITIES","FQ1 2011","FQ1 2011","Currency=USD","Period=FQ","BEST_FPERIOD_OVERRIDE=FQ","FILING_STATUS=OR","SCALING_FORMAT=MLN","Sort=A","Dates=H","DateFormat=P","Fill=—","Direction=H","UseDPDF=Y")</f>
        <v>20076</v>
      </c>
      <c r="N60" s="13">
        <f>_xll.BDH("XOM US Equity","PENSION_LIABILITIES","FQ2 2011","FQ2 2011","Currency=USD","Period=FQ","BEST_FPERIOD_OVERRIDE=FQ","FILING_STATUS=OR","SCALING_FORMAT=MLN","Sort=A","Dates=H","DateFormat=P","Fill=—","Direction=H","UseDPDF=Y")</f>
        <v>20257</v>
      </c>
      <c r="O60" s="13">
        <f>_xll.BDH("XOM US Equity","PENSION_LIABILITIES","FQ3 2011","FQ3 2011","Currency=USD","Period=FQ","BEST_FPERIOD_OVERRIDE=FQ","FILING_STATUS=OR","SCALING_FORMAT=MLN","Sort=A","Dates=H","DateFormat=P","Fill=—","Direction=H","UseDPDF=Y")</f>
        <v>19557</v>
      </c>
      <c r="P60" s="13">
        <f>_xll.BDH("XOM US Equity","PENSION_LIABILITIES","FQ4 2011","FQ4 2011","Currency=USD","Period=FQ","BEST_FPERIOD_OVERRIDE=FQ","FILING_STATUS=OR","SCALING_FORMAT=MLN","Sort=A","Dates=H","DateFormat=P","Fill=—","Direction=H","UseDPDF=Y")</f>
        <v>24994</v>
      </c>
      <c r="Q60" s="13">
        <f>_xll.BDH("XOM US Equity","PENSION_LIABILITIES","FQ1 2012","FQ1 2012","Currency=USD","Period=FQ","BEST_FPERIOD_OVERRIDE=FQ","FILING_STATUS=OR","SCALING_FORMAT=MLN","Sort=A","Dates=H","DateFormat=P","Fill=—","Direction=H","UseDPDF=Y")</f>
        <v>23559</v>
      </c>
      <c r="R60" s="13">
        <f>_xll.BDH("XOM US Equity","PENSION_LIABILITIES","FQ2 2012","FQ2 2012","Currency=USD","Period=FQ","BEST_FPERIOD_OVERRIDE=FQ","FILING_STATUS=OR","SCALING_FORMAT=MLN","Sort=A","Dates=H","DateFormat=P","Fill=—","Direction=H","UseDPDF=Y")</f>
        <v>22117</v>
      </c>
      <c r="S60" s="13">
        <f>_xll.BDH("XOM US Equity","PENSION_LIABILITIES","FQ3 2012","FQ3 2012","Currency=USD","Period=FQ","BEST_FPERIOD_OVERRIDE=FQ","FILING_STATUS=OR","SCALING_FORMAT=MLN","Sort=A","Dates=H","DateFormat=P","Fill=—","Direction=H","UseDPDF=Y")</f>
        <v>21652</v>
      </c>
      <c r="T60" s="13">
        <f>_xll.BDH("XOM US Equity","PENSION_LIABILITIES","FQ4 2012","FQ4 2012","Currency=USD","Period=FQ","BEST_FPERIOD_OVERRIDE=FQ","FILING_STATUS=OR","SCALING_FORMAT=MLN","Sort=A","Dates=H","DateFormat=P","Fill=—","Direction=H","UseDPDF=Y")</f>
        <v>25267</v>
      </c>
      <c r="U60" s="13">
        <f>_xll.BDH("XOM US Equity","PENSION_LIABILITIES","FQ1 2013","FQ1 2013","Currency=USD","Period=FQ","BEST_FPERIOD_OVERRIDE=FQ","FILING_STATUS=OR","SCALING_FORMAT=MLN","Sort=A","Dates=H","DateFormat=P","Fill=—","Direction=H","UseDPDF=Y")</f>
        <v>25286</v>
      </c>
      <c r="V60" s="13">
        <f>_xll.BDH("XOM US Equity","PENSION_LIABILITIES","FQ2 2013","FQ2 2013","Currency=USD","Period=FQ","BEST_FPERIOD_OVERRIDE=FQ","FILING_STATUS=OR","SCALING_FORMAT=MLN","Sort=A","Dates=H","DateFormat=P","Fill=—","Direction=H","UseDPDF=Y")</f>
        <v>25281</v>
      </c>
      <c r="W60" s="13">
        <f>_xll.BDH("XOM US Equity","PENSION_LIABILITIES","FQ3 2013","FQ3 2013","Currency=USD","Period=FQ","BEST_FPERIOD_OVERRIDE=FQ","FILING_STATUS=OR","SCALING_FORMAT=MLN","Sort=A","Dates=H","DateFormat=P","Fill=—","Direction=H","UseDPDF=Y")</f>
        <v>25319</v>
      </c>
      <c r="X60" s="13">
        <f>_xll.BDH("XOM US Equity","PENSION_LIABILITIES","FQ4 2013","FQ4 2013","Currency=USD","Period=FQ","BEST_FPERIOD_OVERRIDE=FQ","FILING_STATUS=OR","SCALING_FORMAT=MLN","Sort=A","Dates=H","DateFormat=P","Fill=—","Direction=H","UseDPDF=Y")</f>
        <v>20646</v>
      </c>
      <c r="Y60" s="13">
        <f>_xll.BDH("XOM US Equity","PENSION_LIABILITIES","FQ1 2014","FQ1 2014","Currency=USD","Period=FQ","BEST_FPERIOD_OVERRIDE=FQ","FILING_STATUS=OR","SCALING_FORMAT=MLN","Sort=A","Dates=H","DateFormat=P","Fill=—","Direction=H","UseDPDF=Y")</f>
        <v>20215</v>
      </c>
      <c r="Z60" s="13">
        <f>_xll.BDH("XOM US Equity","PENSION_LIABILITIES","FQ2 2014","FQ2 2014","Currency=USD","Period=FQ","BEST_FPERIOD_OVERRIDE=FQ","FILING_STATUS=OR","SCALING_FORMAT=MLN","Sort=A","Dates=H","DateFormat=P","Fill=—","Direction=H","UseDPDF=Y")</f>
        <v>20161</v>
      </c>
      <c r="AA60" s="13">
        <f>_xll.BDH("XOM US Equity","PENSION_LIABILITIES","FQ3 2014","FQ3 2014","Currency=USD","Period=FQ","BEST_FPERIOD_OVERRIDE=FQ","FILING_STATUS=OR","SCALING_FORMAT=MLN","Sort=A","Dates=H","DateFormat=P","Fill=—","Direction=H","UseDPDF=Y")</f>
        <v>19268</v>
      </c>
      <c r="AB60" s="13">
        <f>_xll.BDH("XOM US Equity","PENSION_LIABILITIES","FQ4 2014","FQ4 2014","Currency=USD","Period=FQ","BEST_FPERIOD_OVERRIDE=FQ","FILING_STATUS=OR","SCALING_FORMAT=MLN","Sort=A","Dates=H","DateFormat=P","Fill=—","Direction=H","UseDPDF=Y")</f>
        <v>25802</v>
      </c>
      <c r="AC60" s="13">
        <f>_xll.BDH("XOM US Equity","PENSION_LIABILITIES","FQ1 2015","FQ1 2015","Currency=USD","Period=FQ","BEST_FPERIOD_OVERRIDE=FQ","FILING_STATUS=OR","SCALING_FORMAT=MLN","Sort=A","Dates=H","DateFormat=P","Fill=—","Direction=H","UseDPDF=Y")</f>
        <v>24632</v>
      </c>
      <c r="AD60" s="13">
        <f>_xll.BDH("XOM US Equity","PENSION_LIABILITIES","FQ2 2015","FQ2 2015","Currency=USD","Period=FQ","BEST_FPERIOD_OVERRIDE=FQ","FILING_STATUS=OR","SCALING_FORMAT=MLN","Sort=A","Dates=H","DateFormat=P","Fill=—","Direction=H","UseDPDF=Y")</f>
        <v>25039</v>
      </c>
      <c r="AE60" s="13">
        <f>_xll.BDH("XOM US Equity","PENSION_LIABILITIES","FQ3 2015","FQ3 2015","Currency=USD","Period=FQ","BEST_FPERIOD_OVERRIDE=FQ","FILING_STATUS=OR","SCALING_FORMAT=MLN","Sort=A","Dates=H","DateFormat=P","Fill=—","Direction=H","UseDPDF=Y")</f>
        <v>24422</v>
      </c>
      <c r="AF60" s="13">
        <f>_xll.BDH("XOM US Equity","PENSION_LIABILITIES","FQ4 2015","FQ4 2015","Currency=USD","Period=FQ","BEST_FPERIOD_OVERRIDE=FQ","FILING_STATUS=OR","SCALING_FORMAT=MLN","Sort=A","Dates=H","DateFormat=P","Fill=—","Direction=H","UseDPDF=Y")</f>
        <v>22647</v>
      </c>
      <c r="AG60" s="13">
        <f>_xll.BDH("XOM US Equity","PENSION_LIABILITIES","FQ1 2016","FQ1 2016","Currency=USD","Period=FQ","BEST_FPERIOD_OVERRIDE=FQ","FILING_STATUS=OR","SCALING_FORMAT=MLN","Sort=A","Dates=H","DateFormat=P","Fill=—","Direction=H","UseDPDF=Y")</f>
        <v>22401</v>
      </c>
      <c r="AH60" s="13">
        <f>_xll.BDH("XOM US Equity","PENSION_LIABILITIES","FQ2 2016","FQ2 2016","Currency=USD","Period=FQ","BEST_FPERIOD_OVERRIDE=FQ","FILING_STATUS=OR","SCALING_FORMAT=MLN","Sort=A","Dates=H","DateFormat=P","Fill=—","Direction=H","UseDPDF=Y")</f>
        <v>21583</v>
      </c>
      <c r="AI60" s="13">
        <f>_xll.BDH("XOM US Equity","PENSION_LIABILITIES","FQ3 2016","FQ3 2016","Currency=USD","Period=FQ","BEST_FPERIOD_OVERRIDE=FQ","FILING_STATUS=OR","SCALING_FORMAT=MLN","Sort=A","Dates=H","DateFormat=P","Fill=—","Direction=H","UseDPDF=Y")</f>
        <v>21019</v>
      </c>
      <c r="AJ60" s="13">
        <f>_xll.BDH("XOM US Equity","PENSION_LIABILITIES","FQ4 2016","FQ4 2016","Currency=USD","Period=FQ","BEST_FPERIOD_OVERRIDE=FQ","FILING_STATUS=OR","SCALING_FORMAT=MLN","Sort=A","Dates=H","DateFormat=P","Fill=—","Direction=H","UseDPDF=Y")</f>
        <v>20680</v>
      </c>
      <c r="AK60" s="13">
        <f>_xll.BDH("XOM US Equity","PENSION_LIABILITIES","FQ1 2017","FQ1 2017","Currency=USD","Period=FQ","BEST_FPERIOD_OVERRIDE=FQ","FILING_STATUS=OR","SCALING_FORMAT=MLN","Sort=A","Dates=H","DateFormat=P","Fill=—","Direction=H","UseDPDF=Y")</f>
        <v>20584</v>
      </c>
      <c r="AL60" s="13">
        <f>_xll.BDH("XOM US Equity","PENSION_LIABILITIES","FQ2 2017","FQ2 2017","Currency=USD","Period=FQ","BEST_FPERIOD_OVERRIDE=FQ","FILING_STATUS=OR","SCALING_FORMAT=MLN","Sort=A","Dates=H","DateFormat=P","Fill=—","Direction=H","UseDPDF=Y")</f>
        <v>20778</v>
      </c>
      <c r="AM60" s="13">
        <f>_xll.BDH("XOM US Equity","PENSION_LIABILITIES","FQ3 2017","FQ3 2017","Currency=USD","Period=FQ","BEST_FPERIOD_OVERRIDE=FQ","FILING_STATUS=OR","SCALING_FORMAT=MLN","Sort=A","Dates=H","DateFormat=P","Fill=—","Direction=H","UseDPDF=Y")</f>
        <v>20874</v>
      </c>
      <c r="AN60" s="13">
        <f>_xll.BDH("XOM US Equity","PENSION_LIABILITIES","FQ4 2017","FQ4 2017","Currency=USD","Period=FQ","BEST_FPERIOD_OVERRIDE=FQ","FILING_STATUS=OR","SCALING_FORMAT=MLN","Sort=A","Dates=H","DateFormat=P","Fill=—","Direction=H","UseDPDF=Y")</f>
        <v>21132</v>
      </c>
      <c r="AO60" s="13">
        <f>_xll.BDH("XOM US Equity","PENSION_LIABILITIES","FQ1 2018","FQ1 2018","Currency=USD","Period=FQ","BEST_FPERIOD_OVERRIDE=FQ","FILING_STATUS=OR","SCALING_FORMAT=MLN","Sort=A","Dates=H","DateFormat=P","Fill=—","Direction=H","UseDPDF=Y")</f>
        <v>21696</v>
      </c>
      <c r="AP60" s="13">
        <f>_xll.BDH("XOM US Equity","PENSION_LIABILITIES","FQ2 2018","FQ2 2018","Currency=USD","Period=FQ","BEST_FPERIOD_OVERRIDE=FQ","FILING_STATUS=OR","SCALING_FORMAT=MLN","Sort=A","Dates=H","DateFormat=P","Fill=—","Direction=H","UseDPDF=Y")</f>
        <v>21504</v>
      </c>
    </row>
    <row r="61" spans="1:42" x14ac:dyDescent="0.25">
      <c r="A61" s="10" t="s">
        <v>288</v>
      </c>
      <c r="B61" s="10" t="s">
        <v>308</v>
      </c>
      <c r="C61" s="13" t="str">
        <f>_xll.BDH("XOM US Equity","LT_DEFERRED_REVENUE","FQ3 2008","FQ3 2008","Currency=USD","Period=FQ","BEST_FPERIOD_OVERRIDE=FQ","FILING_STATUS=OR","SCALING_FORMAT=MLN","Sort=A","Dates=H","DateFormat=P","Fill=—","Direction=H","UseDPDF=Y")</f>
        <v>—</v>
      </c>
      <c r="D61" s="13" t="str">
        <f>_xll.BDH("XOM US Equity","LT_DEFERRED_REVENUE","FQ4 2008","FQ4 2008","Currency=USD","Period=FQ","BEST_FPERIOD_OVERRIDE=FQ","FILING_STATUS=OR","SCALING_FORMAT=MLN","Sort=A","Dates=H","DateFormat=P","Fill=—","Direction=H","UseDPDF=Y")</f>
        <v>—</v>
      </c>
      <c r="E61" s="13" t="str">
        <f>_xll.BDH("XOM US Equity","LT_DEFERRED_REVENUE","FQ1 2009","FQ1 2009","Currency=USD","Period=FQ","BEST_FPERIOD_OVERRIDE=FQ","FILING_STATUS=OR","SCALING_FORMAT=MLN","Sort=A","Dates=H","DateFormat=P","Fill=—","Direction=H","UseDPDF=Y")</f>
        <v>—</v>
      </c>
      <c r="F61" s="13" t="str">
        <f>_xll.BDH("XOM US Equity","LT_DEFERRED_REVENUE","FQ2 2009","FQ2 2009","Currency=USD","Period=FQ","BEST_FPERIOD_OVERRIDE=FQ","FILING_STATUS=OR","SCALING_FORMAT=MLN","Sort=A","Dates=H","DateFormat=P","Fill=—","Direction=H","UseDPDF=Y")</f>
        <v>—</v>
      </c>
      <c r="G61" s="13" t="str">
        <f>_xll.BDH("XOM US Equity","LT_DEFERRED_REVENUE","FQ3 2009","FQ3 2009","Currency=USD","Period=FQ","BEST_FPERIOD_OVERRIDE=FQ","FILING_STATUS=OR","SCALING_FORMAT=MLN","Sort=A","Dates=H","DateFormat=P","Fill=—","Direction=H","UseDPDF=Y")</f>
        <v>—</v>
      </c>
      <c r="H61" s="13">
        <f>_xll.BDH("XOM US Equity","LT_DEFERRED_REVENUE","FQ4 2009","FQ4 2009","Currency=USD","Period=FQ","BEST_FPERIOD_OVERRIDE=FQ","FILING_STATUS=OR","SCALING_FORMAT=MLN","Sort=A","Dates=H","DateFormat=P","Fill=—","Direction=H","UseDPDF=Y")</f>
        <v>0</v>
      </c>
      <c r="I61" s="13" t="str">
        <f>_xll.BDH("XOM US Equity","LT_DEFERRED_REVENUE","FQ1 2010","FQ1 2010","Currency=USD","Period=FQ","BEST_FPERIOD_OVERRIDE=FQ","FILING_STATUS=OR","SCALING_FORMAT=MLN","Sort=A","Dates=H","DateFormat=P","Fill=—","Direction=H","UseDPDF=Y")</f>
        <v>—</v>
      </c>
      <c r="J61" s="13" t="str">
        <f>_xll.BDH("XOM US Equity","LT_DEFERRED_REVENUE","FQ2 2010","FQ2 2010","Currency=USD","Period=FQ","BEST_FPERIOD_OVERRIDE=FQ","FILING_STATUS=OR","SCALING_FORMAT=MLN","Sort=A","Dates=H","DateFormat=P","Fill=—","Direction=H","UseDPDF=Y")</f>
        <v>—</v>
      </c>
      <c r="K61" s="13" t="str">
        <f>_xll.BDH("XOM US Equity","LT_DEFERRED_REVENUE","FQ3 2010","FQ3 2010","Currency=USD","Period=FQ","BEST_FPERIOD_OVERRIDE=FQ","FILING_STATUS=OR","SCALING_FORMAT=MLN","Sort=A","Dates=H","DateFormat=P","Fill=—","Direction=H","UseDPDF=Y")</f>
        <v>—</v>
      </c>
      <c r="L61" s="13">
        <f>_xll.BDH("XOM US Equity","LT_DEFERRED_REVENUE","FQ4 2010","FQ4 2010","Currency=USD","Period=FQ","BEST_FPERIOD_OVERRIDE=FQ","FILING_STATUS=OR","SCALING_FORMAT=MLN","Sort=A","Dates=H","DateFormat=P","Fill=—","Direction=H","UseDPDF=Y")</f>
        <v>0</v>
      </c>
      <c r="M61" s="13" t="str">
        <f>_xll.BDH("XOM US Equity","LT_DEFERRED_REVENUE","FQ1 2011","FQ1 2011","Currency=USD","Period=FQ","BEST_FPERIOD_OVERRIDE=FQ","FILING_STATUS=OR","SCALING_FORMAT=MLN","Sort=A","Dates=H","DateFormat=P","Fill=—","Direction=H","UseDPDF=Y")</f>
        <v>—</v>
      </c>
      <c r="N61" s="13" t="str">
        <f>_xll.BDH("XOM US Equity","LT_DEFERRED_REVENUE","FQ2 2011","FQ2 2011","Currency=USD","Period=FQ","BEST_FPERIOD_OVERRIDE=FQ","FILING_STATUS=OR","SCALING_FORMAT=MLN","Sort=A","Dates=H","DateFormat=P","Fill=—","Direction=H","UseDPDF=Y")</f>
        <v>—</v>
      </c>
      <c r="O61" s="13" t="str">
        <f>_xll.BDH("XOM US Equity","LT_DEFERRED_REVENUE","FQ3 2011","FQ3 2011","Currency=USD","Period=FQ","BEST_FPERIOD_OVERRIDE=FQ","FILING_STATUS=OR","SCALING_FORMAT=MLN","Sort=A","Dates=H","DateFormat=P","Fill=—","Direction=H","UseDPDF=Y")</f>
        <v>—</v>
      </c>
      <c r="P61" s="13">
        <f>_xll.BDH("XOM US Equity","LT_DEFERRED_REVENUE","FQ4 2011","FQ4 2011","Currency=USD","Period=FQ","BEST_FPERIOD_OVERRIDE=FQ","FILING_STATUS=OR","SCALING_FORMAT=MLN","Sort=A","Dates=H","DateFormat=P","Fill=—","Direction=H","UseDPDF=Y")</f>
        <v>0</v>
      </c>
      <c r="Q61" s="13" t="str">
        <f>_xll.BDH("XOM US Equity","LT_DEFERRED_REVENUE","FQ1 2012","FQ1 2012","Currency=USD","Period=FQ","BEST_FPERIOD_OVERRIDE=FQ","FILING_STATUS=OR","SCALING_FORMAT=MLN","Sort=A","Dates=H","DateFormat=P","Fill=—","Direction=H","UseDPDF=Y")</f>
        <v>—</v>
      </c>
      <c r="R61" s="13" t="str">
        <f>_xll.BDH("XOM US Equity","LT_DEFERRED_REVENUE","FQ2 2012","FQ2 2012","Currency=USD","Period=FQ","BEST_FPERIOD_OVERRIDE=FQ","FILING_STATUS=OR","SCALING_FORMAT=MLN","Sort=A","Dates=H","DateFormat=P","Fill=—","Direction=H","UseDPDF=Y")</f>
        <v>—</v>
      </c>
      <c r="S61" s="13" t="str">
        <f>_xll.BDH("XOM US Equity","LT_DEFERRED_REVENUE","FQ3 2012","FQ3 2012","Currency=USD","Period=FQ","BEST_FPERIOD_OVERRIDE=FQ","FILING_STATUS=OR","SCALING_FORMAT=MLN","Sort=A","Dates=H","DateFormat=P","Fill=—","Direction=H","UseDPDF=Y")</f>
        <v>—</v>
      </c>
      <c r="T61" s="13">
        <f>_xll.BDH("XOM US Equity","LT_DEFERRED_REVENUE","FQ4 2012","FQ4 2012","Currency=USD","Period=FQ","BEST_FPERIOD_OVERRIDE=FQ","FILING_STATUS=OR","SCALING_FORMAT=MLN","Sort=A","Dates=H","DateFormat=P","Fill=—","Direction=H","UseDPDF=Y")</f>
        <v>0</v>
      </c>
      <c r="U61" s="13" t="str">
        <f>_xll.BDH("XOM US Equity","LT_DEFERRED_REVENUE","FQ1 2013","FQ1 2013","Currency=USD","Period=FQ","BEST_FPERIOD_OVERRIDE=FQ","FILING_STATUS=OR","SCALING_FORMAT=MLN","Sort=A","Dates=H","DateFormat=P","Fill=—","Direction=H","UseDPDF=Y")</f>
        <v>—</v>
      </c>
      <c r="V61" s="13" t="str">
        <f>_xll.BDH("XOM US Equity","LT_DEFERRED_REVENUE","FQ2 2013","FQ2 2013","Currency=USD","Period=FQ","BEST_FPERIOD_OVERRIDE=FQ","FILING_STATUS=OR","SCALING_FORMAT=MLN","Sort=A","Dates=H","DateFormat=P","Fill=—","Direction=H","UseDPDF=Y")</f>
        <v>—</v>
      </c>
      <c r="W61" s="13" t="str">
        <f>_xll.BDH("XOM US Equity","LT_DEFERRED_REVENUE","FQ3 2013","FQ3 2013","Currency=USD","Period=FQ","BEST_FPERIOD_OVERRIDE=FQ","FILING_STATUS=OR","SCALING_FORMAT=MLN","Sort=A","Dates=H","DateFormat=P","Fill=—","Direction=H","UseDPDF=Y")</f>
        <v>—</v>
      </c>
      <c r="X61" s="13">
        <f>_xll.BDH("XOM US Equity","LT_DEFERRED_REVENUE","FQ4 2013","FQ4 2013","Currency=USD","Period=FQ","BEST_FPERIOD_OVERRIDE=FQ","FILING_STATUS=OR","SCALING_FORMAT=MLN","Sort=A","Dates=H","DateFormat=P","Fill=—","Direction=H","UseDPDF=Y")</f>
        <v>0</v>
      </c>
      <c r="Y61" s="13" t="str">
        <f>_xll.BDH("XOM US Equity","LT_DEFERRED_REVENUE","FQ1 2014","FQ1 2014","Currency=USD","Period=FQ","BEST_FPERIOD_OVERRIDE=FQ","FILING_STATUS=OR","SCALING_FORMAT=MLN","Sort=A","Dates=H","DateFormat=P","Fill=—","Direction=H","UseDPDF=Y")</f>
        <v>—</v>
      </c>
      <c r="Z61" s="13" t="str">
        <f>_xll.BDH("XOM US Equity","LT_DEFERRED_REVENUE","FQ2 2014","FQ2 2014","Currency=USD","Period=FQ","BEST_FPERIOD_OVERRIDE=FQ","FILING_STATUS=OR","SCALING_FORMAT=MLN","Sort=A","Dates=H","DateFormat=P","Fill=—","Direction=H","UseDPDF=Y")</f>
        <v>—</v>
      </c>
      <c r="AA61" s="13" t="str">
        <f>_xll.BDH("XOM US Equity","LT_DEFERRED_REVENUE","FQ3 2014","FQ3 2014","Currency=USD","Period=FQ","BEST_FPERIOD_OVERRIDE=FQ","FILING_STATUS=OR","SCALING_FORMAT=MLN","Sort=A","Dates=H","DateFormat=P","Fill=—","Direction=H","UseDPDF=Y")</f>
        <v>—</v>
      </c>
      <c r="AB61" s="13">
        <f>_xll.BDH("XOM US Equity","LT_DEFERRED_REVENUE","FQ4 2014","FQ4 2014","Currency=USD","Period=FQ","BEST_FPERIOD_OVERRIDE=FQ","FILING_STATUS=OR","SCALING_FORMAT=MLN","Sort=A","Dates=H","DateFormat=P","Fill=—","Direction=H","UseDPDF=Y")</f>
        <v>0</v>
      </c>
      <c r="AC61" s="13" t="str">
        <f>_xll.BDH("XOM US Equity","LT_DEFERRED_REVENUE","FQ1 2015","FQ1 2015","Currency=USD","Period=FQ","BEST_FPERIOD_OVERRIDE=FQ","FILING_STATUS=OR","SCALING_FORMAT=MLN","Sort=A","Dates=H","DateFormat=P","Fill=—","Direction=H","UseDPDF=Y")</f>
        <v>—</v>
      </c>
      <c r="AD61" s="13" t="str">
        <f>_xll.BDH("XOM US Equity","LT_DEFERRED_REVENUE","FQ2 2015","FQ2 2015","Currency=USD","Period=FQ","BEST_FPERIOD_OVERRIDE=FQ","FILING_STATUS=OR","SCALING_FORMAT=MLN","Sort=A","Dates=H","DateFormat=P","Fill=—","Direction=H","UseDPDF=Y")</f>
        <v>—</v>
      </c>
      <c r="AE61" s="13" t="str">
        <f>_xll.BDH("XOM US Equity","LT_DEFERRED_REVENUE","FQ3 2015","FQ3 2015","Currency=USD","Period=FQ","BEST_FPERIOD_OVERRIDE=FQ","FILING_STATUS=OR","SCALING_FORMAT=MLN","Sort=A","Dates=H","DateFormat=P","Fill=—","Direction=H","UseDPDF=Y")</f>
        <v>—</v>
      </c>
      <c r="AF61" s="13">
        <f>_xll.BDH("XOM US Equity","LT_DEFERRED_REVENUE","FQ4 2015","FQ4 2015","Currency=USD","Period=FQ","BEST_FPERIOD_OVERRIDE=FQ","FILING_STATUS=OR","SCALING_FORMAT=MLN","Sort=A","Dates=H","DateFormat=P","Fill=—","Direction=H","UseDPDF=Y")</f>
        <v>0</v>
      </c>
      <c r="AG61" s="13" t="str">
        <f>_xll.BDH("XOM US Equity","LT_DEFERRED_REVENUE","FQ1 2016","FQ1 2016","Currency=USD","Period=FQ","BEST_FPERIOD_OVERRIDE=FQ","FILING_STATUS=OR","SCALING_FORMAT=MLN","Sort=A","Dates=H","DateFormat=P","Fill=—","Direction=H","UseDPDF=Y")</f>
        <v>—</v>
      </c>
      <c r="AH61" s="13" t="str">
        <f>_xll.BDH("XOM US Equity","LT_DEFERRED_REVENUE","FQ2 2016","FQ2 2016","Currency=USD","Period=FQ","BEST_FPERIOD_OVERRIDE=FQ","FILING_STATUS=OR","SCALING_FORMAT=MLN","Sort=A","Dates=H","DateFormat=P","Fill=—","Direction=H","UseDPDF=Y")</f>
        <v>—</v>
      </c>
      <c r="AI61" s="13" t="str">
        <f>_xll.BDH("XOM US Equity","LT_DEFERRED_REVENUE","FQ3 2016","FQ3 2016","Currency=USD","Period=FQ","BEST_FPERIOD_OVERRIDE=FQ","FILING_STATUS=OR","SCALING_FORMAT=MLN","Sort=A","Dates=H","DateFormat=P","Fill=—","Direction=H","UseDPDF=Y")</f>
        <v>—</v>
      </c>
      <c r="AJ61" s="13">
        <f>_xll.BDH("XOM US Equity","LT_DEFERRED_REVENUE","FQ4 2016","FQ4 2016","Currency=USD","Period=FQ","BEST_FPERIOD_OVERRIDE=FQ","FILING_STATUS=OR","SCALING_FORMAT=MLN","Sort=A","Dates=H","DateFormat=P","Fill=—","Direction=H","UseDPDF=Y")</f>
        <v>0</v>
      </c>
      <c r="AK61" s="13" t="str">
        <f>_xll.BDH("XOM US Equity","LT_DEFERRED_REVENUE","FQ1 2017","FQ1 2017","Currency=USD","Period=FQ","BEST_FPERIOD_OVERRIDE=FQ","FILING_STATUS=OR","SCALING_FORMAT=MLN","Sort=A","Dates=H","DateFormat=P","Fill=—","Direction=H","UseDPDF=Y")</f>
        <v>—</v>
      </c>
      <c r="AL61" s="13" t="str">
        <f>_xll.BDH("XOM US Equity","LT_DEFERRED_REVENUE","FQ2 2017","FQ2 2017","Currency=USD","Period=FQ","BEST_FPERIOD_OVERRIDE=FQ","FILING_STATUS=OR","SCALING_FORMAT=MLN","Sort=A","Dates=H","DateFormat=P","Fill=—","Direction=H","UseDPDF=Y")</f>
        <v>—</v>
      </c>
      <c r="AM61" s="13" t="str">
        <f>_xll.BDH("XOM US Equity","LT_DEFERRED_REVENUE","FQ3 2017","FQ3 2017","Currency=USD","Period=FQ","BEST_FPERIOD_OVERRIDE=FQ","FILING_STATUS=OR","SCALING_FORMAT=MLN","Sort=A","Dates=H","DateFormat=P","Fill=—","Direction=H","UseDPDF=Y")</f>
        <v>—</v>
      </c>
      <c r="AN61" s="13">
        <f>_xll.BDH("XOM US Equity","LT_DEFERRED_REVENUE","FQ4 2017","FQ4 2017","Currency=USD","Period=FQ","BEST_FPERIOD_OVERRIDE=FQ","FILING_STATUS=OR","SCALING_FORMAT=MLN","Sort=A","Dates=H","DateFormat=P","Fill=—","Direction=H","UseDPDF=Y")</f>
        <v>0</v>
      </c>
      <c r="AO61" s="13" t="str">
        <f>_xll.BDH("XOM US Equity","LT_DEFERRED_REVENUE","FQ1 2018","FQ1 2018","Currency=USD","Period=FQ","BEST_FPERIOD_OVERRIDE=FQ","FILING_STATUS=OR","SCALING_FORMAT=MLN","Sort=A","Dates=H","DateFormat=P","Fill=—","Direction=H","UseDPDF=Y")</f>
        <v>—</v>
      </c>
      <c r="AP61" s="13" t="str">
        <f>_xll.BDH("XOM US Equity","LT_DEFERRED_REVENUE","FQ2 2018","FQ2 2018","Currency=USD","Period=FQ","BEST_FPERIOD_OVERRIDE=FQ","FILING_STATUS=OR","SCALING_FORMAT=MLN","Sort=A","Dates=H","DateFormat=P","Fill=—","Direction=H","UseDPDF=Y")</f>
        <v>—</v>
      </c>
    </row>
    <row r="62" spans="1:42" x14ac:dyDescent="0.25">
      <c r="A62" s="10" t="s">
        <v>292</v>
      </c>
      <c r="B62" s="10" t="s">
        <v>309</v>
      </c>
      <c r="C62" s="13" t="str">
        <f>_xll.BDH("XOM US Equity","BS_DEFERRED_TAX_LIABILITIES_LT","FQ3 2008","FQ3 2008","Currency=USD","Period=FQ","BEST_FPERIOD_OVERRIDE=FQ","FILING_STATUS=OR","SCALING_FORMAT=MLN","Sort=A","Dates=H","DateFormat=P","Fill=—","Direction=H","UseDPDF=Y")</f>
        <v>—</v>
      </c>
      <c r="D62" s="13" t="str">
        <f>_xll.BDH("XOM US Equity","BS_DEFERRED_TAX_LIABILITIES_LT","FQ4 2008","FQ4 2008","Currency=USD","Period=FQ","BEST_FPERIOD_OVERRIDE=FQ","FILING_STATUS=OR","SCALING_FORMAT=MLN","Sort=A","Dates=H","DateFormat=P","Fill=—","Direction=H","UseDPDF=Y")</f>
        <v>—</v>
      </c>
      <c r="E62" s="13">
        <f>_xll.BDH("XOM US Equity","BS_DEFERRED_TAX_LIABILITIES_LT","FQ1 2009","FQ1 2009","Currency=USD","Period=FQ","BEST_FPERIOD_OVERRIDE=FQ","FILING_STATUS=OR","SCALING_FORMAT=MLN","Sort=A","Dates=H","DateFormat=P","Fill=—","Direction=H","UseDPDF=Y")</f>
        <v>20063</v>
      </c>
      <c r="F62" s="13">
        <f>_xll.BDH("XOM US Equity","BS_DEFERRED_TAX_LIABILITIES_LT","FQ2 2009","FQ2 2009","Currency=USD","Period=FQ","BEST_FPERIOD_OVERRIDE=FQ","FILING_STATUS=OR","SCALING_FORMAT=MLN","Sort=A","Dates=H","DateFormat=P","Fill=—","Direction=H","UseDPDF=Y")</f>
        <v>21880</v>
      </c>
      <c r="G62" s="13">
        <f>_xll.BDH("XOM US Equity","BS_DEFERRED_TAX_LIABILITIES_LT","FQ3 2009","FQ3 2009","Currency=USD","Period=FQ","BEST_FPERIOD_OVERRIDE=FQ","FILING_STATUS=OR","SCALING_FORMAT=MLN","Sort=A","Dates=H","DateFormat=P","Fill=—","Direction=H","UseDPDF=Y")</f>
        <v>23238</v>
      </c>
      <c r="H62" s="13">
        <f>_xll.BDH("XOM US Equity","BS_DEFERRED_TAX_LIABILITIES_LT","FQ4 2009","FQ4 2009","Currency=USD","Period=FQ","BEST_FPERIOD_OVERRIDE=FQ","FILING_STATUS=OR","SCALING_FORMAT=MLN","Sort=A","Dates=H","DateFormat=P","Fill=—","Direction=H","UseDPDF=Y")</f>
        <v>23148</v>
      </c>
      <c r="I62" s="13">
        <f>_xll.BDH("XOM US Equity","BS_DEFERRED_TAX_LIABILITIES_LT","FQ1 2010","FQ1 2010","Currency=USD","Period=FQ","BEST_FPERIOD_OVERRIDE=FQ","FILING_STATUS=OR","SCALING_FORMAT=MLN","Sort=A","Dates=H","DateFormat=P","Fill=—","Direction=H","UseDPDF=Y")</f>
        <v>23662</v>
      </c>
      <c r="J62" s="13">
        <f>_xll.BDH("XOM US Equity","BS_DEFERRED_TAX_LIABILITIES_LT","FQ2 2010","FQ2 2010","Currency=USD","Period=FQ","BEST_FPERIOD_OVERRIDE=FQ","FILING_STATUS=OR","SCALING_FORMAT=MLN","Sort=A","Dates=H","DateFormat=P","Fill=—","Direction=H","UseDPDF=Y")</f>
        <v>34283</v>
      </c>
      <c r="K62" s="13">
        <f>_xll.BDH("XOM US Equity","BS_DEFERRED_TAX_LIABILITIES_LT","FQ3 2010","FQ3 2010","Currency=USD","Period=FQ","BEST_FPERIOD_OVERRIDE=FQ","FILING_STATUS=OR","SCALING_FORMAT=MLN","Sort=A","Dates=H","DateFormat=P","Fill=—","Direction=H","UseDPDF=Y")</f>
        <v>35304</v>
      </c>
      <c r="L62" s="13">
        <f>_xll.BDH("XOM US Equity","BS_DEFERRED_TAX_LIABILITIES_LT","FQ4 2010","FQ4 2010","Currency=USD","Period=FQ","BEST_FPERIOD_OVERRIDE=FQ","FILING_STATUS=OR","SCALING_FORMAT=MLN","Sort=A","Dates=H","DateFormat=P","Fill=—","Direction=H","UseDPDF=Y")</f>
        <v>35150</v>
      </c>
      <c r="M62" s="13">
        <f>_xll.BDH("XOM US Equity","BS_DEFERRED_TAX_LIABILITIES_LT","FQ1 2011","FQ1 2011","Currency=USD","Period=FQ","BEST_FPERIOD_OVERRIDE=FQ","FILING_STATUS=OR","SCALING_FORMAT=MLN","Sort=A","Dates=H","DateFormat=P","Fill=—","Direction=H","UseDPDF=Y")</f>
        <v>36121</v>
      </c>
      <c r="N62" s="13">
        <f>_xll.BDH("XOM US Equity","BS_DEFERRED_TAX_LIABILITIES_LT","FQ2 2011","FQ2 2011","Currency=USD","Period=FQ","BEST_FPERIOD_OVERRIDE=FQ","FILING_STATUS=OR","SCALING_FORMAT=MLN","Sort=A","Dates=H","DateFormat=P","Fill=—","Direction=H","UseDPDF=Y")</f>
        <v>37193</v>
      </c>
      <c r="O62" s="13">
        <f>_xll.BDH("XOM US Equity","BS_DEFERRED_TAX_LIABILITIES_LT","FQ3 2011","FQ3 2011","Currency=USD","Period=FQ","BEST_FPERIOD_OVERRIDE=FQ","FILING_STATUS=OR","SCALING_FORMAT=MLN","Sort=A","Dates=H","DateFormat=P","Fill=—","Direction=H","UseDPDF=Y")</f>
        <v>36891</v>
      </c>
      <c r="P62" s="13">
        <f>_xll.BDH("XOM US Equity","BS_DEFERRED_TAX_LIABILITIES_LT","FQ4 2011","FQ4 2011","Currency=USD","Period=FQ","BEST_FPERIOD_OVERRIDE=FQ","FILING_STATUS=OR","SCALING_FORMAT=MLN","Sort=A","Dates=H","DateFormat=P","Fill=—","Direction=H","UseDPDF=Y")</f>
        <v>36618</v>
      </c>
      <c r="Q62" s="13">
        <f>_xll.BDH("XOM US Equity","BS_DEFERRED_TAX_LIABILITIES_LT","FQ1 2012","FQ1 2012","Currency=USD","Period=FQ","BEST_FPERIOD_OVERRIDE=FQ","FILING_STATUS=OR","SCALING_FORMAT=MLN","Sort=A","Dates=H","DateFormat=P","Fill=—","Direction=H","UseDPDF=Y")</f>
        <v>36286</v>
      </c>
      <c r="R62" s="13">
        <f>_xll.BDH("XOM US Equity","BS_DEFERRED_TAX_LIABILITIES_LT","FQ2 2012","FQ2 2012","Currency=USD","Period=FQ","BEST_FPERIOD_OVERRIDE=FQ","FILING_STATUS=OR","SCALING_FORMAT=MLN","Sort=A","Dates=H","DateFormat=P","Fill=—","Direction=H","UseDPDF=Y")</f>
        <v>36851</v>
      </c>
      <c r="S62" s="13">
        <f>_xll.BDH("XOM US Equity","BS_DEFERRED_TAX_LIABILITIES_LT","FQ3 2012","FQ3 2012","Currency=USD","Period=FQ","BEST_FPERIOD_OVERRIDE=FQ","FILING_STATUS=OR","SCALING_FORMAT=MLN","Sort=A","Dates=H","DateFormat=P","Fill=—","Direction=H","UseDPDF=Y")</f>
        <v>37642</v>
      </c>
      <c r="T62" s="13">
        <f>_xll.BDH("XOM US Equity","BS_DEFERRED_TAX_LIABILITIES_LT","FQ4 2012","FQ4 2012","Currency=USD","Period=FQ","BEST_FPERIOD_OVERRIDE=FQ","FILING_STATUS=OR","SCALING_FORMAT=MLN","Sort=A","Dates=H","DateFormat=P","Fill=—","Direction=H","UseDPDF=Y")</f>
        <v>37570</v>
      </c>
      <c r="U62" s="13">
        <f>_xll.BDH("XOM US Equity","BS_DEFERRED_TAX_LIABILITIES_LT","FQ1 2013","FQ1 2013","Currency=USD","Period=FQ","BEST_FPERIOD_OVERRIDE=FQ","FILING_STATUS=OR","SCALING_FORMAT=MLN","Sort=A","Dates=H","DateFormat=P","Fill=—","Direction=H","UseDPDF=Y")</f>
        <v>38712</v>
      </c>
      <c r="V62" s="13">
        <f>_xll.BDH("XOM US Equity","BS_DEFERRED_TAX_LIABILITIES_LT","FQ2 2013","FQ2 2013","Currency=USD","Period=FQ","BEST_FPERIOD_OVERRIDE=FQ","FILING_STATUS=OR","SCALING_FORMAT=MLN","Sort=A","Dates=H","DateFormat=P","Fill=—","Direction=H","UseDPDF=Y")</f>
        <v>38947</v>
      </c>
      <c r="W62" s="13">
        <f>_xll.BDH("XOM US Equity","BS_DEFERRED_TAX_LIABILITIES_LT","FQ3 2013","FQ3 2013","Currency=USD","Period=FQ","BEST_FPERIOD_OVERRIDE=FQ","FILING_STATUS=OR","SCALING_FORMAT=MLN","Sort=A","Dates=H","DateFormat=P","Fill=—","Direction=H","UseDPDF=Y")</f>
        <v>39506</v>
      </c>
      <c r="X62" s="13">
        <f>_xll.BDH("XOM US Equity","BS_DEFERRED_TAX_LIABILITIES_LT","FQ4 2013","FQ4 2013","Currency=USD","Period=FQ","BEST_FPERIOD_OVERRIDE=FQ","FILING_STATUS=OR","SCALING_FORMAT=MLN","Sort=A","Dates=H","DateFormat=P","Fill=—","Direction=H","UseDPDF=Y")</f>
        <v>40530</v>
      </c>
      <c r="Y62" s="13">
        <f>_xll.BDH("XOM US Equity","BS_DEFERRED_TAX_LIABILITIES_LT","FQ1 2014","FQ1 2014","Currency=USD","Period=FQ","BEST_FPERIOD_OVERRIDE=FQ","FILING_STATUS=OR","SCALING_FORMAT=MLN","Sort=A","Dates=H","DateFormat=P","Fill=—","Direction=H","UseDPDF=Y")</f>
        <v>40783</v>
      </c>
      <c r="Z62" s="13">
        <f>_xll.BDH("XOM US Equity","BS_DEFERRED_TAX_LIABILITIES_LT","FQ2 2014","FQ2 2014","Currency=USD","Period=FQ","BEST_FPERIOD_OVERRIDE=FQ","FILING_STATUS=OR","SCALING_FORMAT=MLN","Sort=A","Dates=H","DateFormat=P","Fill=—","Direction=H","UseDPDF=Y")</f>
        <v>41000</v>
      </c>
      <c r="AA62" s="13">
        <f>_xll.BDH("XOM US Equity","BS_DEFERRED_TAX_LIABILITIES_LT","FQ3 2014","FQ3 2014","Currency=USD","Period=FQ","BEST_FPERIOD_OVERRIDE=FQ","FILING_STATUS=OR","SCALING_FORMAT=MLN","Sort=A","Dates=H","DateFormat=P","Fill=—","Direction=H","UseDPDF=Y")</f>
        <v>41132</v>
      </c>
      <c r="AB62" s="13">
        <f>_xll.BDH("XOM US Equity","BS_DEFERRED_TAX_LIABILITIES_LT","FQ4 2014","FQ4 2014","Currency=USD","Period=FQ","BEST_FPERIOD_OVERRIDE=FQ","FILING_STATUS=OR","SCALING_FORMAT=MLN","Sort=A","Dates=H","DateFormat=P","Fill=—","Direction=H","UseDPDF=Y")</f>
        <v>39230</v>
      </c>
      <c r="AC62" s="13">
        <f>_xll.BDH("XOM US Equity","BS_DEFERRED_TAX_LIABILITIES_LT","FQ1 2015","FQ1 2015","Currency=USD","Period=FQ","BEST_FPERIOD_OVERRIDE=FQ","FILING_STATUS=OR","SCALING_FORMAT=MLN","Sort=A","Dates=H","DateFormat=P","Fill=—","Direction=H","UseDPDF=Y")</f>
        <v>38935</v>
      </c>
      <c r="AD62" s="13">
        <f>_xll.BDH("XOM US Equity","BS_DEFERRED_TAX_LIABILITIES_LT","FQ2 2015","FQ2 2015","Currency=USD","Period=FQ","BEST_FPERIOD_OVERRIDE=FQ","FILING_STATUS=OR","SCALING_FORMAT=MLN","Sort=A","Dates=H","DateFormat=P","Fill=—","Direction=H","UseDPDF=Y")</f>
        <v>39419</v>
      </c>
      <c r="AE62" s="13">
        <f>_xll.BDH("XOM US Equity","BS_DEFERRED_TAX_LIABILITIES_LT","FQ3 2015","FQ3 2015","Currency=USD","Period=FQ","BEST_FPERIOD_OVERRIDE=FQ","FILING_STATUS=OR","SCALING_FORMAT=MLN","Sort=A","Dates=H","DateFormat=P","Fill=—","Direction=H","UseDPDF=Y")</f>
        <v>38210</v>
      </c>
      <c r="AF62" s="13">
        <f>_xll.BDH("XOM US Equity","BS_DEFERRED_TAX_LIABILITIES_LT","FQ4 2015","FQ4 2015","Currency=USD","Period=FQ","BEST_FPERIOD_OVERRIDE=FQ","FILING_STATUS=OR","SCALING_FORMAT=MLN","Sort=A","Dates=H","DateFormat=P","Fill=—","Direction=H","UseDPDF=Y")</f>
        <v>36818</v>
      </c>
      <c r="AG62" s="13">
        <f>_xll.BDH("XOM US Equity","BS_DEFERRED_TAX_LIABILITIES_LT","FQ1 2016","FQ1 2016","Currency=USD","Period=FQ","BEST_FPERIOD_OVERRIDE=FQ","FILING_STATUS=OR","SCALING_FORMAT=MLN","Sort=A","Dates=H","DateFormat=P","Fill=—","Direction=H","UseDPDF=Y")</f>
        <v>36293</v>
      </c>
      <c r="AH62" s="13">
        <f>_xll.BDH("XOM US Equity","BS_DEFERRED_TAX_LIABILITIES_LT","FQ2 2016","FQ2 2016","Currency=USD","Period=FQ","BEST_FPERIOD_OVERRIDE=FQ","FILING_STATUS=OR","SCALING_FORMAT=MLN","Sort=A","Dates=H","DateFormat=P","Fill=—","Direction=H","UseDPDF=Y")</f>
        <v>36012</v>
      </c>
      <c r="AI62" s="13">
        <f>_xll.BDH("XOM US Equity","BS_DEFERRED_TAX_LIABILITIES_LT","FQ3 2016","FQ3 2016","Currency=USD","Period=FQ","BEST_FPERIOD_OVERRIDE=FQ","FILING_STATUS=OR","SCALING_FORMAT=MLN","Sort=A","Dates=H","DateFormat=P","Fill=—","Direction=H","UseDPDF=Y")</f>
        <v>34857</v>
      </c>
      <c r="AJ62" s="13">
        <f>_xll.BDH("XOM US Equity","BS_DEFERRED_TAX_LIABILITIES_LT","FQ4 2016","FQ4 2016","Currency=USD","Period=FQ","BEST_FPERIOD_OVERRIDE=FQ","FILING_STATUS=OR","SCALING_FORMAT=MLN","Sort=A","Dates=H","DateFormat=P","Fill=—","Direction=H","UseDPDF=Y")</f>
        <v>34041</v>
      </c>
      <c r="AK62" s="13">
        <f>_xll.BDH("XOM US Equity","BS_DEFERRED_TAX_LIABILITIES_LT","FQ1 2017","FQ1 2017","Currency=USD","Period=FQ","BEST_FPERIOD_OVERRIDE=FQ","FILING_STATUS=OR","SCALING_FORMAT=MLN","Sort=A","Dates=H","DateFormat=P","Fill=—","Direction=H","UseDPDF=Y")</f>
        <v>34772</v>
      </c>
      <c r="AL62" s="13">
        <f>_xll.BDH("XOM US Equity","BS_DEFERRED_TAX_LIABILITIES_LT","FQ2 2017","FQ2 2017","Currency=USD","Period=FQ","BEST_FPERIOD_OVERRIDE=FQ","FILING_STATUS=OR","SCALING_FORMAT=MLN","Sort=A","Dates=H","DateFormat=P","Fill=—","Direction=H","UseDPDF=Y")</f>
        <v>34585</v>
      </c>
      <c r="AM62" s="13">
        <f>_xll.BDH("XOM US Equity","BS_DEFERRED_TAX_LIABILITIES_LT","FQ3 2017","FQ3 2017","Currency=USD","Period=FQ","BEST_FPERIOD_OVERRIDE=FQ","FILING_STATUS=OR","SCALING_FORMAT=MLN","Sort=A","Dates=H","DateFormat=P","Fill=—","Direction=H","UseDPDF=Y")</f>
        <v>34430</v>
      </c>
      <c r="AN62" s="13">
        <f>_xll.BDH("XOM US Equity","BS_DEFERRED_TAX_LIABILITIES_LT","FQ4 2017","FQ4 2017","Currency=USD","Period=FQ","BEST_FPERIOD_OVERRIDE=FQ","FILING_STATUS=OR","SCALING_FORMAT=MLN","Sort=A","Dates=H","DateFormat=P","Fill=—","Direction=H","UseDPDF=Y")</f>
        <v>26893</v>
      </c>
      <c r="AO62" s="13">
        <f>_xll.BDH("XOM US Equity","BS_DEFERRED_TAX_LIABILITIES_LT","FQ1 2018","FQ1 2018","Currency=USD","Period=FQ","BEST_FPERIOD_OVERRIDE=FQ","FILING_STATUS=OR","SCALING_FORMAT=MLN","Sort=A","Dates=H","DateFormat=P","Fill=—","Direction=H","UseDPDF=Y")</f>
        <v>26760</v>
      </c>
      <c r="AP62" s="13">
        <f>_xll.BDH("XOM US Equity","BS_DEFERRED_TAX_LIABILITIES_LT","FQ2 2018","FQ2 2018","Currency=USD","Period=FQ","BEST_FPERIOD_OVERRIDE=FQ","FILING_STATUS=OR","SCALING_FORMAT=MLN","Sort=A","Dates=H","DateFormat=P","Fill=—","Direction=H","UseDPDF=Y")</f>
        <v>26783</v>
      </c>
    </row>
    <row r="63" spans="1:42" x14ac:dyDescent="0.25">
      <c r="A63" s="10" t="s">
        <v>290</v>
      </c>
      <c r="B63" s="10" t="s">
        <v>310</v>
      </c>
      <c r="C63" s="13" t="str">
        <f>_xll.BDH("XOM US Equity","BS_DERIVATIVE_&amp;_HEDGING_LIABS_LT","FQ3 2008","FQ3 2008","Currency=USD","Period=FQ","BEST_FPERIOD_OVERRIDE=FQ","FILING_STATUS=OR","SCALING_FORMAT=MLN","Sort=A","Dates=H","DateFormat=P","Fill=—","Direction=H","UseDPDF=Y")</f>
        <v>—</v>
      </c>
      <c r="D63" s="13" t="str">
        <f>_xll.BDH("XOM US Equity","BS_DERIVATIVE_&amp;_HEDGING_LIABS_LT","FQ4 2008","FQ4 2008","Currency=USD","Period=FQ","BEST_FPERIOD_OVERRIDE=FQ","FILING_STATUS=OR","SCALING_FORMAT=MLN","Sort=A","Dates=H","DateFormat=P","Fill=—","Direction=H","UseDPDF=Y")</f>
        <v>—</v>
      </c>
      <c r="E63" s="13" t="str">
        <f>_xll.BDH("XOM US Equity","BS_DERIVATIVE_&amp;_HEDGING_LIABS_LT","FQ1 2009","FQ1 2009","Currency=USD","Period=FQ","BEST_FPERIOD_OVERRIDE=FQ","FILING_STATUS=OR","SCALING_FORMAT=MLN","Sort=A","Dates=H","DateFormat=P","Fill=—","Direction=H","UseDPDF=Y")</f>
        <v>—</v>
      </c>
      <c r="F63" s="13" t="str">
        <f>_xll.BDH("XOM US Equity","BS_DERIVATIVE_&amp;_HEDGING_LIABS_LT","FQ2 2009","FQ2 2009","Currency=USD","Period=FQ","BEST_FPERIOD_OVERRIDE=FQ","FILING_STATUS=OR","SCALING_FORMAT=MLN","Sort=A","Dates=H","DateFormat=P","Fill=—","Direction=H","UseDPDF=Y")</f>
        <v>—</v>
      </c>
      <c r="G63" s="13" t="str">
        <f>_xll.BDH("XOM US Equity","BS_DERIVATIVE_&amp;_HEDGING_LIABS_LT","FQ3 2009","FQ3 2009","Currency=USD","Period=FQ","BEST_FPERIOD_OVERRIDE=FQ","FILING_STATUS=OR","SCALING_FORMAT=MLN","Sort=A","Dates=H","DateFormat=P","Fill=—","Direction=H","UseDPDF=Y")</f>
        <v>—</v>
      </c>
      <c r="H63" s="13" t="str">
        <f>_xll.BDH("XOM US Equity","BS_DERIVATIVE_&amp;_HEDGING_LIABS_LT","FQ4 2009","FQ4 2009","Currency=USD","Period=FQ","BEST_FPERIOD_OVERRIDE=FQ","FILING_STATUS=OR","SCALING_FORMAT=MLN","Sort=A","Dates=H","DateFormat=P","Fill=—","Direction=H","UseDPDF=Y")</f>
        <v>—</v>
      </c>
      <c r="I63" s="13" t="str">
        <f>_xll.BDH("XOM US Equity","BS_DERIVATIVE_&amp;_HEDGING_LIABS_LT","FQ1 2010","FQ1 2010","Currency=USD","Period=FQ","BEST_FPERIOD_OVERRIDE=FQ","FILING_STATUS=OR","SCALING_FORMAT=MLN","Sort=A","Dates=H","DateFormat=P","Fill=—","Direction=H","UseDPDF=Y")</f>
        <v>—</v>
      </c>
      <c r="J63" s="13">
        <f>_xll.BDH("XOM US Equity","BS_DERIVATIVE_&amp;_HEDGING_LIABS_LT","FQ2 2010","FQ2 2010","Currency=USD","Period=FQ","BEST_FPERIOD_OVERRIDE=FQ","FILING_STATUS=OR","SCALING_FORMAT=MLN","Sort=A","Dates=H","DateFormat=P","Fill=—","Direction=H","UseDPDF=Y")</f>
        <v>5</v>
      </c>
      <c r="K63" s="13">
        <f>_xll.BDH("XOM US Equity","BS_DERIVATIVE_&amp;_HEDGING_LIABS_LT","FQ3 2010","FQ3 2010","Currency=USD","Period=FQ","BEST_FPERIOD_OVERRIDE=FQ","FILING_STATUS=OR","SCALING_FORMAT=MLN","Sort=A","Dates=H","DateFormat=P","Fill=—","Direction=H","UseDPDF=Y")</f>
        <v>3</v>
      </c>
      <c r="L63" s="13" t="str">
        <f>_xll.BDH("XOM US Equity","BS_DERIVATIVE_&amp;_HEDGING_LIABS_LT","FQ4 2010","FQ4 2010","Currency=USD","Period=FQ","BEST_FPERIOD_OVERRIDE=FQ","FILING_STATUS=OR","SCALING_FORMAT=MLN","Sort=A","Dates=H","DateFormat=P","Fill=—","Direction=H","UseDPDF=Y")</f>
        <v>—</v>
      </c>
      <c r="M63" s="13" t="str">
        <f>_xll.BDH("XOM US Equity","BS_DERIVATIVE_&amp;_HEDGING_LIABS_LT","FQ1 2011","FQ1 2011","Currency=USD","Period=FQ","BEST_FPERIOD_OVERRIDE=FQ","FILING_STATUS=OR","SCALING_FORMAT=MLN","Sort=A","Dates=H","DateFormat=P","Fill=—","Direction=H","UseDPDF=Y")</f>
        <v>—</v>
      </c>
      <c r="N63" s="13" t="str">
        <f>_xll.BDH("XOM US Equity","BS_DERIVATIVE_&amp;_HEDGING_LIABS_LT","FQ2 2011","FQ2 2011","Currency=USD","Period=FQ","BEST_FPERIOD_OVERRIDE=FQ","FILING_STATUS=OR","SCALING_FORMAT=MLN","Sort=A","Dates=H","DateFormat=P","Fill=—","Direction=H","UseDPDF=Y")</f>
        <v>—</v>
      </c>
      <c r="O63" s="13" t="str">
        <f>_xll.BDH("XOM US Equity","BS_DERIVATIVE_&amp;_HEDGING_LIABS_LT","FQ3 2011","FQ3 2011","Currency=USD","Period=FQ","BEST_FPERIOD_OVERRIDE=FQ","FILING_STATUS=OR","SCALING_FORMAT=MLN","Sort=A","Dates=H","DateFormat=P","Fill=—","Direction=H","UseDPDF=Y")</f>
        <v>—</v>
      </c>
      <c r="P63" s="13" t="str">
        <f>_xll.BDH("XOM US Equity","BS_DERIVATIVE_&amp;_HEDGING_LIABS_LT","FQ4 2011","FQ4 2011","Currency=USD","Period=FQ","BEST_FPERIOD_OVERRIDE=FQ","FILING_STATUS=OR","SCALING_FORMAT=MLN","Sort=A","Dates=H","DateFormat=P","Fill=—","Direction=H","UseDPDF=Y")</f>
        <v>—</v>
      </c>
      <c r="Q63" s="13" t="str">
        <f>_xll.BDH("XOM US Equity","BS_DERIVATIVE_&amp;_HEDGING_LIABS_LT","FQ1 2012","FQ1 2012","Currency=USD","Period=FQ","BEST_FPERIOD_OVERRIDE=FQ","FILING_STATUS=OR","SCALING_FORMAT=MLN","Sort=A","Dates=H","DateFormat=P","Fill=—","Direction=H","UseDPDF=Y")</f>
        <v>—</v>
      </c>
      <c r="R63" s="13" t="str">
        <f>_xll.BDH("XOM US Equity","BS_DERIVATIVE_&amp;_HEDGING_LIABS_LT","FQ2 2012","FQ2 2012","Currency=USD","Period=FQ","BEST_FPERIOD_OVERRIDE=FQ","FILING_STATUS=OR","SCALING_FORMAT=MLN","Sort=A","Dates=H","DateFormat=P","Fill=—","Direction=H","UseDPDF=Y")</f>
        <v>—</v>
      </c>
      <c r="S63" s="13" t="str">
        <f>_xll.BDH("XOM US Equity","BS_DERIVATIVE_&amp;_HEDGING_LIABS_LT","FQ3 2012","FQ3 2012","Currency=USD","Period=FQ","BEST_FPERIOD_OVERRIDE=FQ","FILING_STATUS=OR","SCALING_FORMAT=MLN","Sort=A","Dates=H","DateFormat=P","Fill=—","Direction=H","UseDPDF=Y")</f>
        <v>—</v>
      </c>
      <c r="T63" s="13" t="str">
        <f>_xll.BDH("XOM US Equity","BS_DERIVATIVE_&amp;_HEDGING_LIABS_LT","FQ4 2012","FQ4 2012","Currency=USD","Period=FQ","BEST_FPERIOD_OVERRIDE=FQ","FILING_STATUS=OR","SCALING_FORMAT=MLN","Sort=A","Dates=H","DateFormat=P","Fill=—","Direction=H","UseDPDF=Y")</f>
        <v>—</v>
      </c>
      <c r="U63" s="13" t="str">
        <f>_xll.BDH("XOM US Equity","BS_DERIVATIVE_&amp;_HEDGING_LIABS_LT","FQ1 2013","FQ1 2013","Currency=USD","Period=FQ","BEST_FPERIOD_OVERRIDE=FQ","FILING_STATUS=OR","SCALING_FORMAT=MLN","Sort=A","Dates=H","DateFormat=P","Fill=—","Direction=H","UseDPDF=Y")</f>
        <v>—</v>
      </c>
      <c r="V63" s="13" t="str">
        <f>_xll.BDH("XOM US Equity","BS_DERIVATIVE_&amp;_HEDGING_LIABS_LT","FQ2 2013","FQ2 2013","Currency=USD","Period=FQ","BEST_FPERIOD_OVERRIDE=FQ","FILING_STATUS=OR","SCALING_FORMAT=MLN","Sort=A","Dates=H","DateFormat=P","Fill=—","Direction=H","UseDPDF=Y")</f>
        <v>—</v>
      </c>
      <c r="W63" s="13" t="str">
        <f>_xll.BDH("XOM US Equity","BS_DERIVATIVE_&amp;_HEDGING_LIABS_LT","FQ3 2013","FQ3 2013","Currency=USD","Period=FQ","BEST_FPERIOD_OVERRIDE=FQ","FILING_STATUS=OR","SCALING_FORMAT=MLN","Sort=A","Dates=H","DateFormat=P","Fill=—","Direction=H","UseDPDF=Y")</f>
        <v>—</v>
      </c>
      <c r="X63" s="13" t="str">
        <f>_xll.BDH("XOM US Equity","BS_DERIVATIVE_&amp;_HEDGING_LIABS_LT","FQ4 2013","FQ4 2013","Currency=USD","Period=FQ","BEST_FPERIOD_OVERRIDE=FQ","FILING_STATUS=OR","SCALING_FORMAT=MLN","Sort=A","Dates=H","DateFormat=P","Fill=—","Direction=H","UseDPDF=Y")</f>
        <v>—</v>
      </c>
      <c r="Y63" s="13" t="str">
        <f>_xll.BDH("XOM US Equity","BS_DERIVATIVE_&amp;_HEDGING_LIABS_LT","FQ1 2014","FQ1 2014","Currency=USD","Period=FQ","BEST_FPERIOD_OVERRIDE=FQ","FILING_STATUS=OR","SCALING_FORMAT=MLN","Sort=A","Dates=H","DateFormat=P","Fill=—","Direction=H","UseDPDF=Y")</f>
        <v>—</v>
      </c>
      <c r="Z63" s="13" t="str">
        <f>_xll.BDH("XOM US Equity","BS_DERIVATIVE_&amp;_HEDGING_LIABS_LT","FQ2 2014","FQ2 2014","Currency=USD","Period=FQ","BEST_FPERIOD_OVERRIDE=FQ","FILING_STATUS=OR","SCALING_FORMAT=MLN","Sort=A","Dates=H","DateFormat=P","Fill=—","Direction=H","UseDPDF=Y")</f>
        <v>—</v>
      </c>
      <c r="AA63" s="13" t="str">
        <f>_xll.BDH("XOM US Equity","BS_DERIVATIVE_&amp;_HEDGING_LIABS_LT","FQ3 2014","FQ3 2014","Currency=USD","Period=FQ","BEST_FPERIOD_OVERRIDE=FQ","FILING_STATUS=OR","SCALING_FORMAT=MLN","Sort=A","Dates=H","DateFormat=P","Fill=—","Direction=H","UseDPDF=Y")</f>
        <v>—</v>
      </c>
      <c r="AB63" s="13" t="str">
        <f>_xll.BDH("XOM US Equity","BS_DERIVATIVE_&amp;_HEDGING_LIABS_LT","FQ4 2014","FQ4 2014","Currency=USD","Period=FQ","BEST_FPERIOD_OVERRIDE=FQ","FILING_STATUS=OR","SCALING_FORMAT=MLN","Sort=A","Dates=H","DateFormat=P","Fill=—","Direction=H","UseDPDF=Y")</f>
        <v>—</v>
      </c>
      <c r="AC63" s="13" t="str">
        <f>_xll.BDH("XOM US Equity","BS_DERIVATIVE_&amp;_HEDGING_LIABS_LT","FQ1 2015","FQ1 2015","Currency=USD","Period=FQ","BEST_FPERIOD_OVERRIDE=FQ","FILING_STATUS=OR","SCALING_FORMAT=MLN","Sort=A","Dates=H","DateFormat=P","Fill=—","Direction=H","UseDPDF=Y")</f>
        <v>—</v>
      </c>
      <c r="AD63" s="13" t="str">
        <f>_xll.BDH("XOM US Equity","BS_DERIVATIVE_&amp;_HEDGING_LIABS_LT","FQ2 2015","FQ2 2015","Currency=USD","Period=FQ","BEST_FPERIOD_OVERRIDE=FQ","FILING_STATUS=OR","SCALING_FORMAT=MLN","Sort=A","Dates=H","DateFormat=P","Fill=—","Direction=H","UseDPDF=Y")</f>
        <v>—</v>
      </c>
      <c r="AE63" s="13" t="str">
        <f>_xll.BDH("XOM US Equity","BS_DERIVATIVE_&amp;_HEDGING_LIABS_LT","FQ3 2015","FQ3 2015","Currency=USD","Period=FQ","BEST_FPERIOD_OVERRIDE=FQ","FILING_STATUS=OR","SCALING_FORMAT=MLN","Sort=A","Dates=H","DateFormat=P","Fill=—","Direction=H","UseDPDF=Y")</f>
        <v>—</v>
      </c>
      <c r="AF63" s="13" t="str">
        <f>_xll.BDH("XOM US Equity","BS_DERIVATIVE_&amp;_HEDGING_LIABS_LT","FQ4 2015","FQ4 2015","Currency=USD","Period=FQ","BEST_FPERIOD_OVERRIDE=FQ","FILING_STATUS=OR","SCALING_FORMAT=MLN","Sort=A","Dates=H","DateFormat=P","Fill=—","Direction=H","UseDPDF=Y")</f>
        <v>—</v>
      </c>
      <c r="AG63" s="13" t="str">
        <f>_xll.BDH("XOM US Equity","BS_DERIVATIVE_&amp;_HEDGING_LIABS_LT","FQ1 2016","FQ1 2016","Currency=USD","Period=FQ","BEST_FPERIOD_OVERRIDE=FQ","FILING_STATUS=OR","SCALING_FORMAT=MLN","Sort=A","Dates=H","DateFormat=P","Fill=—","Direction=H","UseDPDF=Y")</f>
        <v>—</v>
      </c>
      <c r="AH63" s="13" t="str">
        <f>_xll.BDH("XOM US Equity","BS_DERIVATIVE_&amp;_HEDGING_LIABS_LT","FQ2 2016","FQ2 2016","Currency=USD","Period=FQ","BEST_FPERIOD_OVERRIDE=FQ","FILING_STATUS=OR","SCALING_FORMAT=MLN","Sort=A","Dates=H","DateFormat=P","Fill=—","Direction=H","UseDPDF=Y")</f>
        <v>—</v>
      </c>
      <c r="AI63" s="13" t="str">
        <f>_xll.BDH("XOM US Equity","BS_DERIVATIVE_&amp;_HEDGING_LIABS_LT","FQ3 2016","FQ3 2016","Currency=USD","Period=FQ","BEST_FPERIOD_OVERRIDE=FQ","FILING_STATUS=OR","SCALING_FORMAT=MLN","Sort=A","Dates=H","DateFormat=P","Fill=—","Direction=H","UseDPDF=Y")</f>
        <v>—</v>
      </c>
      <c r="AJ63" s="13" t="str">
        <f>_xll.BDH("XOM US Equity","BS_DERIVATIVE_&amp;_HEDGING_LIABS_LT","FQ4 2016","FQ4 2016","Currency=USD","Period=FQ","BEST_FPERIOD_OVERRIDE=FQ","FILING_STATUS=OR","SCALING_FORMAT=MLN","Sort=A","Dates=H","DateFormat=P","Fill=—","Direction=H","UseDPDF=Y")</f>
        <v>—</v>
      </c>
      <c r="AK63" s="13" t="str">
        <f>_xll.BDH("XOM US Equity","BS_DERIVATIVE_&amp;_HEDGING_LIABS_LT","FQ1 2017","FQ1 2017","Currency=USD","Period=FQ","BEST_FPERIOD_OVERRIDE=FQ","FILING_STATUS=OR","SCALING_FORMAT=MLN","Sort=A","Dates=H","DateFormat=P","Fill=—","Direction=H","UseDPDF=Y")</f>
        <v>—</v>
      </c>
      <c r="AL63" s="13" t="str">
        <f>_xll.BDH("XOM US Equity","BS_DERIVATIVE_&amp;_HEDGING_LIABS_LT","FQ2 2017","FQ2 2017","Currency=USD","Period=FQ","BEST_FPERIOD_OVERRIDE=FQ","FILING_STATUS=OR","SCALING_FORMAT=MLN","Sort=A","Dates=H","DateFormat=P","Fill=—","Direction=H","UseDPDF=Y")</f>
        <v>—</v>
      </c>
      <c r="AM63" s="13" t="str">
        <f>_xll.BDH("XOM US Equity","BS_DERIVATIVE_&amp;_HEDGING_LIABS_LT","FQ3 2017","FQ3 2017","Currency=USD","Period=FQ","BEST_FPERIOD_OVERRIDE=FQ","FILING_STATUS=OR","SCALING_FORMAT=MLN","Sort=A","Dates=H","DateFormat=P","Fill=—","Direction=H","UseDPDF=Y")</f>
        <v>—</v>
      </c>
      <c r="AN63" s="13" t="str">
        <f>_xll.BDH("XOM US Equity","BS_DERIVATIVE_&amp;_HEDGING_LIABS_LT","FQ4 2017","FQ4 2017","Currency=USD","Period=FQ","BEST_FPERIOD_OVERRIDE=FQ","FILING_STATUS=OR","SCALING_FORMAT=MLN","Sort=A","Dates=H","DateFormat=P","Fill=—","Direction=H","UseDPDF=Y")</f>
        <v>—</v>
      </c>
      <c r="AO63" s="13" t="str">
        <f>_xll.BDH("XOM US Equity","BS_DERIVATIVE_&amp;_HEDGING_LIABS_LT","FQ1 2018","FQ1 2018","Currency=USD","Period=FQ","BEST_FPERIOD_OVERRIDE=FQ","FILING_STATUS=OR","SCALING_FORMAT=MLN","Sort=A","Dates=H","DateFormat=P","Fill=—","Direction=H","UseDPDF=Y")</f>
        <v>—</v>
      </c>
      <c r="AP63" s="13" t="str">
        <f>_xll.BDH("XOM US Equity","BS_DERIVATIVE_&amp;_HEDGING_LIABS_LT","FQ2 2018","FQ2 2018","Currency=USD","Period=FQ","BEST_FPERIOD_OVERRIDE=FQ","FILING_STATUS=OR","SCALING_FORMAT=MLN","Sort=A","Dates=H","DateFormat=P","Fill=—","Direction=H","UseDPDF=Y")</f>
        <v>—</v>
      </c>
    </row>
    <row r="64" spans="1:42" x14ac:dyDescent="0.25">
      <c r="A64" s="10" t="s">
        <v>311</v>
      </c>
      <c r="B64" s="10" t="s">
        <v>312</v>
      </c>
      <c r="C64" s="13">
        <f>_xll.BDH("XOM US Equity","OTHER_NONCURRENT_LIABS_DETAILED","FQ3 2008","FQ3 2008","Currency=USD","Period=FQ","BEST_FPERIOD_OVERRIDE=FQ","FILING_STATUS=OR","SCALING_FORMAT=MLN","Sort=A","Dates=H","DateFormat=P","Fill=—","Direction=H","UseDPDF=Y")</f>
        <v>55918</v>
      </c>
      <c r="D64" s="13">
        <f>_xll.BDH("XOM US Equity","OTHER_NONCURRENT_LIABS_DETAILED","FQ4 2008","FQ4 2008","Currency=USD","Period=FQ","BEST_FPERIOD_OVERRIDE=FQ","FILING_STATUS=OR","SCALING_FORMAT=MLN","Sort=A","Dates=H","DateFormat=P","Fill=—","Direction=H","UseDPDF=Y")</f>
        <v>54404</v>
      </c>
      <c r="E64" s="13">
        <f>_xll.BDH("XOM US Equity","OTHER_NONCURRENT_LIABS_DETAILED","FQ1 2009","FQ1 2009","Currency=USD","Period=FQ","BEST_FPERIOD_OVERRIDE=FQ","FILING_STATUS=OR","SCALING_FORMAT=MLN","Sort=A","Dates=H","DateFormat=P","Fill=—","Direction=H","UseDPDF=Y")</f>
        <v>14053</v>
      </c>
      <c r="F64" s="13">
        <f>_xll.BDH("XOM US Equity","OTHER_NONCURRENT_LIABS_DETAILED","FQ2 2009","FQ2 2009","Currency=USD","Period=FQ","BEST_FPERIOD_OVERRIDE=FQ","FILING_STATUS=OR","SCALING_FORMAT=MLN","Sort=A","Dates=H","DateFormat=P","Fill=—","Direction=H","UseDPDF=Y")</f>
        <v>14610</v>
      </c>
      <c r="G64" s="13">
        <f>_xll.BDH("XOM US Equity","OTHER_NONCURRENT_LIABS_DETAILED","FQ3 2009","FQ3 2009","Currency=USD","Period=FQ","BEST_FPERIOD_OVERRIDE=FQ","FILING_STATUS=OR","SCALING_FORMAT=MLN","Sort=A","Dates=H","DateFormat=P","Fill=—","Direction=H","UseDPDF=Y")</f>
        <v>15214</v>
      </c>
      <c r="H64" s="13">
        <f>_xll.BDH("XOM US Equity","OTHER_NONCURRENT_LIABS_DETAILED","FQ4 2009","FQ4 2009","Currency=USD","Period=FQ","BEST_FPERIOD_OVERRIDE=FQ","FILING_STATUS=OR","SCALING_FORMAT=MLN","Sort=A","Dates=H","DateFormat=P","Fill=—","Direction=H","UseDPDF=Y")</f>
        <v>17651</v>
      </c>
      <c r="I64" s="13">
        <f>_xll.BDH("XOM US Equity","OTHER_NONCURRENT_LIABS_DETAILED","FQ1 2010","FQ1 2010","Currency=USD","Period=FQ","BEST_FPERIOD_OVERRIDE=FQ","FILING_STATUS=OR","SCALING_FORMAT=MLN","Sort=A","Dates=H","DateFormat=P","Fill=—","Direction=H","UseDPDF=Y")</f>
        <v>19035</v>
      </c>
      <c r="J64" s="13">
        <f>_xll.BDH("XOM US Equity","OTHER_NONCURRENT_LIABS_DETAILED","FQ2 2010","FQ2 2010","Currency=USD","Period=FQ","BEST_FPERIOD_OVERRIDE=FQ","FILING_STATUS=OR","SCALING_FORMAT=MLN","Sort=A","Dates=H","DateFormat=P","Fill=—","Direction=H","UseDPDF=Y")</f>
        <v>18963</v>
      </c>
      <c r="K64" s="13">
        <f>_xll.BDH("XOM US Equity","OTHER_NONCURRENT_LIABS_DETAILED","FQ3 2010","FQ3 2010","Currency=USD","Period=FQ","BEST_FPERIOD_OVERRIDE=FQ","FILING_STATUS=OR","SCALING_FORMAT=MLN","Sort=A","Dates=H","DateFormat=P","Fill=—","Direction=H","UseDPDF=Y")</f>
        <v>19087</v>
      </c>
      <c r="L64" s="13">
        <f>_xll.BDH("XOM US Equity","OTHER_NONCURRENT_LIABS_DETAILED","FQ4 2010","FQ4 2010","Currency=USD","Period=FQ","BEST_FPERIOD_OVERRIDE=FQ","FILING_STATUS=OR","SCALING_FORMAT=MLN","Sort=A","Dates=H","DateFormat=P","Fill=—","Direction=H","UseDPDF=Y")</f>
        <v>20454</v>
      </c>
      <c r="M64" s="13">
        <f>_xll.BDH("XOM US Equity","OTHER_NONCURRENT_LIABS_DETAILED","FQ1 2011","FQ1 2011","Currency=USD","Period=FQ","BEST_FPERIOD_OVERRIDE=FQ","FILING_STATUS=OR","SCALING_FORMAT=MLN","Sort=A","Dates=H","DateFormat=P","Fill=—","Direction=H","UseDPDF=Y")</f>
        <v>19913</v>
      </c>
      <c r="N64" s="13">
        <f>_xll.BDH("XOM US Equity","OTHER_NONCURRENT_LIABS_DETAILED","FQ2 2011","FQ2 2011","Currency=USD","Period=FQ","BEST_FPERIOD_OVERRIDE=FQ","FILING_STATUS=OR","SCALING_FORMAT=MLN","Sort=A","Dates=H","DateFormat=P","Fill=—","Direction=H","UseDPDF=Y")</f>
        <v>20263</v>
      </c>
      <c r="O64" s="13">
        <f>_xll.BDH("XOM US Equity","OTHER_NONCURRENT_LIABS_DETAILED","FQ3 2011","FQ3 2011","Currency=USD","Period=FQ","BEST_FPERIOD_OVERRIDE=FQ","FILING_STATUS=OR","SCALING_FORMAT=MLN","Sort=A","Dates=H","DateFormat=P","Fill=—","Direction=H","UseDPDF=Y")</f>
        <v>20265</v>
      </c>
      <c r="P64" s="13">
        <f>_xll.BDH("XOM US Equity","OTHER_NONCURRENT_LIABS_DETAILED","FQ4 2011","FQ4 2011","Currency=USD","Period=FQ","BEST_FPERIOD_OVERRIDE=FQ","FILING_STATUS=OR","SCALING_FORMAT=MLN","Sort=A","Dates=H","DateFormat=P","Fill=—","Direction=H","UseDPDF=Y")</f>
        <v>21869</v>
      </c>
      <c r="Q64" s="13">
        <f>_xll.BDH("XOM US Equity","OTHER_NONCURRENT_LIABS_DETAILED","FQ1 2012","FQ1 2012","Currency=USD","Period=FQ","BEST_FPERIOD_OVERRIDE=FQ","FILING_STATUS=OR","SCALING_FORMAT=MLN","Sort=A","Dates=H","DateFormat=P","Fill=—","Direction=H","UseDPDF=Y")</f>
        <v>31965</v>
      </c>
      <c r="R64" s="13">
        <f>_xll.BDH("XOM US Equity","OTHER_NONCURRENT_LIABS_DETAILED","FQ2 2012","FQ2 2012","Currency=USD","Period=FQ","BEST_FPERIOD_OVERRIDE=FQ","FILING_STATUS=OR","SCALING_FORMAT=MLN","Sort=A","Dates=H","DateFormat=P","Fill=—","Direction=H","UseDPDF=Y")</f>
        <v>23679</v>
      </c>
      <c r="S64" s="13">
        <f>_xll.BDH("XOM US Equity","OTHER_NONCURRENT_LIABS_DETAILED","FQ3 2012","FQ3 2012","Currency=USD","Period=FQ","BEST_FPERIOD_OVERRIDE=FQ","FILING_STATUS=OR","SCALING_FORMAT=MLN","Sort=A","Dates=H","DateFormat=P","Fill=—","Direction=H","UseDPDF=Y")</f>
        <v>24553</v>
      </c>
      <c r="T64" s="13">
        <f>_xll.BDH("XOM US Equity","OTHER_NONCURRENT_LIABS_DETAILED","FQ4 2012","FQ4 2012","Currency=USD","Period=FQ","BEST_FPERIOD_OVERRIDE=FQ","FILING_STATUS=OR","SCALING_FORMAT=MLN","Sort=A","Dates=H","DateFormat=P","Fill=—","Direction=H","UseDPDF=Y")</f>
        <v>27231</v>
      </c>
      <c r="U64" s="13">
        <f>_xll.BDH("XOM US Equity","OTHER_NONCURRENT_LIABS_DETAILED","FQ1 2013","FQ1 2013","Currency=USD","Period=FQ","BEST_FPERIOD_OVERRIDE=FQ","FILING_STATUS=OR","SCALING_FORMAT=MLN","Sort=A","Dates=H","DateFormat=P","Fill=—","Direction=H","UseDPDF=Y")</f>
        <v>25005</v>
      </c>
      <c r="V64" s="13">
        <f>_xll.BDH("XOM US Equity","OTHER_NONCURRENT_LIABS_DETAILED","FQ2 2013","FQ2 2013","Currency=USD","Period=FQ","BEST_FPERIOD_OVERRIDE=FQ","FILING_STATUS=OR","SCALING_FORMAT=MLN","Sort=A","Dates=H","DateFormat=P","Fill=—","Direction=H","UseDPDF=Y")</f>
        <v>25615</v>
      </c>
      <c r="W64" s="13">
        <f>_xll.BDH("XOM US Equity","OTHER_NONCURRENT_LIABS_DETAILED","FQ3 2013","FQ3 2013","Currency=USD","Period=FQ","BEST_FPERIOD_OVERRIDE=FQ","FILING_STATUS=OR","SCALING_FORMAT=MLN","Sort=A","Dates=H","DateFormat=P","Fill=—","Direction=H","UseDPDF=Y")</f>
        <v>27108</v>
      </c>
      <c r="X64" s="13">
        <f>_xll.BDH("XOM US Equity","OTHER_NONCURRENT_LIABS_DETAILED","FQ4 2013","FQ4 2013","Currency=USD","Period=FQ","BEST_FPERIOD_OVERRIDE=FQ","FILING_STATUS=OR","SCALING_FORMAT=MLN","Sort=A","Dates=H","DateFormat=P","Fill=—","Direction=H","UseDPDF=Y")</f>
        <v>26522</v>
      </c>
      <c r="Y64" s="13">
        <f>_xll.BDH("XOM US Equity","OTHER_NONCURRENT_LIABS_DETAILED","FQ1 2014","FQ1 2014","Currency=USD","Period=FQ","BEST_FPERIOD_OVERRIDE=FQ","FILING_STATUS=OR","SCALING_FORMAT=MLN","Sort=A","Dates=H","DateFormat=P","Fill=—","Direction=H","UseDPDF=Y")</f>
        <v>26892</v>
      </c>
      <c r="Z64" s="13">
        <f>_xll.BDH("XOM US Equity","OTHER_NONCURRENT_LIABS_DETAILED","FQ2 2014","FQ2 2014","Currency=USD","Period=FQ","BEST_FPERIOD_OVERRIDE=FQ","FILING_STATUS=OR","SCALING_FORMAT=MLN","Sort=A","Dates=H","DateFormat=P","Fill=—","Direction=H","UseDPDF=Y")</f>
        <v>27948</v>
      </c>
      <c r="AA64" s="13">
        <f>_xll.BDH("XOM US Equity","OTHER_NONCURRENT_LIABS_DETAILED","FQ3 2014","FQ3 2014","Currency=USD","Period=FQ","BEST_FPERIOD_OVERRIDE=FQ","FILING_STATUS=OR","SCALING_FORMAT=MLN","Sort=A","Dates=H","DateFormat=P","Fill=—","Direction=H","UseDPDF=Y")</f>
        <v>27294</v>
      </c>
      <c r="AB64" s="13">
        <f>_xll.BDH("XOM US Equity","OTHER_NONCURRENT_LIABS_DETAILED","FQ4 2014","FQ4 2014","Currency=USD","Period=FQ","BEST_FPERIOD_OVERRIDE=FQ","FILING_STATUS=OR","SCALING_FORMAT=MLN","Sort=A","Dates=H","DateFormat=P","Fill=—","Direction=H","UseDPDF=Y")</f>
        <v>27111</v>
      </c>
      <c r="AC64" s="13">
        <f>_xll.BDH("XOM US Equity","OTHER_NONCURRENT_LIABS_DETAILED","FQ1 2015","FQ1 2015","Currency=USD","Period=FQ","BEST_FPERIOD_OVERRIDE=FQ","FILING_STATUS=OR","SCALING_FORMAT=MLN","Sort=A","Dates=H","DateFormat=P","Fill=—","Direction=H","UseDPDF=Y")</f>
        <v>26521</v>
      </c>
      <c r="AD64" s="13">
        <f>_xll.BDH("XOM US Equity","OTHER_NONCURRENT_LIABS_DETAILED","FQ2 2015","FQ2 2015","Currency=USD","Period=FQ","BEST_FPERIOD_OVERRIDE=FQ","FILING_STATUS=OR","SCALING_FORMAT=MLN","Sort=A","Dates=H","DateFormat=P","Fill=—","Direction=H","UseDPDF=Y")</f>
        <v>27001</v>
      </c>
      <c r="AE64" s="13">
        <f>_xll.BDH("XOM US Equity","OTHER_NONCURRENT_LIABS_DETAILED","FQ3 2015","FQ3 2015","Currency=USD","Period=FQ","BEST_FPERIOD_OVERRIDE=FQ","FILING_STATUS=OR","SCALING_FORMAT=MLN","Sort=A","Dates=H","DateFormat=P","Fill=—","Direction=H","UseDPDF=Y")</f>
        <v>26524</v>
      </c>
      <c r="AF64" s="13">
        <f>_xll.BDH("XOM US Equity","OTHER_NONCURRENT_LIABS_DETAILED","FQ4 2015","FQ4 2015","Currency=USD","Period=FQ","BEST_FPERIOD_OVERRIDE=FQ","FILING_STATUS=OR","SCALING_FORMAT=MLN","Sort=A","Dates=H","DateFormat=P","Fill=—","Direction=H","UseDPDF=Y")</f>
        <v>26582</v>
      </c>
      <c r="AG64" s="13">
        <f>_xll.BDH("XOM US Equity","OTHER_NONCURRENT_LIABS_DETAILED","FQ1 2016","FQ1 2016","Currency=USD","Period=FQ","BEST_FPERIOD_OVERRIDE=FQ","FILING_STATUS=OR","SCALING_FORMAT=MLN","Sort=A","Dates=H","DateFormat=P","Fill=—","Direction=H","UseDPDF=Y")</f>
        <v>27303</v>
      </c>
      <c r="AH64" s="13">
        <f>_xll.BDH("XOM US Equity","OTHER_NONCURRENT_LIABS_DETAILED","FQ2 2016","FQ2 2016","Currency=USD","Period=FQ","BEST_FPERIOD_OVERRIDE=FQ","FILING_STATUS=OR","SCALING_FORMAT=MLN","Sort=A","Dates=H","DateFormat=P","Fill=—","Direction=H","UseDPDF=Y")</f>
        <v>27000</v>
      </c>
      <c r="AI64" s="13">
        <f>_xll.BDH("XOM US Equity","OTHER_NONCURRENT_LIABS_DETAILED","FQ3 2016","FQ3 2016","Currency=USD","Period=FQ","BEST_FPERIOD_OVERRIDE=FQ","FILING_STATUS=OR","SCALING_FORMAT=MLN","Sort=A","Dates=H","DateFormat=P","Fill=—","Direction=H","UseDPDF=Y")</f>
        <v>27563</v>
      </c>
      <c r="AJ64" s="13">
        <f>_xll.BDH("XOM US Equity","OTHER_NONCURRENT_LIABS_DETAILED","FQ4 2016","FQ4 2016","Currency=USD","Period=FQ","BEST_FPERIOD_OVERRIDE=FQ","FILING_STATUS=OR","SCALING_FORMAT=MLN","Sort=A","Dates=H","DateFormat=P","Fill=—","Direction=H","UseDPDF=Y")</f>
        <v>25193</v>
      </c>
      <c r="AK64" s="13">
        <f>_xll.BDH("XOM US Equity","OTHER_NONCURRENT_LIABS_DETAILED","FQ1 2017","FQ1 2017","Currency=USD","Period=FQ","BEST_FPERIOD_OVERRIDE=FQ","FILING_STATUS=OR","SCALING_FORMAT=MLN","Sort=A","Dates=H","DateFormat=P","Fill=—","Direction=H","UseDPDF=Y")</f>
        <v>26584</v>
      </c>
      <c r="AL64" s="13">
        <f>_xll.BDH("XOM US Equity","OTHER_NONCURRENT_LIABS_DETAILED","FQ2 2017","FQ2 2017","Currency=USD","Period=FQ","BEST_FPERIOD_OVERRIDE=FQ","FILING_STATUS=OR","SCALING_FORMAT=MLN","Sort=A","Dates=H","DateFormat=P","Fill=—","Direction=H","UseDPDF=Y")</f>
        <v>26112</v>
      </c>
      <c r="AM64" s="13">
        <f>_xll.BDH("XOM US Equity","OTHER_NONCURRENT_LIABS_DETAILED","FQ3 2017","FQ3 2017","Currency=USD","Period=FQ","BEST_FPERIOD_OVERRIDE=FQ","FILING_STATUS=OR","SCALING_FORMAT=MLN","Sort=A","Dates=H","DateFormat=P","Fill=—","Direction=H","UseDPDF=Y")</f>
        <v>26279</v>
      </c>
      <c r="AN64" s="13">
        <f>_xll.BDH("XOM US Equity","OTHER_NONCURRENT_LIABS_DETAILED","FQ4 2017","FQ4 2017","Currency=USD","Period=FQ","BEST_FPERIOD_OVERRIDE=FQ","FILING_STATUS=OR","SCALING_FORMAT=MLN","Sort=A","Dates=H","DateFormat=P","Fill=—","Direction=H","UseDPDF=Y")</f>
        <v>23989</v>
      </c>
      <c r="AO64" s="13">
        <f>_xll.BDH("XOM US Equity","OTHER_NONCURRENT_LIABS_DETAILED","FQ1 2018","FQ1 2018","Currency=USD","Period=FQ","BEST_FPERIOD_OVERRIDE=FQ","FILING_STATUS=OR","SCALING_FORMAT=MLN","Sort=A","Dates=H","DateFormat=P","Fill=—","Direction=H","UseDPDF=Y")</f>
        <v>24372</v>
      </c>
      <c r="AP64" s="13">
        <f>_xll.BDH("XOM US Equity","OTHER_NONCURRENT_LIABS_DETAILED","FQ2 2018","FQ2 2018","Currency=USD","Period=FQ","BEST_FPERIOD_OVERRIDE=FQ","FILING_STATUS=OR","SCALING_FORMAT=MLN","Sort=A","Dates=H","DateFormat=P","Fill=—","Direction=H","UseDPDF=Y")</f>
        <v>23803</v>
      </c>
    </row>
    <row r="65" spans="1:42" x14ac:dyDescent="0.25">
      <c r="A65" s="6" t="s">
        <v>313</v>
      </c>
      <c r="B65" s="6" t="s">
        <v>314</v>
      </c>
      <c r="C65" s="16">
        <f>_xll.BDH("XOM US Equity","NON_CUR_LIAB","FQ3 2008","FQ3 2008","Currency=USD","Period=FQ","BEST_FPERIOD_OVERRIDE=FQ","FILING_STATUS=OR","SCALING_FORMAT=MLN","Sort=A","Dates=H","DateFormat=P","Fill=—","Direction=H","UseDPDF=Y")</f>
        <v>63301</v>
      </c>
      <c r="D65" s="16">
        <f>_xll.BDH("XOM US Equity","NON_CUR_LIAB","FQ4 2008","FQ4 2008","Currency=USD","Period=FQ","BEST_FPERIOD_OVERRIDE=FQ","FILING_STATUS=OR","SCALING_FORMAT=MLN","Sort=A","Dates=H","DateFormat=P","Fill=—","Direction=H","UseDPDF=Y")</f>
        <v>61429</v>
      </c>
      <c r="E65" s="16">
        <f>_xll.BDH("XOM US Equity","NON_CUR_LIAB","FQ1 2009","FQ1 2009","Currency=USD","Period=FQ","BEST_FPERIOD_OVERRIDE=FQ","FILING_STATUS=OR","SCALING_FORMAT=MLN","Sort=A","Dates=H","DateFormat=P","Fill=—","Direction=H","UseDPDF=Y")</f>
        <v>61608</v>
      </c>
      <c r="F65" s="16">
        <f>_xll.BDH("XOM US Equity","NON_CUR_LIAB","FQ2 2009","FQ2 2009","Currency=USD","Period=FQ","BEST_FPERIOD_OVERRIDE=FQ","FILING_STATUS=OR","SCALING_FORMAT=MLN","Sort=A","Dates=H","DateFormat=P","Fill=—","Direction=H","UseDPDF=Y")</f>
        <v>61894</v>
      </c>
      <c r="G65" s="16">
        <f>_xll.BDH("XOM US Equity","NON_CUR_LIAB","FQ3 2009","FQ3 2009","Currency=USD","Period=FQ","BEST_FPERIOD_OVERRIDE=FQ","FILING_STATUS=OR","SCALING_FORMAT=MLN","Sort=A","Dates=H","DateFormat=P","Fill=—","Direction=H","UseDPDF=Y")</f>
        <v>64269</v>
      </c>
      <c r="H65" s="16">
        <f>_xll.BDH("XOM US Equity","NON_CUR_LIAB","FQ4 2009","FQ4 2009","Currency=USD","Period=FQ","BEST_FPERIOD_OVERRIDE=FQ","FILING_STATUS=OR","SCALING_FORMAT=MLN","Sort=A","Dates=H","DateFormat=P","Fill=—","Direction=H","UseDPDF=Y")</f>
        <v>65870</v>
      </c>
      <c r="I65" s="16">
        <f>_xll.BDH("XOM US Equity","NON_CUR_LIAB","FQ1 2010","FQ1 2010","Currency=USD","Period=FQ","BEST_FPERIOD_OVERRIDE=FQ","FILING_STATUS=OR","SCALING_FORMAT=MLN","Sort=A","Dates=H","DateFormat=P","Fill=—","Direction=H","UseDPDF=Y")</f>
        <v>67338</v>
      </c>
      <c r="J65" s="16">
        <f>_xll.BDH("XOM US Equity","NON_CUR_LIAB","FQ2 2010","FQ2 2010","Currency=USD","Period=FQ","BEST_FPERIOD_OVERRIDE=FQ","FILING_STATUS=OR","SCALING_FORMAT=MLN","Sort=A","Dates=H","DateFormat=P","Fill=—","Direction=H","UseDPDF=Y")</f>
        <v>87880</v>
      </c>
      <c r="K65" s="16">
        <f>_xll.BDH("XOM US Equity","NON_CUR_LIAB","FQ3 2010","FQ3 2010","Currency=USD","Period=FQ","BEST_FPERIOD_OVERRIDE=FQ","FILING_STATUS=OR","SCALING_FORMAT=MLN","Sort=A","Dates=H","DateFormat=P","Fill=—","Direction=H","UseDPDF=Y")</f>
        <v>87654</v>
      </c>
      <c r="L65" s="16">
        <f>_xll.BDH("XOM US Equity","NON_CUR_LIAB","FQ4 2010","FQ4 2010","Currency=USD","Period=FQ","BEST_FPERIOD_OVERRIDE=FQ","FILING_STATUS=OR","SCALING_FORMAT=MLN","Sort=A","Dates=H","DateFormat=P","Fill=—","Direction=H","UseDPDF=Y")</f>
        <v>87198</v>
      </c>
      <c r="M65" s="16">
        <f>_xll.BDH("XOM US Equity","NON_CUR_LIAB","FQ1 2011","FQ1 2011","Currency=USD","Period=FQ","BEST_FPERIOD_OVERRIDE=FQ","FILING_STATUS=OR","SCALING_FORMAT=MLN","Sort=A","Dates=H","DateFormat=P","Fill=—","Direction=H","UseDPDF=Y")</f>
        <v>88426</v>
      </c>
      <c r="N65" s="16">
        <f>_xll.BDH("XOM US Equity","NON_CUR_LIAB","FQ2 2011","FQ2 2011","Currency=USD","Period=FQ","BEST_FPERIOD_OVERRIDE=FQ","FILING_STATUS=OR","SCALING_FORMAT=MLN","Sort=A","Dates=H","DateFormat=P","Fill=—","Direction=H","UseDPDF=Y")</f>
        <v>89836</v>
      </c>
      <c r="O65" s="16">
        <f>_xll.BDH("XOM US Equity","NON_CUR_LIAB","FQ3 2011","FQ3 2011","Currency=USD","Period=FQ","BEST_FPERIOD_OVERRIDE=FQ","FILING_STATUS=OR","SCALING_FORMAT=MLN","Sort=A","Dates=H","DateFormat=P","Fill=—","Direction=H","UseDPDF=Y")</f>
        <v>86044</v>
      </c>
      <c r="P65" s="16">
        <f>_xll.BDH("XOM US Equity","NON_CUR_LIAB","FQ4 2011","FQ4 2011","Currency=USD","Period=FQ","BEST_FPERIOD_OVERRIDE=FQ","FILING_STATUS=OR","SCALING_FORMAT=MLN","Sort=A","Dates=H","DateFormat=P","Fill=—","Direction=H","UseDPDF=Y")</f>
        <v>92803</v>
      </c>
      <c r="Q65" s="16">
        <f>_xll.BDH("XOM US Equity","NON_CUR_LIAB","FQ1 2012","FQ1 2012","Currency=USD","Period=FQ","BEST_FPERIOD_OVERRIDE=FQ","FILING_STATUS=OR","SCALING_FORMAT=MLN","Sort=A","Dates=H","DateFormat=P","Fill=—","Direction=H","UseDPDF=Y")</f>
        <v>101041</v>
      </c>
      <c r="R65" s="16">
        <f>_xll.BDH("XOM US Equity","NON_CUR_LIAB","FQ2 2012","FQ2 2012","Currency=USD","Period=FQ","BEST_FPERIOD_OVERRIDE=FQ","FILING_STATUS=OR","SCALING_FORMAT=MLN","Sort=A","Dates=H","DateFormat=P","Fill=—","Direction=H","UseDPDF=Y")</f>
        <v>91524</v>
      </c>
      <c r="S65" s="16">
        <f>_xll.BDH("XOM US Equity","NON_CUR_LIAB","FQ3 2012","FQ3 2012","Currency=USD","Period=FQ","BEST_FPERIOD_OVERRIDE=FQ","FILING_STATUS=OR","SCALING_FORMAT=MLN","Sort=A","Dates=H","DateFormat=P","Fill=—","Direction=H","UseDPDF=Y")</f>
        <v>92775</v>
      </c>
      <c r="T65" s="16">
        <f>_xll.BDH("XOM US Equity","NON_CUR_LIAB","FQ4 2012","FQ4 2012","Currency=USD","Period=FQ","BEST_FPERIOD_OVERRIDE=FQ","FILING_STATUS=OR","SCALING_FORMAT=MLN","Sort=A","Dates=H","DateFormat=P","Fill=—","Direction=H","UseDPDF=Y")</f>
        <v>97996</v>
      </c>
      <c r="U65" s="16">
        <f>_xll.BDH("XOM US Equity","NON_CUR_LIAB","FQ1 2013","FQ1 2013","Currency=USD","Period=FQ","BEST_FPERIOD_OVERRIDE=FQ","FILING_STATUS=OR","SCALING_FORMAT=MLN","Sort=A","Dates=H","DateFormat=P","Fill=—","Direction=H","UseDPDF=Y")</f>
        <v>96478</v>
      </c>
      <c r="V65" s="16">
        <f>_xll.BDH("XOM US Equity","NON_CUR_LIAB","FQ2 2013","FQ2 2013","Currency=USD","Period=FQ","BEST_FPERIOD_OVERRIDE=FQ","FILING_STATUS=OR","SCALING_FORMAT=MLN","Sort=A","Dates=H","DateFormat=P","Fill=—","Direction=H","UseDPDF=Y")</f>
        <v>97339</v>
      </c>
      <c r="W65" s="16">
        <f>_xll.BDH("XOM US Equity","NON_CUR_LIAB","FQ3 2013","FQ3 2013","Currency=USD","Period=FQ","BEST_FPERIOD_OVERRIDE=FQ","FILING_STATUS=OR","SCALING_FORMAT=MLN","Sort=A","Dates=H","DateFormat=P","Fill=—","Direction=H","UseDPDF=Y")</f>
        <v>99337</v>
      </c>
      <c r="X65" s="16">
        <f>_xll.BDH("XOM US Equity","NON_CUR_LIAB","FQ4 2013","FQ4 2013","Currency=USD","Period=FQ","BEST_FPERIOD_OVERRIDE=FQ","FILING_STATUS=OR","SCALING_FORMAT=MLN","Sort=A","Dates=H","DateFormat=P","Fill=—","Direction=H","UseDPDF=Y")</f>
        <v>94589</v>
      </c>
      <c r="Y65" s="16">
        <f>_xll.BDH("XOM US Equity","NON_CUR_LIAB","FQ1 2014","FQ1 2014","Currency=USD","Period=FQ","BEST_FPERIOD_OVERRIDE=FQ","FILING_STATUS=OR","SCALING_FORMAT=MLN","Sort=A","Dates=H","DateFormat=P","Fill=—","Direction=H","UseDPDF=Y")</f>
        <v>100034</v>
      </c>
      <c r="Z65" s="16">
        <f>_xll.BDH("XOM US Equity","NON_CUR_LIAB","FQ2 2014","FQ2 2014","Currency=USD","Period=FQ","BEST_FPERIOD_OVERRIDE=FQ","FILING_STATUS=OR","SCALING_FORMAT=MLN","Sort=A","Dates=H","DateFormat=P","Fill=—","Direction=H","UseDPDF=Y")</f>
        <v>100926</v>
      </c>
      <c r="AA65" s="16">
        <f>_xll.BDH("XOM US Equity","NON_CUR_LIAB","FQ3 2014","FQ3 2014","Currency=USD","Period=FQ","BEST_FPERIOD_OVERRIDE=FQ","FILING_STATUS=OR","SCALING_FORMAT=MLN","Sort=A","Dates=H","DateFormat=P","Fill=—","Direction=H","UseDPDF=Y")</f>
        <v>99285</v>
      </c>
      <c r="AB65" s="16">
        <f>_xll.BDH("XOM US Equity","NON_CUR_LIAB","FQ4 2014","FQ4 2014","Currency=USD","Period=FQ","BEST_FPERIOD_OVERRIDE=FQ","FILING_STATUS=OR","SCALING_FORMAT=MLN","Sort=A","Dates=H","DateFormat=P","Fill=—","Direction=H","UseDPDF=Y")</f>
        <v>103796</v>
      </c>
      <c r="AC65" s="16">
        <f>_xll.BDH("XOM US Equity","NON_CUR_LIAB","FQ1 2015","FQ1 2015","Currency=USD","Period=FQ","BEST_FPERIOD_OVERRIDE=FQ","FILING_STATUS=OR","SCALING_FORMAT=MLN","Sort=A","Dates=H","DateFormat=P","Fill=—","Direction=H","UseDPDF=Y")</f>
        <v>109582</v>
      </c>
      <c r="AD65" s="16">
        <f>_xll.BDH("XOM US Equity","NON_CUR_LIAB","FQ2 2015","FQ2 2015","Currency=USD","Period=FQ","BEST_FPERIOD_OVERRIDE=FQ","FILING_STATUS=OR","SCALING_FORMAT=MLN","Sort=A","Dates=H","DateFormat=P","Fill=—","Direction=H","UseDPDF=Y")</f>
        <v>110890</v>
      </c>
      <c r="AE65" s="16">
        <f>_xll.BDH("XOM US Equity","NON_CUR_LIAB","FQ3 2015","FQ3 2015","Currency=USD","Period=FQ","BEST_FPERIOD_OVERRIDE=FQ","FILING_STATUS=OR","SCALING_FORMAT=MLN","Sort=A","Dates=H","DateFormat=P","Fill=—","Direction=H","UseDPDF=Y")</f>
        <v>108995</v>
      </c>
      <c r="AF65" s="16">
        <f>_xll.BDH("XOM US Equity","NON_CUR_LIAB","FQ4 2015","FQ4 2015","Currency=USD","Period=FQ","BEST_FPERIOD_OVERRIDE=FQ","FILING_STATUS=OR","SCALING_FORMAT=MLN","Sort=A","Dates=H","DateFormat=P","Fill=—","Direction=H","UseDPDF=Y")</f>
        <v>105972</v>
      </c>
      <c r="AG65" s="16">
        <f>_xll.BDH("XOM US Equity","NON_CUR_LIAB","FQ1 2016","FQ1 2016","Currency=USD","Period=FQ","BEST_FPERIOD_OVERRIDE=FQ","FILING_STATUS=OR","SCALING_FORMAT=MLN","Sort=A","Dates=H","DateFormat=P","Fill=—","Direction=H","UseDPDF=Y")</f>
        <v>115565</v>
      </c>
      <c r="AH65" s="16">
        <f>_xll.BDH("XOM US Equity","NON_CUR_LIAB","FQ2 2016","FQ2 2016","Currency=USD","Period=FQ","BEST_FPERIOD_OVERRIDE=FQ","FILING_STATUS=OR","SCALING_FORMAT=MLN","Sort=A","Dates=H","DateFormat=P","Fill=—","Direction=H","UseDPDF=Y")</f>
        <v>114094</v>
      </c>
      <c r="AI65" s="16">
        <f>_xll.BDH("XOM US Equity","NON_CUR_LIAB","FQ3 2016","FQ3 2016","Currency=USD","Period=FQ","BEST_FPERIOD_OVERRIDE=FQ","FILING_STATUS=OR","SCALING_FORMAT=MLN","Sort=A","Dates=H","DateFormat=P","Fill=—","Direction=H","UseDPDF=Y")</f>
        <v>112355</v>
      </c>
      <c r="AJ65" s="16">
        <f>_xll.BDH("XOM US Equity","NON_CUR_LIAB","FQ4 2016","FQ4 2016","Currency=USD","Period=FQ","BEST_FPERIOD_OVERRIDE=FQ","FILING_STATUS=OR","SCALING_FORMAT=MLN","Sort=A","Dates=H","DateFormat=P","Fill=—","Direction=H","UseDPDF=Y")</f>
        <v>108846</v>
      </c>
      <c r="AK65" s="16">
        <f>_xll.BDH("XOM US Equity","NON_CUR_LIAB","FQ1 2017","FQ1 2017","Currency=USD","Period=FQ","BEST_FPERIOD_OVERRIDE=FQ","FILING_STATUS=OR","SCALING_FORMAT=MLN","Sort=A","Dates=H","DateFormat=P","Fill=—","Direction=H","UseDPDF=Y")</f>
        <v>107064</v>
      </c>
      <c r="AL65" s="16">
        <f>_xll.BDH("XOM US Equity","NON_CUR_LIAB","FQ2 2017","FQ2 2017","Currency=USD","Period=FQ","BEST_FPERIOD_OVERRIDE=FQ","FILING_STATUS=OR","SCALING_FORMAT=MLN","Sort=A","Dates=H","DateFormat=P","Fill=—","Direction=H","UseDPDF=Y")</f>
        <v>106225</v>
      </c>
      <c r="AM65" s="16">
        <f>_xll.BDH("XOM US Equity","NON_CUR_LIAB","FQ3 2017","FQ3 2017","Currency=USD","Period=FQ","BEST_FPERIOD_OVERRIDE=FQ","FILING_STATUS=OR","SCALING_FORMAT=MLN","Sort=A","Dates=H","DateFormat=P","Fill=—","Direction=H","UseDPDF=Y")</f>
        <v>106452</v>
      </c>
      <c r="AN65" s="16">
        <f>_xll.BDH("XOM US Equity","NON_CUR_LIAB","FQ4 2017","FQ4 2017","Currency=USD","Period=FQ","BEST_FPERIOD_OVERRIDE=FQ","FILING_STATUS=OR","SCALING_FORMAT=MLN","Sort=A","Dates=H","DateFormat=P","Fill=—","Direction=H","UseDPDF=Y")</f>
        <v>96420</v>
      </c>
      <c r="AO65" s="16">
        <f>_xll.BDH("XOM US Equity","NON_CUR_LIAB","FQ1 2018","FQ1 2018","Currency=USD","Period=FQ","BEST_FPERIOD_OVERRIDE=FQ","FILING_STATUS=OR","SCALING_FORMAT=MLN","Sort=A","Dates=H","DateFormat=P","Fill=—","Direction=H","UseDPDF=Y")</f>
        <v>93609</v>
      </c>
      <c r="AP65" s="16">
        <f>_xll.BDH("XOM US Equity","NON_CUR_LIAB","FQ2 2018","FQ2 2018","Currency=USD","Period=FQ","BEST_FPERIOD_OVERRIDE=FQ","FILING_STATUS=OR","SCALING_FORMAT=MLN","Sort=A","Dates=H","DateFormat=P","Fill=—","Direction=H","UseDPDF=Y")</f>
        <v>92810</v>
      </c>
    </row>
    <row r="66" spans="1:42" x14ac:dyDescent="0.25">
      <c r="A66" s="6" t="s">
        <v>315</v>
      </c>
      <c r="B66" s="6" t="s">
        <v>316</v>
      </c>
      <c r="C66" s="16">
        <f>_xll.BDH("XOM US Equity","BS_TOT_LIAB2","FQ3 2008","FQ3 2008","Currency=USD","Period=FQ","BEST_FPERIOD_OVERRIDE=FQ","FILING_STATUS=OR","SCALING_FORMAT=MLN","Sort=A","Dates=H","DateFormat=P","Fill=—","Direction=H","UseDPDF=Y")</f>
        <v>130932</v>
      </c>
      <c r="D66" s="16">
        <f>_xll.BDH("XOM US Equity","BS_TOT_LIAB2","FQ4 2008","FQ4 2008","Currency=USD","Period=FQ","BEST_FPERIOD_OVERRIDE=FQ","FILING_STATUS=OR","SCALING_FORMAT=MLN","Sort=A","Dates=H","DateFormat=P","Fill=—","Direction=H","UseDPDF=Y")</f>
        <v>110529</v>
      </c>
      <c r="E66" s="16">
        <f>_xll.BDH("XOM US Equity","BS_TOT_LIAB2","FQ1 2009","FQ1 2009","Currency=USD","Period=FQ","BEST_FPERIOD_OVERRIDE=FQ","FILING_STATUS=OR","SCALING_FORMAT=MLN","Sort=A","Dates=H","DateFormat=P","Fill=—","Direction=H","UseDPDF=Y")</f>
        <v>111113</v>
      </c>
      <c r="F66" s="16">
        <f>_xll.BDH("XOM US Equity","BS_TOT_LIAB2","FQ2 2009","FQ2 2009","Currency=USD","Period=FQ","BEST_FPERIOD_OVERRIDE=FQ","FILING_STATUS=OR","SCALING_FORMAT=MLN","Sort=A","Dates=H","DateFormat=P","Fill=—","Direction=H","UseDPDF=Y")</f>
        <v>113508</v>
      </c>
      <c r="G66" s="16">
        <f>_xll.BDH("XOM US Equity","BS_TOT_LIAB2","FQ3 2009","FQ3 2009","Currency=USD","Period=FQ","BEST_FPERIOD_OVERRIDE=FQ","FILING_STATUS=OR","SCALING_FORMAT=MLN","Sort=A","Dates=H","DateFormat=P","Fill=—","Direction=H","UseDPDF=Y")</f>
        <v>117202</v>
      </c>
      <c r="H66" s="16">
        <f>_xll.BDH("XOM US Equity","BS_TOT_LIAB2","FQ4 2009","FQ4 2009","Currency=USD","Period=FQ","BEST_FPERIOD_OVERRIDE=FQ","FILING_STATUS=OR","SCALING_FORMAT=MLN","Sort=A","Dates=H","DateFormat=P","Fill=—","Direction=H","UseDPDF=Y")</f>
        <v>117931</v>
      </c>
      <c r="I66" s="16">
        <f>_xll.BDH("XOM US Equity","BS_TOT_LIAB2","FQ1 2010","FQ1 2010","Currency=USD","Period=FQ","BEST_FPERIOD_OVERRIDE=FQ","FILING_STATUS=OR","SCALING_FORMAT=MLN","Sort=A","Dates=H","DateFormat=P","Fill=—","Direction=H","UseDPDF=Y")</f>
        <v>125082</v>
      </c>
      <c r="J66" s="16">
        <f>_xll.BDH("XOM US Equity","BS_TOT_LIAB2","FQ2 2010","FQ2 2010","Currency=USD","Period=FQ","BEST_FPERIOD_OVERRIDE=FQ","FILING_STATUS=OR","SCALING_FORMAT=MLN","Sort=A","Dates=H","DateFormat=P","Fill=—","Direction=H","UseDPDF=Y")</f>
        <v>145701</v>
      </c>
      <c r="K66" s="16">
        <f>_xll.BDH("XOM US Equity","BS_TOT_LIAB2","FQ3 2010","FQ3 2010","Currency=USD","Period=FQ","BEST_FPERIOD_OVERRIDE=FQ","FILING_STATUS=OR","SCALING_FORMAT=MLN","Sort=A","Dates=H","DateFormat=P","Fill=—","Direction=H","UseDPDF=Y")</f>
        <v>149394</v>
      </c>
      <c r="L66" s="16">
        <f>_xll.BDH("XOM US Equity","BS_TOT_LIAB2","FQ4 2010","FQ4 2010","Currency=USD","Period=FQ","BEST_FPERIOD_OVERRIDE=FQ","FILING_STATUS=OR","SCALING_FORMAT=MLN","Sort=A","Dates=H","DateFormat=P","Fill=—","Direction=H","UseDPDF=Y")</f>
        <v>149831</v>
      </c>
      <c r="M66" s="16">
        <f>_xll.BDH("XOM US Equity","BS_TOT_LIAB2","FQ1 2011","FQ1 2011","Currency=USD","Period=FQ","BEST_FPERIOD_OVERRIDE=FQ","FILING_STATUS=OR","SCALING_FORMAT=MLN","Sort=A","Dates=H","DateFormat=P","Fill=—","Direction=H","UseDPDF=Y")</f>
        <v>162002</v>
      </c>
      <c r="N66" s="16">
        <f>_xll.BDH("XOM US Equity","BS_TOT_LIAB2","FQ2 2011","FQ2 2011","Currency=USD","Period=FQ","BEST_FPERIOD_OVERRIDE=FQ","FILING_STATUS=OR","SCALING_FORMAT=MLN","Sort=A","Dates=H","DateFormat=P","Fill=—","Direction=H","UseDPDF=Y")</f>
        <v>164369</v>
      </c>
      <c r="O66" s="16">
        <f>_xll.BDH("XOM US Equity","BS_TOT_LIAB2","FQ3 2011","FQ3 2011","Currency=USD","Period=FQ","BEST_FPERIOD_OVERRIDE=FQ","FILING_STATUS=OR","SCALING_FORMAT=MLN","Sort=A","Dates=H","DateFormat=P","Fill=—","Direction=H","UseDPDF=Y")</f>
        <v>161015</v>
      </c>
      <c r="P66" s="16">
        <f>_xll.BDH("XOM US Equity","BS_TOT_LIAB2","FQ4 2011","FQ4 2011","Currency=USD","Period=FQ","BEST_FPERIOD_OVERRIDE=FQ","FILING_STATUS=OR","SCALING_FORMAT=MLN","Sort=A","Dates=H","DateFormat=P","Fill=—","Direction=H","UseDPDF=Y")</f>
        <v>170308</v>
      </c>
      <c r="Q66" s="16">
        <f>_xll.BDH("XOM US Equity","BS_TOT_LIAB2","FQ1 2012","FQ1 2012","Currency=USD","Period=FQ","BEST_FPERIOD_OVERRIDE=FQ","FILING_STATUS=OR","SCALING_FORMAT=MLN","Sort=A","Dates=H","DateFormat=P","Fill=—","Direction=H","UseDPDF=Y")</f>
        <v>181035</v>
      </c>
      <c r="R66" s="16">
        <f>_xll.BDH("XOM US Equity","BS_TOT_LIAB2","FQ2 2012","FQ2 2012","Currency=USD","Period=FQ","BEST_FPERIOD_OVERRIDE=FQ","FILING_STATUS=OR","SCALING_FORMAT=MLN","Sort=A","Dates=H","DateFormat=P","Fill=—","Direction=H","UseDPDF=Y")</f>
        <v>161660</v>
      </c>
      <c r="S66" s="16">
        <f>_xll.BDH("XOM US Equity","BS_TOT_LIAB2","FQ3 2012","FQ3 2012","Currency=USD","Period=FQ","BEST_FPERIOD_OVERRIDE=FQ","FILING_STATUS=OR","SCALING_FORMAT=MLN","Sort=A","Dates=H","DateFormat=P","Fill=—","Direction=H","UseDPDF=Y")</f>
        <v>162836</v>
      </c>
      <c r="T66" s="16">
        <f>_xll.BDH("XOM US Equity","BS_TOT_LIAB2","FQ4 2012","FQ4 2012","Currency=USD","Period=FQ","BEST_FPERIOD_OVERRIDE=FQ","FILING_STATUS=OR","SCALING_FORMAT=MLN","Sort=A","Dates=H","DateFormat=P","Fill=—","Direction=H","UseDPDF=Y")</f>
        <v>162135</v>
      </c>
      <c r="U66" s="16">
        <f>_xll.BDH("XOM US Equity","BS_TOT_LIAB2","FQ1 2013","FQ1 2013","Currency=USD","Period=FQ","BEST_FPERIOD_OVERRIDE=FQ","FILING_STATUS=OR","SCALING_FORMAT=MLN","Sort=A","Dates=H","DateFormat=P","Fill=—","Direction=H","UseDPDF=Y")</f>
        <v>166562</v>
      </c>
      <c r="V66" s="16">
        <f>_xll.BDH("XOM US Equity","BS_TOT_LIAB2","FQ2 2013","FQ2 2013","Currency=USD","Period=FQ","BEST_FPERIOD_OVERRIDE=FQ","FILING_STATUS=OR","SCALING_FORMAT=MLN","Sort=A","Dates=H","DateFormat=P","Fill=—","Direction=H","UseDPDF=Y")</f>
        <v>170027</v>
      </c>
      <c r="W66" s="16">
        <f>_xll.BDH("XOM US Equity","BS_TOT_LIAB2","FQ3 2013","FQ3 2013","Currency=USD","Period=FQ","BEST_FPERIOD_OVERRIDE=FQ","FILING_STATUS=OR","SCALING_FORMAT=MLN","Sort=A","Dates=H","DateFormat=P","Fill=—","Direction=H","UseDPDF=Y")</f>
        <v>172086</v>
      </c>
      <c r="X66" s="16">
        <f>_xll.BDH("XOM US Equity","BS_TOT_LIAB2","FQ4 2013","FQ4 2013","Currency=USD","Period=FQ","BEST_FPERIOD_OVERRIDE=FQ","FILING_STATUS=OR","SCALING_FORMAT=MLN","Sort=A","Dates=H","DateFormat=P","Fill=—","Direction=H","UseDPDF=Y")</f>
        <v>166313</v>
      </c>
      <c r="Y66" s="16">
        <f>_xll.BDH("XOM US Equity","BS_TOT_LIAB2","FQ1 2014","FQ1 2014","Currency=USD","Period=FQ","BEST_FPERIOD_OVERRIDE=FQ","FILING_STATUS=OR","SCALING_FORMAT=MLN","Sort=A","Dates=H","DateFormat=P","Fill=—","Direction=H","UseDPDF=Y")</f>
        <v>170142</v>
      </c>
      <c r="Z66" s="16">
        <f>_xll.BDH("XOM US Equity","BS_TOT_LIAB2","FQ2 2014","FQ2 2014","Currency=USD","Period=FQ","BEST_FPERIOD_OVERRIDE=FQ","FILING_STATUS=OR","SCALING_FORMAT=MLN","Sort=A","Dates=H","DateFormat=P","Fill=—","Direction=H","UseDPDF=Y")</f>
        <v>170455</v>
      </c>
      <c r="AA66" s="16">
        <f>_xll.BDH("XOM US Equity","BS_TOT_LIAB2","FQ3 2014","FQ3 2014","Currency=USD","Period=FQ","BEST_FPERIOD_OVERRIDE=FQ","FILING_STATUS=OR","SCALING_FORMAT=MLN","Sort=A","Dates=H","DateFormat=P","Fill=—","Direction=H","UseDPDF=Y")</f>
        <v>165269</v>
      </c>
      <c r="AB66" s="16">
        <f>_xll.BDH("XOM US Equity","BS_TOT_LIAB2","FQ4 2014","FQ4 2014","Currency=USD","Period=FQ","BEST_FPERIOD_OVERRIDE=FQ","FILING_STATUS=OR","SCALING_FORMAT=MLN","Sort=A","Dates=H","DateFormat=P","Fill=—","Direction=H","UseDPDF=Y")</f>
        <v>168429</v>
      </c>
      <c r="AC66" s="16">
        <f>_xll.BDH("XOM US Equity","BS_TOT_LIAB2","FQ1 2015","FQ1 2015","Currency=USD","Period=FQ","BEST_FPERIOD_OVERRIDE=FQ","FILING_STATUS=OR","SCALING_FORMAT=MLN","Sort=A","Dates=H","DateFormat=P","Fill=—","Direction=H","UseDPDF=Y")</f>
        <v>165515</v>
      </c>
      <c r="AD66" s="16">
        <f>_xll.BDH("XOM US Equity","BS_TOT_LIAB2","FQ2 2015","FQ2 2015","Currency=USD","Period=FQ","BEST_FPERIOD_OVERRIDE=FQ","FILING_STATUS=OR","SCALING_FORMAT=MLN","Sort=A","Dates=H","DateFormat=P","Fill=—","Direction=H","UseDPDF=Y")</f>
        <v>169262</v>
      </c>
      <c r="AE66" s="16">
        <f>_xll.BDH("XOM US Equity","BS_TOT_LIAB2","FQ3 2015","FQ3 2015","Currency=USD","Period=FQ","BEST_FPERIOD_OVERRIDE=FQ","FILING_STATUS=OR","SCALING_FORMAT=MLN","Sort=A","Dates=H","DateFormat=P","Fill=—","Direction=H","UseDPDF=Y")</f>
        <v>163823</v>
      </c>
      <c r="AF66" s="16">
        <f>_xll.BDH("XOM US Equity","BS_TOT_LIAB2","FQ4 2015","FQ4 2015","Currency=USD","Period=FQ","BEST_FPERIOD_OVERRIDE=FQ","FILING_STATUS=OR","SCALING_FORMAT=MLN","Sort=A","Dates=H","DateFormat=P","Fill=—","Direction=H","UseDPDF=Y")</f>
        <v>159948</v>
      </c>
      <c r="AG66" s="16">
        <f>_xll.BDH("XOM US Equity","BS_TOT_LIAB2","FQ1 2016","FQ1 2016","Currency=USD","Period=FQ","BEST_FPERIOD_OVERRIDE=FQ","FILING_STATUS=OR","SCALING_FORMAT=MLN","Sort=A","Dates=H","DateFormat=P","Fill=—","Direction=H","UseDPDF=Y")</f>
        <v>164291</v>
      </c>
      <c r="AH66" s="16">
        <f>_xll.BDH("XOM US Equity","BS_TOT_LIAB2","FQ2 2016","FQ2 2016","Currency=USD","Period=FQ","BEST_FPERIOD_OVERRIDE=FQ","FILING_STATUS=OR","SCALING_FORMAT=MLN","Sort=A","Dates=H","DateFormat=P","Fill=—","Direction=H","UseDPDF=Y")</f>
        <v>165598</v>
      </c>
      <c r="AI66" s="16">
        <f>_xll.BDH("XOM US Equity","BS_TOT_LIAB2","FQ3 2016","FQ3 2016","Currency=USD","Period=FQ","BEST_FPERIOD_OVERRIDE=FQ","FILING_STATUS=OR","SCALING_FORMAT=MLN","Sort=A","Dates=H","DateFormat=P","Fill=—","Direction=H","UseDPDF=Y")</f>
        <v>162376</v>
      </c>
      <c r="AJ66" s="16">
        <f>_xll.BDH("XOM US Equity","BS_TOT_LIAB2","FQ4 2016","FQ4 2016","Currency=USD","Period=FQ","BEST_FPERIOD_OVERRIDE=FQ","FILING_STATUS=OR","SCALING_FORMAT=MLN","Sort=A","Dates=H","DateFormat=P","Fill=—","Direction=H","UseDPDF=Y")</f>
        <v>156484</v>
      </c>
      <c r="AK66" s="16">
        <f>_xll.BDH("XOM US Equity","BS_TOT_LIAB2","FQ1 2017","FQ1 2017","Currency=USD","Period=FQ","BEST_FPERIOD_OVERRIDE=FQ","FILING_STATUS=OR","SCALING_FORMAT=MLN","Sort=A","Dates=H","DateFormat=P","Fill=—","Direction=H","UseDPDF=Y")</f>
        <v>160438</v>
      </c>
      <c r="AL66" s="16">
        <f>_xll.BDH("XOM US Equity","BS_TOT_LIAB2","FQ2 2017","FQ2 2017","Currency=USD","Period=FQ","BEST_FPERIOD_OVERRIDE=FQ","FILING_STATUS=OR","SCALING_FORMAT=MLN","Sort=A","Dates=H","DateFormat=P","Fill=—","Direction=H","UseDPDF=Y")</f>
        <v>157174</v>
      </c>
      <c r="AM66" s="16">
        <f>_xll.BDH("XOM US Equity","BS_TOT_LIAB2","FQ3 2017","FQ3 2017","Currency=USD","Period=FQ","BEST_FPERIOD_OVERRIDE=FQ","FILING_STATUS=OR","SCALING_FORMAT=MLN","Sort=A","Dates=H","DateFormat=P","Fill=—","Direction=H","UseDPDF=Y")</f>
        <v>160229</v>
      </c>
      <c r="AN66" s="16">
        <f>_xll.BDH("XOM US Equity","BS_TOT_LIAB2","FQ4 2017","FQ4 2017","Currency=USD","Period=FQ","BEST_FPERIOD_OVERRIDE=FQ","FILING_STATUS=OR","SCALING_FORMAT=MLN","Sort=A","Dates=H","DateFormat=P","Fill=—","Direction=H","UseDPDF=Y")</f>
        <v>154191</v>
      </c>
      <c r="AO66" s="16">
        <f>_xll.BDH("XOM US Equity","BS_TOT_LIAB2","FQ1 2018","FQ1 2018","Currency=USD","Period=FQ","BEST_FPERIOD_OVERRIDE=FQ","FILING_STATUS=OR","SCALING_FORMAT=MLN","Sort=A","Dates=H","DateFormat=P","Fill=—","Direction=H","UseDPDF=Y")</f>
        <v>153915</v>
      </c>
      <c r="AP66" s="16">
        <f>_xll.BDH("XOM US Equity","BS_TOT_LIAB2","FQ2 2018","FQ2 2018","Currency=USD","Period=FQ","BEST_FPERIOD_OVERRIDE=FQ","FILING_STATUS=OR","SCALING_FORMAT=MLN","Sort=A","Dates=H","DateFormat=P","Fill=—","Direction=H","UseDPDF=Y")</f>
        <v>155257</v>
      </c>
    </row>
    <row r="67" spans="1:42" x14ac:dyDescent="0.25">
      <c r="A67" s="10" t="s">
        <v>317</v>
      </c>
      <c r="B67" s="10" t="s">
        <v>318</v>
      </c>
      <c r="C67" s="13">
        <f>_xll.BDH("XOM US Equity","BS_PFD_EQTY_&amp;_HYBRID_CPTL","FQ3 2008","FQ3 2008","Currency=USD","Period=FQ","BEST_FPERIOD_OVERRIDE=FQ","FILING_STATUS=OR","SCALING_FORMAT=MLN","Sort=A","Dates=H","DateFormat=P","Fill=—","Direction=H","UseDPDF=Y")</f>
        <v>0</v>
      </c>
      <c r="D67" s="13">
        <f>_xll.BDH("XOM US Equity","BS_PFD_EQTY_&amp;_HYBRID_CPTL","FQ4 2008","FQ4 2008","Currency=USD","Period=FQ","BEST_FPERIOD_OVERRIDE=FQ","FILING_STATUS=OR","SCALING_FORMAT=MLN","Sort=A","Dates=H","DateFormat=P","Fill=—","Direction=H","UseDPDF=Y")</f>
        <v>0</v>
      </c>
      <c r="E67" s="13">
        <f>_xll.BDH("XOM US Equity","BS_PFD_EQTY_&amp;_HYBRID_CPTL","FQ1 2009","FQ1 2009","Currency=USD","Period=FQ","BEST_FPERIOD_OVERRIDE=FQ","FILING_STATUS=OR","SCALING_FORMAT=MLN","Sort=A","Dates=H","DateFormat=P","Fill=—","Direction=H","UseDPDF=Y")</f>
        <v>0</v>
      </c>
      <c r="F67" s="13">
        <f>_xll.BDH("XOM US Equity","BS_PFD_EQTY_&amp;_HYBRID_CPTL","FQ2 2009","FQ2 2009","Currency=USD","Period=FQ","BEST_FPERIOD_OVERRIDE=FQ","FILING_STATUS=OR","SCALING_FORMAT=MLN","Sort=A","Dates=H","DateFormat=P","Fill=—","Direction=H","UseDPDF=Y")</f>
        <v>0</v>
      </c>
      <c r="G67" s="13">
        <f>_xll.BDH("XOM US Equity","BS_PFD_EQTY_&amp;_HYBRID_CPTL","FQ3 2009","FQ3 2009","Currency=USD","Period=FQ","BEST_FPERIOD_OVERRIDE=FQ","FILING_STATUS=OR","SCALING_FORMAT=MLN","Sort=A","Dates=H","DateFormat=P","Fill=—","Direction=H","UseDPDF=Y")</f>
        <v>0</v>
      </c>
      <c r="H67" s="13">
        <f>_xll.BDH("XOM US Equity","BS_PFD_EQTY_&amp;_HYBRID_CPTL","FQ4 2009","FQ4 2009","Currency=USD","Period=FQ","BEST_FPERIOD_OVERRIDE=FQ","FILING_STATUS=OR","SCALING_FORMAT=MLN","Sort=A","Dates=H","DateFormat=P","Fill=—","Direction=H","UseDPDF=Y")</f>
        <v>0</v>
      </c>
      <c r="I67" s="13">
        <f>_xll.BDH("XOM US Equity","BS_PFD_EQTY_&amp;_HYBRID_CPTL","FQ1 2010","FQ1 2010","Currency=USD","Period=FQ","BEST_FPERIOD_OVERRIDE=FQ","FILING_STATUS=OR","SCALING_FORMAT=MLN","Sort=A","Dates=H","DateFormat=P","Fill=—","Direction=H","UseDPDF=Y")</f>
        <v>0</v>
      </c>
      <c r="J67" s="13">
        <f>_xll.BDH("XOM US Equity","BS_PFD_EQTY_&amp;_HYBRID_CPTL","FQ2 2010","FQ2 2010","Currency=USD","Period=FQ","BEST_FPERIOD_OVERRIDE=FQ","FILING_STATUS=OR","SCALING_FORMAT=MLN","Sort=A","Dates=H","DateFormat=P","Fill=—","Direction=H","UseDPDF=Y")</f>
        <v>0</v>
      </c>
      <c r="K67" s="13">
        <f>_xll.BDH("XOM US Equity","BS_PFD_EQTY_&amp;_HYBRID_CPTL","FQ3 2010","FQ3 2010","Currency=USD","Period=FQ","BEST_FPERIOD_OVERRIDE=FQ","FILING_STATUS=OR","SCALING_FORMAT=MLN","Sort=A","Dates=H","DateFormat=P","Fill=—","Direction=H","UseDPDF=Y")</f>
        <v>0</v>
      </c>
      <c r="L67" s="13">
        <f>_xll.BDH("XOM US Equity","BS_PFD_EQTY_&amp;_HYBRID_CPTL","FQ4 2010","FQ4 2010","Currency=USD","Period=FQ","BEST_FPERIOD_OVERRIDE=FQ","FILING_STATUS=OR","SCALING_FORMAT=MLN","Sort=A","Dates=H","DateFormat=P","Fill=—","Direction=H","UseDPDF=Y")</f>
        <v>0</v>
      </c>
      <c r="M67" s="13">
        <f>_xll.BDH("XOM US Equity","BS_PFD_EQTY_&amp;_HYBRID_CPTL","FQ1 2011","FQ1 2011","Currency=USD","Period=FQ","BEST_FPERIOD_OVERRIDE=FQ","FILING_STATUS=OR","SCALING_FORMAT=MLN","Sort=A","Dates=H","DateFormat=P","Fill=—","Direction=H","UseDPDF=Y")</f>
        <v>0</v>
      </c>
      <c r="N67" s="13">
        <f>_xll.BDH("XOM US Equity","BS_PFD_EQTY_&amp;_HYBRID_CPTL","FQ2 2011","FQ2 2011","Currency=USD","Period=FQ","BEST_FPERIOD_OVERRIDE=FQ","FILING_STATUS=OR","SCALING_FORMAT=MLN","Sort=A","Dates=H","DateFormat=P","Fill=—","Direction=H","UseDPDF=Y")</f>
        <v>0</v>
      </c>
      <c r="O67" s="13">
        <f>_xll.BDH("XOM US Equity","BS_PFD_EQTY_&amp;_HYBRID_CPTL","FQ3 2011","FQ3 2011","Currency=USD","Period=FQ","BEST_FPERIOD_OVERRIDE=FQ","FILING_STATUS=OR","SCALING_FORMAT=MLN","Sort=A","Dates=H","DateFormat=P","Fill=—","Direction=H","UseDPDF=Y")</f>
        <v>0</v>
      </c>
      <c r="P67" s="13">
        <f>_xll.BDH("XOM US Equity","BS_PFD_EQTY_&amp;_HYBRID_CPTL","FQ4 2011","FQ4 2011","Currency=USD","Period=FQ","BEST_FPERIOD_OVERRIDE=FQ","FILING_STATUS=OR","SCALING_FORMAT=MLN","Sort=A","Dates=H","DateFormat=P","Fill=—","Direction=H","UseDPDF=Y")</f>
        <v>0</v>
      </c>
      <c r="Q67" s="13">
        <f>_xll.BDH("XOM US Equity","BS_PFD_EQTY_&amp;_HYBRID_CPTL","FQ1 2012","FQ1 2012","Currency=USD","Period=FQ","BEST_FPERIOD_OVERRIDE=FQ","FILING_STATUS=OR","SCALING_FORMAT=MLN","Sort=A","Dates=H","DateFormat=P","Fill=—","Direction=H","UseDPDF=Y")</f>
        <v>0</v>
      </c>
      <c r="R67" s="13">
        <f>_xll.BDH("XOM US Equity","BS_PFD_EQTY_&amp;_HYBRID_CPTL","FQ2 2012","FQ2 2012","Currency=USD","Period=FQ","BEST_FPERIOD_OVERRIDE=FQ","FILING_STATUS=OR","SCALING_FORMAT=MLN","Sort=A","Dates=H","DateFormat=P","Fill=—","Direction=H","UseDPDF=Y")</f>
        <v>0</v>
      </c>
      <c r="S67" s="13">
        <f>_xll.BDH("XOM US Equity","BS_PFD_EQTY_&amp;_HYBRID_CPTL","FQ3 2012","FQ3 2012","Currency=USD","Period=FQ","BEST_FPERIOD_OVERRIDE=FQ","FILING_STATUS=OR","SCALING_FORMAT=MLN","Sort=A","Dates=H","DateFormat=P","Fill=—","Direction=H","UseDPDF=Y")</f>
        <v>0</v>
      </c>
      <c r="T67" s="13">
        <f>_xll.BDH("XOM US Equity","BS_PFD_EQTY_&amp;_HYBRID_CPTL","FQ4 2012","FQ4 2012","Currency=USD","Period=FQ","BEST_FPERIOD_OVERRIDE=FQ","FILING_STATUS=OR","SCALING_FORMAT=MLN","Sort=A","Dates=H","DateFormat=P","Fill=—","Direction=H","UseDPDF=Y")</f>
        <v>0</v>
      </c>
      <c r="U67" s="13">
        <f>_xll.BDH("XOM US Equity","BS_PFD_EQTY_&amp;_HYBRID_CPTL","FQ1 2013","FQ1 2013","Currency=USD","Period=FQ","BEST_FPERIOD_OVERRIDE=FQ","FILING_STATUS=OR","SCALING_FORMAT=MLN","Sort=A","Dates=H","DateFormat=P","Fill=—","Direction=H","UseDPDF=Y")</f>
        <v>0</v>
      </c>
      <c r="V67" s="13">
        <f>_xll.BDH("XOM US Equity","BS_PFD_EQTY_&amp;_HYBRID_CPTL","FQ2 2013","FQ2 2013","Currency=USD","Period=FQ","BEST_FPERIOD_OVERRIDE=FQ","FILING_STATUS=OR","SCALING_FORMAT=MLN","Sort=A","Dates=H","DateFormat=P","Fill=—","Direction=H","UseDPDF=Y")</f>
        <v>0</v>
      </c>
      <c r="W67" s="13">
        <f>_xll.BDH("XOM US Equity","BS_PFD_EQTY_&amp;_HYBRID_CPTL","FQ3 2013","FQ3 2013","Currency=USD","Period=FQ","BEST_FPERIOD_OVERRIDE=FQ","FILING_STATUS=OR","SCALING_FORMAT=MLN","Sort=A","Dates=H","DateFormat=P","Fill=—","Direction=H","UseDPDF=Y")</f>
        <v>0</v>
      </c>
      <c r="X67" s="13">
        <f>_xll.BDH("XOM US Equity","BS_PFD_EQTY_&amp;_HYBRID_CPTL","FQ4 2013","FQ4 2013","Currency=USD","Period=FQ","BEST_FPERIOD_OVERRIDE=FQ","FILING_STATUS=OR","SCALING_FORMAT=MLN","Sort=A","Dates=H","DateFormat=P","Fill=—","Direction=H","UseDPDF=Y")</f>
        <v>0</v>
      </c>
      <c r="Y67" s="13">
        <f>_xll.BDH("XOM US Equity","BS_PFD_EQTY_&amp;_HYBRID_CPTL","FQ1 2014","FQ1 2014","Currency=USD","Period=FQ","BEST_FPERIOD_OVERRIDE=FQ","FILING_STATUS=OR","SCALING_FORMAT=MLN","Sort=A","Dates=H","DateFormat=P","Fill=—","Direction=H","UseDPDF=Y")</f>
        <v>0</v>
      </c>
      <c r="Z67" s="13">
        <f>_xll.BDH("XOM US Equity","BS_PFD_EQTY_&amp;_HYBRID_CPTL","FQ2 2014","FQ2 2014","Currency=USD","Period=FQ","BEST_FPERIOD_OVERRIDE=FQ","FILING_STATUS=OR","SCALING_FORMAT=MLN","Sort=A","Dates=H","DateFormat=P","Fill=—","Direction=H","UseDPDF=Y")</f>
        <v>0</v>
      </c>
      <c r="AA67" s="13">
        <f>_xll.BDH("XOM US Equity","BS_PFD_EQTY_&amp;_HYBRID_CPTL","FQ3 2014","FQ3 2014","Currency=USD","Period=FQ","BEST_FPERIOD_OVERRIDE=FQ","FILING_STATUS=OR","SCALING_FORMAT=MLN","Sort=A","Dates=H","DateFormat=P","Fill=—","Direction=H","UseDPDF=Y")</f>
        <v>0</v>
      </c>
      <c r="AB67" s="13">
        <f>_xll.BDH("XOM US Equity","BS_PFD_EQTY_&amp;_HYBRID_CPTL","FQ4 2014","FQ4 2014","Currency=USD","Period=FQ","BEST_FPERIOD_OVERRIDE=FQ","FILING_STATUS=OR","SCALING_FORMAT=MLN","Sort=A","Dates=H","DateFormat=P","Fill=—","Direction=H","UseDPDF=Y")</f>
        <v>0</v>
      </c>
      <c r="AC67" s="13">
        <f>_xll.BDH("XOM US Equity","BS_PFD_EQTY_&amp;_HYBRID_CPTL","FQ1 2015","FQ1 2015","Currency=USD","Period=FQ","BEST_FPERIOD_OVERRIDE=FQ","FILING_STATUS=OR","SCALING_FORMAT=MLN","Sort=A","Dates=H","DateFormat=P","Fill=—","Direction=H","UseDPDF=Y")</f>
        <v>0</v>
      </c>
      <c r="AD67" s="13">
        <f>_xll.BDH("XOM US Equity","BS_PFD_EQTY_&amp;_HYBRID_CPTL","FQ2 2015","FQ2 2015","Currency=USD","Period=FQ","BEST_FPERIOD_OVERRIDE=FQ","FILING_STATUS=OR","SCALING_FORMAT=MLN","Sort=A","Dates=H","DateFormat=P","Fill=—","Direction=H","UseDPDF=Y")</f>
        <v>0</v>
      </c>
      <c r="AE67" s="13">
        <f>_xll.BDH("XOM US Equity","BS_PFD_EQTY_&amp;_HYBRID_CPTL","FQ3 2015","FQ3 2015","Currency=USD","Period=FQ","BEST_FPERIOD_OVERRIDE=FQ","FILING_STATUS=OR","SCALING_FORMAT=MLN","Sort=A","Dates=H","DateFormat=P","Fill=—","Direction=H","UseDPDF=Y")</f>
        <v>0</v>
      </c>
      <c r="AF67" s="13">
        <f>_xll.BDH("XOM US Equity","BS_PFD_EQTY_&amp;_HYBRID_CPTL","FQ4 2015","FQ4 2015","Currency=USD","Period=FQ","BEST_FPERIOD_OVERRIDE=FQ","FILING_STATUS=OR","SCALING_FORMAT=MLN","Sort=A","Dates=H","DateFormat=P","Fill=—","Direction=H","UseDPDF=Y")</f>
        <v>0</v>
      </c>
      <c r="AG67" s="13">
        <f>_xll.BDH("XOM US Equity","BS_PFD_EQTY_&amp;_HYBRID_CPTL","FQ1 2016","FQ1 2016","Currency=USD","Period=FQ","BEST_FPERIOD_OVERRIDE=FQ","FILING_STATUS=OR","SCALING_FORMAT=MLN","Sort=A","Dates=H","DateFormat=P","Fill=—","Direction=H","UseDPDF=Y")</f>
        <v>0</v>
      </c>
      <c r="AH67" s="13">
        <f>_xll.BDH("XOM US Equity","BS_PFD_EQTY_&amp;_HYBRID_CPTL","FQ2 2016","FQ2 2016","Currency=USD","Period=FQ","BEST_FPERIOD_OVERRIDE=FQ","FILING_STATUS=OR","SCALING_FORMAT=MLN","Sort=A","Dates=H","DateFormat=P","Fill=—","Direction=H","UseDPDF=Y")</f>
        <v>0</v>
      </c>
      <c r="AI67" s="13">
        <f>_xll.BDH("XOM US Equity","BS_PFD_EQTY_&amp;_HYBRID_CPTL","FQ3 2016","FQ3 2016","Currency=USD","Period=FQ","BEST_FPERIOD_OVERRIDE=FQ","FILING_STATUS=OR","SCALING_FORMAT=MLN","Sort=A","Dates=H","DateFormat=P","Fill=—","Direction=H","UseDPDF=Y")</f>
        <v>0</v>
      </c>
      <c r="AJ67" s="13">
        <f>_xll.BDH("XOM US Equity","BS_PFD_EQTY_&amp;_HYBRID_CPTL","FQ4 2016","FQ4 2016","Currency=USD","Period=FQ","BEST_FPERIOD_OVERRIDE=FQ","FILING_STATUS=OR","SCALING_FORMAT=MLN","Sort=A","Dates=H","DateFormat=P","Fill=—","Direction=H","UseDPDF=Y")</f>
        <v>0</v>
      </c>
      <c r="AK67" s="13">
        <f>_xll.BDH("XOM US Equity","BS_PFD_EQTY_&amp;_HYBRID_CPTL","FQ1 2017","FQ1 2017","Currency=USD","Period=FQ","BEST_FPERIOD_OVERRIDE=FQ","FILING_STATUS=OR","SCALING_FORMAT=MLN","Sort=A","Dates=H","DateFormat=P","Fill=—","Direction=H","UseDPDF=Y")</f>
        <v>0</v>
      </c>
      <c r="AL67" s="13">
        <f>_xll.BDH("XOM US Equity","BS_PFD_EQTY_&amp;_HYBRID_CPTL","FQ2 2017","FQ2 2017","Currency=USD","Period=FQ","BEST_FPERIOD_OVERRIDE=FQ","FILING_STATUS=OR","SCALING_FORMAT=MLN","Sort=A","Dates=H","DateFormat=P","Fill=—","Direction=H","UseDPDF=Y")</f>
        <v>0</v>
      </c>
      <c r="AM67" s="13">
        <f>_xll.BDH("XOM US Equity","BS_PFD_EQTY_&amp;_HYBRID_CPTL","FQ3 2017","FQ3 2017","Currency=USD","Period=FQ","BEST_FPERIOD_OVERRIDE=FQ","FILING_STATUS=OR","SCALING_FORMAT=MLN","Sort=A","Dates=H","DateFormat=P","Fill=—","Direction=H","UseDPDF=Y")</f>
        <v>0</v>
      </c>
      <c r="AN67" s="13">
        <f>_xll.BDH("XOM US Equity","BS_PFD_EQTY_&amp;_HYBRID_CPTL","FQ4 2017","FQ4 2017","Currency=USD","Period=FQ","BEST_FPERIOD_OVERRIDE=FQ","FILING_STATUS=OR","SCALING_FORMAT=MLN","Sort=A","Dates=H","DateFormat=P","Fill=—","Direction=H","UseDPDF=Y")</f>
        <v>0</v>
      </c>
      <c r="AO67" s="13">
        <f>_xll.BDH("XOM US Equity","BS_PFD_EQTY_&amp;_HYBRID_CPTL","FQ1 2018","FQ1 2018","Currency=USD","Period=FQ","BEST_FPERIOD_OVERRIDE=FQ","FILING_STATUS=OR","SCALING_FORMAT=MLN","Sort=A","Dates=H","DateFormat=P","Fill=—","Direction=H","UseDPDF=Y")</f>
        <v>0</v>
      </c>
      <c r="AP67" s="13">
        <f>_xll.BDH("XOM US Equity","BS_PFD_EQTY_&amp;_HYBRID_CPTL","FQ2 2018","FQ2 2018","Currency=USD","Period=FQ","BEST_FPERIOD_OVERRIDE=FQ","FILING_STATUS=OR","SCALING_FORMAT=MLN","Sort=A","Dates=H","DateFormat=P","Fill=—","Direction=H","UseDPDF=Y")</f>
        <v>0</v>
      </c>
    </row>
    <row r="68" spans="1:42" x14ac:dyDescent="0.25">
      <c r="A68" s="10" t="s">
        <v>319</v>
      </c>
      <c r="B68" s="10" t="s">
        <v>320</v>
      </c>
      <c r="C68" s="13">
        <f>_xll.BDH("XOM US Equity","BS_SH_CAP_AND_APIC","FQ3 2008","FQ3 2008","Currency=USD","Period=FQ","BEST_FPERIOD_OVERRIDE=FQ","FILING_STATUS=OR","SCALING_FORMAT=MLN","Sort=A","Dates=H","DateFormat=P","Fill=—","Direction=H","UseDPDF=Y")</f>
        <v>5105</v>
      </c>
      <c r="D68" s="13">
        <f>_xll.BDH("XOM US Equity","BS_SH_CAP_AND_APIC","FQ4 2008","FQ4 2008","Currency=USD","Period=FQ","BEST_FPERIOD_OVERRIDE=FQ","FILING_STATUS=OR","SCALING_FORMAT=MLN","Sort=A","Dates=H","DateFormat=P","Fill=—","Direction=H","UseDPDF=Y")</f>
        <v>5314</v>
      </c>
      <c r="E68" s="13">
        <f>_xll.BDH("XOM US Equity","BS_SH_CAP_AND_APIC","FQ1 2009","FQ1 2009","Currency=USD","Period=FQ","BEST_FPERIOD_OVERRIDE=FQ","FILING_STATUS=OR","SCALING_FORMAT=MLN","Sort=A","Dates=H","DateFormat=P","Fill=—","Direction=H","UseDPDF=Y")</f>
        <v>5066</v>
      </c>
      <c r="F68" s="13">
        <f>_xll.BDH("XOM US Equity","BS_SH_CAP_AND_APIC","FQ2 2009","FQ2 2009","Currency=USD","Period=FQ","BEST_FPERIOD_OVERRIDE=FQ","FILING_STATUS=OR","SCALING_FORMAT=MLN","Sort=A","Dates=H","DateFormat=P","Fill=—","Direction=H","UseDPDF=Y")</f>
        <v>5260</v>
      </c>
      <c r="G68" s="13">
        <f>_xll.BDH("XOM US Equity","BS_SH_CAP_AND_APIC","FQ3 2009","FQ3 2009","Currency=USD","Period=FQ","BEST_FPERIOD_OVERRIDE=FQ","FILING_STATUS=OR","SCALING_FORMAT=MLN","Sort=A","Dates=H","DateFormat=P","Fill=—","Direction=H","UseDPDF=Y")</f>
        <v>5445</v>
      </c>
      <c r="H68" s="13">
        <f>_xll.BDH("XOM US Equity","BS_SH_CAP_AND_APIC","FQ4 2009","FQ4 2009","Currency=USD","Period=FQ","BEST_FPERIOD_OVERRIDE=FQ","FILING_STATUS=OR","SCALING_FORMAT=MLN","Sort=A","Dates=H","DateFormat=P","Fill=—","Direction=H","UseDPDF=Y")</f>
        <v>5503</v>
      </c>
      <c r="I68" s="13">
        <f>_xll.BDH("XOM US Equity","BS_SH_CAP_AND_APIC","FQ1 2010","FQ1 2010","Currency=USD","Period=FQ","BEST_FPERIOD_OVERRIDE=FQ","FILING_STATUS=OR","SCALING_FORMAT=MLN","Sort=A","Dates=H","DateFormat=P","Fill=—","Direction=H","UseDPDF=Y")</f>
        <v>5300</v>
      </c>
      <c r="J68" s="13">
        <f>_xll.BDH("XOM US Equity","BS_SH_CAP_AND_APIC","FQ2 2010","FQ2 2010","Currency=USD","Period=FQ","BEST_FPERIOD_OVERRIDE=FQ","FILING_STATUS=OR","SCALING_FORMAT=MLN","Sort=A","Dates=H","DateFormat=P","Fill=—","Direction=H","UseDPDF=Y")</f>
        <v>9002</v>
      </c>
      <c r="K68" s="13">
        <f>_xll.BDH("XOM US Equity","BS_SH_CAP_AND_APIC","FQ3 2010","FQ3 2010","Currency=USD","Period=FQ","BEST_FPERIOD_OVERRIDE=FQ","FILING_STATUS=OR","SCALING_FORMAT=MLN","Sort=A","Dates=H","DateFormat=P","Fill=—","Direction=H","UseDPDF=Y")</f>
        <v>9341</v>
      </c>
      <c r="L68" s="13">
        <f>_xll.BDH("XOM US Equity","BS_SH_CAP_AND_APIC","FQ4 2010","FQ4 2010","Currency=USD","Period=FQ","BEST_FPERIOD_OVERRIDE=FQ","FILING_STATUS=OR","SCALING_FORMAT=MLN","Sort=A","Dates=H","DateFormat=P","Fill=—","Direction=H","UseDPDF=Y")</f>
        <v>9371</v>
      </c>
      <c r="M68" s="13">
        <f>_xll.BDH("XOM US Equity","BS_SH_CAP_AND_APIC","FQ1 2011","FQ1 2011","Currency=USD","Period=FQ","BEST_FPERIOD_OVERRIDE=FQ","FILING_STATUS=OR","SCALING_FORMAT=MLN","Sort=A","Dates=H","DateFormat=P","Fill=—","Direction=H","UseDPDF=Y")</f>
        <v>9156</v>
      </c>
      <c r="N68" s="13">
        <f>_xll.BDH("XOM US Equity","BS_SH_CAP_AND_APIC","FQ2 2011","FQ2 2011","Currency=USD","Period=FQ","BEST_FPERIOD_OVERRIDE=FQ","FILING_STATUS=OR","SCALING_FORMAT=MLN","Sort=A","Dates=H","DateFormat=P","Fill=—","Direction=H","UseDPDF=Y")</f>
        <v>9352</v>
      </c>
      <c r="O68" s="13">
        <f>_xll.BDH("XOM US Equity","BS_SH_CAP_AND_APIC","FQ3 2011","FQ3 2011","Currency=USD","Period=FQ","BEST_FPERIOD_OVERRIDE=FQ","FILING_STATUS=OR","SCALING_FORMAT=MLN","Sort=A","Dates=H","DateFormat=P","Fill=—","Direction=H","UseDPDF=Y")</f>
        <v>9506</v>
      </c>
      <c r="P68" s="13">
        <f>_xll.BDH("XOM US Equity","BS_SH_CAP_AND_APIC","FQ4 2011","FQ4 2011","Currency=USD","Period=FQ","BEST_FPERIOD_OVERRIDE=FQ","FILING_STATUS=OR","SCALING_FORMAT=MLN","Sort=A","Dates=H","DateFormat=P","Fill=—","Direction=H","UseDPDF=Y")</f>
        <v>9512</v>
      </c>
      <c r="Q68" s="13">
        <f>_xll.BDH("XOM US Equity","BS_SH_CAP_AND_APIC","FQ1 2012","FQ1 2012","Currency=USD","Period=FQ","BEST_FPERIOD_OVERRIDE=FQ","FILING_STATUS=OR","SCALING_FORMAT=MLN","Sort=A","Dates=H","DateFormat=P","Fill=—","Direction=H","UseDPDF=Y")</f>
        <v>9007</v>
      </c>
      <c r="R68" s="13">
        <f>_xll.BDH("XOM US Equity","BS_SH_CAP_AND_APIC","FQ2 2012","FQ2 2012","Currency=USD","Period=FQ","BEST_FPERIOD_OVERRIDE=FQ","FILING_STATUS=OR","SCALING_FORMAT=MLN","Sort=A","Dates=H","DateFormat=P","Fill=—","Direction=H","UseDPDF=Y")</f>
        <v>9221</v>
      </c>
      <c r="S68" s="13">
        <f>_xll.BDH("XOM US Equity","BS_SH_CAP_AND_APIC","FQ3 2012","FQ3 2012","Currency=USD","Period=FQ","BEST_FPERIOD_OVERRIDE=FQ","FILING_STATUS=OR","SCALING_FORMAT=MLN","Sort=A","Dates=H","DateFormat=P","Fill=—","Direction=H","UseDPDF=Y")</f>
        <v>9645</v>
      </c>
      <c r="T68" s="13">
        <f>_xll.BDH("XOM US Equity","BS_SH_CAP_AND_APIC","FQ4 2012","FQ4 2012","Currency=USD","Period=FQ","BEST_FPERIOD_OVERRIDE=FQ","FILING_STATUS=OR","SCALING_FORMAT=MLN","Sort=A","Dates=H","DateFormat=P","Fill=—","Direction=H","UseDPDF=Y")</f>
        <v>9653</v>
      </c>
      <c r="U68" s="13">
        <f>_xll.BDH("XOM US Equity","BS_SH_CAP_AND_APIC","FQ1 2013","FQ1 2013","Currency=USD","Period=FQ","BEST_FPERIOD_OVERRIDE=FQ","FILING_STATUS=OR","SCALING_FORMAT=MLN","Sort=A","Dates=H","DateFormat=P","Fill=—","Direction=H","UseDPDF=Y")</f>
        <v>9665</v>
      </c>
      <c r="V68" s="13">
        <f>_xll.BDH("XOM US Equity","BS_SH_CAP_AND_APIC","FQ2 2013","FQ2 2013","Currency=USD","Period=FQ","BEST_FPERIOD_OVERRIDE=FQ","FILING_STATUS=OR","SCALING_FORMAT=MLN","Sort=A","Dates=H","DateFormat=P","Fill=—","Direction=H","UseDPDF=Y")</f>
        <v>9882</v>
      </c>
      <c r="W68" s="13">
        <f>_xll.BDH("XOM US Equity","BS_SH_CAP_AND_APIC","FQ3 2013","FQ3 2013","Currency=USD","Period=FQ","BEST_FPERIOD_OVERRIDE=FQ","FILING_STATUS=OR","SCALING_FORMAT=MLN","Sort=A","Dates=H","DateFormat=P","Fill=—","Direction=H","UseDPDF=Y")</f>
        <v>10062</v>
      </c>
      <c r="X68" s="13">
        <f>_xll.BDH("XOM US Equity","BS_SH_CAP_AND_APIC","FQ4 2013","FQ4 2013","Currency=USD","Period=FQ","BEST_FPERIOD_OVERRIDE=FQ","FILING_STATUS=OR","SCALING_FORMAT=MLN","Sort=A","Dates=H","DateFormat=P","Fill=—","Direction=H","UseDPDF=Y")</f>
        <v>10077</v>
      </c>
      <c r="Y68" s="13">
        <f>_xll.BDH("XOM US Equity","BS_SH_CAP_AND_APIC","FQ1 2014","FQ1 2014","Currency=USD","Period=FQ","BEST_FPERIOD_OVERRIDE=FQ","FILING_STATUS=OR","SCALING_FORMAT=MLN","Sort=A","Dates=H","DateFormat=P","Fill=—","Direction=H","UseDPDF=Y")</f>
        <v>10276</v>
      </c>
      <c r="Z68" s="13">
        <f>_xll.BDH("XOM US Equity","BS_SH_CAP_AND_APIC","FQ2 2014","FQ2 2014","Currency=USD","Period=FQ","BEST_FPERIOD_OVERRIDE=FQ","FILING_STATUS=OR","SCALING_FORMAT=MLN","Sort=A","Dates=H","DateFormat=P","Fill=—","Direction=H","UseDPDF=Y")</f>
        <v>10487</v>
      </c>
      <c r="AA68" s="13">
        <f>_xll.BDH("XOM US Equity","BS_SH_CAP_AND_APIC","FQ3 2014","FQ3 2014","Currency=USD","Period=FQ","BEST_FPERIOD_OVERRIDE=FQ","FILING_STATUS=OR","SCALING_FORMAT=MLN","Sort=A","Dates=H","DateFormat=P","Fill=—","Direction=H","UseDPDF=Y")</f>
        <v>10681</v>
      </c>
      <c r="AB68" s="13">
        <f>_xll.BDH("XOM US Equity","BS_SH_CAP_AND_APIC","FQ4 2014","FQ4 2014","Currency=USD","Period=FQ","BEST_FPERIOD_OVERRIDE=FQ","FILING_STATUS=OR","SCALING_FORMAT=MLN","Sort=A","Dates=H","DateFormat=P","Fill=—","Direction=H","UseDPDF=Y")</f>
        <v>10792</v>
      </c>
      <c r="AC68" s="13">
        <f>_xll.BDH("XOM US Equity","BS_SH_CAP_AND_APIC","FQ1 2015","FQ1 2015","Currency=USD","Period=FQ","BEST_FPERIOD_OVERRIDE=FQ","FILING_STATUS=OR","SCALING_FORMAT=MLN","Sort=A","Dates=H","DateFormat=P","Fill=—","Direction=H","UseDPDF=Y")</f>
        <v>11006</v>
      </c>
      <c r="AD68" s="13">
        <f>_xll.BDH("XOM US Equity","BS_SH_CAP_AND_APIC","FQ2 2015","FQ2 2015","Currency=USD","Period=FQ","BEST_FPERIOD_OVERRIDE=FQ","FILING_STATUS=OR","SCALING_FORMAT=MLN","Sort=A","Dates=H","DateFormat=P","Fill=—","Direction=H","UseDPDF=Y")</f>
        <v>11224</v>
      </c>
      <c r="AE68" s="13">
        <f>_xll.BDH("XOM US Equity","BS_SH_CAP_AND_APIC","FQ3 2015","FQ3 2015","Currency=USD","Period=FQ","BEST_FPERIOD_OVERRIDE=FQ","FILING_STATUS=OR","SCALING_FORMAT=MLN","Sort=A","Dates=H","DateFormat=P","Fill=—","Direction=H","UseDPDF=Y")</f>
        <v>11443</v>
      </c>
      <c r="AF68" s="13">
        <f>_xll.BDH("XOM US Equity","BS_SH_CAP_AND_APIC","FQ4 2015","FQ4 2015","Currency=USD","Period=FQ","BEST_FPERIOD_OVERRIDE=FQ","FILING_STATUS=OR","SCALING_FORMAT=MLN","Sort=A","Dates=H","DateFormat=P","Fill=—","Direction=H","UseDPDF=Y")</f>
        <v>11612</v>
      </c>
      <c r="AG68" s="13">
        <f>_xll.BDH("XOM US Equity","BS_SH_CAP_AND_APIC","FQ1 2016","FQ1 2016","Currency=USD","Period=FQ","BEST_FPERIOD_OVERRIDE=FQ","FILING_STATUS=OR","SCALING_FORMAT=MLN","Sort=A","Dates=H","DateFormat=P","Fill=—","Direction=H","UseDPDF=Y")</f>
        <v>11825</v>
      </c>
      <c r="AH68" s="13">
        <f>_xll.BDH("XOM US Equity","BS_SH_CAP_AND_APIC","FQ2 2016","FQ2 2016","Currency=USD","Period=FQ","BEST_FPERIOD_OVERRIDE=FQ","FILING_STATUS=OR","SCALING_FORMAT=MLN","Sort=A","Dates=H","DateFormat=P","Fill=—","Direction=H","UseDPDF=Y")</f>
        <v>12019</v>
      </c>
      <c r="AI68" s="13">
        <f>_xll.BDH("XOM US Equity","BS_SH_CAP_AND_APIC","FQ3 2016","FQ3 2016","Currency=USD","Period=FQ","BEST_FPERIOD_OVERRIDE=FQ","FILING_STATUS=OR","SCALING_FORMAT=MLN","Sort=A","Dates=H","DateFormat=P","Fill=—","Direction=H","UseDPDF=Y")</f>
        <v>12228</v>
      </c>
      <c r="AJ68" s="13">
        <f>_xll.BDH("XOM US Equity","BS_SH_CAP_AND_APIC","FQ4 2016","FQ4 2016","Currency=USD","Period=FQ","BEST_FPERIOD_OVERRIDE=FQ","FILING_STATUS=OR","SCALING_FORMAT=MLN","Sort=A","Dates=H","DateFormat=P","Fill=—","Direction=H","UseDPDF=Y")</f>
        <v>12157</v>
      </c>
      <c r="AK68" s="13">
        <f>_xll.BDH("XOM US Equity","BS_SH_CAP_AND_APIC","FQ1 2017","FQ1 2017","Currency=USD","Period=FQ","BEST_FPERIOD_OVERRIDE=FQ","FILING_STATUS=OR","SCALING_FORMAT=MLN","Sort=A","Dates=H","DateFormat=P","Fill=—","Direction=H","UseDPDF=Y")</f>
        <v>14415</v>
      </c>
      <c r="AL68" s="13">
        <f>_xll.BDH("XOM US Equity","BS_SH_CAP_AND_APIC","FQ2 2017","FQ2 2017","Currency=USD","Period=FQ","BEST_FPERIOD_OVERRIDE=FQ","FILING_STATUS=OR","SCALING_FORMAT=MLN","Sort=A","Dates=H","DateFormat=P","Fill=—","Direction=H","UseDPDF=Y")</f>
        <v>14617</v>
      </c>
      <c r="AM68" s="13">
        <f>_xll.BDH("XOM US Equity","BS_SH_CAP_AND_APIC","FQ3 2017","FQ3 2017","Currency=USD","Period=FQ","BEST_FPERIOD_OVERRIDE=FQ","FILING_STATUS=OR","SCALING_FORMAT=MLN","Sort=A","Dates=H","DateFormat=P","Fill=—","Direction=H","UseDPDF=Y")</f>
        <v>14783</v>
      </c>
      <c r="AN68" s="13">
        <f>_xll.BDH("XOM US Equity","BS_SH_CAP_AND_APIC","FQ4 2017","FQ4 2017","Currency=USD","Period=FQ","BEST_FPERIOD_OVERRIDE=FQ","FILING_STATUS=OR","SCALING_FORMAT=MLN","Sort=A","Dates=H","DateFormat=P","Fill=—","Direction=H","UseDPDF=Y")</f>
        <v>14656</v>
      </c>
      <c r="AO68" s="13">
        <f>_xll.BDH("XOM US Equity","BS_SH_CAP_AND_APIC","FQ1 2018","FQ1 2018","Currency=USD","Period=FQ","BEST_FPERIOD_OVERRIDE=FQ","FILING_STATUS=OR","SCALING_FORMAT=MLN","Sort=A","Dates=H","DateFormat=P","Fill=—","Direction=H","UseDPDF=Y")</f>
        <v>14888</v>
      </c>
      <c r="AP68" s="13">
        <f>_xll.BDH("XOM US Equity","BS_SH_CAP_AND_APIC","FQ2 2018","FQ2 2018","Currency=USD","Period=FQ","BEST_FPERIOD_OVERRIDE=FQ","FILING_STATUS=OR","SCALING_FORMAT=MLN","Sort=A","Dates=H","DateFormat=P","Fill=—","Direction=H","UseDPDF=Y")</f>
        <v>15086</v>
      </c>
    </row>
    <row r="69" spans="1:42" x14ac:dyDescent="0.25">
      <c r="A69" s="10" t="s">
        <v>321</v>
      </c>
      <c r="B69" s="10" t="s">
        <v>322</v>
      </c>
      <c r="C69" s="13">
        <f>_xll.BDH("XOM US Equity","BS_AMT_OF_TSY_STOCK","FQ3 2008","FQ3 2008","Currency=USD","Period=FQ","BEST_FPERIOD_OVERRIDE=FQ","FILING_STATUS=OR","SCALING_FORMAT=MLN","Sort=A","Dates=H","DateFormat=P","Fill=—","Direction=H","UseDPDF=Y")</f>
        <v>139636</v>
      </c>
      <c r="D69" s="13">
        <f>_xll.BDH("XOM US Equity","BS_AMT_OF_TSY_STOCK","FQ4 2008","FQ4 2008","Currency=USD","Period=FQ","BEST_FPERIOD_OVERRIDE=FQ","FILING_STATUS=OR","SCALING_FORMAT=MLN","Sort=A","Dates=H","DateFormat=P","Fill=—","Direction=H","UseDPDF=Y")</f>
        <v>148098</v>
      </c>
      <c r="E69" s="13">
        <f>_xll.BDH("XOM US Equity","BS_AMT_OF_TSY_STOCK","FQ1 2009","FQ1 2009","Currency=USD","Period=FQ","BEST_FPERIOD_OVERRIDE=FQ","FILING_STATUS=OR","SCALING_FORMAT=MLN","Sort=A","Dates=H","DateFormat=P","Fill=—","Direction=H","UseDPDF=Y")</f>
        <v>155412</v>
      </c>
      <c r="F69" s="13">
        <f>_xll.BDH("XOM US Equity","BS_AMT_OF_TSY_STOCK","FQ2 2009","FQ2 2009","Currency=USD","Period=FQ","BEST_FPERIOD_OVERRIDE=FQ","FILING_STATUS=OR","SCALING_FORMAT=MLN","Sort=A","Dates=H","DateFormat=P","Fill=—","Direction=H","UseDPDF=Y")</f>
        <v>160579</v>
      </c>
      <c r="G69" s="13">
        <f>_xll.BDH("XOM US Equity","BS_AMT_OF_TSY_STOCK","FQ3 2009","FQ3 2009","Currency=USD","Period=FQ","BEST_FPERIOD_OVERRIDE=FQ","FILING_STATUS=OR","SCALING_FORMAT=MLN","Sort=A","Dates=H","DateFormat=P","Fill=—","Direction=H","UseDPDF=Y")</f>
        <v>164679</v>
      </c>
      <c r="H69" s="13">
        <f>_xll.BDH("XOM US Equity","BS_AMT_OF_TSY_STOCK","FQ4 2009","FQ4 2009","Currency=USD","Period=FQ","BEST_FPERIOD_OVERRIDE=FQ","FILING_STATUS=OR","SCALING_FORMAT=MLN","Sort=A","Dates=H","DateFormat=P","Fill=—","Direction=H","UseDPDF=Y")</f>
        <v>166410</v>
      </c>
      <c r="I69" s="13">
        <f>_xll.BDH("XOM US Equity","BS_AMT_OF_TSY_STOCK","FQ1 2010","FQ1 2010","Currency=USD","Period=FQ","BEST_FPERIOD_OVERRIDE=FQ","FILING_STATUS=OR","SCALING_FORMAT=MLN","Sort=A","Dates=H","DateFormat=P","Fill=—","Direction=H","UseDPDF=Y")</f>
        <v>168473</v>
      </c>
      <c r="J69" s="13">
        <f>_xll.BDH("XOM US Equity","BS_AMT_OF_TSY_STOCK","FQ2 2010","FQ2 2010","Currency=USD","Period=FQ","BEST_FPERIOD_OVERRIDE=FQ","FILING_STATUS=OR","SCALING_FORMAT=MLN","Sort=A","Dates=H","DateFormat=P","Fill=—","Direction=H","UseDPDF=Y")</f>
        <v>148820</v>
      </c>
      <c r="K69" s="13">
        <f>_xll.BDH("XOM US Equity","BS_AMT_OF_TSY_STOCK","FQ3 2010","FQ3 2010","Currency=USD","Period=FQ","BEST_FPERIOD_OVERRIDE=FQ","FILING_STATUS=OR","SCALING_FORMAT=MLN","Sort=A","Dates=H","DateFormat=P","Fill=—","Direction=H","UseDPDF=Y")</f>
        <v>151832</v>
      </c>
      <c r="L69" s="13">
        <f>_xll.BDH("XOM US Equity","BS_AMT_OF_TSY_STOCK","FQ4 2010","FQ4 2010","Currency=USD","Period=FQ","BEST_FPERIOD_OVERRIDE=FQ","FILING_STATUS=OR","SCALING_FORMAT=MLN","Sort=A","Dates=H","DateFormat=P","Fill=—","Direction=H","UseDPDF=Y")</f>
        <v>156608</v>
      </c>
      <c r="M69" s="13">
        <f>_xll.BDH("XOM US Equity","BS_AMT_OF_TSY_STOCK","FQ1 2011","FQ1 2011","Currency=USD","Period=FQ","BEST_FPERIOD_OVERRIDE=FQ","FILING_STATUS=OR","SCALING_FORMAT=MLN","Sort=A","Dates=H","DateFormat=P","Fill=—","Direction=H","UseDPDF=Y")</f>
        <v>161381</v>
      </c>
      <c r="N69" s="13">
        <f>_xll.BDH("XOM US Equity","BS_AMT_OF_TSY_STOCK","FQ2 2011","FQ2 2011","Currency=USD","Period=FQ","BEST_FPERIOD_OVERRIDE=FQ","FILING_STATUS=OR","SCALING_FORMAT=MLN","Sort=A","Dates=H","DateFormat=P","Fill=—","Direction=H","UseDPDF=Y")</f>
        <v>166735</v>
      </c>
      <c r="O69" s="13">
        <f>_xll.BDH("XOM US Equity","BS_AMT_OF_TSY_STOCK","FQ3 2011","FQ3 2011","Currency=USD","Period=FQ","BEST_FPERIOD_OVERRIDE=FQ","FILING_STATUS=OR","SCALING_FORMAT=MLN","Sort=A","Dates=H","DateFormat=P","Fill=—","Direction=H","UseDPDF=Y")</f>
        <v>172025</v>
      </c>
      <c r="P69" s="13">
        <f>_xll.BDH("XOM US Equity","BS_AMT_OF_TSY_STOCK","FQ4 2011","FQ4 2011","Currency=USD","Period=FQ","BEST_FPERIOD_OVERRIDE=FQ","FILING_STATUS=OR","SCALING_FORMAT=MLN","Sort=A","Dates=H","DateFormat=P","Fill=—","Direction=H","UseDPDF=Y")</f>
        <v>176932</v>
      </c>
      <c r="Q69" s="13">
        <f>_xll.BDH("XOM US Equity","BS_AMT_OF_TSY_STOCK","FQ1 2012","FQ1 2012","Currency=USD","Period=FQ","BEST_FPERIOD_OVERRIDE=FQ","FILING_STATUS=OR","SCALING_FORMAT=MLN","Sort=A","Dates=H","DateFormat=P","Fill=—","Direction=H","UseDPDF=Y")</f>
        <v>182165</v>
      </c>
      <c r="R69" s="13">
        <f>_xll.BDH("XOM US Equity","BS_AMT_OF_TSY_STOCK","FQ2 2012","FQ2 2012","Currency=USD","Period=FQ","BEST_FPERIOD_OVERRIDE=FQ","FILING_STATUS=OR","SCALING_FORMAT=MLN","Sort=A","Dates=H","DateFormat=P","Fill=—","Direction=H","UseDPDF=Y")</f>
        <v>187172</v>
      </c>
      <c r="S69" s="13">
        <f>_xll.BDH("XOM US Equity","BS_AMT_OF_TSY_STOCK","FQ3 2012","FQ3 2012","Currency=USD","Period=FQ","BEST_FPERIOD_OVERRIDE=FQ","FILING_STATUS=OR","SCALING_FORMAT=MLN","Sort=A","Dates=H","DateFormat=P","Fill=—","Direction=H","UseDPDF=Y")</f>
        <v>192188</v>
      </c>
      <c r="T69" s="13">
        <f>_xll.BDH("XOM US Equity","BS_AMT_OF_TSY_STOCK","FQ4 2012","FQ4 2012","Currency=USD","Period=FQ","BEST_FPERIOD_OVERRIDE=FQ","FILING_STATUS=OR","SCALING_FORMAT=MLN","Sort=A","Dates=H","DateFormat=P","Fill=—","Direction=H","UseDPDF=Y")</f>
        <v>197333</v>
      </c>
      <c r="U69" s="13">
        <f>_xll.BDH("XOM US Equity","BS_AMT_OF_TSY_STOCK","FQ1 2013","FQ1 2013","Currency=USD","Period=FQ","BEST_FPERIOD_OVERRIDE=FQ","FILING_STATUS=OR","SCALING_FORMAT=MLN","Sort=A","Dates=H","DateFormat=P","Fill=—","Direction=H","UseDPDF=Y")</f>
        <v>202563</v>
      </c>
      <c r="V69" s="13">
        <f>_xll.BDH("XOM US Equity","BS_AMT_OF_TSY_STOCK","FQ2 2013","FQ2 2013","Currency=USD","Period=FQ","BEST_FPERIOD_OVERRIDE=FQ","FILING_STATUS=OR","SCALING_FORMAT=MLN","Sort=A","Dates=H","DateFormat=P","Fill=—","Direction=H","UseDPDF=Y")</f>
        <v>206586</v>
      </c>
      <c r="W69" s="13">
        <f>_xll.BDH("XOM US Equity","BS_AMT_OF_TSY_STOCK","FQ3 2013","FQ3 2013","Currency=USD","Period=FQ","BEST_FPERIOD_OVERRIDE=FQ","FILING_STATUS=OR","SCALING_FORMAT=MLN","Sort=A","Dates=H","DateFormat=P","Fill=—","Direction=H","UseDPDF=Y")</f>
        <v>209598</v>
      </c>
      <c r="X69" s="13">
        <f>_xll.BDH("XOM US Equity","BS_AMT_OF_TSY_STOCK","FQ4 2013","FQ4 2013","Currency=USD","Period=FQ","BEST_FPERIOD_OVERRIDE=FQ","FILING_STATUS=OR","SCALING_FORMAT=MLN","Sort=A","Dates=H","DateFormat=P","Fill=—","Direction=H","UseDPDF=Y")</f>
        <v>212781</v>
      </c>
      <c r="Y69" s="13">
        <f>_xll.BDH("XOM US Equity","BS_AMT_OF_TSY_STOCK","FQ1 2014","FQ1 2014","Currency=USD","Period=FQ","BEST_FPERIOD_OVERRIDE=FQ","FILING_STATUS=OR","SCALING_FORMAT=MLN","Sort=A","Dates=H","DateFormat=P","Fill=—","Direction=H","UseDPDF=Y")</f>
        <v>216638</v>
      </c>
      <c r="Z69" s="13">
        <f>_xll.BDH("XOM US Equity","BS_AMT_OF_TSY_STOCK","FQ2 2014","FQ2 2014","Currency=USD","Period=FQ","BEST_FPERIOD_OVERRIDE=FQ","FILING_STATUS=OR","SCALING_FORMAT=MLN","Sort=A","Dates=H","DateFormat=P","Fill=—","Direction=H","UseDPDF=Y")</f>
        <v>219635</v>
      </c>
      <c r="AA69" s="13">
        <f>_xll.BDH("XOM US Equity","BS_AMT_OF_TSY_STOCK","FQ3 2014","FQ3 2014","Currency=USD","Period=FQ","BEST_FPERIOD_OVERRIDE=FQ","FILING_STATUS=OR","SCALING_FORMAT=MLN","Sort=A","Dates=H","DateFormat=P","Fill=—","Direction=H","UseDPDF=Y")</f>
        <v>222636</v>
      </c>
      <c r="AB69" s="13">
        <f>_xll.BDH("XOM US Equity","BS_AMT_OF_TSY_STOCK","FQ4 2014","FQ4 2014","Currency=USD","Period=FQ","BEST_FPERIOD_OVERRIDE=FQ","FILING_STATUS=OR","SCALING_FORMAT=MLN","Sort=A","Dates=H","DateFormat=P","Fill=—","Direction=H","UseDPDF=Y")</f>
        <v>225820</v>
      </c>
      <c r="AC69" s="13">
        <f>_xll.BDH("XOM US Equity","BS_AMT_OF_TSY_STOCK","FQ1 2015","FQ1 2015","Currency=USD","Period=FQ","BEST_FPERIOD_OVERRIDE=FQ","FILING_STATUS=OR","SCALING_FORMAT=MLN","Sort=A","Dates=H","DateFormat=P","Fill=—","Direction=H","UseDPDF=Y")</f>
        <v>227598</v>
      </c>
      <c r="AD69" s="13">
        <f>_xll.BDH("XOM US Equity","BS_AMT_OF_TSY_STOCK","FQ2 2015","FQ2 2015","Currency=USD","Period=FQ","BEST_FPERIOD_OVERRIDE=FQ","FILING_STATUS=OR","SCALING_FORMAT=MLN","Sort=A","Dates=H","DateFormat=P","Fill=—","Direction=H","UseDPDF=Y")</f>
        <v>228601</v>
      </c>
      <c r="AE69" s="13">
        <f>_xll.BDH("XOM US Equity","BS_AMT_OF_TSY_STOCK","FQ3 2015","FQ3 2015","Currency=USD","Period=FQ","BEST_FPERIOD_OVERRIDE=FQ","FILING_STATUS=OR","SCALING_FORMAT=MLN","Sort=A","Dates=H","DateFormat=P","Fill=—","Direction=H","UseDPDF=Y")</f>
        <v>229102</v>
      </c>
      <c r="AF69" s="13">
        <f>_xll.BDH("XOM US Equity","BS_AMT_OF_TSY_STOCK","FQ4 2015","FQ4 2015","Currency=USD","Period=FQ","BEST_FPERIOD_OVERRIDE=FQ","FILING_STATUS=OR","SCALING_FORMAT=MLN","Sort=A","Dates=H","DateFormat=P","Fill=—","Direction=H","UseDPDF=Y")</f>
        <v>229734</v>
      </c>
      <c r="AG69" s="13">
        <f>_xll.BDH("XOM US Equity","BS_AMT_OF_TSY_STOCK","FQ1 2016","FQ1 2016","Currency=USD","Period=FQ","BEST_FPERIOD_OVERRIDE=FQ","FILING_STATUS=OR","SCALING_FORMAT=MLN","Sort=A","Dates=H","DateFormat=P","Fill=—","Direction=H","UseDPDF=Y")</f>
        <v>230454</v>
      </c>
      <c r="AH69" s="13">
        <f>_xll.BDH("XOM US Equity","BS_AMT_OF_TSY_STOCK","FQ2 2016","FQ2 2016","Currency=USD","Period=FQ","BEST_FPERIOD_OVERRIDE=FQ","FILING_STATUS=OR","SCALING_FORMAT=MLN","Sort=A","Dates=H","DateFormat=P","Fill=—","Direction=H","UseDPDF=Y")</f>
        <v>230451</v>
      </c>
      <c r="AI69" s="13">
        <f>_xll.BDH("XOM US Equity","BS_AMT_OF_TSY_STOCK","FQ3 2016","FQ3 2016","Currency=USD","Period=FQ","BEST_FPERIOD_OVERRIDE=FQ","FILING_STATUS=OR","SCALING_FORMAT=MLN","Sort=A","Dates=H","DateFormat=P","Fill=—","Direction=H","UseDPDF=Y")</f>
        <v>230449</v>
      </c>
      <c r="AJ69" s="13">
        <f>_xll.BDH("XOM US Equity","BS_AMT_OF_TSY_STOCK","FQ4 2016","FQ4 2016","Currency=USD","Period=FQ","BEST_FPERIOD_OVERRIDE=FQ","FILING_STATUS=OR","SCALING_FORMAT=MLN","Sort=A","Dates=H","DateFormat=P","Fill=—","Direction=H","UseDPDF=Y")</f>
        <v>230424</v>
      </c>
      <c r="AK69" s="13">
        <f>_xll.BDH("XOM US Equity","BS_AMT_OF_TSY_STOCK","FQ1 2017","FQ1 2017","Currency=USD","Period=FQ","BEST_FPERIOD_OVERRIDE=FQ","FILING_STATUS=OR","SCALING_FORMAT=MLN","Sort=A","Dates=H","DateFormat=P","Fill=—","Direction=H","UseDPDF=Y")</f>
        <v>225292</v>
      </c>
      <c r="AL69" s="13">
        <f>_xll.BDH("XOM US Equity","BS_AMT_OF_TSY_STOCK","FQ2 2017","FQ2 2017","Currency=USD","Period=FQ","BEST_FPERIOD_OVERRIDE=FQ","FILING_STATUS=OR","SCALING_FORMAT=MLN","Sort=A","Dates=H","DateFormat=P","Fill=—","Direction=H","UseDPDF=Y")</f>
        <v>225305</v>
      </c>
      <c r="AM69" s="13">
        <f>_xll.BDH("XOM US Equity","BS_AMT_OF_TSY_STOCK","FQ3 2017","FQ3 2017","Currency=USD","Period=FQ","BEST_FPERIOD_OVERRIDE=FQ","FILING_STATUS=OR","SCALING_FORMAT=MLN","Sort=A","Dates=H","DateFormat=P","Fill=—","Direction=H","UseDPDF=Y")</f>
        <v>225305</v>
      </c>
      <c r="AN69" s="13">
        <f>_xll.BDH("XOM US Equity","BS_AMT_OF_TSY_STOCK","FQ4 2017","FQ4 2017","Currency=USD","Period=FQ","BEST_FPERIOD_OVERRIDE=FQ","FILING_STATUS=OR","SCALING_FORMAT=MLN","Sort=A","Dates=H","DateFormat=P","Fill=—","Direction=H","UseDPDF=Y")</f>
        <v>225246</v>
      </c>
      <c r="AO69" s="13">
        <f>_xll.BDH("XOM US Equity","BS_AMT_OF_TSY_STOCK","FQ1 2018","FQ1 2018","Currency=USD","Period=FQ","BEST_FPERIOD_OVERRIDE=FQ","FILING_STATUS=OR","SCALING_FORMAT=MLN","Sort=A","Dates=H","DateFormat=P","Fill=—","Direction=H","UseDPDF=Y")</f>
        <v>225671</v>
      </c>
      <c r="AP69" s="13">
        <f>_xll.BDH("XOM US Equity","BS_AMT_OF_TSY_STOCK","FQ2 2018","FQ2 2018","Currency=USD","Period=FQ","BEST_FPERIOD_OVERRIDE=FQ","FILING_STATUS=OR","SCALING_FORMAT=MLN","Sort=A","Dates=H","DateFormat=P","Fill=—","Direction=H","UseDPDF=Y")</f>
        <v>225673</v>
      </c>
    </row>
    <row r="70" spans="1:42" x14ac:dyDescent="0.25">
      <c r="A70" s="10" t="s">
        <v>323</v>
      </c>
      <c r="B70" s="10" t="s">
        <v>324</v>
      </c>
      <c r="C70" s="13">
        <f>_xll.BDH("XOM US Equity","BS_PURE_RETAINED_EARNINGS","FQ3 2008","FQ3 2008","Currency=USD","Period=FQ","BEST_FPERIOD_OVERRIDE=FQ","FILING_STATUS=OR","SCALING_FORMAT=MLN","Sort=A","Dates=H","DateFormat=P","Fill=—","Direction=H","UseDPDF=Y")</f>
        <v>259878</v>
      </c>
      <c r="D70" s="13">
        <f>_xll.BDH("XOM US Equity","BS_PURE_RETAINED_EARNINGS","FQ4 2008","FQ4 2008","Currency=USD","Period=FQ","BEST_FPERIOD_OVERRIDE=FQ","FILING_STATUS=OR","SCALING_FORMAT=MLN","Sort=A","Dates=H","DateFormat=P","Fill=—","Direction=H","UseDPDF=Y")</f>
        <v>265680</v>
      </c>
      <c r="E70" s="13">
        <f>_xll.BDH("XOM US Equity","BS_PURE_RETAINED_EARNINGS","FQ1 2009","FQ1 2009","Currency=USD","Period=FQ","BEST_FPERIOD_OVERRIDE=FQ","FILING_STATUS=OR","SCALING_FORMAT=MLN","Sort=A","Dates=H","DateFormat=P","Fill=—","Direction=H","UseDPDF=Y")</f>
        <v>268249</v>
      </c>
      <c r="F70" s="13">
        <f>_xll.BDH("XOM US Equity","BS_PURE_RETAINED_EARNINGS","FQ2 2009","FQ2 2009","Currency=USD","Period=FQ","BEST_FPERIOD_OVERRIDE=FQ","FILING_STATUS=OR","SCALING_FORMAT=MLN","Sort=A","Dates=H","DateFormat=P","Fill=—","Direction=H","UseDPDF=Y")</f>
        <v>270160</v>
      </c>
      <c r="G70" s="13">
        <f>_xll.BDH("XOM US Equity","BS_PURE_RETAINED_EARNINGS","FQ3 2009","FQ3 2009","Currency=USD","Period=FQ","BEST_FPERIOD_OVERRIDE=FQ","FILING_STATUS=OR","SCALING_FORMAT=MLN","Sort=A","Dates=H","DateFormat=P","Fill=—","Direction=H","UseDPDF=Y")</f>
        <v>272879</v>
      </c>
      <c r="H70" s="13">
        <f>_xll.BDH("XOM US Equity","BS_PURE_RETAINED_EARNINGS","FQ4 2009","FQ4 2009","Currency=USD","Period=FQ","BEST_FPERIOD_OVERRIDE=FQ","FILING_STATUS=OR","SCALING_FORMAT=MLN","Sort=A","Dates=H","DateFormat=P","Fill=—","Direction=H","UseDPDF=Y")</f>
        <v>276937</v>
      </c>
      <c r="I70" s="13">
        <f>_xll.BDH("XOM US Equity","BS_PURE_RETAINED_EARNINGS","FQ1 2010","FQ1 2010","Currency=USD","Period=FQ","BEST_FPERIOD_OVERRIDE=FQ","FILING_STATUS=OR","SCALING_FORMAT=MLN","Sort=A","Dates=H","DateFormat=P","Fill=—","Direction=H","UseDPDF=Y")</f>
        <v>281251</v>
      </c>
      <c r="J70" s="13">
        <f>_xll.BDH("XOM US Equity","BS_PURE_RETAINED_EARNINGS","FQ2 2010","FQ2 2010","Currency=USD","Period=FQ","BEST_FPERIOD_OVERRIDE=FQ","FILING_STATUS=OR","SCALING_FORMAT=MLN","Sort=A","Dates=H","DateFormat=P","Fill=—","Direction=H","UseDPDF=Y")</f>
        <v>286745</v>
      </c>
      <c r="K70" s="13">
        <f>_xll.BDH("XOM US Equity","BS_PURE_RETAINED_EARNINGS","FQ3 2010","FQ3 2010","Currency=USD","Period=FQ","BEST_FPERIOD_OVERRIDE=FQ","FILING_STATUS=OR","SCALING_FORMAT=MLN","Sort=A","Dates=H","DateFormat=P","Fill=—","Direction=H","UseDPDF=Y")</f>
        <v>291861</v>
      </c>
      <c r="L70" s="13">
        <f>_xll.BDH("XOM US Equity","BS_PURE_RETAINED_EARNINGS","FQ4 2010","FQ4 2010","Currency=USD","Period=FQ","BEST_FPERIOD_OVERRIDE=FQ","FILING_STATUS=OR","SCALING_FORMAT=MLN","Sort=A","Dates=H","DateFormat=P","Fill=—","Direction=H","UseDPDF=Y")</f>
        <v>298899</v>
      </c>
      <c r="M70" s="13">
        <f>_xll.BDH("XOM US Equity","BS_PURE_RETAINED_EARNINGS","FQ1 2011","FQ1 2011","Currency=USD","Period=FQ","BEST_FPERIOD_OVERRIDE=FQ","FILING_STATUS=OR","SCALING_FORMAT=MLN","Sort=A","Dates=H","DateFormat=P","Fill=—","Direction=H","UseDPDF=Y")</f>
        <v>307361</v>
      </c>
      <c r="N70" s="13">
        <f>_xll.BDH("XOM US Equity","BS_PURE_RETAINED_EARNINGS","FQ2 2011","FQ2 2011","Currency=USD","Period=FQ","BEST_FPERIOD_OVERRIDE=FQ","FILING_STATUS=OR","SCALING_FORMAT=MLN","Sort=A","Dates=H","DateFormat=P","Fill=—","Direction=H","UseDPDF=Y")</f>
        <v>315733</v>
      </c>
      <c r="O70" s="13">
        <f>_xll.BDH("XOM US Equity","BS_PURE_RETAINED_EARNINGS","FQ3 2011","FQ3 2011","Currency=USD","Period=FQ","BEST_FPERIOD_OVERRIDE=FQ","FILING_STATUS=OR","SCALING_FORMAT=MLN","Sort=A","Dates=H","DateFormat=P","Fill=—","Direction=H","UseDPDF=Y")</f>
        <v>323786</v>
      </c>
      <c r="P70" s="13">
        <f>_xll.BDH("XOM US Equity","BS_PURE_RETAINED_EARNINGS","FQ4 2011","FQ4 2011","Currency=USD","Period=FQ","BEST_FPERIOD_OVERRIDE=FQ","FILING_STATUS=OR","SCALING_FORMAT=MLN","Sort=A","Dates=H","DateFormat=P","Fill=—","Direction=H","UseDPDF=Y")</f>
        <v>330939</v>
      </c>
      <c r="Q70" s="13">
        <f>_xll.BDH("XOM US Equity","BS_PURE_RETAINED_EARNINGS","FQ1 2012","FQ1 2012","Currency=USD","Period=FQ","BEST_FPERIOD_OVERRIDE=FQ","FILING_STATUS=OR","SCALING_FORMAT=MLN","Sort=A","Dates=H","DateFormat=P","Fill=—","Direction=H","UseDPDF=Y")</f>
        <v>338168</v>
      </c>
      <c r="R70" s="13">
        <f>_xll.BDH("XOM US Equity","BS_PURE_RETAINED_EARNINGS","FQ2 2012","FQ2 2012","Currency=USD","Period=FQ","BEST_FPERIOD_OVERRIDE=FQ","FILING_STATUS=OR","SCALING_FORMAT=MLN","Sort=A","Dates=H","DateFormat=P","Fill=—","Direction=H","UseDPDF=Y")</f>
        <v>351421</v>
      </c>
      <c r="S70" s="13">
        <f>_xll.BDH("XOM US Equity","BS_PURE_RETAINED_EARNINGS","FQ3 2012","FQ3 2012","Currency=USD","Period=FQ","BEST_FPERIOD_OVERRIDE=FQ","FILING_STATUS=OR","SCALING_FORMAT=MLN","Sort=A","Dates=H","DateFormat=P","Fill=—","Direction=H","UseDPDF=Y")</f>
        <v>358369</v>
      </c>
      <c r="T70" s="13">
        <f>_xll.BDH("XOM US Equity","BS_PURE_RETAINED_EARNINGS","FQ4 2012","FQ4 2012","Currency=USD","Period=FQ","BEST_FPERIOD_OVERRIDE=FQ","FILING_STATUS=OR","SCALING_FORMAT=MLN","Sort=A","Dates=H","DateFormat=P","Fill=—","Direction=H","UseDPDF=Y")</f>
        <v>365727</v>
      </c>
      <c r="U70" s="13">
        <f>_xll.BDH("XOM US Equity","BS_PURE_RETAINED_EARNINGS","FQ1 2013","FQ1 2013","Currency=USD","Period=FQ","BEST_FPERIOD_OVERRIDE=FQ","FILING_STATUS=OR","SCALING_FORMAT=MLN","Sort=A","Dates=H","DateFormat=P","Fill=—","Direction=H","UseDPDF=Y")</f>
        <v>372666</v>
      </c>
      <c r="V70" s="13">
        <f>_xll.BDH("XOM US Equity","BS_PURE_RETAINED_EARNINGS","FQ2 2013","FQ2 2013","Currency=USD","Period=FQ","BEST_FPERIOD_OVERRIDE=FQ","FILING_STATUS=OR","SCALING_FORMAT=MLN","Sort=A","Dates=H","DateFormat=P","Fill=—","Direction=H","UseDPDF=Y")</f>
        <v>376732</v>
      </c>
      <c r="W70" s="13">
        <f>_xll.BDH("XOM US Equity","BS_PURE_RETAINED_EARNINGS","FQ3 2013","FQ3 2013","Currency=USD","Period=FQ","BEST_FPERIOD_OVERRIDE=FQ","FILING_STATUS=OR","SCALING_FORMAT=MLN","Sort=A","Dates=H","DateFormat=P","Fill=—","Direction=H","UseDPDF=Y")</f>
        <v>381832</v>
      </c>
      <c r="X70" s="13">
        <f>_xll.BDH("XOM US Equity","BS_PURE_RETAINED_EARNINGS","FQ4 2013","FQ4 2013","Currency=USD","Period=FQ","BEST_FPERIOD_OVERRIDE=FQ","FILING_STATUS=OR","SCALING_FORMAT=MLN","Sort=A","Dates=H","DateFormat=P","Fill=—","Direction=H","UseDPDF=Y")</f>
        <v>387432</v>
      </c>
      <c r="Y70" s="13">
        <f>_xll.BDH("XOM US Equity","BS_PURE_RETAINED_EARNINGS","FQ1 2014","FQ1 2014","Currency=USD","Period=FQ","BEST_FPERIOD_OVERRIDE=FQ","FILING_STATUS=OR","SCALING_FORMAT=MLN","Sort=A","Dates=H","DateFormat=P","Fill=—","Direction=H","UseDPDF=Y")</f>
        <v>393800</v>
      </c>
      <c r="Z70" s="13">
        <f>_xll.BDH("XOM US Equity","BS_PURE_RETAINED_EARNINGS","FQ2 2014","FQ2 2014","Currency=USD","Period=FQ","BEST_FPERIOD_OVERRIDE=FQ","FILING_STATUS=OR","SCALING_FORMAT=MLN","Sort=A","Dates=H","DateFormat=P","Fill=—","Direction=H","UseDPDF=Y")</f>
        <v>399614</v>
      </c>
      <c r="AA70" s="13">
        <f>_xll.BDH("XOM US Equity","BS_PURE_RETAINED_EARNINGS","FQ3 2014","FQ3 2014","Currency=USD","Period=FQ","BEST_FPERIOD_OVERRIDE=FQ","FILING_STATUS=OR","SCALING_FORMAT=MLN","Sort=A","Dates=H","DateFormat=P","Fill=—","Direction=H","UseDPDF=Y")</f>
        <v>404738</v>
      </c>
      <c r="AB70" s="13">
        <f>_xll.BDH("XOM US Equity","BS_PURE_RETAINED_EARNINGS","FQ4 2014","FQ4 2014","Currency=USD","Period=FQ","BEST_FPERIOD_OVERRIDE=FQ","FILING_STATUS=OR","SCALING_FORMAT=MLN","Sort=A","Dates=H","DateFormat=P","Fill=—","Direction=H","UseDPDF=Y")</f>
        <v>408384</v>
      </c>
      <c r="AC70" s="13">
        <f>_xll.BDH("XOM US Equity","BS_PURE_RETAINED_EARNINGS","FQ1 2015","FQ1 2015","Currency=USD","Period=FQ","BEST_FPERIOD_OVERRIDE=FQ","FILING_STATUS=OR","SCALING_FORMAT=MLN","Sort=A","Dates=H","DateFormat=P","Fill=—","Direction=H","UseDPDF=Y")</f>
        <v>410414</v>
      </c>
      <c r="AD70" s="13">
        <f>_xll.BDH("XOM US Equity","BS_PURE_RETAINED_EARNINGS","FQ2 2015","FQ2 2015","Currency=USD","Period=FQ","BEST_FPERIOD_OVERRIDE=FQ","FILING_STATUS=OR","SCALING_FORMAT=MLN","Sort=A","Dates=H","DateFormat=P","Fill=—","Direction=H","UseDPDF=Y")</f>
        <v>411538</v>
      </c>
      <c r="AE70" s="13">
        <f>_xll.BDH("XOM US Equity","BS_PURE_RETAINED_EARNINGS","FQ3 2015","FQ3 2015","Currency=USD","Period=FQ","BEST_FPERIOD_OVERRIDE=FQ","FILING_STATUS=OR","SCALING_FORMAT=MLN","Sort=A","Dates=H","DateFormat=P","Fill=—","Direction=H","UseDPDF=Y")</f>
        <v>412718</v>
      </c>
      <c r="AF70" s="13">
        <f>_xll.BDH("XOM US Equity","BS_PURE_RETAINED_EARNINGS","FQ4 2015","FQ4 2015","Currency=USD","Period=FQ","BEST_FPERIOD_OVERRIDE=FQ","FILING_STATUS=OR","SCALING_FORMAT=MLN","Sort=A","Dates=H","DateFormat=P","Fill=—","Direction=H","UseDPDF=Y")</f>
        <v>412444</v>
      </c>
      <c r="AG70" s="13">
        <f>_xll.BDH("XOM US Equity","BS_PURE_RETAINED_EARNINGS","FQ1 2016","FQ1 2016","Currency=USD","Period=FQ","BEST_FPERIOD_OVERRIDE=FQ","FILING_STATUS=OR","SCALING_FORMAT=MLN","Sort=A","Dates=H","DateFormat=P","Fill=—","Direction=H","UseDPDF=Y")</f>
        <v>411200</v>
      </c>
      <c r="AH70" s="13">
        <f>_xll.BDH("XOM US Equity","BS_PURE_RETAINED_EARNINGS","FQ2 2016","FQ2 2016","Currency=USD","Period=FQ","BEST_FPERIOD_OVERRIDE=FQ","FILING_STATUS=OR","SCALING_FORMAT=MLN","Sort=A","Dates=H","DateFormat=P","Fill=—","Direction=H","UseDPDF=Y")</f>
        <v>409767</v>
      </c>
      <c r="AI70" s="13">
        <f>_xll.BDH("XOM US Equity","BS_PURE_RETAINED_EARNINGS","FQ3 2016","FQ3 2016","Currency=USD","Period=FQ","BEST_FPERIOD_OVERRIDE=FQ","FILING_STATUS=OR","SCALING_FORMAT=MLN","Sort=A","Dates=H","DateFormat=P","Fill=—","Direction=H","UseDPDF=Y")</f>
        <v>409284</v>
      </c>
      <c r="AJ70" s="13">
        <f>_xll.BDH("XOM US Equity","BS_PURE_RETAINED_EARNINGS","FQ4 2016","FQ4 2016","Currency=USD","Period=FQ","BEST_FPERIOD_OVERRIDE=FQ","FILING_STATUS=OR","SCALING_FORMAT=MLN","Sort=A","Dates=H","DateFormat=P","Fill=—","Direction=H","UseDPDF=Y")</f>
        <v>407831</v>
      </c>
      <c r="AK70" s="13">
        <f>_xll.BDH("XOM US Equity","BS_PURE_RETAINED_EARNINGS","FQ1 2017","FQ1 2017","Currency=USD","Period=FQ","BEST_FPERIOD_OVERRIDE=FQ","FILING_STATUS=OR","SCALING_FORMAT=MLN","Sort=A","Dates=H","DateFormat=P","Fill=—","Direction=H","UseDPDF=Y")</f>
        <v>408707</v>
      </c>
      <c r="AL70" s="13">
        <f>_xll.BDH("XOM US Equity","BS_PURE_RETAINED_EARNINGS","FQ2 2017","FQ2 2017","Currency=USD","Period=FQ","BEST_FPERIOD_OVERRIDE=FQ","FILING_STATUS=OR","SCALING_FORMAT=MLN","Sort=A","Dates=H","DateFormat=P","Fill=—","Direction=H","UseDPDF=Y")</f>
        <v>408768</v>
      </c>
      <c r="AM70" s="13">
        <f>_xll.BDH("XOM US Equity","BS_PURE_RETAINED_EARNINGS","FQ3 2017","FQ3 2017","Currency=USD","Period=FQ","BEST_FPERIOD_OVERRIDE=FQ","FILING_STATUS=OR","SCALING_FORMAT=MLN","Sort=A","Dates=H","DateFormat=P","Fill=—","Direction=H","UseDPDF=Y")</f>
        <v>409449</v>
      </c>
      <c r="AN70" s="13">
        <f>_xll.BDH("XOM US Equity","BS_PURE_RETAINED_EARNINGS","FQ4 2017","FQ4 2017","Currency=USD","Period=FQ","BEST_FPERIOD_OVERRIDE=FQ","FILING_STATUS=OR","SCALING_FORMAT=MLN","Sort=A","Dates=H","DateFormat=P","Fill=—","Direction=H","UseDPDF=Y")</f>
        <v>414540</v>
      </c>
      <c r="AO70" s="13">
        <f>_xll.BDH("XOM US Equity","BS_PURE_RETAINED_EARNINGS","FQ1 2018","FQ1 2018","Currency=USD","Period=FQ","BEST_FPERIOD_OVERRIDE=FQ","FILING_STATUS=OR","SCALING_FORMAT=MLN","Sort=A","Dates=H","DateFormat=P","Fill=—","Direction=H","UseDPDF=Y")</f>
        <v>415970</v>
      </c>
      <c r="AP70" s="13">
        <f>_xll.BDH("XOM US Equity","BS_PURE_RETAINED_EARNINGS","FQ2 2018","FQ2 2018","Currency=USD","Period=FQ","BEST_FPERIOD_OVERRIDE=FQ","FILING_STATUS=OR","SCALING_FORMAT=MLN","Sort=A","Dates=H","DateFormat=P","Fill=—","Direction=H","UseDPDF=Y")</f>
        <v>416418</v>
      </c>
    </row>
    <row r="71" spans="1:42" x14ac:dyDescent="0.25">
      <c r="A71" s="10" t="s">
        <v>325</v>
      </c>
      <c r="B71" s="10" t="s">
        <v>326</v>
      </c>
      <c r="C71" s="14">
        <f>_xll.BDH("XOM US Equity","OTHER_INS_RES_TO_SHRHLDR_EQY","FQ3 2008","FQ3 2008","Currency=USD","Period=FQ","BEST_FPERIOD_OVERRIDE=FQ","FILING_STATUS=OR","Sort=A","Dates=H","DateFormat=P","Fill=—","Direction=H","UseDPDF=Y")</f>
        <v>-61</v>
      </c>
      <c r="D71" s="14">
        <f>_xll.BDH("XOM US Equity","OTHER_INS_RES_TO_SHRHLDR_EQY","FQ4 2008","FQ4 2008","Currency=USD","Period=FQ","BEST_FPERIOD_OVERRIDE=FQ","FILING_STATUS=OR","Sort=A","Dates=H","DateFormat=P","Fill=—","Direction=H","UseDPDF=Y")</f>
        <v>-9931</v>
      </c>
      <c r="E71" s="14">
        <f>_xll.BDH("XOM US Equity","OTHER_INS_RES_TO_SHRHLDR_EQY","FQ1 2009","FQ1 2009","Currency=USD","Period=FQ","BEST_FPERIOD_OVERRIDE=FQ","FILING_STATUS=OR","Sort=A","Dates=H","DateFormat=P","Fill=—","Direction=H","UseDPDF=Y")</f>
        <v>-10900</v>
      </c>
      <c r="F71" s="14">
        <f>_xll.BDH("XOM US Equity","OTHER_INS_RES_TO_SHRHLDR_EQY","FQ2 2009","FQ2 2009","Currency=USD","Period=FQ","BEST_FPERIOD_OVERRIDE=FQ","FILING_STATUS=OR","Sort=A","Dates=H","DateFormat=P","Fill=—","Direction=H","UseDPDF=Y")</f>
        <v>-8249</v>
      </c>
      <c r="G71" s="14">
        <f>_xll.BDH("XOM US Equity","OTHER_INS_RES_TO_SHRHLDR_EQY","FQ3 2009","FQ3 2009","Currency=USD","Period=FQ","BEST_FPERIOD_OVERRIDE=FQ","FILING_STATUS=OR","Sort=A","Dates=H","DateFormat=P","Fill=—","Direction=H","UseDPDF=Y")</f>
        <v>-6380</v>
      </c>
      <c r="H71" s="14">
        <f>_xll.BDH("XOM US Equity","OTHER_INS_RES_TO_SHRHLDR_EQY","FQ4 2009","FQ4 2009","Currency=USD","Period=FQ","BEST_FPERIOD_OVERRIDE=FQ","FILING_STATUS=OR","Sort=A","Dates=H","DateFormat=P","Fill=—","Direction=H","UseDPDF=Y")</f>
        <v>-5461</v>
      </c>
      <c r="I71" s="14">
        <f>_xll.BDH("XOM US Equity","OTHER_INS_RES_TO_SHRHLDR_EQY","FQ1 2010","FQ1 2010","Currency=USD","Period=FQ","BEST_FPERIOD_OVERRIDE=FQ","FILING_STATUS=OR","Sort=A","Dates=H","DateFormat=P","Fill=—","Direction=H","UseDPDF=Y")</f>
        <v>-5537</v>
      </c>
      <c r="J71" s="14">
        <f>_xll.BDH("XOM US Equity","OTHER_INS_RES_TO_SHRHLDR_EQY","FQ2 2010","FQ2 2010","Currency=USD","Period=FQ","BEST_FPERIOD_OVERRIDE=FQ","FILING_STATUS=OR","Sort=A","Dates=H","DateFormat=P","Fill=—","Direction=H","UseDPDF=Y")</f>
        <v>-6755</v>
      </c>
      <c r="K71" s="14">
        <f>_xll.BDH("XOM US Equity","OTHER_INS_RES_TO_SHRHLDR_EQY","FQ3 2010","FQ3 2010","Currency=USD","Period=FQ","BEST_FPERIOD_OVERRIDE=FQ","FILING_STATUS=OR","Sort=A","Dates=H","DateFormat=P","Fill=—","Direction=H","UseDPDF=Y")</f>
        <v>-4339</v>
      </c>
      <c r="L71" s="14">
        <f>_xll.BDH("XOM US Equity","OTHER_INS_RES_TO_SHRHLDR_EQY","FQ4 2010","FQ4 2010","Currency=USD","Period=FQ","BEST_FPERIOD_OVERRIDE=FQ","FILING_STATUS=OR","Sort=A","Dates=H","DateFormat=P","Fill=—","Direction=H","UseDPDF=Y")</f>
        <v>-4823</v>
      </c>
      <c r="M71" s="14">
        <f>_xll.BDH("XOM US Equity","OTHER_INS_RES_TO_SHRHLDR_EQY","FQ1 2011","FQ1 2011","Currency=USD","Period=FQ","BEST_FPERIOD_OVERRIDE=FQ","FILING_STATUS=OR","Sort=A","Dates=H","DateFormat=P","Fill=—","Direction=H","UseDPDF=Y")</f>
        <v>-3656</v>
      </c>
      <c r="N71" s="14">
        <f>_xll.BDH("XOM US Equity","OTHER_INS_RES_TO_SHRHLDR_EQY","FQ2 2011","FQ2 2011","Currency=USD","Period=FQ","BEST_FPERIOD_OVERRIDE=FQ","FILING_STATUS=OR","Sort=A","Dates=H","DateFormat=P","Fill=—","Direction=H","UseDPDF=Y")</f>
        <v>-2799</v>
      </c>
      <c r="O71" s="14">
        <f>_xll.BDH("XOM US Equity","OTHER_INS_RES_TO_SHRHLDR_EQY","FQ3 2011","FQ3 2011","Currency=USD","Period=FQ","BEST_FPERIOD_OVERRIDE=FQ","FILING_STATUS=OR","Sort=A","Dates=H","DateFormat=P","Fill=—","Direction=H","UseDPDF=Y")</f>
        <v>-5328</v>
      </c>
      <c r="P71" s="14">
        <f>_xll.BDH("XOM US Equity","OTHER_INS_RES_TO_SHRHLDR_EQY","FQ4 2011","FQ4 2011","Currency=USD","Period=FQ","BEST_FPERIOD_OVERRIDE=FQ","FILING_STATUS=OR","Sort=A","Dates=H","DateFormat=P","Fill=—","Direction=H","UseDPDF=Y")</f>
        <v>-9123</v>
      </c>
      <c r="Q71" s="14">
        <f>_xll.BDH("XOM US Equity","OTHER_INS_RES_TO_SHRHLDR_EQY","FQ1 2012","FQ1 2012","Currency=USD","Period=FQ","BEST_FPERIOD_OVERRIDE=FQ","FILING_STATUS=OR","Sort=A","Dates=H","DateFormat=P","Fill=—","Direction=H","UseDPDF=Y")</f>
        <v>-7998</v>
      </c>
      <c r="R71" s="14">
        <f>_xll.BDH("XOM US Equity","OTHER_INS_RES_TO_SHRHLDR_EQY","FQ2 2012","FQ2 2012","Currency=USD","Period=FQ","BEST_FPERIOD_OVERRIDE=FQ","FILING_STATUS=OR","Sort=A","Dates=H","DateFormat=P","Fill=—","Direction=H","UseDPDF=Y")</f>
        <v>-10659</v>
      </c>
      <c r="S71" s="14">
        <f>_xll.BDH("XOM US Equity","OTHER_INS_RES_TO_SHRHLDR_EQY","FQ3 2012","FQ3 2012","Currency=USD","Period=FQ","BEST_FPERIOD_OVERRIDE=FQ","FILING_STATUS=OR","Sort=A","Dates=H","DateFormat=P","Fill=—","Direction=H","UseDPDF=Y")</f>
        <v>-9113</v>
      </c>
      <c r="T71" s="14">
        <f>_xll.BDH("XOM US Equity","OTHER_INS_RES_TO_SHRHLDR_EQY","FQ4 2012","FQ4 2012","Currency=USD","Period=FQ","BEST_FPERIOD_OVERRIDE=FQ","FILING_STATUS=OR","Sort=A","Dates=H","DateFormat=P","Fill=—","Direction=H","UseDPDF=Y")</f>
        <v>-12184</v>
      </c>
      <c r="U71" s="14">
        <f>_xll.BDH("XOM US Equity","OTHER_INS_RES_TO_SHRHLDR_EQY","FQ1 2013","FQ1 2013","Currency=USD","Period=FQ","BEST_FPERIOD_OVERRIDE=FQ","FILING_STATUS=OR","Sort=A","Dates=H","DateFormat=P","Fill=—","Direction=H","UseDPDF=Y")</f>
        <v>-12767</v>
      </c>
      <c r="V71" s="14">
        <f>_xll.BDH("XOM US Equity","OTHER_INS_RES_TO_SHRHLDR_EQY","FQ2 2013","FQ2 2013","Currency=USD","Period=FQ","BEST_FPERIOD_OVERRIDE=FQ","FILING_STATUS=OR","Sort=A","Dates=H","DateFormat=P","Fill=—","Direction=H","UseDPDF=Y")</f>
        <v>-14381</v>
      </c>
      <c r="W71" s="14">
        <f>_xll.BDH("XOM US Equity","OTHER_INS_RES_TO_SHRHLDR_EQY","FQ3 2013","FQ3 2013","Currency=USD","Period=FQ","BEST_FPERIOD_OVERRIDE=FQ","FILING_STATUS=OR","Sort=A","Dates=H","DateFormat=P","Fill=—","Direction=H","UseDPDF=Y")</f>
        <v>-13051</v>
      </c>
      <c r="X71" s="14">
        <f>_xll.BDH("XOM US Equity","OTHER_INS_RES_TO_SHRHLDR_EQY","FQ4 2013","FQ4 2013","Currency=USD","Period=FQ","BEST_FPERIOD_OVERRIDE=FQ","FILING_STATUS=OR","Sort=A","Dates=H","DateFormat=P","Fill=—","Direction=H","UseDPDF=Y")</f>
        <v>-10725</v>
      </c>
      <c r="Y71" s="14">
        <f>_xll.BDH("XOM US Equity","OTHER_INS_RES_TO_SHRHLDR_EQY","FQ1 2014","FQ1 2014","Currency=USD","Period=FQ","BEST_FPERIOD_OVERRIDE=FQ","FILING_STATUS=OR","Sort=A","Dates=H","DateFormat=P","Fill=—","Direction=H","UseDPDF=Y")</f>
        <v>-11040</v>
      </c>
      <c r="Z71" s="14">
        <f>_xll.BDH("XOM US Equity","OTHER_INS_RES_TO_SHRHLDR_EQY","FQ2 2014","FQ2 2014","Currency=USD","Period=FQ","BEST_FPERIOD_OVERRIDE=FQ","FILING_STATUS=OR","Sort=A","Dates=H","DateFormat=P","Fill=—","Direction=H","UseDPDF=Y")</f>
        <v>-9311</v>
      </c>
      <c r="AA71" s="14">
        <f>_xll.BDH("XOM US Equity","OTHER_INS_RES_TO_SHRHLDR_EQY","FQ3 2014","FQ3 2014","Currency=USD","Period=FQ","BEST_FPERIOD_OVERRIDE=FQ","FILING_STATUS=OR","Sort=A","Dates=H","DateFormat=P","Fill=—","Direction=H","UseDPDF=Y")</f>
        <v>-12196</v>
      </c>
      <c r="AB71" s="14">
        <f>_xll.BDH("XOM US Equity","OTHER_INS_RES_TO_SHRHLDR_EQY","FQ4 2014","FQ4 2014","Currency=USD","Period=FQ","BEST_FPERIOD_OVERRIDE=FQ","FILING_STATUS=OR","Sort=A","Dates=H","DateFormat=P","Fill=—","Direction=H","UseDPDF=Y")</f>
        <v>-18957</v>
      </c>
      <c r="AC71" s="14">
        <f>_xll.BDH("XOM US Equity","OTHER_INS_RES_TO_SHRHLDR_EQY","FQ1 2015","FQ1 2015","Currency=USD","Period=FQ","BEST_FPERIOD_OVERRIDE=FQ","FILING_STATUS=OR","Sort=A","Dates=H","DateFormat=P","Fill=—","Direction=H","UseDPDF=Y")</f>
        <v>-22595</v>
      </c>
      <c r="AD71" s="14">
        <f>_xll.BDH("XOM US Equity","OTHER_INS_RES_TO_SHRHLDR_EQY","FQ2 2015","FQ2 2015","Currency=USD","Period=FQ","BEST_FPERIOD_OVERRIDE=FQ","FILING_STATUS=OR","Sort=A","Dates=H","DateFormat=P","Fill=—","Direction=H","UseDPDF=Y")</f>
        <v>-21493</v>
      </c>
      <c r="AE71" s="14">
        <f>_xll.BDH("XOM US Equity","OTHER_INS_RES_TO_SHRHLDR_EQY","FQ3 2015","FQ3 2015","Currency=USD","Period=FQ","BEST_FPERIOD_OVERRIDE=FQ","FILING_STATUS=OR","Sort=A","Dates=H","DateFormat=P","Fill=—","Direction=H","UseDPDF=Y")</f>
        <v>-24336</v>
      </c>
      <c r="AF71" s="14">
        <f>_xll.BDH("XOM US Equity","OTHER_INS_RES_TO_SHRHLDR_EQY","FQ4 2015","FQ4 2015","Currency=USD","Period=FQ","BEST_FPERIOD_OVERRIDE=FQ","FILING_STATUS=OR","Sort=A","Dates=H","DateFormat=P","Fill=—","Direction=H","UseDPDF=Y")</f>
        <v>-23511</v>
      </c>
      <c r="AG71" s="14">
        <f>_xll.BDH("XOM US Equity","OTHER_INS_RES_TO_SHRHLDR_EQY","FQ1 2016","FQ1 2016","Currency=USD","Period=FQ","BEST_FPERIOD_OVERRIDE=FQ","FILING_STATUS=OR","Sort=A","Dates=H","DateFormat=P","Fill=—","Direction=H","UseDPDF=Y")</f>
        <v>-20384</v>
      </c>
      <c r="AH71" s="14">
        <f>_xll.BDH("XOM US Equity","OTHER_INS_RES_TO_SHRHLDR_EQY","FQ2 2016","FQ2 2016","Currency=USD","Period=FQ","BEST_FPERIOD_OVERRIDE=FQ","FILING_STATUS=OR","Sort=A","Dates=H","DateFormat=P","Fill=—","Direction=H","UseDPDF=Y")</f>
        <v>-20744</v>
      </c>
      <c r="AI71" s="14">
        <f>_xll.BDH("XOM US Equity","OTHER_INS_RES_TO_SHRHLDR_EQY","FQ3 2016","FQ3 2016","Currency=USD","Period=FQ","BEST_FPERIOD_OVERRIDE=FQ","FILING_STATUS=OR","Sort=A","Dates=H","DateFormat=P","Fill=—","Direction=H","UseDPDF=Y")</f>
        <v>-20466</v>
      </c>
      <c r="AJ71" s="14">
        <f>_xll.BDH("XOM US Equity","OTHER_INS_RES_TO_SHRHLDR_EQY","FQ4 2016","FQ4 2016","Currency=USD","Period=FQ","BEST_FPERIOD_OVERRIDE=FQ","FILING_STATUS=OR","Sort=A","Dates=H","DateFormat=P","Fill=—","Direction=H","UseDPDF=Y")</f>
        <v>-22239</v>
      </c>
      <c r="AK71" s="14">
        <f>_xll.BDH("XOM US Equity","OTHER_INS_RES_TO_SHRHLDR_EQY","FQ1 2017","FQ1 2017","Currency=USD","Period=FQ","BEST_FPERIOD_OVERRIDE=FQ","FILING_STATUS=OR","Sort=A","Dates=H","DateFormat=P","Fill=—","Direction=H","UseDPDF=Y")</f>
        <v>-20679</v>
      </c>
      <c r="AL71" s="14">
        <f>_xll.BDH("XOM US Equity","OTHER_INS_RES_TO_SHRHLDR_EQY","FQ2 2017","FQ2 2017","Currency=USD","Period=FQ","BEST_FPERIOD_OVERRIDE=FQ","FILING_STATUS=OR","Sort=A","Dates=H","DateFormat=P","Fill=—","Direction=H","UseDPDF=Y")</f>
        <v>-18902</v>
      </c>
      <c r="AM71" s="14">
        <f>_xll.BDH("XOM US Equity","OTHER_INS_RES_TO_SHRHLDR_EQY","FQ3 2017","FQ3 2017","Currency=USD","Period=FQ","BEST_FPERIOD_OVERRIDE=FQ","FILING_STATUS=OR","Sort=A","Dates=H","DateFormat=P","Fill=—","Direction=H","UseDPDF=Y")</f>
        <v>-16651</v>
      </c>
      <c r="AN71" s="14">
        <f>_xll.BDH("XOM US Equity","OTHER_INS_RES_TO_SHRHLDR_EQY","FQ4 2017","FQ4 2017","Currency=USD","Period=FQ","BEST_FPERIOD_OVERRIDE=FQ","FILING_STATUS=OR","Sort=A","Dates=H","DateFormat=P","Fill=—","Direction=H","UseDPDF=Y")</f>
        <v>-16262</v>
      </c>
      <c r="AO71" s="14">
        <f>_xll.BDH("XOM US Equity","OTHER_INS_RES_TO_SHRHLDR_EQY","FQ1 2018","FQ1 2018","Currency=USD","Period=FQ","BEST_FPERIOD_OVERRIDE=FQ","FILING_STATUS=OR","Sort=A","Dates=H","DateFormat=P","Fill=—","Direction=H","UseDPDF=Y")</f>
        <v>-16992</v>
      </c>
      <c r="AP71" s="14">
        <f>_xll.BDH("XOM US Equity","OTHER_INS_RES_TO_SHRHLDR_EQY","FQ2 2018","FQ2 2018","Currency=USD","Period=FQ","BEST_FPERIOD_OVERRIDE=FQ","FILING_STATUS=OR","Sort=A","Dates=H","DateFormat=P","Fill=—","Direction=H","UseDPDF=Y")</f>
        <v>-18609</v>
      </c>
    </row>
    <row r="72" spans="1:42" x14ac:dyDescent="0.25">
      <c r="A72" s="6" t="s">
        <v>327</v>
      </c>
      <c r="B72" s="6" t="s">
        <v>328</v>
      </c>
      <c r="C72" s="16">
        <f>_xll.BDH("XOM US Equity","EQTY_BEF_MINORITY_INT_DETAILED","FQ3 2008","FQ3 2008","Currency=USD","Period=FQ","BEST_FPERIOD_OVERRIDE=FQ","FILING_STATUS=OR","SCALING_FORMAT=MLN","Sort=A","Dates=H","DateFormat=P","Fill=—","Direction=H","UseDPDF=Y")</f>
        <v>125286</v>
      </c>
      <c r="D72" s="16">
        <f>_xll.BDH("XOM US Equity","EQTY_BEF_MINORITY_INT_DETAILED","FQ4 2008","FQ4 2008","Currency=USD","Period=FQ","BEST_FPERIOD_OVERRIDE=FQ","FILING_STATUS=OR","SCALING_FORMAT=MLN","Sort=A","Dates=H","DateFormat=P","Fill=—","Direction=H","UseDPDF=Y")</f>
        <v>112965</v>
      </c>
      <c r="E72" s="16">
        <f>_xll.BDH("XOM US Equity","EQTY_BEF_MINORITY_INT_DETAILED","FQ1 2009","FQ1 2009","Currency=USD","Period=FQ","BEST_FPERIOD_OVERRIDE=FQ","FILING_STATUS=OR","SCALING_FORMAT=MLN","Sort=A","Dates=H","DateFormat=P","Fill=—","Direction=H","UseDPDF=Y")</f>
        <v>107003</v>
      </c>
      <c r="F72" s="16">
        <f>_xll.BDH("XOM US Equity","EQTY_BEF_MINORITY_INT_DETAILED","FQ2 2009","FQ2 2009","Currency=USD","Period=FQ","BEST_FPERIOD_OVERRIDE=FQ","FILING_STATUS=OR","SCALING_FORMAT=MLN","Sort=A","Dates=H","DateFormat=P","Fill=—","Direction=H","UseDPDF=Y")</f>
        <v>106592</v>
      </c>
      <c r="G72" s="16">
        <f>_xll.BDH("XOM US Equity","EQTY_BEF_MINORITY_INT_DETAILED","FQ3 2009","FQ3 2009","Currency=USD","Period=FQ","BEST_FPERIOD_OVERRIDE=FQ","FILING_STATUS=OR","SCALING_FORMAT=MLN","Sort=A","Dates=H","DateFormat=P","Fill=—","Direction=H","UseDPDF=Y")</f>
        <v>107265</v>
      </c>
      <c r="H72" s="16">
        <f>_xll.BDH("XOM US Equity","EQTY_BEF_MINORITY_INT_DETAILED","FQ4 2009","FQ4 2009","Currency=USD","Period=FQ","BEST_FPERIOD_OVERRIDE=FQ","FILING_STATUS=OR","SCALING_FORMAT=MLN","Sort=A","Dates=H","DateFormat=P","Fill=—","Direction=H","UseDPDF=Y")</f>
        <v>110569</v>
      </c>
      <c r="I72" s="16">
        <f>_xll.BDH("XOM US Equity","EQTY_BEF_MINORITY_INT_DETAILED","FQ1 2010","FQ1 2010","Currency=USD","Period=FQ","BEST_FPERIOD_OVERRIDE=FQ","FILING_STATUS=OR","SCALING_FORMAT=MLN","Sort=A","Dates=H","DateFormat=P","Fill=—","Direction=H","UseDPDF=Y")</f>
        <v>112541</v>
      </c>
      <c r="J72" s="16">
        <f>_xll.BDH("XOM US Equity","EQTY_BEF_MINORITY_INT_DETAILED","FQ2 2010","FQ2 2010","Currency=USD","Period=FQ","BEST_FPERIOD_OVERRIDE=FQ","FILING_STATUS=OR","SCALING_FORMAT=MLN","Sort=A","Dates=H","DateFormat=P","Fill=—","Direction=H","UseDPDF=Y")</f>
        <v>140172</v>
      </c>
      <c r="K72" s="16">
        <f>_xll.BDH("XOM US Equity","EQTY_BEF_MINORITY_INT_DETAILED","FQ3 2010","FQ3 2010","Currency=USD","Period=FQ","BEST_FPERIOD_OVERRIDE=FQ","FILING_STATUS=OR","SCALING_FORMAT=MLN","Sort=A","Dates=H","DateFormat=P","Fill=—","Direction=H","UseDPDF=Y")</f>
        <v>145031</v>
      </c>
      <c r="L72" s="16">
        <f>_xll.BDH("XOM US Equity","EQTY_BEF_MINORITY_INT_DETAILED","FQ4 2010","FQ4 2010","Currency=USD","Period=FQ","BEST_FPERIOD_OVERRIDE=FQ","FILING_STATUS=OR","SCALING_FORMAT=MLN","Sort=A","Dates=H","DateFormat=P","Fill=—","Direction=H","UseDPDF=Y")</f>
        <v>146839</v>
      </c>
      <c r="M72" s="16">
        <f>_xll.BDH("XOM US Equity","EQTY_BEF_MINORITY_INT_DETAILED","FQ1 2011","FQ1 2011","Currency=USD","Period=FQ","BEST_FPERIOD_OVERRIDE=FQ","FILING_STATUS=OR","SCALING_FORMAT=MLN","Sort=A","Dates=H","DateFormat=P","Fill=—","Direction=H","UseDPDF=Y")</f>
        <v>151480</v>
      </c>
      <c r="N72" s="16">
        <f>_xll.BDH("XOM US Equity","EQTY_BEF_MINORITY_INT_DETAILED","FQ2 2011","FQ2 2011","Currency=USD","Period=FQ","BEST_FPERIOD_OVERRIDE=FQ","FILING_STATUS=OR","SCALING_FORMAT=MLN","Sort=A","Dates=H","DateFormat=P","Fill=—","Direction=H","UseDPDF=Y")</f>
        <v>155551</v>
      </c>
      <c r="O72" s="16">
        <f>_xll.BDH("XOM US Equity","EQTY_BEF_MINORITY_INT_DETAILED","FQ3 2011","FQ3 2011","Currency=USD","Period=FQ","BEST_FPERIOD_OVERRIDE=FQ","FILING_STATUS=OR","SCALING_FORMAT=MLN","Sort=A","Dates=H","DateFormat=P","Fill=—","Direction=H","UseDPDF=Y")</f>
        <v>155939</v>
      </c>
      <c r="P72" s="16">
        <f>_xll.BDH("XOM US Equity","EQTY_BEF_MINORITY_INT_DETAILED","FQ4 2011","FQ4 2011","Currency=USD","Period=FQ","BEST_FPERIOD_OVERRIDE=FQ","FILING_STATUS=OR","SCALING_FORMAT=MLN","Sort=A","Dates=H","DateFormat=P","Fill=—","Direction=H","UseDPDF=Y")</f>
        <v>154396</v>
      </c>
      <c r="Q72" s="16">
        <f>_xll.BDH("XOM US Equity","EQTY_BEF_MINORITY_INT_DETAILED","FQ1 2012","FQ1 2012","Currency=USD","Period=FQ","BEST_FPERIOD_OVERRIDE=FQ","FILING_STATUS=OR","SCALING_FORMAT=MLN","Sort=A","Dates=H","DateFormat=P","Fill=—","Direction=H","UseDPDF=Y")</f>
        <v>157012</v>
      </c>
      <c r="R72" s="16">
        <f>_xll.BDH("XOM US Equity","EQTY_BEF_MINORITY_INT_DETAILED","FQ2 2012","FQ2 2012","Currency=USD","Period=FQ","BEST_FPERIOD_OVERRIDE=FQ","FILING_STATUS=OR","SCALING_FORMAT=MLN","Sort=A","Dates=H","DateFormat=P","Fill=—","Direction=H","UseDPDF=Y")</f>
        <v>162811</v>
      </c>
      <c r="S72" s="16">
        <f>_xll.BDH("XOM US Equity","EQTY_BEF_MINORITY_INT_DETAILED","FQ3 2012","FQ3 2012","Currency=USD","Period=FQ","BEST_FPERIOD_OVERRIDE=FQ","FILING_STATUS=OR","SCALING_FORMAT=MLN","Sort=A","Dates=H","DateFormat=P","Fill=—","Direction=H","UseDPDF=Y")</f>
        <v>166713</v>
      </c>
      <c r="T72" s="16">
        <f>_xll.BDH("XOM US Equity","EQTY_BEF_MINORITY_INT_DETAILED","FQ4 2012","FQ4 2012","Currency=USD","Period=FQ","BEST_FPERIOD_OVERRIDE=FQ","FILING_STATUS=OR","SCALING_FORMAT=MLN","Sort=A","Dates=H","DateFormat=P","Fill=—","Direction=H","UseDPDF=Y")</f>
        <v>165863</v>
      </c>
      <c r="U72" s="16">
        <f>_xll.BDH("XOM US Equity","EQTY_BEF_MINORITY_INT_DETAILED","FQ1 2013","FQ1 2013","Currency=USD","Period=FQ","BEST_FPERIOD_OVERRIDE=FQ","FILING_STATUS=OR","SCALING_FORMAT=MLN","Sort=A","Dates=H","DateFormat=P","Fill=—","Direction=H","UseDPDF=Y")</f>
        <v>167001</v>
      </c>
      <c r="V72" s="16">
        <f>_xll.BDH("XOM US Equity","EQTY_BEF_MINORITY_INT_DETAILED","FQ2 2013","FQ2 2013","Currency=USD","Period=FQ","BEST_FPERIOD_OVERRIDE=FQ","FILING_STATUS=OR","SCALING_FORMAT=MLN","Sort=A","Dates=H","DateFormat=P","Fill=—","Direction=H","UseDPDF=Y")</f>
        <v>165647</v>
      </c>
      <c r="W72" s="16">
        <f>_xll.BDH("XOM US Equity","EQTY_BEF_MINORITY_INT_DETAILED","FQ3 2013","FQ3 2013","Currency=USD","Period=FQ","BEST_FPERIOD_OVERRIDE=FQ","FILING_STATUS=OR","SCALING_FORMAT=MLN","Sort=A","Dates=H","DateFormat=P","Fill=—","Direction=H","UseDPDF=Y")</f>
        <v>169245</v>
      </c>
      <c r="X72" s="16">
        <f>_xll.BDH("XOM US Equity","EQTY_BEF_MINORITY_INT_DETAILED","FQ4 2013","FQ4 2013","Currency=USD","Period=FQ","BEST_FPERIOD_OVERRIDE=FQ","FILING_STATUS=OR","SCALING_FORMAT=MLN","Sort=A","Dates=H","DateFormat=P","Fill=—","Direction=H","UseDPDF=Y")</f>
        <v>174003</v>
      </c>
      <c r="Y72" s="16">
        <f>_xll.BDH("XOM US Equity","EQTY_BEF_MINORITY_INT_DETAILED","FQ1 2014","FQ1 2014","Currency=USD","Period=FQ","BEST_FPERIOD_OVERRIDE=FQ","FILING_STATUS=OR","SCALING_FORMAT=MLN","Sort=A","Dates=H","DateFormat=P","Fill=—","Direction=H","UseDPDF=Y")</f>
        <v>176398</v>
      </c>
      <c r="Z72" s="16">
        <f>_xll.BDH("XOM US Equity","EQTY_BEF_MINORITY_INT_DETAILED","FQ2 2014","FQ2 2014","Currency=USD","Period=FQ","BEST_FPERIOD_OVERRIDE=FQ","FILING_STATUS=OR","SCALING_FORMAT=MLN","Sort=A","Dates=H","DateFormat=P","Fill=—","Direction=H","UseDPDF=Y")</f>
        <v>181155</v>
      </c>
      <c r="AA72" s="16">
        <f>_xll.BDH("XOM US Equity","EQTY_BEF_MINORITY_INT_DETAILED","FQ3 2014","FQ3 2014","Currency=USD","Period=FQ","BEST_FPERIOD_OVERRIDE=FQ","FILING_STATUS=OR","SCALING_FORMAT=MLN","Sort=A","Dates=H","DateFormat=P","Fill=—","Direction=H","UseDPDF=Y")</f>
        <v>180587</v>
      </c>
      <c r="AB72" s="16">
        <f>_xll.BDH("XOM US Equity","EQTY_BEF_MINORITY_INT_DETAILED","FQ4 2014","FQ4 2014","Currency=USD","Period=FQ","BEST_FPERIOD_OVERRIDE=FQ","FILING_STATUS=OR","SCALING_FORMAT=MLN","Sort=A","Dates=H","DateFormat=P","Fill=—","Direction=H","UseDPDF=Y")</f>
        <v>174399</v>
      </c>
      <c r="AC72" s="16">
        <f>_xll.BDH("XOM US Equity","EQTY_BEF_MINORITY_INT_DETAILED","FQ1 2015","FQ1 2015","Currency=USD","Period=FQ","BEST_FPERIOD_OVERRIDE=FQ","FILING_STATUS=OR","SCALING_FORMAT=MLN","Sort=A","Dates=H","DateFormat=P","Fill=—","Direction=H","UseDPDF=Y")</f>
        <v>171227</v>
      </c>
      <c r="AD72" s="16">
        <f>_xll.BDH("XOM US Equity","EQTY_BEF_MINORITY_INT_DETAILED","FQ2 2015","FQ2 2015","Currency=USD","Period=FQ","BEST_FPERIOD_OVERRIDE=FQ","FILING_STATUS=OR","SCALING_FORMAT=MLN","Sort=A","Dates=H","DateFormat=P","Fill=—","Direction=H","UseDPDF=Y")</f>
        <v>172668</v>
      </c>
      <c r="AE72" s="16">
        <f>_xll.BDH("XOM US Equity","EQTY_BEF_MINORITY_INT_DETAILED","FQ3 2015","FQ3 2015","Currency=USD","Period=FQ","BEST_FPERIOD_OVERRIDE=FQ","FILING_STATUS=OR","SCALING_FORMAT=MLN","Sort=A","Dates=H","DateFormat=P","Fill=—","Direction=H","UseDPDF=Y")</f>
        <v>170723</v>
      </c>
      <c r="AF72" s="16">
        <f>_xll.BDH("XOM US Equity","EQTY_BEF_MINORITY_INT_DETAILED","FQ4 2015","FQ4 2015","Currency=USD","Period=FQ","BEST_FPERIOD_OVERRIDE=FQ","FILING_STATUS=OR","SCALING_FORMAT=MLN","Sort=A","Dates=H","DateFormat=P","Fill=—","Direction=H","UseDPDF=Y")</f>
        <v>170811</v>
      </c>
      <c r="AG72" s="16">
        <f>_xll.BDH("XOM US Equity","EQTY_BEF_MINORITY_INT_DETAILED","FQ1 2016","FQ1 2016","Currency=USD","Period=FQ","BEST_FPERIOD_OVERRIDE=FQ","FILING_STATUS=OR","SCALING_FORMAT=MLN","Sort=A","Dates=H","DateFormat=P","Fill=—","Direction=H","UseDPDF=Y")</f>
        <v>172187</v>
      </c>
      <c r="AH72" s="16">
        <f>_xll.BDH("XOM US Equity","EQTY_BEF_MINORITY_INT_DETAILED","FQ2 2016","FQ2 2016","Currency=USD","Period=FQ","BEST_FPERIOD_OVERRIDE=FQ","FILING_STATUS=OR","SCALING_FORMAT=MLN","Sort=A","Dates=H","DateFormat=P","Fill=—","Direction=H","UseDPDF=Y")</f>
        <v>170591</v>
      </c>
      <c r="AI72" s="16">
        <f>_xll.BDH("XOM US Equity","EQTY_BEF_MINORITY_INT_DETAILED","FQ3 2016","FQ3 2016","Currency=USD","Period=FQ","BEST_FPERIOD_OVERRIDE=FQ","FILING_STATUS=OR","SCALING_FORMAT=MLN","Sort=A","Dates=H","DateFormat=P","Fill=—","Direction=H","UseDPDF=Y")</f>
        <v>170597</v>
      </c>
      <c r="AJ72" s="16">
        <f>_xll.BDH("XOM US Equity","EQTY_BEF_MINORITY_INT_DETAILED","FQ4 2016","FQ4 2016","Currency=USD","Period=FQ","BEST_FPERIOD_OVERRIDE=FQ","FILING_STATUS=OR","SCALING_FORMAT=MLN","Sort=A","Dates=H","DateFormat=P","Fill=—","Direction=H","UseDPDF=Y")</f>
        <v>167325</v>
      </c>
      <c r="AK72" s="16">
        <f>_xll.BDH("XOM US Equity","EQTY_BEF_MINORITY_INT_DETAILED","FQ1 2017","FQ1 2017","Currency=USD","Period=FQ","BEST_FPERIOD_OVERRIDE=FQ","FILING_STATUS=OR","SCALING_FORMAT=MLN","Sort=A","Dates=H","DateFormat=P","Fill=—","Direction=H","UseDPDF=Y")</f>
        <v>177151</v>
      </c>
      <c r="AL72" s="16">
        <f>_xll.BDH("XOM US Equity","EQTY_BEF_MINORITY_INT_DETAILED","FQ2 2017","FQ2 2017","Currency=USD","Period=FQ","BEST_FPERIOD_OVERRIDE=FQ","FILING_STATUS=OR","SCALING_FORMAT=MLN","Sort=A","Dates=H","DateFormat=P","Fill=—","Direction=H","UseDPDF=Y")</f>
        <v>179178</v>
      </c>
      <c r="AM72" s="16">
        <f>_xll.BDH("XOM US Equity","EQTY_BEF_MINORITY_INT_DETAILED","FQ3 2017","FQ3 2017","Currency=USD","Period=FQ","BEST_FPERIOD_OVERRIDE=FQ","FILING_STATUS=OR","SCALING_FORMAT=MLN","Sort=A","Dates=H","DateFormat=P","Fill=—","Direction=H","UseDPDF=Y")</f>
        <v>182276</v>
      </c>
      <c r="AN72" s="16">
        <f>_xll.BDH("XOM US Equity","EQTY_BEF_MINORITY_INT_DETAILED","FQ4 2017","FQ4 2017","Currency=USD","Period=FQ","BEST_FPERIOD_OVERRIDE=FQ","FILING_STATUS=OR","SCALING_FORMAT=MLN","Sort=A","Dates=H","DateFormat=P","Fill=—","Direction=H","UseDPDF=Y")</f>
        <v>187688</v>
      </c>
      <c r="AO72" s="16">
        <f>_xll.BDH("XOM US Equity","EQTY_BEF_MINORITY_INT_DETAILED","FQ1 2018","FQ1 2018","Currency=USD","Period=FQ","BEST_FPERIOD_OVERRIDE=FQ","FILING_STATUS=OR","SCALING_FORMAT=MLN","Sort=A","Dates=H","DateFormat=P","Fill=—","Direction=H","UseDPDF=Y")</f>
        <v>188195</v>
      </c>
      <c r="AP72" s="16">
        <f>_xll.BDH("XOM US Equity","EQTY_BEF_MINORITY_INT_DETAILED","FQ2 2018","FQ2 2018","Currency=USD","Period=FQ","BEST_FPERIOD_OVERRIDE=FQ","FILING_STATUS=OR","SCALING_FORMAT=MLN","Sort=A","Dates=H","DateFormat=P","Fill=—","Direction=H","UseDPDF=Y")</f>
        <v>187222</v>
      </c>
    </row>
    <row r="73" spans="1:42" x14ac:dyDescent="0.25">
      <c r="A73" s="10" t="s">
        <v>329</v>
      </c>
      <c r="B73" s="10" t="s">
        <v>330</v>
      </c>
      <c r="C73" s="13">
        <f>_xll.BDH("XOM US Equity","MINORITY_NONCONTROLLING_INTEREST","FQ3 2008","FQ3 2008","Currency=USD","Period=FQ","BEST_FPERIOD_OVERRIDE=FQ","FILING_STATUS=OR","SCALING_FORMAT=MLN","Sort=A","Dates=H","DateFormat=P","Fill=—","Direction=H","UseDPDF=Y")</f>
        <v>0</v>
      </c>
      <c r="D73" s="13">
        <f>_xll.BDH("XOM US Equity","MINORITY_NONCONTROLLING_INTEREST","FQ4 2008","FQ4 2008","Currency=USD","Period=FQ","BEST_FPERIOD_OVERRIDE=FQ","FILING_STATUS=OR","SCALING_FORMAT=MLN","Sort=A","Dates=H","DateFormat=P","Fill=—","Direction=H","UseDPDF=Y")</f>
        <v>4558</v>
      </c>
      <c r="E73" s="13">
        <f>_xll.BDH("XOM US Equity","MINORITY_NONCONTROLLING_INTEREST","FQ1 2009","FQ1 2009","Currency=USD","Period=FQ","BEST_FPERIOD_OVERRIDE=FQ","FILING_STATUS=OR","SCALING_FORMAT=MLN","Sort=A","Dates=H","DateFormat=P","Fill=—","Direction=H","UseDPDF=Y")</f>
        <v>4375</v>
      </c>
      <c r="F73" s="13">
        <f>_xll.BDH("XOM US Equity","MINORITY_NONCONTROLLING_INTEREST","FQ2 2009","FQ2 2009","Currency=USD","Period=FQ","BEST_FPERIOD_OVERRIDE=FQ","FILING_STATUS=OR","SCALING_FORMAT=MLN","Sort=A","Dates=H","DateFormat=P","Fill=—","Direction=H","UseDPDF=Y")</f>
        <v>4561</v>
      </c>
      <c r="G73" s="13">
        <f>_xll.BDH("XOM US Equity","MINORITY_NONCONTROLLING_INTEREST","FQ3 2009","FQ3 2009","Currency=USD","Period=FQ","BEST_FPERIOD_OVERRIDE=FQ","FILING_STATUS=OR","SCALING_FORMAT=MLN","Sort=A","Dates=H","DateFormat=P","Fill=—","Direction=H","UseDPDF=Y")</f>
        <v>4840</v>
      </c>
      <c r="H73" s="13">
        <f>_xll.BDH("XOM US Equity","MINORITY_NONCONTROLLING_INTEREST","FQ4 2009","FQ4 2009","Currency=USD","Period=FQ","BEST_FPERIOD_OVERRIDE=FQ","FILING_STATUS=OR","SCALING_FORMAT=MLN","Sort=A","Dates=H","DateFormat=P","Fill=—","Direction=H","UseDPDF=Y")</f>
        <v>4823</v>
      </c>
      <c r="I73" s="13">
        <f>_xll.BDH("XOM US Equity","MINORITY_NONCONTROLLING_INTEREST","FQ1 2010","FQ1 2010","Currency=USD","Period=FQ","BEST_FPERIOD_OVERRIDE=FQ","FILING_STATUS=OR","SCALING_FORMAT=MLN","Sort=A","Dates=H","DateFormat=P","Fill=—","Direction=H","UseDPDF=Y")</f>
        <v>5125</v>
      </c>
      <c r="J73" s="13">
        <f>_xll.BDH("XOM US Equity","MINORITY_NONCONTROLLING_INTEREST","FQ2 2010","FQ2 2010","Currency=USD","Period=FQ","BEST_FPERIOD_OVERRIDE=FQ","FILING_STATUS=OR","SCALING_FORMAT=MLN","Sort=A","Dates=H","DateFormat=P","Fill=—","Direction=H","UseDPDF=Y")</f>
        <v>5195</v>
      </c>
      <c r="K73" s="13">
        <f>_xll.BDH("XOM US Equity","MINORITY_NONCONTROLLING_INTEREST","FQ3 2010","FQ3 2010","Currency=USD","Period=FQ","BEST_FPERIOD_OVERRIDE=FQ","FILING_STATUS=OR","SCALING_FORMAT=MLN","Sort=A","Dates=H","DateFormat=P","Fill=—","Direction=H","UseDPDF=Y")</f>
        <v>5569</v>
      </c>
      <c r="L73" s="13">
        <f>_xll.BDH("XOM US Equity","MINORITY_NONCONTROLLING_INTEREST","FQ4 2010","FQ4 2010","Currency=USD","Period=FQ","BEST_FPERIOD_OVERRIDE=FQ","FILING_STATUS=OR","SCALING_FORMAT=MLN","Sort=A","Dates=H","DateFormat=P","Fill=—","Direction=H","UseDPDF=Y")</f>
        <v>5840</v>
      </c>
      <c r="M73" s="13">
        <f>_xll.BDH("XOM US Equity","MINORITY_NONCONTROLLING_INTEREST","FQ1 2011","FQ1 2011","Currency=USD","Period=FQ","BEST_FPERIOD_OVERRIDE=FQ","FILING_STATUS=OR","SCALING_FORMAT=MLN","Sort=A","Dates=H","DateFormat=P","Fill=—","Direction=H","UseDPDF=Y")</f>
        <v>6051</v>
      </c>
      <c r="N73" s="13">
        <f>_xll.BDH("XOM US Equity","MINORITY_NONCONTROLLING_INTEREST","FQ2 2011","FQ2 2011","Currency=USD","Period=FQ","BEST_FPERIOD_OVERRIDE=FQ","FILING_STATUS=OR","SCALING_FORMAT=MLN","Sort=A","Dates=H","DateFormat=P","Fill=—","Direction=H","UseDPDF=Y")</f>
        <v>6284</v>
      </c>
      <c r="O73" s="13">
        <f>_xll.BDH("XOM US Equity","MINORITY_NONCONTROLLING_INTEREST","FQ3 2011","FQ3 2011","Currency=USD","Period=FQ","BEST_FPERIOD_OVERRIDE=FQ","FILING_STATUS=OR","SCALING_FORMAT=MLN","Sort=A","Dates=H","DateFormat=P","Fill=—","Direction=H","UseDPDF=Y")</f>
        <v>6273</v>
      </c>
      <c r="P73" s="13">
        <f>_xll.BDH("XOM US Equity","MINORITY_NONCONTROLLING_INTEREST","FQ4 2011","FQ4 2011","Currency=USD","Period=FQ","BEST_FPERIOD_OVERRIDE=FQ","FILING_STATUS=OR","SCALING_FORMAT=MLN","Sort=A","Dates=H","DateFormat=P","Fill=—","Direction=H","UseDPDF=Y")</f>
        <v>6348</v>
      </c>
      <c r="Q73" s="13">
        <f>_xll.BDH("XOM US Equity","MINORITY_NONCONTROLLING_INTEREST","FQ1 2012","FQ1 2012","Currency=USD","Period=FQ","BEST_FPERIOD_OVERRIDE=FQ","FILING_STATUS=OR","SCALING_FORMAT=MLN","Sort=A","Dates=H","DateFormat=P","Fill=—","Direction=H","UseDPDF=Y")</f>
        <v>7105</v>
      </c>
      <c r="R73" s="13">
        <f>_xll.BDH("XOM US Equity","MINORITY_NONCONTROLLING_INTEREST","FQ2 2012","FQ2 2012","Currency=USD","Period=FQ","BEST_FPERIOD_OVERRIDE=FQ","FILING_STATUS=OR","SCALING_FORMAT=MLN","Sort=A","Dates=H","DateFormat=P","Fill=—","Direction=H","UseDPDF=Y")</f>
        <v>5174</v>
      </c>
      <c r="S73" s="13">
        <f>_xll.BDH("XOM US Equity","MINORITY_NONCONTROLLING_INTEREST","FQ3 2012","FQ3 2012","Currency=USD","Period=FQ","BEST_FPERIOD_OVERRIDE=FQ","FILING_STATUS=OR","SCALING_FORMAT=MLN","Sort=A","Dates=H","DateFormat=P","Fill=—","Direction=H","UseDPDF=Y")</f>
        <v>5642</v>
      </c>
      <c r="T73" s="13">
        <f>_xll.BDH("XOM US Equity","MINORITY_NONCONTROLLING_INTEREST","FQ4 2012","FQ4 2012","Currency=USD","Period=FQ","BEST_FPERIOD_OVERRIDE=FQ","FILING_STATUS=OR","SCALING_FORMAT=MLN","Sort=A","Dates=H","DateFormat=P","Fill=—","Direction=H","UseDPDF=Y")</f>
        <v>5797</v>
      </c>
      <c r="U73" s="13">
        <f>_xll.BDH("XOM US Equity","MINORITY_NONCONTROLLING_INTEREST","FQ1 2013","FQ1 2013","Currency=USD","Period=FQ","BEST_FPERIOD_OVERRIDE=FQ","FILING_STATUS=OR","SCALING_FORMAT=MLN","Sort=A","Dates=H","DateFormat=P","Fill=—","Direction=H","UseDPDF=Y")</f>
        <v>6076</v>
      </c>
      <c r="V73" s="13">
        <f>_xll.BDH("XOM US Equity","MINORITY_NONCONTROLLING_INTEREST","FQ2 2013","FQ2 2013","Currency=USD","Period=FQ","BEST_FPERIOD_OVERRIDE=FQ","FILING_STATUS=OR","SCALING_FORMAT=MLN","Sort=A","Dates=H","DateFormat=P","Fill=—","Direction=H","UseDPDF=Y")</f>
        <v>5941</v>
      </c>
      <c r="W73" s="13">
        <f>_xll.BDH("XOM US Equity","MINORITY_NONCONTROLLING_INTEREST","FQ3 2013","FQ3 2013","Currency=USD","Period=FQ","BEST_FPERIOD_OVERRIDE=FQ","FILING_STATUS=OR","SCALING_FORMAT=MLN","Sort=A","Dates=H","DateFormat=P","Fill=—","Direction=H","UseDPDF=Y")</f>
        <v>6233</v>
      </c>
      <c r="X73" s="13">
        <f>_xll.BDH("XOM US Equity","MINORITY_NONCONTROLLING_INTEREST","FQ4 2013","FQ4 2013","Currency=USD","Period=FQ","BEST_FPERIOD_OVERRIDE=FQ","FILING_STATUS=OR","SCALING_FORMAT=MLN","Sort=A","Dates=H","DateFormat=P","Fill=—","Direction=H","UseDPDF=Y")</f>
        <v>6492</v>
      </c>
      <c r="Y73" s="13">
        <f>_xll.BDH("XOM US Equity","MINORITY_NONCONTROLLING_INTEREST","FQ1 2014","FQ1 2014","Currency=USD","Period=FQ","BEST_FPERIOD_OVERRIDE=FQ","FILING_STATUS=OR","SCALING_FORMAT=MLN","Sort=A","Dates=H","DateFormat=P","Fill=—","Direction=H","UseDPDF=Y")</f>
        <v>6493</v>
      </c>
      <c r="Z73" s="13">
        <f>_xll.BDH("XOM US Equity","MINORITY_NONCONTROLLING_INTEREST","FQ2 2014","FQ2 2014","Currency=USD","Period=FQ","BEST_FPERIOD_OVERRIDE=FQ","FILING_STATUS=OR","SCALING_FORMAT=MLN","Sort=A","Dates=H","DateFormat=P","Fill=—","Direction=H","UseDPDF=Y")</f>
        <v>6976</v>
      </c>
      <c r="AA73" s="13">
        <f>_xll.BDH("XOM US Equity","MINORITY_NONCONTROLLING_INTEREST","FQ3 2014","FQ3 2014","Currency=USD","Period=FQ","BEST_FPERIOD_OVERRIDE=FQ","FILING_STATUS=OR","SCALING_FORMAT=MLN","Sort=A","Dates=H","DateFormat=P","Fill=—","Direction=H","UseDPDF=Y")</f>
        <v>6908</v>
      </c>
      <c r="AB73" s="13">
        <f>_xll.BDH("XOM US Equity","MINORITY_NONCONTROLLING_INTEREST","FQ4 2014","FQ4 2014","Currency=USD","Period=FQ","BEST_FPERIOD_OVERRIDE=FQ","FILING_STATUS=OR","SCALING_FORMAT=MLN","Sort=A","Dates=H","DateFormat=P","Fill=—","Direction=H","UseDPDF=Y")</f>
        <v>6665</v>
      </c>
      <c r="AC73" s="13">
        <f>_xll.BDH("XOM US Equity","MINORITY_NONCONTROLLING_INTEREST","FQ1 2015","FQ1 2015","Currency=USD","Period=FQ","BEST_FPERIOD_OVERRIDE=FQ","FILING_STATUS=OR","SCALING_FORMAT=MLN","Sort=A","Dates=H","DateFormat=P","Fill=—","Direction=H","UseDPDF=Y")</f>
        <v>6219</v>
      </c>
      <c r="AD73" s="13">
        <f>_xll.BDH("XOM US Equity","MINORITY_NONCONTROLLING_INTEREST","FQ2 2015","FQ2 2015","Currency=USD","Period=FQ","BEST_FPERIOD_OVERRIDE=FQ","FILING_STATUS=OR","SCALING_FORMAT=MLN","Sort=A","Dates=H","DateFormat=P","Fill=—","Direction=H","UseDPDF=Y")</f>
        <v>6330</v>
      </c>
      <c r="AE73" s="13">
        <f>_xll.BDH("XOM US Equity","MINORITY_NONCONTROLLING_INTEREST","FQ3 2015","FQ3 2015","Currency=USD","Period=FQ","BEST_FPERIOD_OVERRIDE=FQ","FILING_STATUS=OR","SCALING_FORMAT=MLN","Sort=A","Dates=H","DateFormat=P","Fill=—","Direction=H","UseDPDF=Y")</f>
        <v>6116</v>
      </c>
      <c r="AF73" s="13">
        <f>_xll.BDH("XOM US Equity","MINORITY_NONCONTROLLING_INTEREST","FQ4 2015","FQ4 2015","Currency=USD","Period=FQ","BEST_FPERIOD_OVERRIDE=FQ","FILING_STATUS=OR","SCALING_FORMAT=MLN","Sort=A","Dates=H","DateFormat=P","Fill=—","Direction=H","UseDPDF=Y")</f>
        <v>5999</v>
      </c>
      <c r="AG73" s="13">
        <f>_xll.BDH("XOM US Equity","MINORITY_NONCONTROLLING_INTEREST","FQ1 2016","FQ1 2016","Currency=USD","Period=FQ","BEST_FPERIOD_OVERRIDE=FQ","FILING_STATUS=OR","SCALING_FORMAT=MLN","Sort=A","Dates=H","DateFormat=P","Fill=—","Direction=H","UseDPDF=Y")</f>
        <v>6311</v>
      </c>
      <c r="AH73" s="13">
        <f>_xll.BDH("XOM US Equity","MINORITY_NONCONTROLLING_INTEREST","FQ2 2016","FQ2 2016","Currency=USD","Period=FQ","BEST_FPERIOD_OVERRIDE=FQ","FILING_STATUS=OR","SCALING_FORMAT=MLN","Sort=A","Dates=H","DateFormat=P","Fill=—","Direction=H","UseDPDF=Y")</f>
        <v>6284</v>
      </c>
      <c r="AI73" s="13">
        <f>_xll.BDH("XOM US Equity","MINORITY_NONCONTROLLING_INTEREST","FQ3 2016","FQ3 2016","Currency=USD","Period=FQ","BEST_FPERIOD_OVERRIDE=FQ","FILING_STATUS=OR","SCALING_FORMAT=MLN","Sort=A","Dates=H","DateFormat=P","Fill=—","Direction=H","UseDPDF=Y")</f>
        <v>6413</v>
      </c>
      <c r="AJ73" s="13">
        <f>_xll.BDH("XOM US Equity","MINORITY_NONCONTROLLING_INTEREST","FQ4 2016","FQ4 2016","Currency=USD","Period=FQ","BEST_FPERIOD_OVERRIDE=FQ","FILING_STATUS=OR","SCALING_FORMAT=MLN","Sort=A","Dates=H","DateFormat=P","Fill=—","Direction=H","UseDPDF=Y")</f>
        <v>6505</v>
      </c>
      <c r="AK73" s="13">
        <f>_xll.BDH("XOM US Equity","MINORITY_NONCONTROLLING_INTEREST","FQ1 2017","FQ1 2017","Currency=USD","Period=FQ","BEST_FPERIOD_OVERRIDE=FQ","FILING_STATUS=OR","SCALING_FORMAT=MLN","Sort=A","Dates=H","DateFormat=P","Fill=—","Direction=H","UseDPDF=Y")</f>
        <v>6620</v>
      </c>
      <c r="AL73" s="13">
        <f>_xll.BDH("XOM US Equity","MINORITY_NONCONTROLLING_INTEREST","FQ2 2017","FQ2 2017","Currency=USD","Period=FQ","BEST_FPERIOD_OVERRIDE=FQ","FILING_STATUS=OR","SCALING_FORMAT=MLN","Sort=A","Dates=H","DateFormat=P","Fill=—","Direction=H","UseDPDF=Y")</f>
        <v>6660</v>
      </c>
      <c r="AM73" s="13">
        <f>_xll.BDH("XOM US Equity","MINORITY_NONCONTROLLING_INTEREST","FQ3 2017","FQ3 2017","Currency=USD","Period=FQ","BEST_FPERIOD_OVERRIDE=FQ","FILING_STATUS=OR","SCALING_FORMAT=MLN","Sort=A","Dates=H","DateFormat=P","Fill=—","Direction=H","UseDPDF=Y")</f>
        <v>6922</v>
      </c>
      <c r="AN73" s="13">
        <f>_xll.BDH("XOM US Equity","MINORITY_NONCONTROLLING_INTEREST","FQ4 2017","FQ4 2017","Currency=USD","Period=FQ","BEST_FPERIOD_OVERRIDE=FQ","FILING_STATUS=OR","SCALING_FORMAT=MLN","Sort=A","Dates=H","DateFormat=P","Fill=—","Direction=H","UseDPDF=Y")</f>
        <v>6812</v>
      </c>
      <c r="AO73" s="13">
        <f>_xll.BDH("XOM US Equity","MINORITY_NONCONTROLLING_INTEREST","FQ1 2018","FQ1 2018","Currency=USD","Period=FQ","BEST_FPERIOD_OVERRIDE=FQ","FILING_STATUS=OR","SCALING_FORMAT=MLN","Sort=A","Dates=H","DateFormat=P","Fill=—","Direction=H","UseDPDF=Y")</f>
        <v>6716</v>
      </c>
      <c r="AP73" s="13">
        <f>_xll.BDH("XOM US Equity","MINORITY_NONCONTROLLING_INTEREST","FQ2 2018","FQ2 2018","Currency=USD","Period=FQ","BEST_FPERIOD_OVERRIDE=FQ","FILING_STATUS=OR","SCALING_FORMAT=MLN","Sort=A","Dates=H","DateFormat=P","Fill=—","Direction=H","UseDPDF=Y")</f>
        <v>6311</v>
      </c>
    </row>
    <row r="74" spans="1:42" x14ac:dyDescent="0.25">
      <c r="A74" s="6" t="s">
        <v>331</v>
      </c>
      <c r="B74" s="6" t="s">
        <v>332</v>
      </c>
      <c r="C74" s="16">
        <f>_xll.BDH("XOM US Equity","TOTAL_EQUITY","FQ3 2008","FQ3 2008","Currency=USD","Period=FQ","BEST_FPERIOD_OVERRIDE=FQ","FILING_STATUS=OR","SCALING_FORMAT=MLN","Sort=A","Dates=H","DateFormat=P","Fill=—","Direction=H","UseDPDF=Y")</f>
        <v>125286</v>
      </c>
      <c r="D74" s="16">
        <f>_xll.BDH("XOM US Equity","TOTAL_EQUITY","FQ4 2008","FQ4 2008","Currency=USD","Period=FQ","BEST_FPERIOD_OVERRIDE=FQ","FILING_STATUS=OR","SCALING_FORMAT=MLN","Sort=A","Dates=H","DateFormat=P","Fill=—","Direction=H","UseDPDF=Y")</f>
        <v>117523</v>
      </c>
      <c r="E74" s="16">
        <f>_xll.BDH("XOM US Equity","TOTAL_EQUITY","FQ1 2009","FQ1 2009","Currency=USD","Period=FQ","BEST_FPERIOD_OVERRIDE=FQ","FILING_STATUS=OR","SCALING_FORMAT=MLN","Sort=A","Dates=H","DateFormat=P","Fill=—","Direction=H","UseDPDF=Y")</f>
        <v>111378</v>
      </c>
      <c r="F74" s="16">
        <f>_xll.BDH("XOM US Equity","TOTAL_EQUITY","FQ2 2009","FQ2 2009","Currency=USD","Period=FQ","BEST_FPERIOD_OVERRIDE=FQ","FILING_STATUS=OR","SCALING_FORMAT=MLN","Sort=A","Dates=H","DateFormat=P","Fill=—","Direction=H","UseDPDF=Y")</f>
        <v>111153</v>
      </c>
      <c r="G74" s="16">
        <f>_xll.BDH("XOM US Equity","TOTAL_EQUITY","FQ3 2009","FQ3 2009","Currency=USD","Period=FQ","BEST_FPERIOD_OVERRIDE=FQ","FILING_STATUS=OR","SCALING_FORMAT=MLN","Sort=A","Dates=H","DateFormat=P","Fill=—","Direction=H","UseDPDF=Y")</f>
        <v>112105</v>
      </c>
      <c r="H74" s="16">
        <f>_xll.BDH("XOM US Equity","TOTAL_EQUITY","FQ4 2009","FQ4 2009","Currency=USD","Period=FQ","BEST_FPERIOD_OVERRIDE=FQ","FILING_STATUS=OR","SCALING_FORMAT=MLN","Sort=A","Dates=H","DateFormat=P","Fill=—","Direction=H","UseDPDF=Y")</f>
        <v>115392</v>
      </c>
      <c r="I74" s="16">
        <f>_xll.BDH("XOM US Equity","TOTAL_EQUITY","FQ1 2010","FQ1 2010","Currency=USD","Period=FQ","BEST_FPERIOD_OVERRIDE=FQ","FILING_STATUS=OR","SCALING_FORMAT=MLN","Sort=A","Dates=H","DateFormat=P","Fill=—","Direction=H","UseDPDF=Y")</f>
        <v>117666</v>
      </c>
      <c r="J74" s="16">
        <f>_xll.BDH("XOM US Equity","TOTAL_EQUITY","FQ2 2010","FQ2 2010","Currency=USD","Period=FQ","BEST_FPERIOD_OVERRIDE=FQ","FILING_STATUS=OR","SCALING_FORMAT=MLN","Sort=A","Dates=H","DateFormat=P","Fill=—","Direction=H","UseDPDF=Y")</f>
        <v>145367</v>
      </c>
      <c r="K74" s="16">
        <f>_xll.BDH("XOM US Equity","TOTAL_EQUITY","FQ3 2010","FQ3 2010","Currency=USD","Period=FQ","BEST_FPERIOD_OVERRIDE=FQ","FILING_STATUS=OR","SCALING_FORMAT=MLN","Sort=A","Dates=H","DateFormat=P","Fill=—","Direction=H","UseDPDF=Y")</f>
        <v>150600</v>
      </c>
      <c r="L74" s="16">
        <f>_xll.BDH("XOM US Equity","TOTAL_EQUITY","FQ4 2010","FQ4 2010","Currency=USD","Period=FQ","BEST_FPERIOD_OVERRIDE=FQ","FILING_STATUS=OR","SCALING_FORMAT=MLN","Sort=A","Dates=H","DateFormat=P","Fill=—","Direction=H","UseDPDF=Y")</f>
        <v>152679</v>
      </c>
      <c r="M74" s="16">
        <f>_xll.BDH("XOM US Equity","TOTAL_EQUITY","FQ1 2011","FQ1 2011","Currency=USD","Period=FQ","BEST_FPERIOD_OVERRIDE=FQ","FILING_STATUS=OR","SCALING_FORMAT=MLN","Sort=A","Dates=H","DateFormat=P","Fill=—","Direction=H","UseDPDF=Y")</f>
        <v>157531</v>
      </c>
      <c r="N74" s="16">
        <f>_xll.BDH("XOM US Equity","TOTAL_EQUITY","FQ2 2011","FQ2 2011","Currency=USD","Period=FQ","BEST_FPERIOD_OVERRIDE=FQ","FILING_STATUS=OR","SCALING_FORMAT=MLN","Sort=A","Dates=H","DateFormat=P","Fill=—","Direction=H","UseDPDF=Y")</f>
        <v>161835</v>
      </c>
      <c r="O74" s="16">
        <f>_xll.BDH("XOM US Equity","TOTAL_EQUITY","FQ3 2011","FQ3 2011","Currency=USD","Period=FQ","BEST_FPERIOD_OVERRIDE=FQ","FILING_STATUS=OR","SCALING_FORMAT=MLN","Sort=A","Dates=H","DateFormat=P","Fill=—","Direction=H","UseDPDF=Y")</f>
        <v>162212</v>
      </c>
      <c r="P74" s="16">
        <f>_xll.BDH("XOM US Equity","TOTAL_EQUITY","FQ4 2011","FQ4 2011","Currency=USD","Period=FQ","BEST_FPERIOD_OVERRIDE=FQ","FILING_STATUS=OR","SCALING_FORMAT=MLN","Sort=A","Dates=H","DateFormat=P","Fill=—","Direction=H","UseDPDF=Y")</f>
        <v>160744</v>
      </c>
      <c r="Q74" s="16">
        <f>_xll.BDH("XOM US Equity","TOTAL_EQUITY","FQ1 2012","FQ1 2012","Currency=USD","Period=FQ","BEST_FPERIOD_OVERRIDE=FQ","FILING_STATUS=OR","SCALING_FORMAT=MLN","Sort=A","Dates=H","DateFormat=P","Fill=—","Direction=H","UseDPDF=Y")</f>
        <v>164117</v>
      </c>
      <c r="R74" s="16">
        <f>_xll.BDH("XOM US Equity","TOTAL_EQUITY","FQ2 2012","FQ2 2012","Currency=USD","Period=FQ","BEST_FPERIOD_OVERRIDE=FQ","FILING_STATUS=OR","SCALING_FORMAT=MLN","Sort=A","Dates=H","DateFormat=P","Fill=—","Direction=H","UseDPDF=Y")</f>
        <v>167985</v>
      </c>
      <c r="S74" s="16">
        <f>_xll.BDH("XOM US Equity","TOTAL_EQUITY","FQ3 2012","FQ3 2012","Currency=USD","Period=FQ","BEST_FPERIOD_OVERRIDE=FQ","FILING_STATUS=OR","SCALING_FORMAT=MLN","Sort=A","Dates=H","DateFormat=P","Fill=—","Direction=H","UseDPDF=Y")</f>
        <v>172355</v>
      </c>
      <c r="T74" s="16">
        <f>_xll.BDH("XOM US Equity","TOTAL_EQUITY","FQ4 2012","FQ4 2012","Currency=USD","Period=FQ","BEST_FPERIOD_OVERRIDE=FQ","FILING_STATUS=OR","SCALING_FORMAT=MLN","Sort=A","Dates=H","DateFormat=P","Fill=—","Direction=H","UseDPDF=Y")</f>
        <v>171660</v>
      </c>
      <c r="U74" s="16">
        <f>_xll.BDH("XOM US Equity","TOTAL_EQUITY","FQ1 2013","FQ1 2013","Currency=USD","Period=FQ","BEST_FPERIOD_OVERRIDE=FQ","FILING_STATUS=OR","SCALING_FORMAT=MLN","Sort=A","Dates=H","DateFormat=P","Fill=—","Direction=H","UseDPDF=Y")</f>
        <v>173077</v>
      </c>
      <c r="V74" s="16">
        <f>_xll.BDH("XOM US Equity","TOTAL_EQUITY","FQ2 2013","FQ2 2013","Currency=USD","Period=FQ","BEST_FPERIOD_OVERRIDE=FQ","FILING_STATUS=OR","SCALING_FORMAT=MLN","Sort=A","Dates=H","DateFormat=P","Fill=—","Direction=H","UseDPDF=Y")</f>
        <v>171588</v>
      </c>
      <c r="W74" s="16">
        <f>_xll.BDH("XOM US Equity","TOTAL_EQUITY","FQ3 2013","FQ3 2013","Currency=USD","Period=FQ","BEST_FPERIOD_OVERRIDE=FQ","FILING_STATUS=OR","SCALING_FORMAT=MLN","Sort=A","Dates=H","DateFormat=P","Fill=—","Direction=H","UseDPDF=Y")</f>
        <v>175478</v>
      </c>
      <c r="X74" s="16">
        <f>_xll.BDH("XOM US Equity","TOTAL_EQUITY","FQ4 2013","FQ4 2013","Currency=USD","Period=FQ","BEST_FPERIOD_OVERRIDE=FQ","FILING_STATUS=OR","SCALING_FORMAT=MLN","Sort=A","Dates=H","DateFormat=P","Fill=—","Direction=H","UseDPDF=Y")</f>
        <v>180495</v>
      </c>
      <c r="Y74" s="16">
        <f>_xll.BDH("XOM US Equity","TOTAL_EQUITY","FQ1 2014","FQ1 2014","Currency=USD","Period=FQ","BEST_FPERIOD_OVERRIDE=FQ","FILING_STATUS=OR","SCALING_FORMAT=MLN","Sort=A","Dates=H","DateFormat=P","Fill=—","Direction=H","UseDPDF=Y")</f>
        <v>182891</v>
      </c>
      <c r="Z74" s="16">
        <f>_xll.BDH("XOM US Equity","TOTAL_EQUITY","FQ2 2014","FQ2 2014","Currency=USD","Period=FQ","BEST_FPERIOD_OVERRIDE=FQ","FILING_STATUS=OR","SCALING_FORMAT=MLN","Sort=A","Dates=H","DateFormat=P","Fill=—","Direction=H","UseDPDF=Y")</f>
        <v>188131</v>
      </c>
      <c r="AA74" s="16">
        <f>_xll.BDH("XOM US Equity","TOTAL_EQUITY","FQ3 2014","FQ3 2014","Currency=USD","Period=FQ","BEST_FPERIOD_OVERRIDE=FQ","FILING_STATUS=OR","SCALING_FORMAT=MLN","Sort=A","Dates=H","DateFormat=P","Fill=—","Direction=H","UseDPDF=Y")</f>
        <v>187495</v>
      </c>
      <c r="AB74" s="16">
        <f>_xll.BDH("XOM US Equity","TOTAL_EQUITY","FQ4 2014","FQ4 2014","Currency=USD","Period=FQ","BEST_FPERIOD_OVERRIDE=FQ","FILING_STATUS=OR","SCALING_FORMAT=MLN","Sort=A","Dates=H","DateFormat=P","Fill=—","Direction=H","UseDPDF=Y")</f>
        <v>181064</v>
      </c>
      <c r="AC74" s="16">
        <f>_xll.BDH("XOM US Equity","TOTAL_EQUITY","FQ1 2015","FQ1 2015","Currency=USD","Period=FQ","BEST_FPERIOD_OVERRIDE=FQ","FILING_STATUS=OR","SCALING_FORMAT=MLN","Sort=A","Dates=H","DateFormat=P","Fill=—","Direction=H","UseDPDF=Y")</f>
        <v>177446</v>
      </c>
      <c r="AD74" s="16">
        <f>_xll.BDH("XOM US Equity","TOTAL_EQUITY","FQ2 2015","FQ2 2015","Currency=USD","Period=FQ","BEST_FPERIOD_OVERRIDE=FQ","FILING_STATUS=OR","SCALING_FORMAT=MLN","Sort=A","Dates=H","DateFormat=P","Fill=—","Direction=H","UseDPDF=Y")</f>
        <v>178998</v>
      </c>
      <c r="AE74" s="16">
        <f>_xll.BDH("XOM US Equity","TOTAL_EQUITY","FQ3 2015","FQ3 2015","Currency=USD","Period=FQ","BEST_FPERIOD_OVERRIDE=FQ","FILING_STATUS=OR","SCALING_FORMAT=MLN","Sort=A","Dates=H","DateFormat=P","Fill=—","Direction=H","UseDPDF=Y")</f>
        <v>176839</v>
      </c>
      <c r="AF74" s="16">
        <f>_xll.BDH("XOM US Equity","TOTAL_EQUITY","FQ4 2015","FQ4 2015","Currency=USD","Period=FQ","BEST_FPERIOD_OVERRIDE=FQ","FILING_STATUS=OR","SCALING_FORMAT=MLN","Sort=A","Dates=H","DateFormat=P","Fill=—","Direction=H","UseDPDF=Y")</f>
        <v>176810</v>
      </c>
      <c r="AG74" s="16">
        <f>_xll.BDH("XOM US Equity","TOTAL_EQUITY","FQ1 2016","FQ1 2016","Currency=USD","Period=FQ","BEST_FPERIOD_OVERRIDE=FQ","FILING_STATUS=OR","SCALING_FORMAT=MLN","Sort=A","Dates=H","DateFormat=P","Fill=—","Direction=H","UseDPDF=Y")</f>
        <v>178498</v>
      </c>
      <c r="AH74" s="16">
        <f>_xll.BDH("XOM US Equity","TOTAL_EQUITY","FQ2 2016","FQ2 2016","Currency=USD","Period=FQ","BEST_FPERIOD_OVERRIDE=FQ","FILING_STATUS=OR","SCALING_FORMAT=MLN","Sort=A","Dates=H","DateFormat=P","Fill=—","Direction=H","UseDPDF=Y")</f>
        <v>176875</v>
      </c>
      <c r="AI74" s="16">
        <f>_xll.BDH("XOM US Equity","TOTAL_EQUITY","FQ3 2016","FQ3 2016","Currency=USD","Period=FQ","BEST_FPERIOD_OVERRIDE=FQ","FILING_STATUS=OR","SCALING_FORMAT=MLN","Sort=A","Dates=H","DateFormat=P","Fill=—","Direction=H","UseDPDF=Y")</f>
        <v>177010</v>
      </c>
      <c r="AJ74" s="16">
        <f>_xll.BDH("XOM US Equity","TOTAL_EQUITY","FQ4 2016","FQ4 2016","Currency=USD","Period=FQ","BEST_FPERIOD_OVERRIDE=FQ","FILING_STATUS=OR","SCALING_FORMAT=MLN","Sort=A","Dates=H","DateFormat=P","Fill=—","Direction=H","UseDPDF=Y")</f>
        <v>173830</v>
      </c>
      <c r="AK74" s="16">
        <f>_xll.BDH("XOM US Equity","TOTAL_EQUITY","FQ1 2017","FQ1 2017","Currency=USD","Period=FQ","BEST_FPERIOD_OVERRIDE=FQ","FILING_STATUS=OR","SCALING_FORMAT=MLN","Sort=A","Dates=H","DateFormat=P","Fill=—","Direction=H","UseDPDF=Y")</f>
        <v>183771</v>
      </c>
      <c r="AL74" s="16">
        <f>_xll.BDH("XOM US Equity","TOTAL_EQUITY","FQ2 2017","FQ2 2017","Currency=USD","Period=FQ","BEST_FPERIOD_OVERRIDE=FQ","FILING_STATUS=OR","SCALING_FORMAT=MLN","Sort=A","Dates=H","DateFormat=P","Fill=—","Direction=H","UseDPDF=Y")</f>
        <v>185838</v>
      </c>
      <c r="AM74" s="16">
        <f>_xll.BDH("XOM US Equity","TOTAL_EQUITY","FQ3 2017","FQ3 2017","Currency=USD","Period=FQ","BEST_FPERIOD_OVERRIDE=FQ","FILING_STATUS=OR","SCALING_FORMAT=MLN","Sort=A","Dates=H","DateFormat=P","Fill=—","Direction=H","UseDPDF=Y")</f>
        <v>189198</v>
      </c>
      <c r="AN74" s="16">
        <f>_xll.BDH("XOM US Equity","TOTAL_EQUITY","FQ4 2017","FQ4 2017","Currency=USD","Period=FQ","BEST_FPERIOD_OVERRIDE=FQ","FILING_STATUS=OR","SCALING_FORMAT=MLN","Sort=A","Dates=H","DateFormat=P","Fill=—","Direction=H","UseDPDF=Y")</f>
        <v>194500</v>
      </c>
      <c r="AO74" s="16">
        <f>_xll.BDH("XOM US Equity","TOTAL_EQUITY","FQ1 2018","FQ1 2018","Currency=USD","Period=FQ","BEST_FPERIOD_OVERRIDE=FQ","FILING_STATUS=OR","SCALING_FORMAT=MLN","Sort=A","Dates=H","DateFormat=P","Fill=—","Direction=H","UseDPDF=Y")</f>
        <v>194911</v>
      </c>
      <c r="AP74" s="16">
        <f>_xll.BDH("XOM US Equity","TOTAL_EQUITY","FQ2 2018","FQ2 2018","Currency=USD","Period=FQ","BEST_FPERIOD_OVERRIDE=FQ","FILING_STATUS=OR","SCALING_FORMAT=MLN","Sort=A","Dates=H","DateFormat=P","Fill=—","Direction=H","UseDPDF=Y")</f>
        <v>193533</v>
      </c>
    </row>
    <row r="75" spans="1:42" x14ac:dyDescent="0.25">
      <c r="A75" s="6" t="s">
        <v>333</v>
      </c>
      <c r="B75" s="6" t="s">
        <v>334</v>
      </c>
      <c r="C75" s="16">
        <f>_xll.BDH("XOM US Equity","TOT_LIAB_AND_EQY","FQ3 2008","FQ3 2008","Currency=USD","Period=FQ","BEST_FPERIOD_OVERRIDE=FQ","FILING_STATUS=OR","SCALING_FORMAT=MLN","Sort=A","Dates=H","DateFormat=P","Fill=—","Direction=H","UseDPDF=Y")</f>
        <v>256218</v>
      </c>
      <c r="D75" s="16">
        <f>_xll.BDH("XOM US Equity","TOT_LIAB_AND_EQY","FQ4 2008","FQ4 2008","Currency=USD","Period=FQ","BEST_FPERIOD_OVERRIDE=FQ","FILING_STATUS=OR","SCALING_FORMAT=MLN","Sort=A","Dates=H","DateFormat=P","Fill=—","Direction=H","UseDPDF=Y")</f>
        <v>228052</v>
      </c>
      <c r="E75" s="16">
        <f>_xll.BDH("XOM US Equity","TOT_LIAB_AND_EQY","FQ1 2009","FQ1 2009","Currency=USD","Period=FQ","BEST_FPERIOD_OVERRIDE=FQ","FILING_STATUS=OR","SCALING_FORMAT=MLN","Sort=A","Dates=H","DateFormat=P","Fill=—","Direction=H","UseDPDF=Y")</f>
        <v>222491</v>
      </c>
      <c r="F75" s="16">
        <f>_xll.BDH("XOM US Equity","TOT_LIAB_AND_EQY","FQ2 2009","FQ2 2009","Currency=USD","Period=FQ","BEST_FPERIOD_OVERRIDE=FQ","FILING_STATUS=OR","SCALING_FORMAT=MLN","Sort=A","Dates=H","DateFormat=P","Fill=—","Direction=H","UseDPDF=Y")</f>
        <v>224661</v>
      </c>
      <c r="G75" s="16">
        <f>_xll.BDH("XOM US Equity","TOT_LIAB_AND_EQY","FQ3 2009","FQ3 2009","Currency=USD","Period=FQ","BEST_FPERIOD_OVERRIDE=FQ","FILING_STATUS=OR","SCALING_FORMAT=MLN","Sort=A","Dates=H","DateFormat=P","Fill=—","Direction=H","UseDPDF=Y")</f>
        <v>229307</v>
      </c>
      <c r="H75" s="16">
        <f>_xll.BDH("XOM US Equity","TOT_LIAB_AND_EQY","FQ4 2009","FQ4 2009","Currency=USD","Period=FQ","BEST_FPERIOD_OVERRIDE=FQ","FILING_STATUS=OR","SCALING_FORMAT=MLN","Sort=A","Dates=H","DateFormat=P","Fill=—","Direction=H","UseDPDF=Y")</f>
        <v>233323</v>
      </c>
      <c r="I75" s="16">
        <f>_xll.BDH("XOM US Equity","TOT_LIAB_AND_EQY","FQ1 2010","FQ1 2010","Currency=USD","Period=FQ","BEST_FPERIOD_OVERRIDE=FQ","FILING_STATUS=OR","SCALING_FORMAT=MLN","Sort=A","Dates=H","DateFormat=P","Fill=—","Direction=H","UseDPDF=Y")</f>
        <v>242748</v>
      </c>
      <c r="J75" s="16">
        <f>_xll.BDH("XOM US Equity","TOT_LIAB_AND_EQY","FQ2 2010","FQ2 2010","Currency=USD","Period=FQ","BEST_FPERIOD_OVERRIDE=FQ","FILING_STATUS=OR","SCALING_FORMAT=MLN","Sort=A","Dates=H","DateFormat=P","Fill=—","Direction=H","UseDPDF=Y")</f>
        <v>291068</v>
      </c>
      <c r="K75" s="16">
        <f>_xll.BDH("XOM US Equity","TOT_LIAB_AND_EQY","FQ3 2010","FQ3 2010","Currency=USD","Period=FQ","BEST_FPERIOD_OVERRIDE=FQ","FILING_STATUS=OR","SCALING_FORMAT=MLN","Sort=A","Dates=H","DateFormat=P","Fill=—","Direction=H","UseDPDF=Y")</f>
        <v>299994</v>
      </c>
      <c r="L75" s="16">
        <f>_xll.BDH("XOM US Equity","TOT_LIAB_AND_EQY","FQ4 2010","FQ4 2010","Currency=USD","Period=FQ","BEST_FPERIOD_OVERRIDE=FQ","FILING_STATUS=OR","SCALING_FORMAT=MLN","Sort=A","Dates=H","DateFormat=P","Fill=—","Direction=H","UseDPDF=Y")</f>
        <v>302510</v>
      </c>
      <c r="M75" s="16">
        <f>_xll.BDH("XOM US Equity","TOT_LIAB_AND_EQY","FQ1 2011","FQ1 2011","Currency=USD","Period=FQ","BEST_FPERIOD_OVERRIDE=FQ","FILING_STATUS=OR","SCALING_FORMAT=MLN","Sort=A","Dates=H","DateFormat=P","Fill=—","Direction=H","UseDPDF=Y")</f>
        <v>319533</v>
      </c>
      <c r="N75" s="16">
        <f>_xll.BDH("XOM US Equity","TOT_LIAB_AND_EQY","FQ2 2011","FQ2 2011","Currency=USD","Period=FQ","BEST_FPERIOD_OVERRIDE=FQ","FILING_STATUS=OR","SCALING_FORMAT=MLN","Sort=A","Dates=H","DateFormat=P","Fill=—","Direction=H","UseDPDF=Y")</f>
        <v>326204</v>
      </c>
      <c r="O75" s="16">
        <f>_xll.BDH("XOM US Equity","TOT_LIAB_AND_EQY","FQ3 2011","FQ3 2011","Currency=USD","Period=FQ","BEST_FPERIOD_OVERRIDE=FQ","FILING_STATUS=OR","SCALING_FORMAT=MLN","Sort=A","Dates=H","DateFormat=P","Fill=—","Direction=H","UseDPDF=Y")</f>
        <v>323227</v>
      </c>
      <c r="P75" s="16">
        <f>_xll.BDH("XOM US Equity","TOT_LIAB_AND_EQY","FQ4 2011","FQ4 2011","Currency=USD","Period=FQ","BEST_FPERIOD_OVERRIDE=FQ","FILING_STATUS=OR","SCALING_FORMAT=MLN","Sort=A","Dates=H","DateFormat=P","Fill=—","Direction=H","UseDPDF=Y")</f>
        <v>331052</v>
      </c>
      <c r="Q75" s="16">
        <f>_xll.BDH("XOM US Equity","TOT_LIAB_AND_EQY","FQ1 2012","FQ1 2012","Currency=USD","Period=FQ","BEST_FPERIOD_OVERRIDE=FQ","FILING_STATUS=OR","SCALING_FORMAT=MLN","Sort=A","Dates=H","DateFormat=P","Fill=—","Direction=H","UseDPDF=Y")</f>
        <v>345152</v>
      </c>
      <c r="R75" s="16">
        <f>_xll.BDH("XOM US Equity","TOT_LIAB_AND_EQY","FQ2 2012","FQ2 2012","Currency=USD","Period=FQ","BEST_FPERIOD_OVERRIDE=FQ","FILING_STATUS=OR","SCALING_FORMAT=MLN","Sort=A","Dates=H","DateFormat=P","Fill=—","Direction=H","UseDPDF=Y")</f>
        <v>329645</v>
      </c>
      <c r="S75" s="16">
        <f>_xll.BDH("XOM US Equity","TOT_LIAB_AND_EQY","FQ3 2012","FQ3 2012","Currency=USD","Period=FQ","BEST_FPERIOD_OVERRIDE=FQ","FILING_STATUS=OR","SCALING_FORMAT=MLN","Sort=A","Dates=H","DateFormat=P","Fill=—","Direction=H","UseDPDF=Y")</f>
        <v>335191</v>
      </c>
      <c r="T75" s="16">
        <f>_xll.BDH("XOM US Equity","TOT_LIAB_AND_EQY","FQ4 2012","FQ4 2012","Currency=USD","Period=FQ","BEST_FPERIOD_OVERRIDE=FQ","FILING_STATUS=OR","SCALING_FORMAT=MLN","Sort=A","Dates=H","DateFormat=P","Fill=—","Direction=H","UseDPDF=Y")</f>
        <v>333795</v>
      </c>
      <c r="U75" s="16">
        <f>_xll.BDH("XOM US Equity","TOT_LIAB_AND_EQY","FQ1 2013","FQ1 2013","Currency=USD","Period=FQ","BEST_FPERIOD_OVERRIDE=FQ","FILING_STATUS=OR","SCALING_FORMAT=MLN","Sort=A","Dates=H","DateFormat=P","Fill=—","Direction=H","UseDPDF=Y")</f>
        <v>339639</v>
      </c>
      <c r="V75" s="16">
        <f>_xll.BDH("XOM US Equity","TOT_LIAB_AND_EQY","FQ2 2013","FQ2 2013","Currency=USD","Period=FQ","BEST_FPERIOD_OVERRIDE=FQ","FILING_STATUS=OR","SCALING_FORMAT=MLN","Sort=A","Dates=H","DateFormat=P","Fill=—","Direction=H","UseDPDF=Y")</f>
        <v>341615</v>
      </c>
      <c r="W75" s="16">
        <f>_xll.BDH("XOM US Equity","TOT_LIAB_AND_EQY","FQ3 2013","FQ3 2013","Currency=USD","Period=FQ","BEST_FPERIOD_OVERRIDE=FQ","FILING_STATUS=OR","SCALING_FORMAT=MLN","Sort=A","Dates=H","DateFormat=P","Fill=—","Direction=H","UseDPDF=Y")</f>
        <v>347564</v>
      </c>
      <c r="X75" s="16">
        <f>_xll.BDH("XOM US Equity","TOT_LIAB_AND_EQY","FQ4 2013","FQ4 2013","Currency=USD","Period=FQ","BEST_FPERIOD_OVERRIDE=FQ","FILING_STATUS=OR","SCALING_FORMAT=MLN","Sort=A","Dates=H","DateFormat=P","Fill=—","Direction=H","UseDPDF=Y")</f>
        <v>346808</v>
      </c>
      <c r="Y75" s="16">
        <f>_xll.BDH("XOM US Equity","TOT_LIAB_AND_EQY","FQ1 2014","FQ1 2014","Currency=USD","Period=FQ","BEST_FPERIOD_OVERRIDE=FQ","FILING_STATUS=OR","SCALING_FORMAT=MLN","Sort=A","Dates=H","DateFormat=P","Fill=—","Direction=H","UseDPDF=Y")</f>
        <v>353033</v>
      </c>
      <c r="Z75" s="16">
        <f>_xll.BDH("XOM US Equity","TOT_LIAB_AND_EQY","FQ2 2014","FQ2 2014","Currency=USD","Period=FQ","BEST_FPERIOD_OVERRIDE=FQ","FILING_STATUS=OR","SCALING_FORMAT=MLN","Sort=A","Dates=H","DateFormat=P","Fill=—","Direction=H","UseDPDF=Y")</f>
        <v>358586</v>
      </c>
      <c r="AA75" s="16">
        <f>_xll.BDH("XOM US Equity","TOT_LIAB_AND_EQY","FQ3 2014","FQ3 2014","Currency=USD","Period=FQ","BEST_FPERIOD_OVERRIDE=FQ","FILING_STATUS=OR","SCALING_FORMAT=MLN","Sort=A","Dates=H","DateFormat=P","Fill=—","Direction=H","UseDPDF=Y")</f>
        <v>352764</v>
      </c>
      <c r="AB75" s="16">
        <f>_xll.BDH("XOM US Equity","TOT_LIAB_AND_EQY","FQ4 2014","FQ4 2014","Currency=USD","Period=FQ","BEST_FPERIOD_OVERRIDE=FQ","FILING_STATUS=OR","SCALING_FORMAT=MLN","Sort=A","Dates=H","DateFormat=P","Fill=—","Direction=H","UseDPDF=Y")</f>
        <v>349493</v>
      </c>
      <c r="AC75" s="16">
        <f>_xll.BDH("XOM US Equity","TOT_LIAB_AND_EQY","FQ1 2015","FQ1 2015","Currency=USD","Period=FQ","BEST_FPERIOD_OVERRIDE=FQ","FILING_STATUS=OR","SCALING_FORMAT=MLN","Sort=A","Dates=H","DateFormat=P","Fill=—","Direction=H","UseDPDF=Y")</f>
        <v>342961</v>
      </c>
      <c r="AD75" s="16">
        <f>_xll.BDH("XOM US Equity","TOT_LIAB_AND_EQY","FQ2 2015","FQ2 2015","Currency=USD","Period=FQ","BEST_FPERIOD_OVERRIDE=FQ","FILING_STATUS=OR","SCALING_FORMAT=MLN","Sort=A","Dates=H","DateFormat=P","Fill=—","Direction=H","UseDPDF=Y")</f>
        <v>348260</v>
      </c>
      <c r="AE75" s="16">
        <f>_xll.BDH("XOM US Equity","TOT_LIAB_AND_EQY","FQ3 2015","FQ3 2015","Currency=USD","Period=FQ","BEST_FPERIOD_OVERRIDE=FQ","FILING_STATUS=OR","SCALING_FORMAT=MLN","Sort=A","Dates=H","DateFormat=P","Fill=—","Direction=H","UseDPDF=Y")</f>
        <v>340662</v>
      </c>
      <c r="AF75" s="16">
        <f>_xll.BDH("XOM US Equity","TOT_LIAB_AND_EQY","FQ4 2015","FQ4 2015","Currency=USD","Period=FQ","BEST_FPERIOD_OVERRIDE=FQ","FILING_STATUS=OR","SCALING_FORMAT=MLN","Sort=A","Dates=H","DateFormat=P","Fill=—","Direction=H","UseDPDF=Y")</f>
        <v>336758</v>
      </c>
      <c r="AG75" s="16">
        <f>_xll.BDH("XOM US Equity","TOT_LIAB_AND_EQY","FQ1 2016","FQ1 2016","Currency=USD","Period=FQ","BEST_FPERIOD_OVERRIDE=FQ","FILING_STATUS=OR","SCALING_FORMAT=MLN","Sort=A","Dates=H","DateFormat=P","Fill=—","Direction=H","UseDPDF=Y")</f>
        <v>342789</v>
      </c>
      <c r="AH75" s="16">
        <f>_xll.BDH("XOM US Equity","TOT_LIAB_AND_EQY","FQ2 2016","FQ2 2016","Currency=USD","Period=FQ","BEST_FPERIOD_OVERRIDE=FQ","FILING_STATUS=OR","SCALING_FORMAT=MLN","Sort=A","Dates=H","DateFormat=P","Fill=—","Direction=H","UseDPDF=Y")</f>
        <v>342473</v>
      </c>
      <c r="AI75" s="16">
        <f>_xll.BDH("XOM US Equity","TOT_LIAB_AND_EQY","FQ3 2016","FQ3 2016","Currency=USD","Period=FQ","BEST_FPERIOD_OVERRIDE=FQ","FILING_STATUS=OR","SCALING_FORMAT=MLN","Sort=A","Dates=H","DateFormat=P","Fill=—","Direction=H","UseDPDF=Y")</f>
        <v>339386</v>
      </c>
      <c r="AJ75" s="16">
        <f>_xll.BDH("XOM US Equity","TOT_LIAB_AND_EQY","FQ4 2016","FQ4 2016","Currency=USD","Period=FQ","BEST_FPERIOD_OVERRIDE=FQ","FILING_STATUS=OR","SCALING_FORMAT=MLN","Sort=A","Dates=H","DateFormat=P","Fill=—","Direction=H","UseDPDF=Y")</f>
        <v>330314</v>
      </c>
      <c r="AK75" s="16">
        <f>_xll.BDH("XOM US Equity","TOT_LIAB_AND_EQY","FQ1 2017","FQ1 2017","Currency=USD","Period=FQ","BEST_FPERIOD_OVERRIDE=FQ","FILING_STATUS=OR","SCALING_FORMAT=MLN","Sort=A","Dates=H","DateFormat=P","Fill=—","Direction=H","UseDPDF=Y")</f>
        <v>344209</v>
      </c>
      <c r="AL75" s="16">
        <f>_xll.BDH("XOM US Equity","TOT_LIAB_AND_EQY","FQ2 2017","FQ2 2017","Currency=USD","Period=FQ","BEST_FPERIOD_OVERRIDE=FQ","FILING_STATUS=OR","SCALING_FORMAT=MLN","Sort=A","Dates=H","DateFormat=P","Fill=—","Direction=H","UseDPDF=Y")</f>
        <v>343012</v>
      </c>
      <c r="AM75" s="16">
        <f>_xll.BDH("XOM US Equity","TOT_LIAB_AND_EQY","FQ3 2017","FQ3 2017","Currency=USD","Period=FQ","BEST_FPERIOD_OVERRIDE=FQ","FILING_STATUS=OR","SCALING_FORMAT=MLN","Sort=A","Dates=H","DateFormat=P","Fill=—","Direction=H","UseDPDF=Y")</f>
        <v>349427</v>
      </c>
      <c r="AN75" s="16">
        <f>_xll.BDH("XOM US Equity","TOT_LIAB_AND_EQY","FQ4 2017","FQ4 2017","Currency=USD","Period=FQ","BEST_FPERIOD_OVERRIDE=FQ","FILING_STATUS=OR","SCALING_FORMAT=MLN","Sort=A","Dates=H","DateFormat=P","Fill=—","Direction=H","UseDPDF=Y")</f>
        <v>348691</v>
      </c>
      <c r="AO75" s="16">
        <f>_xll.BDH("XOM US Equity","TOT_LIAB_AND_EQY","FQ1 2018","FQ1 2018","Currency=USD","Period=FQ","BEST_FPERIOD_OVERRIDE=FQ","FILING_STATUS=OR","SCALING_FORMAT=MLN","Sort=A","Dates=H","DateFormat=P","Fill=—","Direction=H","UseDPDF=Y")</f>
        <v>348826</v>
      </c>
      <c r="AP75" s="16">
        <f>_xll.BDH("XOM US Equity","TOT_LIAB_AND_EQY","FQ2 2018","FQ2 2018","Currency=USD","Period=FQ","BEST_FPERIOD_OVERRIDE=FQ","FILING_STATUS=OR","SCALING_FORMAT=MLN","Sort=A","Dates=H","DateFormat=P","Fill=—","Direction=H","UseDPDF=Y")</f>
        <v>348790</v>
      </c>
    </row>
    <row r="76" spans="1:42" x14ac:dyDescent="0.25">
      <c r="A76" s="6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1:42" x14ac:dyDescent="0.25">
      <c r="A77" s="6" t="s">
        <v>3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1:42" x14ac:dyDescent="0.25">
      <c r="A78" s="10" t="s">
        <v>181</v>
      </c>
      <c r="B78" s="10" t="s">
        <v>182</v>
      </c>
      <c r="C78" s="12" t="s">
        <v>183</v>
      </c>
      <c r="D78" s="12" t="s">
        <v>183</v>
      </c>
      <c r="E78" s="12" t="s">
        <v>183</v>
      </c>
      <c r="F78" s="12" t="s">
        <v>183</v>
      </c>
      <c r="G78" s="12" t="s">
        <v>183</v>
      </c>
      <c r="H78" s="12" t="s">
        <v>183</v>
      </c>
      <c r="I78" s="12" t="s">
        <v>183</v>
      </c>
      <c r="J78" s="12" t="s">
        <v>183</v>
      </c>
      <c r="K78" s="12" t="s">
        <v>183</v>
      </c>
      <c r="L78" s="12" t="s">
        <v>183</v>
      </c>
      <c r="M78" s="12" t="s">
        <v>183</v>
      </c>
      <c r="N78" s="12" t="s">
        <v>183</v>
      </c>
      <c r="O78" s="12" t="s">
        <v>183</v>
      </c>
      <c r="P78" s="12" t="s">
        <v>183</v>
      </c>
      <c r="Q78" s="12" t="s">
        <v>183</v>
      </c>
      <c r="R78" s="12" t="s">
        <v>183</v>
      </c>
      <c r="S78" s="12" t="s">
        <v>183</v>
      </c>
      <c r="T78" s="12" t="s">
        <v>183</v>
      </c>
      <c r="U78" s="12" t="s">
        <v>183</v>
      </c>
      <c r="V78" s="12" t="s">
        <v>183</v>
      </c>
      <c r="W78" s="12" t="s">
        <v>183</v>
      </c>
      <c r="X78" s="12" t="s">
        <v>183</v>
      </c>
      <c r="Y78" s="12" t="s">
        <v>183</v>
      </c>
      <c r="Z78" s="12" t="s">
        <v>183</v>
      </c>
      <c r="AA78" s="12" t="s">
        <v>183</v>
      </c>
      <c r="AB78" s="12" t="s">
        <v>183</v>
      </c>
      <c r="AC78" s="12" t="s">
        <v>183</v>
      </c>
      <c r="AD78" s="12" t="s">
        <v>183</v>
      </c>
      <c r="AE78" s="12" t="s">
        <v>183</v>
      </c>
      <c r="AF78" s="12" t="s">
        <v>183</v>
      </c>
      <c r="AG78" s="12" t="s">
        <v>183</v>
      </c>
      <c r="AH78" s="12" t="s">
        <v>183</v>
      </c>
      <c r="AI78" s="12" t="s">
        <v>183</v>
      </c>
      <c r="AJ78" s="12" t="s">
        <v>183</v>
      </c>
      <c r="AK78" s="12" t="s">
        <v>183</v>
      </c>
      <c r="AL78" s="12" t="s">
        <v>183</v>
      </c>
      <c r="AM78" s="12" t="s">
        <v>183</v>
      </c>
      <c r="AN78" s="12" t="s">
        <v>183</v>
      </c>
      <c r="AO78" s="12" t="s">
        <v>183</v>
      </c>
      <c r="AP78" s="12" t="s">
        <v>183</v>
      </c>
    </row>
    <row r="79" spans="1:42" x14ac:dyDescent="0.25">
      <c r="A79" s="10" t="s">
        <v>335</v>
      </c>
      <c r="B79" s="10" t="s">
        <v>336</v>
      </c>
      <c r="C79" s="13">
        <f>_xll.BDH("XOM US Equity","BS_SH_OUT","FQ3 2008","FQ3 2008","Currency=USD","Period=FQ","BEST_FPERIOD_OVERRIDE=FQ","FILING_STATUS=OR","Sort=A","Dates=H","DateFormat=P","Fill=—","Direction=H","UseDPDF=Y")</f>
        <v>5087</v>
      </c>
      <c r="D79" s="13">
        <f>_xll.BDH("XOM US Equity","BS_SH_OUT","FQ4 2008","FQ4 2008","Currency=USD","Period=FQ","BEST_FPERIOD_OVERRIDE=FQ","FILING_STATUS=OR","Sort=A","Dates=H","DateFormat=P","Fill=—","Direction=H","UseDPDF=Y")</f>
        <v>4976</v>
      </c>
      <c r="E79" s="13">
        <f>_xll.BDH("XOM US Equity","BS_SH_OUT","FQ1 2009","FQ1 2009","Currency=USD","Period=FQ","BEST_FPERIOD_OVERRIDE=FQ","FILING_STATUS=OR","Sort=A","Dates=H","DateFormat=P","Fill=—","Direction=H","UseDPDF=Y")</f>
        <v>4880</v>
      </c>
      <c r="F79" s="13">
        <f>_xll.BDH("XOM US Equity","BS_SH_OUT","FQ2 2009","FQ2 2009","Currency=USD","Period=FQ","BEST_FPERIOD_OVERRIDE=FQ","FILING_STATUS=OR","Sort=A","Dates=H","DateFormat=P","Fill=—","Direction=H","UseDPDF=Y")</f>
        <v>4806</v>
      </c>
      <c r="G79" s="13">
        <f>_xll.BDH("XOM US Equity","BS_SH_OUT","FQ3 2009","FQ3 2009","Currency=USD","Period=FQ","BEST_FPERIOD_OVERRIDE=FQ","FILING_STATUS=OR","Sort=A","Dates=H","DateFormat=P","Fill=—","Direction=H","UseDPDF=Y")</f>
        <v>4747</v>
      </c>
      <c r="H79" s="13">
        <f>_xll.BDH("XOM US Equity","BS_SH_OUT","FQ4 2009","FQ4 2009","Currency=USD","Period=FQ","BEST_FPERIOD_OVERRIDE=FQ","FILING_STATUS=OR","Sort=A","Dates=H","DateFormat=P","Fill=—","Direction=H","UseDPDF=Y")</f>
        <v>4727</v>
      </c>
      <c r="I79" s="13">
        <f>_xll.BDH("XOM US Equity","BS_SH_OUT","FQ1 2010","FQ1 2010","Currency=USD","Period=FQ","BEST_FPERIOD_OVERRIDE=FQ","FILING_STATUS=OR","Sort=A","Dates=H","DateFormat=P","Fill=—","Direction=H","UseDPDF=Y")</f>
        <v>4698</v>
      </c>
      <c r="J79" s="13">
        <f>_xll.BDH("XOM US Equity","BS_SH_OUT","FQ2 2010","FQ2 2010","Currency=USD","Period=FQ","BEST_FPERIOD_OVERRIDE=FQ","FILING_STATUS=OR","Sort=A","Dates=H","DateFormat=P","Fill=—","Direction=H","UseDPDF=Y")</f>
        <v>5092</v>
      </c>
      <c r="K79" s="13">
        <f>_xll.BDH("XOM US Equity","BS_SH_OUT","FQ3 2010","FQ3 2010","Currency=USD","Period=FQ","BEST_FPERIOD_OVERRIDE=FQ","FILING_STATUS=OR","Sort=A","Dates=H","DateFormat=P","Fill=—","Direction=H","UseDPDF=Y")</f>
        <v>5043</v>
      </c>
      <c r="L79" s="13">
        <f>_xll.BDH("XOM US Equity","BS_SH_OUT","FQ4 2010","FQ4 2010","Currency=USD","Period=FQ","BEST_FPERIOD_OVERRIDE=FQ","FILING_STATUS=OR","Sort=A","Dates=H","DateFormat=P","Fill=—","Direction=H","UseDPDF=Y")</f>
        <v>4979</v>
      </c>
      <c r="M79" s="13">
        <f>_xll.BDH("XOM US Equity","BS_SH_OUT","FQ1 2011","FQ1 2011","Currency=USD","Period=FQ","BEST_FPERIOD_OVERRIDE=FQ","FILING_STATUS=OR","Sort=A","Dates=H","DateFormat=P","Fill=—","Direction=H","UseDPDF=Y")</f>
        <v>4926</v>
      </c>
      <c r="N79" s="13">
        <f>_xll.BDH("XOM US Equity","BS_SH_OUT","FQ2 2011","FQ2 2011","Currency=USD","Period=FQ","BEST_FPERIOD_OVERRIDE=FQ","FILING_STATUS=OR","Sort=A","Dates=H","DateFormat=P","Fill=—","Direction=H","UseDPDF=Y")</f>
        <v>4862</v>
      </c>
      <c r="O79" s="13">
        <f>_xll.BDH("XOM US Equity","BS_SH_OUT","FQ3 2011","FQ3 2011","Currency=USD","Period=FQ","BEST_FPERIOD_OVERRIDE=FQ","FILING_STATUS=OR","Sort=A","Dates=H","DateFormat=P","Fill=—","Direction=H","UseDPDF=Y")</f>
        <v>4793</v>
      </c>
      <c r="P79" s="13">
        <f>_xll.BDH("XOM US Equity","BS_SH_OUT","FQ4 2011","FQ4 2011","Currency=USD","Period=FQ","BEST_FPERIOD_OVERRIDE=FQ","FILING_STATUS=OR","Sort=A","Dates=H","DateFormat=P","Fill=—","Direction=H","UseDPDF=Y")</f>
        <v>4734</v>
      </c>
      <c r="Q79" s="13">
        <f>_xll.BDH("XOM US Equity","BS_SH_OUT","FQ1 2012","FQ1 2012","Currency=USD","Period=FQ","BEST_FPERIOD_OVERRIDE=FQ","FILING_STATUS=OR","Sort=A","Dates=H","DateFormat=P","Fill=—","Direction=H","UseDPDF=Y")</f>
        <v>4676</v>
      </c>
      <c r="R79" s="13">
        <f>_xll.BDH("XOM US Equity","BS_SH_OUT","FQ2 2012","FQ2 2012","Currency=USD","Period=FQ","BEST_FPERIOD_OVERRIDE=FQ","FILING_STATUS=OR","Sort=A","Dates=H","DateFormat=P","Fill=—","Direction=H","UseDPDF=Y")</f>
        <v>4616</v>
      </c>
      <c r="S79" s="13">
        <f>_xll.BDH("XOM US Equity","BS_SH_OUT","FQ3 2012","FQ3 2012","Currency=USD","Period=FQ","BEST_FPERIOD_OVERRIDE=FQ","FILING_STATUS=OR","Sort=A","Dates=H","DateFormat=P","Fill=—","Direction=H","UseDPDF=Y")</f>
        <v>4559</v>
      </c>
      <c r="T79" s="13">
        <f>_xll.BDH("XOM US Equity","BS_SH_OUT","FQ4 2012","FQ4 2012","Currency=USD","Period=FQ","BEST_FPERIOD_OVERRIDE=FQ","FILING_STATUS=OR","Sort=A","Dates=H","DateFormat=P","Fill=—","Direction=H","UseDPDF=Y")</f>
        <v>4502</v>
      </c>
      <c r="U79" s="13">
        <f>_xll.BDH("XOM US Equity","BS_SH_OUT","FQ1 2013","FQ1 2013","Currency=USD","Period=FQ","BEST_FPERIOD_OVERRIDE=FQ","FILING_STATUS=OR","Sort=A","Dates=H","DateFormat=P","Fill=—","Direction=H","UseDPDF=Y")</f>
        <v>4446</v>
      </c>
      <c r="V79" s="13">
        <f>_xll.BDH("XOM US Equity","BS_SH_OUT","FQ2 2013","FQ2 2013","Currency=USD","Period=FQ","BEST_FPERIOD_OVERRIDE=FQ","FILING_STATUS=OR","Sort=A","Dates=H","DateFormat=P","Fill=—","Direction=H","UseDPDF=Y")</f>
        <v>4402</v>
      </c>
      <c r="W79" s="13">
        <f>_xll.BDH("XOM US Equity","BS_SH_OUT","FQ3 2013","FQ3 2013","Currency=USD","Period=FQ","BEST_FPERIOD_OVERRIDE=FQ","FILING_STATUS=OR","Sort=A","Dates=H","DateFormat=P","Fill=—","Direction=H","UseDPDF=Y")</f>
        <v>4369</v>
      </c>
      <c r="X79" s="13">
        <f>_xll.BDH("XOM US Equity","BS_SH_OUT","FQ4 2013","FQ4 2013","Currency=USD","Period=FQ","BEST_FPERIOD_OVERRIDE=FQ","FILING_STATUS=OR","Sort=A","Dates=H","DateFormat=P","Fill=—","Direction=H","UseDPDF=Y")</f>
        <v>4335</v>
      </c>
      <c r="Y79" s="13">
        <f>_xll.BDH("XOM US Equity","BS_SH_OUT","FQ1 2014","FQ1 2014","Currency=USD","Period=FQ","BEST_FPERIOD_OVERRIDE=FQ","FILING_STATUS=OR","Sort=A","Dates=H","DateFormat=P","Fill=—","Direction=H","UseDPDF=Y")</f>
        <v>4294</v>
      </c>
      <c r="Z79" s="13">
        <f>_xll.BDH("XOM US Equity","BS_SH_OUT","FQ2 2014","FQ2 2014","Currency=USD","Period=FQ","BEST_FPERIOD_OVERRIDE=FQ","FILING_STATUS=OR","Sort=A","Dates=H","DateFormat=P","Fill=—","Direction=H","UseDPDF=Y")</f>
        <v>4265</v>
      </c>
      <c r="AA79" s="13">
        <f>_xll.BDH("XOM US Equity","BS_SH_OUT","FQ3 2014","FQ3 2014","Currency=USD","Period=FQ","BEST_FPERIOD_OVERRIDE=FQ","FILING_STATUS=OR","Sort=A","Dates=H","DateFormat=P","Fill=—","Direction=H","UseDPDF=Y")</f>
        <v>4235</v>
      </c>
      <c r="AB79" s="13">
        <f>_xll.BDH("XOM US Equity","BS_SH_OUT","FQ4 2014","FQ4 2014","Currency=USD","Period=FQ","BEST_FPERIOD_OVERRIDE=FQ","FILING_STATUS=OR","Sort=A","Dates=H","DateFormat=P","Fill=—","Direction=H","UseDPDF=Y")</f>
        <v>4201</v>
      </c>
      <c r="AC79" s="13">
        <f>_xll.BDH("XOM US Equity","BS_SH_OUT","FQ1 2015","FQ1 2015","Currency=USD","Period=FQ","BEST_FPERIOD_OVERRIDE=FQ","FILING_STATUS=OR","Sort=A","Dates=H","DateFormat=P","Fill=—","Direction=H","UseDPDF=Y")</f>
        <v>4181</v>
      </c>
      <c r="AD79" s="13">
        <f>_xll.BDH("XOM US Equity","BS_SH_OUT","FQ2 2015","FQ2 2015","Currency=USD","Period=FQ","BEST_FPERIOD_OVERRIDE=FQ","FILING_STATUS=OR","Sort=A","Dates=H","DateFormat=P","Fill=—","Direction=H","UseDPDF=Y")</f>
        <v>4169</v>
      </c>
      <c r="AE79" s="13">
        <f>_xll.BDH("XOM US Equity","BS_SH_OUT","FQ3 2015","FQ3 2015","Currency=USD","Period=FQ","BEST_FPERIOD_OVERRIDE=FQ","FILING_STATUS=OR","Sort=A","Dates=H","DateFormat=P","Fill=—","Direction=H","UseDPDF=Y")</f>
        <v>4163</v>
      </c>
      <c r="AF79" s="13">
        <f>_xll.BDH("XOM US Equity","BS_SH_OUT","FQ4 2015","FQ4 2015","Currency=USD","Period=FQ","BEST_FPERIOD_OVERRIDE=FQ","FILING_STATUS=OR","Sort=A","Dates=H","DateFormat=P","Fill=—","Direction=H","UseDPDF=Y")</f>
        <v>4156</v>
      </c>
      <c r="AG79" s="13">
        <f>_xll.BDH("XOM US Equity","BS_SH_OUT","FQ1 2016","FQ1 2016","Currency=USD","Period=FQ","BEST_FPERIOD_OVERRIDE=FQ","FILING_STATUS=OR","Sort=A","Dates=H","DateFormat=P","Fill=—","Direction=H","UseDPDF=Y")</f>
        <v>4147</v>
      </c>
      <c r="AH79" s="13">
        <f>_xll.BDH("XOM US Equity","BS_SH_OUT","FQ2 2016","FQ2 2016","Currency=USD","Period=FQ","BEST_FPERIOD_OVERRIDE=FQ","FILING_STATUS=OR","Sort=A","Dates=H","DateFormat=P","Fill=—","Direction=H","UseDPDF=Y")</f>
        <v>4147</v>
      </c>
      <c r="AI79" s="13">
        <f>_xll.BDH("XOM US Equity","BS_SH_OUT","FQ3 2016","FQ3 2016","Currency=USD","Period=FQ","BEST_FPERIOD_OVERRIDE=FQ","FILING_STATUS=OR","Sort=A","Dates=H","DateFormat=P","Fill=—","Direction=H","UseDPDF=Y")</f>
        <v>4147</v>
      </c>
      <c r="AJ79" s="13">
        <f>_xll.BDH("XOM US Equity","BS_SH_OUT","FQ4 2016","FQ4 2016","Currency=USD","Period=FQ","BEST_FPERIOD_OVERRIDE=FQ","FILING_STATUS=OR","Sort=A","Dates=H","DateFormat=P","Fill=—","Direction=H","UseDPDF=Y")</f>
        <v>4148</v>
      </c>
      <c r="AK79" s="13">
        <f>_xll.BDH("XOM US Equity","BS_SH_OUT","FQ1 2017","FQ1 2017","Currency=USD","Period=FQ","BEST_FPERIOD_OVERRIDE=FQ","FILING_STATUS=OR","Sort=A","Dates=H","DateFormat=P","Fill=—","Direction=H","UseDPDF=Y")</f>
        <v>4237</v>
      </c>
      <c r="AL79" s="13">
        <f>_xll.BDH("XOM US Equity","BS_SH_OUT","FQ2 2017","FQ2 2017","Currency=USD","Period=FQ","BEST_FPERIOD_OVERRIDE=FQ","FILING_STATUS=OR","Sort=A","Dates=H","DateFormat=P","Fill=—","Direction=H","UseDPDF=Y")</f>
        <v>4237</v>
      </c>
      <c r="AM79" s="13">
        <f>_xll.BDH("XOM US Equity","BS_SH_OUT","FQ3 2017","FQ3 2017","Currency=USD","Period=FQ","BEST_FPERIOD_OVERRIDE=FQ","FILING_STATUS=OR","Sort=A","Dates=H","DateFormat=P","Fill=—","Direction=H","UseDPDF=Y")</f>
        <v>4237</v>
      </c>
      <c r="AN79" s="13">
        <f>_xll.BDH("XOM US Equity","BS_SH_OUT","FQ4 2017","FQ4 2017","Currency=USD","Period=FQ","BEST_FPERIOD_OVERRIDE=FQ","FILING_STATUS=OR","Sort=A","Dates=H","DateFormat=P","Fill=—","Direction=H","UseDPDF=Y")</f>
        <v>4239</v>
      </c>
      <c r="AO79" s="13">
        <f>_xll.BDH("XOM US Equity","BS_SH_OUT","FQ1 2018","FQ1 2018","Currency=USD","Period=FQ","BEST_FPERIOD_OVERRIDE=FQ","FILING_STATUS=OR","Sort=A","Dates=H","DateFormat=P","Fill=—","Direction=H","UseDPDF=Y")</f>
        <v>4234</v>
      </c>
      <c r="AP79" s="13">
        <f>_xll.BDH("XOM US Equity","BS_SH_OUT","FQ2 2018","FQ2 2018","Currency=USD","Period=FQ","BEST_FPERIOD_OVERRIDE=FQ","FILING_STATUS=OR","Sort=A","Dates=H","DateFormat=P","Fill=—","Direction=H","UseDPDF=Y")</f>
        <v>4234</v>
      </c>
    </row>
    <row r="80" spans="1:42" x14ac:dyDescent="0.25">
      <c r="A80" s="10" t="s">
        <v>337</v>
      </c>
      <c r="B80" s="10" t="s">
        <v>338</v>
      </c>
      <c r="C80" s="13">
        <f>_xll.BDH("XOM US Equity","BS_NUM_OF_TSY_SH","FQ3 2008","FQ3 2008","Currency=USD","Period=FQ","BEST_FPERIOD_OVERRIDE=FQ","FILING_STATUS=OR","Sort=A","Dates=H","DateFormat=P","Fill=—","Direction=H","UseDPDF=Y")</f>
        <v>2932</v>
      </c>
      <c r="D80" s="13">
        <f>_xll.BDH("XOM US Equity","BS_NUM_OF_TSY_SH","FQ4 2008","FQ4 2008","Currency=USD","Period=FQ","BEST_FPERIOD_OVERRIDE=FQ","FILING_STATUS=OR","Sort=A","Dates=H","DateFormat=P","Fill=—","Direction=H","UseDPDF=Y")</f>
        <v>3043</v>
      </c>
      <c r="E80" s="13">
        <f>_xll.BDH("XOM US Equity","BS_NUM_OF_TSY_SH","FQ1 2009","FQ1 2009","Currency=USD","Period=FQ","BEST_FPERIOD_OVERRIDE=FQ","FILING_STATUS=OR","Sort=A","Dates=H","DateFormat=P","Fill=—","Direction=H","UseDPDF=Y")</f>
        <v>3139</v>
      </c>
      <c r="F80" s="13">
        <f>_xll.BDH("XOM US Equity","BS_NUM_OF_TSY_SH","FQ2 2009","FQ2 2009","Currency=USD","Period=FQ","BEST_FPERIOD_OVERRIDE=FQ","FILING_STATUS=OR","Sort=A","Dates=H","DateFormat=P","Fill=—","Direction=H","UseDPDF=Y")</f>
        <v>3213</v>
      </c>
      <c r="G80" s="13">
        <f>_xll.BDH("XOM US Equity","BS_NUM_OF_TSY_SH","FQ3 2009","FQ3 2009","Currency=USD","Period=FQ","BEST_FPERIOD_OVERRIDE=FQ","FILING_STATUS=OR","Sort=A","Dates=H","DateFormat=P","Fill=—","Direction=H","UseDPDF=Y")</f>
        <v>3272</v>
      </c>
      <c r="H80" s="13">
        <f>_xll.BDH("XOM US Equity","BS_NUM_OF_TSY_SH","FQ4 2009","FQ4 2009","Currency=USD","Period=FQ","BEST_FPERIOD_OVERRIDE=FQ","FILING_STATUS=OR","Sort=A","Dates=H","DateFormat=P","Fill=—","Direction=H","UseDPDF=Y")</f>
        <v>3292</v>
      </c>
      <c r="I80" s="13">
        <f>_xll.BDH("XOM US Equity","BS_NUM_OF_TSY_SH","FQ1 2010","FQ1 2010","Currency=USD","Period=FQ","BEST_FPERIOD_OVERRIDE=FQ","FILING_STATUS=OR","Sort=A","Dates=H","DateFormat=P","Fill=—","Direction=H","UseDPDF=Y")</f>
        <v>3321</v>
      </c>
      <c r="J80" s="13">
        <f>_xll.BDH("XOM US Equity","BS_NUM_OF_TSY_SH","FQ2 2010","FQ2 2010","Currency=USD","Period=FQ","BEST_FPERIOD_OVERRIDE=FQ","FILING_STATUS=OR","Sort=A","Dates=H","DateFormat=P","Fill=—","Direction=H","UseDPDF=Y")</f>
        <v>2927</v>
      </c>
      <c r="K80" s="13">
        <f>_xll.BDH("XOM US Equity","BS_NUM_OF_TSY_SH","FQ3 2010","FQ3 2010","Currency=USD","Period=FQ","BEST_FPERIOD_OVERRIDE=FQ","FILING_STATUS=OR","Sort=A","Dates=H","DateFormat=P","Fill=—","Direction=H","UseDPDF=Y")</f>
        <v>2976</v>
      </c>
      <c r="L80" s="13">
        <f>_xll.BDH("XOM US Equity","BS_NUM_OF_TSY_SH","FQ4 2010","FQ4 2010","Currency=USD","Period=FQ","BEST_FPERIOD_OVERRIDE=FQ","FILING_STATUS=OR","Sort=A","Dates=H","DateFormat=P","Fill=—","Direction=H","UseDPDF=Y")</f>
        <v>3040</v>
      </c>
      <c r="M80" s="13">
        <f>_xll.BDH("XOM US Equity","BS_NUM_OF_TSY_SH","FQ1 2011","FQ1 2011","Currency=USD","Period=FQ","BEST_FPERIOD_OVERRIDE=FQ","FILING_STATUS=OR","Sort=A","Dates=H","DateFormat=P","Fill=—","Direction=H","UseDPDF=Y")</f>
        <v>3093</v>
      </c>
      <c r="N80" s="13">
        <f>_xll.BDH("XOM US Equity","BS_NUM_OF_TSY_SH","FQ2 2011","FQ2 2011","Currency=USD","Period=FQ","BEST_FPERIOD_OVERRIDE=FQ","FILING_STATUS=OR","Sort=A","Dates=H","DateFormat=P","Fill=—","Direction=H","UseDPDF=Y")</f>
        <v>3157</v>
      </c>
      <c r="O80" s="13">
        <f>_xll.BDH("XOM US Equity","BS_NUM_OF_TSY_SH","FQ3 2011","FQ3 2011","Currency=USD","Period=FQ","BEST_FPERIOD_OVERRIDE=FQ","FILING_STATUS=OR","Sort=A","Dates=H","DateFormat=P","Fill=—","Direction=H","UseDPDF=Y")</f>
        <v>3226</v>
      </c>
      <c r="P80" s="13">
        <f>_xll.BDH("XOM US Equity","BS_NUM_OF_TSY_SH","FQ4 2011","FQ4 2011","Currency=USD","Period=FQ","BEST_FPERIOD_OVERRIDE=FQ","FILING_STATUS=OR","Sort=A","Dates=H","DateFormat=P","Fill=—","Direction=H","UseDPDF=Y")</f>
        <v>3285</v>
      </c>
      <c r="Q80" s="13">
        <f>_xll.BDH("XOM US Equity","BS_NUM_OF_TSY_SH","FQ1 2012","FQ1 2012","Currency=USD","Period=FQ","BEST_FPERIOD_OVERRIDE=FQ","FILING_STATUS=OR","Sort=A","Dates=H","DateFormat=P","Fill=—","Direction=H","UseDPDF=Y")</f>
        <v>3343</v>
      </c>
      <c r="R80" s="13">
        <f>_xll.BDH("XOM US Equity","BS_NUM_OF_TSY_SH","FQ2 2012","FQ2 2012","Currency=USD","Period=FQ","BEST_FPERIOD_OVERRIDE=FQ","FILING_STATUS=OR","Sort=A","Dates=H","DateFormat=P","Fill=—","Direction=H","UseDPDF=Y")</f>
        <v>3403</v>
      </c>
      <c r="S80" s="13">
        <f>_xll.BDH("XOM US Equity","BS_NUM_OF_TSY_SH","FQ3 2012","FQ3 2012","Currency=USD","Period=FQ","BEST_FPERIOD_OVERRIDE=FQ","FILING_STATUS=OR","Sort=A","Dates=H","DateFormat=P","Fill=—","Direction=H","UseDPDF=Y")</f>
        <v>3460</v>
      </c>
      <c r="T80" s="13">
        <f>_xll.BDH("XOM US Equity","BS_NUM_OF_TSY_SH","FQ4 2012","FQ4 2012","Currency=USD","Period=FQ","BEST_FPERIOD_OVERRIDE=FQ","FILING_STATUS=OR","Sort=A","Dates=H","DateFormat=P","Fill=—","Direction=H","UseDPDF=Y")</f>
        <v>3517</v>
      </c>
      <c r="U80" s="13">
        <f>_xll.BDH("XOM US Equity","BS_NUM_OF_TSY_SH","FQ1 2013","FQ1 2013","Currency=USD","Period=FQ","BEST_FPERIOD_OVERRIDE=FQ","FILING_STATUS=OR","Sort=A","Dates=H","DateFormat=P","Fill=—","Direction=H","UseDPDF=Y")</f>
        <v>3573</v>
      </c>
      <c r="V80" s="13">
        <f>_xll.BDH("XOM US Equity","BS_NUM_OF_TSY_SH","FQ2 2013","FQ2 2013","Currency=USD","Period=FQ","BEST_FPERIOD_OVERRIDE=FQ","FILING_STATUS=OR","Sort=A","Dates=H","DateFormat=P","Fill=—","Direction=H","UseDPDF=Y")</f>
        <v>3617</v>
      </c>
      <c r="W80" s="13">
        <f>_xll.BDH("XOM US Equity","BS_NUM_OF_TSY_SH","FQ3 2013","FQ3 2013","Currency=USD","Period=FQ","BEST_FPERIOD_OVERRIDE=FQ","FILING_STATUS=OR","Sort=A","Dates=H","DateFormat=P","Fill=—","Direction=H","UseDPDF=Y")</f>
        <v>3650</v>
      </c>
      <c r="X80" s="13">
        <f>_xll.BDH("XOM US Equity","BS_NUM_OF_TSY_SH","FQ4 2013","FQ4 2013","Currency=USD","Period=FQ","BEST_FPERIOD_OVERRIDE=FQ","FILING_STATUS=OR","Sort=A","Dates=H","DateFormat=P","Fill=—","Direction=H","UseDPDF=Y")</f>
        <v>3684</v>
      </c>
      <c r="Y80" s="13">
        <f>_xll.BDH("XOM US Equity","BS_NUM_OF_TSY_SH","FQ1 2014","FQ1 2014","Currency=USD","Period=FQ","BEST_FPERIOD_OVERRIDE=FQ","FILING_STATUS=OR","Sort=A","Dates=H","DateFormat=P","Fill=—","Direction=H","UseDPDF=Y")</f>
        <v>3725</v>
      </c>
      <c r="Z80" s="13">
        <f>_xll.BDH("XOM US Equity","BS_NUM_OF_TSY_SH","FQ2 2014","FQ2 2014","Currency=USD","Period=FQ","BEST_FPERIOD_OVERRIDE=FQ","FILING_STATUS=OR","Sort=A","Dates=H","DateFormat=P","Fill=—","Direction=H","UseDPDF=Y")</f>
        <v>3754</v>
      </c>
      <c r="AA80" s="13">
        <f>_xll.BDH("XOM US Equity","BS_NUM_OF_TSY_SH","FQ3 2014","FQ3 2014","Currency=USD","Period=FQ","BEST_FPERIOD_OVERRIDE=FQ","FILING_STATUS=OR","Sort=A","Dates=H","DateFormat=P","Fill=—","Direction=H","UseDPDF=Y")</f>
        <v>3784</v>
      </c>
      <c r="AB80" s="13">
        <f>_xll.BDH("XOM US Equity","BS_NUM_OF_TSY_SH","FQ4 2014","FQ4 2014","Currency=USD","Period=FQ","BEST_FPERIOD_OVERRIDE=FQ","FILING_STATUS=OR","Sort=A","Dates=H","DateFormat=P","Fill=—","Direction=H","UseDPDF=Y")</f>
        <v>3818</v>
      </c>
      <c r="AC80" s="13">
        <f>_xll.BDH("XOM US Equity","BS_NUM_OF_TSY_SH","FQ1 2015","FQ1 2015","Currency=USD","Period=FQ","BEST_FPERIOD_OVERRIDE=FQ","FILING_STATUS=OR","Sort=A","Dates=H","DateFormat=P","Fill=—","Direction=H","UseDPDF=Y")</f>
        <v>3838</v>
      </c>
      <c r="AD80" s="13">
        <f>_xll.BDH("XOM US Equity","BS_NUM_OF_TSY_SH","FQ2 2015","FQ2 2015","Currency=USD","Period=FQ","BEST_FPERIOD_OVERRIDE=FQ","FILING_STATUS=OR","Sort=A","Dates=H","DateFormat=P","Fill=—","Direction=H","UseDPDF=Y")</f>
        <v>3850</v>
      </c>
      <c r="AE80" s="13">
        <f>_xll.BDH("XOM US Equity","BS_NUM_OF_TSY_SH","FQ3 2015","FQ3 2015","Currency=USD","Period=FQ","BEST_FPERIOD_OVERRIDE=FQ","FILING_STATUS=OR","Sort=A","Dates=H","DateFormat=P","Fill=—","Direction=H","UseDPDF=Y")</f>
        <v>3856</v>
      </c>
      <c r="AF80" s="13">
        <f>_xll.BDH("XOM US Equity","BS_NUM_OF_TSY_SH","FQ4 2015","FQ4 2015","Currency=USD","Period=FQ","BEST_FPERIOD_OVERRIDE=FQ","FILING_STATUS=OR","Sort=A","Dates=H","DateFormat=P","Fill=—","Direction=H","UseDPDF=Y")</f>
        <v>3863</v>
      </c>
      <c r="AG80" s="13">
        <f>_xll.BDH("XOM US Equity","BS_NUM_OF_TSY_SH","FQ1 2016","FQ1 2016","Currency=USD","Period=FQ","BEST_FPERIOD_OVERRIDE=FQ","FILING_STATUS=OR","Sort=A","Dates=H","DateFormat=P","Fill=—","Direction=H","UseDPDF=Y")</f>
        <v>3872</v>
      </c>
      <c r="AH80" s="13">
        <f>_xll.BDH("XOM US Equity","BS_NUM_OF_TSY_SH","FQ2 2016","FQ2 2016","Currency=USD","Period=FQ","BEST_FPERIOD_OVERRIDE=FQ","FILING_STATUS=OR","Sort=A","Dates=H","DateFormat=P","Fill=—","Direction=H","UseDPDF=Y")</f>
        <v>3872</v>
      </c>
      <c r="AI80" s="13">
        <f>_xll.BDH("XOM US Equity","BS_NUM_OF_TSY_SH","FQ3 2016","FQ3 2016","Currency=USD","Period=FQ","BEST_FPERIOD_OVERRIDE=FQ","FILING_STATUS=OR","Sort=A","Dates=H","DateFormat=P","Fill=—","Direction=H","UseDPDF=Y")</f>
        <v>3872</v>
      </c>
      <c r="AJ80" s="13">
        <f>_xll.BDH("XOM US Equity","BS_NUM_OF_TSY_SH","FQ4 2016","FQ4 2016","Currency=USD","Period=FQ","BEST_FPERIOD_OVERRIDE=FQ","FILING_STATUS=OR","Sort=A","Dates=H","DateFormat=P","Fill=—","Direction=H","UseDPDF=Y")</f>
        <v>3871</v>
      </c>
      <c r="AK80" s="13">
        <f>_xll.BDH("XOM US Equity","BS_NUM_OF_TSY_SH","FQ1 2017","FQ1 2017","Currency=USD","Period=FQ","BEST_FPERIOD_OVERRIDE=FQ","FILING_STATUS=OR","Sort=A","Dates=H","DateFormat=P","Fill=—","Direction=H","UseDPDF=Y")</f>
        <v>3782</v>
      </c>
      <c r="AL80" s="13">
        <f>_xll.BDH("XOM US Equity","BS_NUM_OF_TSY_SH","FQ2 2017","FQ2 2017","Currency=USD","Period=FQ","BEST_FPERIOD_OVERRIDE=FQ","FILING_STATUS=OR","Sort=A","Dates=H","DateFormat=P","Fill=—","Direction=H","UseDPDF=Y")</f>
        <v>3782</v>
      </c>
      <c r="AM80" s="13">
        <f>_xll.BDH("XOM US Equity","BS_NUM_OF_TSY_SH","FQ3 2017","FQ3 2017","Currency=USD","Period=FQ","BEST_FPERIOD_OVERRIDE=FQ","FILING_STATUS=OR","Sort=A","Dates=H","DateFormat=P","Fill=—","Direction=H","UseDPDF=Y")</f>
        <v>3782</v>
      </c>
      <c r="AN80" s="13">
        <f>_xll.BDH("XOM US Equity","BS_NUM_OF_TSY_SH","FQ4 2017","FQ4 2017","Currency=USD","Period=FQ","BEST_FPERIOD_OVERRIDE=FQ","FILING_STATUS=OR","Sort=A","Dates=H","DateFormat=P","Fill=—","Direction=H","UseDPDF=Y")</f>
        <v>3780</v>
      </c>
      <c r="AO80" s="13">
        <f>_xll.BDH("XOM US Equity","BS_NUM_OF_TSY_SH","FQ1 2018","FQ1 2018","Currency=USD","Period=FQ","BEST_FPERIOD_OVERRIDE=FQ","FILING_STATUS=OR","Sort=A","Dates=H","DateFormat=P","Fill=—","Direction=H","UseDPDF=Y")</f>
        <v>3785</v>
      </c>
      <c r="AP80" s="13">
        <f>_xll.BDH("XOM US Equity","BS_NUM_OF_TSY_SH","FQ2 2018","FQ2 2018","Currency=USD","Period=FQ","BEST_FPERIOD_OVERRIDE=FQ","FILING_STATUS=OR","Sort=A","Dates=H","DateFormat=P","Fill=—","Direction=H","UseDPDF=Y")</f>
        <v>3785</v>
      </c>
    </row>
    <row r="81" spans="1:42" x14ac:dyDescent="0.25">
      <c r="A81" s="10" t="s">
        <v>339</v>
      </c>
      <c r="B81" s="10" t="s">
        <v>340</v>
      </c>
      <c r="C81" s="13" t="str">
        <f>_xll.BDH("XOM US Equity","BS_PENSION_RSRV","FQ3 2008","FQ3 2008","Currency=USD","Period=FQ","BEST_FPERIOD_OVERRIDE=FQ","FILING_STATUS=OR","SCALING_FORMAT=MLN","Sort=A","Dates=H","DateFormat=P","Fill=—","Direction=H","UseDPDF=Y")</f>
        <v>—</v>
      </c>
      <c r="D81" s="13">
        <f>_xll.BDH("XOM US Equity","BS_PENSION_RSRV","FQ4 2008","FQ4 2008","Currency=USD","Period=FQ","BEST_FPERIOD_OVERRIDE=FQ","FILING_STATUS=OR","SCALING_FORMAT=MLN","Sort=A","Dates=H","DateFormat=P","Fill=—","Direction=H","UseDPDF=Y")</f>
        <v>20729</v>
      </c>
      <c r="E81" s="13">
        <f>_xll.BDH("XOM US Equity","BS_PENSION_RSRV","FQ1 2009","FQ1 2009","Currency=USD","Period=FQ","BEST_FPERIOD_OVERRIDE=FQ","FILING_STATUS=OR","SCALING_FORMAT=MLN","Sort=A","Dates=H","DateFormat=P","Fill=—","Direction=H","UseDPDF=Y")</f>
        <v>20451</v>
      </c>
      <c r="F81" s="13">
        <f>_xll.BDH("XOM US Equity","BS_PENSION_RSRV","FQ2 2009","FQ2 2009","Currency=USD","Period=FQ","BEST_FPERIOD_OVERRIDE=FQ","FILING_STATUS=OR","SCALING_FORMAT=MLN","Sort=A","Dates=H","DateFormat=P","Fill=—","Direction=H","UseDPDF=Y")</f>
        <v>18287</v>
      </c>
      <c r="G81" s="13">
        <f>_xll.BDH("XOM US Equity","BS_PENSION_RSRV","FQ3 2009","FQ3 2009","Currency=USD","Period=FQ","BEST_FPERIOD_OVERRIDE=FQ","FILING_STATUS=OR","SCALING_FORMAT=MLN","Sort=A","Dates=H","DateFormat=P","Fill=—","Direction=H","UseDPDF=Y")</f>
        <v>18632</v>
      </c>
      <c r="H81" s="13">
        <f>_xll.BDH("XOM US Equity","BS_PENSION_RSRV","FQ4 2009","FQ4 2009","Currency=USD","Period=FQ","BEST_FPERIOD_OVERRIDE=FQ","FILING_STATUS=OR","SCALING_FORMAT=MLN","Sort=A","Dates=H","DateFormat=P","Fill=—","Direction=H","UseDPDF=Y")</f>
        <v>17942</v>
      </c>
      <c r="I81" s="13">
        <f>_xll.BDH("XOM US Equity","BS_PENSION_RSRV","FQ1 2010","FQ1 2010","Currency=USD","Period=FQ","BEST_FPERIOD_OVERRIDE=FQ","FILING_STATUS=OR","SCALING_FORMAT=MLN","Sort=A","Dates=H","DateFormat=P","Fill=—","Direction=H","UseDPDF=Y")</f>
        <v>17587</v>
      </c>
      <c r="J81" s="13">
        <f>_xll.BDH("XOM US Equity","BS_PENSION_RSRV","FQ2 2010","FQ2 2010","Currency=USD","Period=FQ","BEST_FPERIOD_OVERRIDE=FQ","FILING_STATUS=OR","SCALING_FORMAT=MLN","Sort=A","Dates=H","DateFormat=P","Fill=—","Direction=H","UseDPDF=Y")</f>
        <v>17143</v>
      </c>
      <c r="K81" s="13">
        <f>_xll.BDH("XOM US Equity","BS_PENSION_RSRV","FQ3 2010","FQ3 2010","Currency=USD","Period=FQ","BEST_FPERIOD_OVERRIDE=FQ","FILING_STATUS=OR","SCALING_FORMAT=MLN","Sort=A","Dates=H","DateFormat=P","Fill=—","Direction=H","UseDPDF=Y")</f>
        <v>18012</v>
      </c>
      <c r="L81" s="13">
        <f>_xll.BDH("XOM US Equity","BS_PENSION_RSRV","FQ4 2010","FQ4 2010","Currency=USD","Period=FQ","BEST_FPERIOD_OVERRIDE=FQ","FILING_STATUS=OR","SCALING_FORMAT=MLN","Sort=A","Dates=H","DateFormat=P","Fill=—","Direction=H","UseDPDF=Y")</f>
        <v>19367</v>
      </c>
      <c r="M81" s="13">
        <f>_xll.BDH("XOM US Equity","BS_PENSION_RSRV","FQ1 2011","FQ1 2011","Currency=USD","Period=FQ","BEST_FPERIOD_OVERRIDE=FQ","FILING_STATUS=OR","SCALING_FORMAT=MLN","Sort=A","Dates=H","DateFormat=P","Fill=—","Direction=H","UseDPDF=Y")</f>
        <v>20076</v>
      </c>
      <c r="N81" s="13">
        <f>_xll.BDH("XOM US Equity","BS_PENSION_RSRV","FQ2 2011","FQ2 2011","Currency=USD","Period=FQ","BEST_FPERIOD_OVERRIDE=FQ","FILING_STATUS=OR","SCALING_FORMAT=MLN","Sort=A","Dates=H","DateFormat=P","Fill=—","Direction=H","UseDPDF=Y")</f>
        <v>20257</v>
      </c>
      <c r="O81" s="13">
        <f>_xll.BDH("XOM US Equity","BS_PENSION_RSRV","FQ3 2011","FQ3 2011","Currency=USD","Period=FQ","BEST_FPERIOD_OVERRIDE=FQ","FILING_STATUS=OR","SCALING_FORMAT=MLN","Sort=A","Dates=H","DateFormat=P","Fill=—","Direction=H","UseDPDF=Y")</f>
        <v>19557</v>
      </c>
      <c r="P81" s="13">
        <f>_xll.BDH("XOM US Equity","BS_PENSION_RSRV","FQ4 2011","FQ4 2011","Currency=USD","Period=FQ","BEST_FPERIOD_OVERRIDE=FQ","FILING_STATUS=OR","SCALING_FORMAT=MLN","Sort=A","Dates=H","DateFormat=P","Fill=—","Direction=H","UseDPDF=Y")</f>
        <v>24994</v>
      </c>
      <c r="Q81" s="13">
        <f>_xll.BDH("XOM US Equity","BS_PENSION_RSRV","FQ1 2012","FQ1 2012","Currency=USD","Period=FQ","BEST_FPERIOD_OVERRIDE=FQ","FILING_STATUS=OR","SCALING_FORMAT=MLN","Sort=A","Dates=H","DateFormat=P","Fill=—","Direction=H","UseDPDF=Y")</f>
        <v>23559</v>
      </c>
      <c r="R81" s="13">
        <f>_xll.BDH("XOM US Equity","BS_PENSION_RSRV","FQ2 2012","FQ2 2012","Currency=USD","Period=FQ","BEST_FPERIOD_OVERRIDE=FQ","FILING_STATUS=OR","SCALING_FORMAT=MLN","Sort=A","Dates=H","DateFormat=P","Fill=—","Direction=H","UseDPDF=Y")</f>
        <v>22117</v>
      </c>
      <c r="S81" s="13">
        <f>_xll.BDH("XOM US Equity","BS_PENSION_RSRV","FQ3 2012","FQ3 2012","Currency=USD","Period=FQ","BEST_FPERIOD_OVERRIDE=FQ","FILING_STATUS=OR","SCALING_FORMAT=MLN","Sort=A","Dates=H","DateFormat=P","Fill=—","Direction=H","UseDPDF=Y")</f>
        <v>21652</v>
      </c>
      <c r="T81" s="13">
        <f>_xll.BDH("XOM US Equity","BS_PENSION_RSRV","FQ4 2012","FQ4 2012","Currency=USD","Period=FQ","BEST_FPERIOD_OVERRIDE=FQ","FILING_STATUS=OR","SCALING_FORMAT=MLN","Sort=A","Dates=H","DateFormat=P","Fill=—","Direction=H","UseDPDF=Y")</f>
        <v>25267</v>
      </c>
      <c r="U81" s="13">
        <f>_xll.BDH("XOM US Equity","BS_PENSION_RSRV","FQ1 2013","FQ1 2013","Currency=USD","Period=FQ","BEST_FPERIOD_OVERRIDE=FQ","FILING_STATUS=OR","SCALING_FORMAT=MLN","Sort=A","Dates=H","DateFormat=P","Fill=—","Direction=H","UseDPDF=Y")</f>
        <v>25286</v>
      </c>
      <c r="V81" s="13">
        <f>_xll.BDH("XOM US Equity","BS_PENSION_RSRV","FQ2 2013","FQ2 2013","Currency=USD","Period=FQ","BEST_FPERIOD_OVERRIDE=FQ","FILING_STATUS=OR","SCALING_FORMAT=MLN","Sort=A","Dates=H","DateFormat=P","Fill=—","Direction=H","UseDPDF=Y")</f>
        <v>25281</v>
      </c>
      <c r="W81" s="13">
        <f>_xll.BDH("XOM US Equity","BS_PENSION_RSRV","FQ3 2013","FQ3 2013","Currency=USD","Period=FQ","BEST_FPERIOD_OVERRIDE=FQ","FILING_STATUS=OR","SCALING_FORMAT=MLN","Sort=A","Dates=H","DateFormat=P","Fill=—","Direction=H","UseDPDF=Y")</f>
        <v>25319</v>
      </c>
      <c r="X81" s="13">
        <f>_xll.BDH("XOM US Equity","BS_PENSION_RSRV","FQ4 2013","FQ4 2013","Currency=USD","Period=FQ","BEST_FPERIOD_OVERRIDE=FQ","FILING_STATUS=OR","SCALING_FORMAT=MLN","Sort=A","Dates=H","DateFormat=P","Fill=—","Direction=H","UseDPDF=Y")</f>
        <v>20646</v>
      </c>
      <c r="Y81" s="13">
        <f>_xll.BDH("XOM US Equity","BS_PENSION_RSRV","FQ1 2014","FQ1 2014","Currency=USD","Period=FQ","BEST_FPERIOD_OVERRIDE=FQ","FILING_STATUS=OR","SCALING_FORMAT=MLN","Sort=A","Dates=H","DateFormat=P","Fill=—","Direction=H","UseDPDF=Y")</f>
        <v>20215</v>
      </c>
      <c r="Z81" s="13">
        <f>_xll.BDH("XOM US Equity","BS_PENSION_RSRV","FQ2 2014","FQ2 2014","Currency=USD","Period=FQ","BEST_FPERIOD_OVERRIDE=FQ","FILING_STATUS=OR","SCALING_FORMAT=MLN","Sort=A","Dates=H","DateFormat=P","Fill=—","Direction=H","UseDPDF=Y")</f>
        <v>20161</v>
      </c>
      <c r="AA81" s="13">
        <f>_xll.BDH("XOM US Equity","BS_PENSION_RSRV","FQ3 2014","FQ3 2014","Currency=USD","Period=FQ","BEST_FPERIOD_OVERRIDE=FQ","FILING_STATUS=OR","SCALING_FORMAT=MLN","Sort=A","Dates=H","DateFormat=P","Fill=—","Direction=H","UseDPDF=Y")</f>
        <v>19268</v>
      </c>
      <c r="AB81" s="13">
        <f>_xll.BDH("XOM US Equity","BS_PENSION_RSRV","FQ4 2014","FQ4 2014","Currency=USD","Period=FQ","BEST_FPERIOD_OVERRIDE=FQ","FILING_STATUS=OR","SCALING_FORMAT=MLN","Sort=A","Dates=H","DateFormat=P","Fill=—","Direction=H","UseDPDF=Y")</f>
        <v>25802</v>
      </c>
      <c r="AC81" s="13">
        <f>_xll.BDH("XOM US Equity","BS_PENSION_RSRV","FQ1 2015","FQ1 2015","Currency=USD","Period=FQ","BEST_FPERIOD_OVERRIDE=FQ","FILING_STATUS=OR","SCALING_FORMAT=MLN","Sort=A","Dates=H","DateFormat=P","Fill=—","Direction=H","UseDPDF=Y")</f>
        <v>24632</v>
      </c>
      <c r="AD81" s="13">
        <f>_xll.BDH("XOM US Equity","BS_PENSION_RSRV","FQ2 2015","FQ2 2015","Currency=USD","Period=FQ","BEST_FPERIOD_OVERRIDE=FQ","FILING_STATUS=OR","SCALING_FORMAT=MLN","Sort=A","Dates=H","DateFormat=P","Fill=—","Direction=H","UseDPDF=Y")</f>
        <v>25039</v>
      </c>
      <c r="AE81" s="13">
        <f>_xll.BDH("XOM US Equity","BS_PENSION_RSRV","FQ3 2015","FQ3 2015","Currency=USD","Period=FQ","BEST_FPERIOD_OVERRIDE=FQ","FILING_STATUS=OR","SCALING_FORMAT=MLN","Sort=A","Dates=H","DateFormat=P","Fill=—","Direction=H","UseDPDF=Y")</f>
        <v>24422</v>
      </c>
      <c r="AF81" s="13">
        <f>_xll.BDH("XOM US Equity","BS_PENSION_RSRV","FQ4 2015","FQ4 2015","Currency=USD","Period=FQ","BEST_FPERIOD_OVERRIDE=FQ","FILING_STATUS=OR","SCALING_FORMAT=MLN","Sort=A","Dates=H","DateFormat=P","Fill=—","Direction=H","UseDPDF=Y")</f>
        <v>22647</v>
      </c>
      <c r="AG81" s="13">
        <f>_xll.BDH("XOM US Equity","BS_PENSION_RSRV","FQ1 2016","FQ1 2016","Currency=USD","Period=FQ","BEST_FPERIOD_OVERRIDE=FQ","FILING_STATUS=OR","SCALING_FORMAT=MLN","Sort=A","Dates=H","DateFormat=P","Fill=—","Direction=H","UseDPDF=Y")</f>
        <v>22401</v>
      </c>
      <c r="AH81" s="13">
        <f>_xll.BDH("XOM US Equity","BS_PENSION_RSRV","FQ2 2016","FQ2 2016","Currency=USD","Period=FQ","BEST_FPERIOD_OVERRIDE=FQ","FILING_STATUS=OR","SCALING_FORMAT=MLN","Sort=A","Dates=H","DateFormat=P","Fill=—","Direction=H","UseDPDF=Y")</f>
        <v>21583</v>
      </c>
      <c r="AI81" s="13">
        <f>_xll.BDH("XOM US Equity","BS_PENSION_RSRV","FQ3 2016","FQ3 2016","Currency=USD","Period=FQ","BEST_FPERIOD_OVERRIDE=FQ","FILING_STATUS=OR","SCALING_FORMAT=MLN","Sort=A","Dates=H","DateFormat=P","Fill=—","Direction=H","UseDPDF=Y")</f>
        <v>21019</v>
      </c>
      <c r="AJ81" s="13">
        <f>_xll.BDH("XOM US Equity","BS_PENSION_RSRV","FQ4 2016","FQ4 2016","Currency=USD","Period=FQ","BEST_FPERIOD_OVERRIDE=FQ","FILING_STATUS=OR","SCALING_FORMAT=MLN","Sort=A","Dates=H","DateFormat=P","Fill=—","Direction=H","UseDPDF=Y")</f>
        <v>20680</v>
      </c>
      <c r="AK81" s="13">
        <f>_xll.BDH("XOM US Equity","BS_PENSION_RSRV","FQ1 2017","FQ1 2017","Currency=USD","Period=FQ","BEST_FPERIOD_OVERRIDE=FQ","FILING_STATUS=OR","SCALING_FORMAT=MLN","Sort=A","Dates=H","DateFormat=P","Fill=—","Direction=H","UseDPDF=Y")</f>
        <v>20584</v>
      </c>
      <c r="AL81" s="13">
        <f>_xll.BDH("XOM US Equity","BS_PENSION_RSRV","FQ2 2017","FQ2 2017","Currency=USD","Period=FQ","BEST_FPERIOD_OVERRIDE=FQ","FILING_STATUS=OR","SCALING_FORMAT=MLN","Sort=A","Dates=H","DateFormat=P","Fill=—","Direction=H","UseDPDF=Y")</f>
        <v>20778</v>
      </c>
      <c r="AM81" s="13">
        <f>_xll.BDH("XOM US Equity","BS_PENSION_RSRV","FQ3 2017","FQ3 2017","Currency=USD","Period=FQ","BEST_FPERIOD_OVERRIDE=FQ","FILING_STATUS=OR","SCALING_FORMAT=MLN","Sort=A","Dates=H","DateFormat=P","Fill=—","Direction=H","UseDPDF=Y")</f>
        <v>20874</v>
      </c>
      <c r="AN81" s="13">
        <f>_xll.BDH("XOM US Equity","BS_PENSION_RSRV","FQ4 2017","FQ4 2017","Currency=USD","Period=FQ","BEST_FPERIOD_OVERRIDE=FQ","FILING_STATUS=OR","SCALING_FORMAT=MLN","Sort=A","Dates=H","DateFormat=P","Fill=—","Direction=H","UseDPDF=Y")</f>
        <v>21132</v>
      </c>
      <c r="AO81" s="13">
        <f>_xll.BDH("XOM US Equity","BS_PENSION_RSRV","FQ1 2018","FQ1 2018","Currency=USD","Period=FQ","BEST_FPERIOD_OVERRIDE=FQ","FILING_STATUS=OR","SCALING_FORMAT=MLN","Sort=A","Dates=H","DateFormat=P","Fill=—","Direction=H","UseDPDF=Y")</f>
        <v>21696</v>
      </c>
      <c r="AP81" s="13">
        <f>_xll.BDH("XOM US Equity","BS_PENSION_RSRV","FQ2 2018","FQ2 2018","Currency=USD","Period=FQ","BEST_FPERIOD_OVERRIDE=FQ","FILING_STATUS=OR","SCALING_FORMAT=MLN","Sort=A","Dates=H","DateFormat=P","Fill=—","Direction=H","UseDPDF=Y")</f>
        <v>21504</v>
      </c>
    </row>
    <row r="82" spans="1:42" x14ac:dyDescent="0.25">
      <c r="A82" s="10" t="s">
        <v>341</v>
      </c>
      <c r="B82" s="10" t="s">
        <v>342</v>
      </c>
      <c r="C82" s="13" t="str">
        <f>_xll.BDH("XOM US Equity","BS_FUTURE_MIN_OPER_LEASE_OBLIG","FQ3 2008","FQ3 2008","Currency=USD","Period=FQ","BEST_FPERIOD_OVERRIDE=FQ","FILING_STATUS=OR","SCALING_FORMAT=MLN","Sort=A","Dates=H","DateFormat=P","Fill=—","Direction=H","UseDPDF=Y")</f>
        <v>—</v>
      </c>
      <c r="D82" s="13">
        <f>_xll.BDH("XOM US Equity","BS_FUTURE_MIN_OPER_LEASE_OBLIG","FQ4 2008","FQ4 2008","Currency=USD","Period=FQ","BEST_FPERIOD_OVERRIDE=FQ","FILING_STATUS=OR","SCALING_FORMAT=MLN","Sort=A","Dates=H","DateFormat=P","Fill=—","Direction=H","UseDPDF=Y")</f>
        <v>11188</v>
      </c>
      <c r="E82" s="13" t="str">
        <f>_xll.BDH("XOM US Equity","BS_FUTURE_MIN_OPER_LEASE_OBLIG","FQ1 2009","FQ1 2009","Currency=USD","Period=FQ","BEST_FPERIOD_OVERRIDE=FQ","FILING_STATUS=OR","SCALING_FORMAT=MLN","Sort=A","Dates=H","DateFormat=P","Fill=—","Direction=H","UseDPDF=Y")</f>
        <v>—</v>
      </c>
      <c r="F82" s="13" t="str">
        <f>_xll.BDH("XOM US Equity","BS_FUTURE_MIN_OPER_LEASE_OBLIG","FQ2 2009","FQ2 2009","Currency=USD","Period=FQ","BEST_FPERIOD_OVERRIDE=FQ","FILING_STATUS=OR","SCALING_FORMAT=MLN","Sort=A","Dates=H","DateFormat=P","Fill=—","Direction=H","UseDPDF=Y")</f>
        <v>—</v>
      </c>
      <c r="G82" s="13" t="str">
        <f>_xll.BDH("XOM US Equity","BS_FUTURE_MIN_OPER_LEASE_OBLIG","FQ3 2009","FQ3 2009","Currency=USD","Period=FQ","BEST_FPERIOD_OVERRIDE=FQ","FILING_STATUS=OR","SCALING_FORMAT=MLN","Sort=A","Dates=H","DateFormat=P","Fill=—","Direction=H","UseDPDF=Y")</f>
        <v>—</v>
      </c>
      <c r="H82" s="13">
        <f>_xll.BDH("XOM US Equity","BS_FUTURE_MIN_OPER_LEASE_OBLIG","FQ4 2009","FQ4 2009","Currency=USD","Period=FQ","BEST_FPERIOD_OVERRIDE=FQ","FILING_STATUS=OR","SCALING_FORMAT=MLN","Sort=A","Dates=H","DateFormat=P","Fill=—","Direction=H","UseDPDF=Y")</f>
        <v>10237</v>
      </c>
      <c r="I82" s="13" t="str">
        <f>_xll.BDH("XOM US Equity","BS_FUTURE_MIN_OPER_LEASE_OBLIG","FQ1 2010","FQ1 2010","Currency=USD","Period=FQ","BEST_FPERIOD_OVERRIDE=FQ","FILING_STATUS=OR","SCALING_FORMAT=MLN","Sort=A","Dates=H","DateFormat=P","Fill=—","Direction=H","UseDPDF=Y")</f>
        <v>—</v>
      </c>
      <c r="J82" s="13" t="str">
        <f>_xll.BDH("XOM US Equity","BS_FUTURE_MIN_OPER_LEASE_OBLIG","FQ2 2010","FQ2 2010","Currency=USD","Period=FQ","BEST_FPERIOD_OVERRIDE=FQ","FILING_STATUS=OR","SCALING_FORMAT=MLN","Sort=A","Dates=H","DateFormat=P","Fill=—","Direction=H","UseDPDF=Y")</f>
        <v>—</v>
      </c>
      <c r="K82" s="13" t="str">
        <f>_xll.BDH("XOM US Equity","BS_FUTURE_MIN_OPER_LEASE_OBLIG","FQ3 2010","FQ3 2010","Currency=USD","Period=FQ","BEST_FPERIOD_OVERRIDE=FQ","FILING_STATUS=OR","SCALING_FORMAT=MLN","Sort=A","Dates=H","DateFormat=P","Fill=—","Direction=H","UseDPDF=Y")</f>
        <v>—</v>
      </c>
      <c r="L82" s="13">
        <f>_xll.BDH("XOM US Equity","BS_FUTURE_MIN_OPER_LEASE_OBLIG","FQ4 2010","FQ4 2010","Currency=USD","Period=FQ","BEST_FPERIOD_OVERRIDE=FQ","FILING_STATUS=OR","SCALING_FORMAT=MLN","Sort=A","Dates=H","DateFormat=P","Fill=—","Direction=H","UseDPDF=Y")</f>
        <v>7714</v>
      </c>
      <c r="M82" s="13" t="str">
        <f>_xll.BDH("XOM US Equity","BS_FUTURE_MIN_OPER_LEASE_OBLIG","FQ1 2011","FQ1 2011","Currency=USD","Period=FQ","BEST_FPERIOD_OVERRIDE=FQ","FILING_STATUS=OR","SCALING_FORMAT=MLN","Sort=A","Dates=H","DateFormat=P","Fill=—","Direction=H","UseDPDF=Y")</f>
        <v>—</v>
      </c>
      <c r="N82" s="13" t="str">
        <f>_xll.BDH("XOM US Equity","BS_FUTURE_MIN_OPER_LEASE_OBLIG","FQ2 2011","FQ2 2011","Currency=USD","Period=FQ","BEST_FPERIOD_OVERRIDE=FQ","FILING_STATUS=OR","SCALING_FORMAT=MLN","Sort=A","Dates=H","DateFormat=P","Fill=—","Direction=H","UseDPDF=Y")</f>
        <v>—</v>
      </c>
      <c r="O82" s="13" t="str">
        <f>_xll.BDH("XOM US Equity","BS_FUTURE_MIN_OPER_LEASE_OBLIG","FQ3 2011","FQ3 2011","Currency=USD","Period=FQ","BEST_FPERIOD_OVERRIDE=FQ","FILING_STATUS=OR","SCALING_FORMAT=MLN","Sort=A","Dates=H","DateFormat=P","Fill=—","Direction=H","UseDPDF=Y")</f>
        <v>—</v>
      </c>
      <c r="P82" s="13">
        <f>_xll.BDH("XOM US Equity","BS_FUTURE_MIN_OPER_LEASE_OBLIG","FQ4 2011","FQ4 2011","Currency=USD","Period=FQ","BEST_FPERIOD_OVERRIDE=FQ","FILING_STATUS=OR","SCALING_FORMAT=MLN","Sort=A","Dates=H","DateFormat=P","Fill=—","Direction=H","UseDPDF=Y")</f>
        <v>7807</v>
      </c>
      <c r="Q82" s="13" t="str">
        <f>_xll.BDH("XOM US Equity","BS_FUTURE_MIN_OPER_LEASE_OBLIG","FQ1 2012","FQ1 2012","Currency=USD","Period=FQ","BEST_FPERIOD_OVERRIDE=FQ","FILING_STATUS=OR","SCALING_FORMAT=MLN","Sort=A","Dates=H","DateFormat=P","Fill=—","Direction=H","UseDPDF=Y")</f>
        <v>—</v>
      </c>
      <c r="R82" s="13" t="str">
        <f>_xll.BDH("XOM US Equity","BS_FUTURE_MIN_OPER_LEASE_OBLIG","FQ2 2012","FQ2 2012","Currency=USD","Period=FQ","BEST_FPERIOD_OVERRIDE=FQ","FILING_STATUS=OR","SCALING_FORMAT=MLN","Sort=A","Dates=H","DateFormat=P","Fill=—","Direction=H","UseDPDF=Y")</f>
        <v>—</v>
      </c>
      <c r="S82" s="13" t="str">
        <f>_xll.BDH("XOM US Equity","BS_FUTURE_MIN_OPER_LEASE_OBLIG","FQ3 2012","FQ3 2012","Currency=USD","Period=FQ","BEST_FPERIOD_OVERRIDE=FQ","FILING_STATUS=OR","SCALING_FORMAT=MLN","Sort=A","Dates=H","DateFormat=P","Fill=—","Direction=H","UseDPDF=Y")</f>
        <v>—</v>
      </c>
      <c r="T82" s="13">
        <f>_xll.BDH("XOM US Equity","BS_FUTURE_MIN_OPER_LEASE_OBLIG","FQ4 2012","FQ4 2012","Currency=USD","Period=FQ","BEST_FPERIOD_OVERRIDE=FQ","FILING_STATUS=OR","SCALING_FORMAT=MLN","Sort=A","Dates=H","DateFormat=P","Fill=—","Direction=H","UseDPDF=Y")</f>
        <v>8070</v>
      </c>
      <c r="U82" s="13" t="str">
        <f>_xll.BDH("XOM US Equity","BS_FUTURE_MIN_OPER_LEASE_OBLIG","FQ1 2013","FQ1 2013","Currency=USD","Period=FQ","BEST_FPERIOD_OVERRIDE=FQ","FILING_STATUS=OR","SCALING_FORMAT=MLN","Sort=A","Dates=H","DateFormat=P","Fill=—","Direction=H","UseDPDF=Y")</f>
        <v>—</v>
      </c>
      <c r="V82" s="13" t="str">
        <f>_xll.BDH("XOM US Equity","BS_FUTURE_MIN_OPER_LEASE_OBLIG","FQ2 2013","FQ2 2013","Currency=USD","Period=FQ","BEST_FPERIOD_OVERRIDE=FQ","FILING_STATUS=OR","SCALING_FORMAT=MLN","Sort=A","Dates=H","DateFormat=P","Fill=—","Direction=H","UseDPDF=Y")</f>
        <v>—</v>
      </c>
      <c r="W82" s="13" t="str">
        <f>_xll.BDH("XOM US Equity","BS_FUTURE_MIN_OPER_LEASE_OBLIG","FQ3 2013","FQ3 2013","Currency=USD","Period=FQ","BEST_FPERIOD_OVERRIDE=FQ","FILING_STATUS=OR","SCALING_FORMAT=MLN","Sort=A","Dates=H","DateFormat=P","Fill=—","Direction=H","UseDPDF=Y")</f>
        <v>—</v>
      </c>
      <c r="X82" s="13">
        <f>_xll.BDH("XOM US Equity","BS_FUTURE_MIN_OPER_LEASE_OBLIG","FQ4 2013","FQ4 2013","Currency=USD","Period=FQ","BEST_FPERIOD_OVERRIDE=FQ","FILING_STATUS=OR","SCALING_FORMAT=MLN","Sort=A","Dates=H","DateFormat=P","Fill=—","Direction=H","UseDPDF=Y")</f>
        <v>7343</v>
      </c>
      <c r="Y82" s="13" t="str">
        <f>_xll.BDH("XOM US Equity","BS_FUTURE_MIN_OPER_LEASE_OBLIG","FQ1 2014","FQ1 2014","Currency=USD","Period=FQ","BEST_FPERIOD_OVERRIDE=FQ","FILING_STATUS=OR","SCALING_FORMAT=MLN","Sort=A","Dates=H","DateFormat=P","Fill=—","Direction=H","UseDPDF=Y")</f>
        <v>—</v>
      </c>
      <c r="Z82" s="13" t="str">
        <f>_xll.BDH("XOM US Equity","BS_FUTURE_MIN_OPER_LEASE_OBLIG","FQ2 2014","FQ2 2014","Currency=USD","Period=FQ","BEST_FPERIOD_OVERRIDE=FQ","FILING_STATUS=OR","SCALING_FORMAT=MLN","Sort=A","Dates=H","DateFormat=P","Fill=—","Direction=H","UseDPDF=Y")</f>
        <v>—</v>
      </c>
      <c r="AA82" s="13" t="str">
        <f>_xll.BDH("XOM US Equity","BS_FUTURE_MIN_OPER_LEASE_OBLIG","FQ3 2014","FQ3 2014","Currency=USD","Period=FQ","BEST_FPERIOD_OVERRIDE=FQ","FILING_STATUS=OR","SCALING_FORMAT=MLN","Sort=A","Dates=H","DateFormat=P","Fill=—","Direction=H","UseDPDF=Y")</f>
        <v>—</v>
      </c>
      <c r="AB82" s="13">
        <f>_xll.BDH("XOM US Equity","BS_FUTURE_MIN_OPER_LEASE_OBLIG","FQ4 2014","FQ4 2014","Currency=USD","Period=FQ","BEST_FPERIOD_OVERRIDE=FQ","FILING_STATUS=OR","SCALING_FORMAT=MLN","Sort=A","Dates=H","DateFormat=P","Fill=—","Direction=H","UseDPDF=Y")</f>
        <v>6143</v>
      </c>
      <c r="AC82" s="13" t="str">
        <f>_xll.BDH("XOM US Equity","BS_FUTURE_MIN_OPER_LEASE_OBLIG","FQ1 2015","FQ1 2015","Currency=USD","Period=FQ","BEST_FPERIOD_OVERRIDE=FQ","FILING_STATUS=OR","SCALING_FORMAT=MLN","Sort=A","Dates=H","DateFormat=P","Fill=—","Direction=H","UseDPDF=Y")</f>
        <v>—</v>
      </c>
      <c r="AD82" s="13" t="str">
        <f>_xll.BDH("XOM US Equity","BS_FUTURE_MIN_OPER_LEASE_OBLIG","FQ2 2015","FQ2 2015","Currency=USD","Period=FQ","BEST_FPERIOD_OVERRIDE=FQ","FILING_STATUS=OR","SCALING_FORMAT=MLN","Sort=A","Dates=H","DateFormat=P","Fill=—","Direction=H","UseDPDF=Y")</f>
        <v>—</v>
      </c>
      <c r="AE82" s="13" t="str">
        <f>_xll.BDH("XOM US Equity","BS_FUTURE_MIN_OPER_LEASE_OBLIG","FQ3 2015","FQ3 2015","Currency=USD","Period=FQ","BEST_FPERIOD_OVERRIDE=FQ","FILING_STATUS=OR","SCALING_FORMAT=MLN","Sort=A","Dates=H","DateFormat=P","Fill=—","Direction=H","UseDPDF=Y")</f>
        <v>—</v>
      </c>
      <c r="AF82" s="13">
        <f>_xll.BDH("XOM US Equity","BS_FUTURE_MIN_OPER_LEASE_OBLIG","FQ4 2015","FQ4 2015","Currency=USD","Period=FQ","BEST_FPERIOD_OVERRIDE=FQ","FILING_STATUS=OR","SCALING_FORMAT=MLN","Sort=A","Dates=H","DateFormat=P","Fill=—","Direction=H","UseDPDF=Y")</f>
        <v>4845</v>
      </c>
      <c r="AG82" s="13" t="str">
        <f>_xll.BDH("XOM US Equity","BS_FUTURE_MIN_OPER_LEASE_OBLIG","FQ1 2016","FQ1 2016","Currency=USD","Period=FQ","BEST_FPERIOD_OVERRIDE=FQ","FILING_STATUS=OR","SCALING_FORMAT=MLN","Sort=A","Dates=H","DateFormat=P","Fill=—","Direction=H","UseDPDF=Y")</f>
        <v>—</v>
      </c>
      <c r="AH82" s="13" t="str">
        <f>_xll.BDH("XOM US Equity","BS_FUTURE_MIN_OPER_LEASE_OBLIG","FQ2 2016","FQ2 2016","Currency=USD","Period=FQ","BEST_FPERIOD_OVERRIDE=FQ","FILING_STATUS=OR","SCALING_FORMAT=MLN","Sort=A","Dates=H","DateFormat=P","Fill=—","Direction=H","UseDPDF=Y")</f>
        <v>—</v>
      </c>
      <c r="AI82" s="13" t="str">
        <f>_xll.BDH("XOM US Equity","BS_FUTURE_MIN_OPER_LEASE_OBLIG","FQ3 2016","FQ3 2016","Currency=USD","Period=FQ","BEST_FPERIOD_OVERRIDE=FQ","FILING_STATUS=OR","SCALING_FORMAT=MLN","Sort=A","Dates=H","DateFormat=P","Fill=—","Direction=H","UseDPDF=Y")</f>
        <v>—</v>
      </c>
      <c r="AJ82" s="13">
        <f>_xll.BDH("XOM US Equity","BS_FUTURE_MIN_OPER_LEASE_OBLIG","FQ4 2016","FQ4 2016","Currency=USD","Period=FQ","BEST_FPERIOD_OVERRIDE=FQ","FILING_STATUS=OR","SCALING_FORMAT=MLN","Sort=A","Dates=H","DateFormat=P","Fill=—","Direction=H","UseDPDF=Y")</f>
        <v>3811</v>
      </c>
      <c r="AK82" s="13" t="str">
        <f>_xll.BDH("XOM US Equity","BS_FUTURE_MIN_OPER_LEASE_OBLIG","FQ1 2017","FQ1 2017","Currency=USD","Period=FQ","BEST_FPERIOD_OVERRIDE=FQ","FILING_STATUS=OR","SCALING_FORMAT=MLN","Sort=A","Dates=H","DateFormat=P","Fill=—","Direction=H","UseDPDF=Y")</f>
        <v>—</v>
      </c>
      <c r="AL82" s="13" t="str">
        <f>_xll.BDH("XOM US Equity","BS_FUTURE_MIN_OPER_LEASE_OBLIG","FQ2 2017","FQ2 2017","Currency=USD","Period=FQ","BEST_FPERIOD_OVERRIDE=FQ","FILING_STATUS=OR","SCALING_FORMAT=MLN","Sort=A","Dates=H","DateFormat=P","Fill=—","Direction=H","UseDPDF=Y")</f>
        <v>—</v>
      </c>
      <c r="AM82" s="13" t="str">
        <f>_xll.BDH("XOM US Equity","BS_FUTURE_MIN_OPER_LEASE_OBLIG","FQ3 2017","FQ3 2017","Currency=USD","Period=FQ","BEST_FPERIOD_OVERRIDE=FQ","FILING_STATUS=OR","SCALING_FORMAT=MLN","Sort=A","Dates=H","DateFormat=P","Fill=—","Direction=H","UseDPDF=Y")</f>
        <v>—</v>
      </c>
      <c r="AN82" s="13">
        <f>_xll.BDH("XOM US Equity","BS_FUTURE_MIN_OPER_LEASE_OBLIG","FQ4 2017","FQ4 2017","Currency=USD","Period=FQ","BEST_FPERIOD_OVERRIDE=FQ","FILING_STATUS=OR","SCALING_FORMAT=MLN","Sort=A","Dates=H","DateFormat=P","Fill=—","Direction=H","UseDPDF=Y")</f>
        <v>4290</v>
      </c>
      <c r="AO82" s="13" t="str">
        <f>_xll.BDH("XOM US Equity","BS_FUTURE_MIN_OPER_LEASE_OBLIG","FQ1 2018","FQ1 2018","Currency=USD","Period=FQ","BEST_FPERIOD_OVERRIDE=FQ","FILING_STATUS=OR","SCALING_FORMAT=MLN","Sort=A","Dates=H","DateFormat=P","Fill=—","Direction=H","UseDPDF=Y")</f>
        <v>—</v>
      </c>
      <c r="AP82" s="13" t="str">
        <f>_xll.BDH("XOM US Equity","BS_FUTURE_MIN_OPER_LEASE_OBLIG","FQ2 2018","FQ2 2018","Currency=USD","Period=FQ","BEST_FPERIOD_OVERRIDE=FQ","FILING_STATUS=OR","SCALING_FORMAT=MLN","Sort=A","Dates=H","DateFormat=P","Fill=—","Direction=H","UseDPDF=Y")</f>
        <v>—</v>
      </c>
    </row>
    <row r="83" spans="1:42" x14ac:dyDescent="0.25">
      <c r="A83" s="10" t="s">
        <v>343</v>
      </c>
      <c r="B83" s="10" t="s">
        <v>344</v>
      </c>
      <c r="C83" s="13" t="str">
        <f>_xll.BDH("XOM US Equity","BS_TOTAL_CAPITAL_LEASES","FQ3 2008","FQ3 2008","Currency=USD","Period=FQ","BEST_FPERIOD_OVERRIDE=FQ","FILING_STATUS=OR","SCALING_FORMAT=MLN","Sort=A","Dates=H","DateFormat=P","Fill=—","Direction=H","UseDPDF=Y")</f>
        <v>—</v>
      </c>
      <c r="D83" s="13">
        <f>_xll.BDH("XOM US Equity","BS_TOTAL_CAPITAL_LEASES","FQ4 2008","FQ4 2008","Currency=USD","Period=FQ","BEST_FPERIOD_OVERRIDE=FQ","FILING_STATUS=OR","SCALING_FORMAT=MLN","Sort=A","Dates=H","DateFormat=P","Fill=—","Direction=H","UseDPDF=Y")</f>
        <v>380</v>
      </c>
      <c r="E83" s="13" t="str">
        <f>_xll.BDH("XOM US Equity","BS_TOTAL_CAPITAL_LEASES","FQ1 2009","FQ1 2009","Currency=USD","Period=FQ","BEST_FPERIOD_OVERRIDE=FQ","FILING_STATUS=OR","SCALING_FORMAT=MLN","Sort=A","Dates=H","DateFormat=P","Fill=—","Direction=H","UseDPDF=Y")</f>
        <v>—</v>
      </c>
      <c r="F83" s="13" t="str">
        <f>_xll.BDH("XOM US Equity","BS_TOTAL_CAPITAL_LEASES","FQ2 2009","FQ2 2009","Currency=USD","Period=FQ","BEST_FPERIOD_OVERRIDE=FQ","FILING_STATUS=OR","SCALING_FORMAT=MLN","Sort=A","Dates=H","DateFormat=P","Fill=—","Direction=H","UseDPDF=Y")</f>
        <v>—</v>
      </c>
      <c r="G83" s="13" t="str">
        <f>_xll.BDH("XOM US Equity","BS_TOTAL_CAPITAL_LEASES","FQ3 2009","FQ3 2009","Currency=USD","Period=FQ","BEST_FPERIOD_OVERRIDE=FQ","FILING_STATUS=OR","SCALING_FORMAT=MLN","Sort=A","Dates=H","DateFormat=P","Fill=—","Direction=H","UseDPDF=Y")</f>
        <v>—</v>
      </c>
      <c r="H83" s="13">
        <f>_xll.BDH("XOM US Equity","BS_TOTAL_CAPITAL_LEASES","FQ4 2009","FQ4 2009","Currency=USD","Period=FQ","BEST_FPERIOD_OVERRIDE=FQ","FILING_STATUS=OR","SCALING_FORMAT=MLN","Sort=A","Dates=H","DateFormat=P","Fill=—","Direction=H","UseDPDF=Y")</f>
        <v>368</v>
      </c>
      <c r="I83" s="13" t="str">
        <f>_xll.BDH("XOM US Equity","BS_TOTAL_CAPITAL_LEASES","FQ1 2010","FQ1 2010","Currency=USD","Period=FQ","BEST_FPERIOD_OVERRIDE=FQ","FILING_STATUS=OR","SCALING_FORMAT=MLN","Sort=A","Dates=H","DateFormat=P","Fill=—","Direction=H","UseDPDF=Y")</f>
        <v>—</v>
      </c>
      <c r="J83" s="13" t="str">
        <f>_xll.BDH("XOM US Equity","BS_TOTAL_CAPITAL_LEASES","FQ2 2010","FQ2 2010","Currency=USD","Period=FQ","BEST_FPERIOD_OVERRIDE=FQ","FILING_STATUS=OR","SCALING_FORMAT=MLN","Sort=A","Dates=H","DateFormat=P","Fill=—","Direction=H","UseDPDF=Y")</f>
        <v>—</v>
      </c>
      <c r="K83" s="13" t="str">
        <f>_xll.BDH("XOM US Equity","BS_TOTAL_CAPITAL_LEASES","FQ3 2010","FQ3 2010","Currency=USD","Period=FQ","BEST_FPERIOD_OVERRIDE=FQ","FILING_STATUS=OR","SCALING_FORMAT=MLN","Sort=A","Dates=H","DateFormat=P","Fill=—","Direction=H","UseDPDF=Y")</f>
        <v>—</v>
      </c>
      <c r="L83" s="13">
        <f>_xll.BDH("XOM US Equity","BS_TOTAL_CAPITAL_LEASES","FQ4 2010","FQ4 2010","Currency=USD","Period=FQ","BEST_FPERIOD_OVERRIDE=FQ","FILING_STATUS=OR","SCALING_FORMAT=MLN","Sort=A","Dates=H","DateFormat=P","Fill=—","Direction=H","UseDPDF=Y")</f>
        <v>304</v>
      </c>
      <c r="M83" s="13" t="str">
        <f>_xll.BDH("XOM US Equity","BS_TOTAL_CAPITAL_LEASES","FQ1 2011","FQ1 2011","Currency=USD","Period=FQ","BEST_FPERIOD_OVERRIDE=FQ","FILING_STATUS=OR","SCALING_FORMAT=MLN","Sort=A","Dates=H","DateFormat=P","Fill=—","Direction=H","UseDPDF=Y")</f>
        <v>—</v>
      </c>
      <c r="N83" s="13" t="str">
        <f>_xll.BDH("XOM US Equity","BS_TOTAL_CAPITAL_LEASES","FQ2 2011","FQ2 2011","Currency=USD","Period=FQ","BEST_FPERIOD_OVERRIDE=FQ","FILING_STATUS=OR","SCALING_FORMAT=MLN","Sort=A","Dates=H","DateFormat=P","Fill=—","Direction=H","UseDPDF=Y")</f>
        <v>—</v>
      </c>
      <c r="O83" s="13" t="str">
        <f>_xll.BDH("XOM US Equity","BS_TOTAL_CAPITAL_LEASES","FQ3 2011","FQ3 2011","Currency=USD","Period=FQ","BEST_FPERIOD_OVERRIDE=FQ","FILING_STATUS=OR","SCALING_FORMAT=MLN","Sort=A","Dates=H","DateFormat=P","Fill=—","Direction=H","UseDPDF=Y")</f>
        <v>—</v>
      </c>
      <c r="P83" s="13">
        <f>_xll.BDH("XOM US Equity","BS_TOTAL_CAPITAL_LEASES","FQ4 2011","FQ4 2011","Currency=USD","Period=FQ","BEST_FPERIOD_OVERRIDE=FQ","FILING_STATUS=OR","SCALING_FORMAT=MLN","Sort=A","Dates=H","DateFormat=P","Fill=—","Direction=H","UseDPDF=Y")</f>
        <v>260</v>
      </c>
      <c r="Q83" s="13" t="str">
        <f>_xll.BDH("XOM US Equity","BS_TOTAL_CAPITAL_LEASES","FQ1 2012","FQ1 2012","Currency=USD","Period=FQ","BEST_FPERIOD_OVERRIDE=FQ","FILING_STATUS=OR","SCALING_FORMAT=MLN","Sort=A","Dates=H","DateFormat=P","Fill=—","Direction=H","UseDPDF=Y")</f>
        <v>—</v>
      </c>
      <c r="R83" s="13" t="str">
        <f>_xll.BDH("XOM US Equity","BS_TOTAL_CAPITAL_LEASES","FQ2 2012","FQ2 2012","Currency=USD","Period=FQ","BEST_FPERIOD_OVERRIDE=FQ","FILING_STATUS=OR","SCALING_FORMAT=MLN","Sort=A","Dates=H","DateFormat=P","Fill=—","Direction=H","UseDPDF=Y")</f>
        <v>—</v>
      </c>
      <c r="S83" s="13" t="str">
        <f>_xll.BDH("XOM US Equity","BS_TOTAL_CAPITAL_LEASES","FQ3 2012","FQ3 2012","Currency=USD","Period=FQ","BEST_FPERIOD_OVERRIDE=FQ","FILING_STATUS=OR","SCALING_FORMAT=MLN","Sort=A","Dates=H","DateFormat=P","Fill=—","Direction=H","UseDPDF=Y")</f>
        <v>—</v>
      </c>
      <c r="T83" s="13">
        <f>_xll.BDH("XOM US Equity","BS_TOTAL_CAPITAL_LEASES","FQ4 2012","FQ4 2012","Currency=USD","Period=FQ","BEST_FPERIOD_OVERRIDE=FQ","FILING_STATUS=OR","SCALING_FORMAT=MLN","Sort=A","Dates=H","DateFormat=P","Fill=—","Direction=H","UseDPDF=Y")</f>
        <v>431</v>
      </c>
      <c r="U83" s="13" t="str">
        <f>_xll.BDH("XOM US Equity","BS_TOTAL_CAPITAL_LEASES","FQ1 2013","FQ1 2013","Currency=USD","Period=FQ","BEST_FPERIOD_OVERRIDE=FQ","FILING_STATUS=OR","SCALING_FORMAT=MLN","Sort=A","Dates=H","DateFormat=P","Fill=—","Direction=H","UseDPDF=Y")</f>
        <v>—</v>
      </c>
      <c r="V83" s="13" t="str">
        <f>_xll.BDH("XOM US Equity","BS_TOTAL_CAPITAL_LEASES","FQ2 2013","FQ2 2013","Currency=USD","Period=FQ","BEST_FPERIOD_OVERRIDE=FQ","FILING_STATUS=OR","SCALING_FORMAT=MLN","Sort=A","Dates=H","DateFormat=P","Fill=—","Direction=H","UseDPDF=Y")</f>
        <v>—</v>
      </c>
      <c r="W83" s="13" t="str">
        <f>_xll.BDH("XOM US Equity","BS_TOTAL_CAPITAL_LEASES","FQ3 2013","FQ3 2013","Currency=USD","Period=FQ","BEST_FPERIOD_OVERRIDE=FQ","FILING_STATUS=OR","SCALING_FORMAT=MLN","Sort=A","Dates=H","DateFormat=P","Fill=—","Direction=H","UseDPDF=Y")</f>
        <v>—</v>
      </c>
      <c r="X83" s="13">
        <f>_xll.BDH("XOM US Equity","BS_TOTAL_CAPITAL_LEASES","FQ4 2013","FQ4 2013","Currency=USD","Period=FQ","BEST_FPERIOD_OVERRIDE=FQ","FILING_STATUS=OR","SCALING_FORMAT=MLN","Sort=A","Dates=H","DateFormat=P","Fill=—","Direction=H","UseDPDF=Y")</f>
        <v>375</v>
      </c>
      <c r="Y83" s="13" t="str">
        <f>_xll.BDH("XOM US Equity","BS_TOTAL_CAPITAL_LEASES","FQ1 2014","FQ1 2014","Currency=USD","Period=FQ","BEST_FPERIOD_OVERRIDE=FQ","FILING_STATUS=OR","SCALING_FORMAT=MLN","Sort=A","Dates=H","DateFormat=P","Fill=—","Direction=H","UseDPDF=Y")</f>
        <v>—</v>
      </c>
      <c r="Z83" s="13" t="str">
        <f>_xll.BDH("XOM US Equity","BS_TOTAL_CAPITAL_LEASES","FQ2 2014","FQ2 2014","Currency=USD","Period=FQ","BEST_FPERIOD_OVERRIDE=FQ","FILING_STATUS=OR","SCALING_FORMAT=MLN","Sort=A","Dates=H","DateFormat=P","Fill=—","Direction=H","UseDPDF=Y")</f>
        <v>—</v>
      </c>
      <c r="AA83" s="13" t="str">
        <f>_xll.BDH("XOM US Equity","BS_TOTAL_CAPITAL_LEASES","FQ3 2014","FQ3 2014","Currency=USD","Period=FQ","BEST_FPERIOD_OVERRIDE=FQ","FILING_STATUS=OR","SCALING_FORMAT=MLN","Sort=A","Dates=H","DateFormat=P","Fill=—","Direction=H","UseDPDF=Y")</f>
        <v>—</v>
      </c>
      <c r="AB83" s="13">
        <f>_xll.BDH("XOM US Equity","BS_TOTAL_CAPITAL_LEASES","FQ4 2014","FQ4 2014","Currency=USD","Period=FQ","BEST_FPERIOD_OVERRIDE=FQ","FILING_STATUS=OR","SCALING_FORMAT=MLN","Sort=A","Dates=H","DateFormat=P","Fill=—","Direction=H","UseDPDF=Y")</f>
        <v>375</v>
      </c>
      <c r="AC83" s="13" t="str">
        <f>_xll.BDH("XOM US Equity","BS_TOTAL_CAPITAL_LEASES","FQ1 2015","FQ1 2015","Currency=USD","Period=FQ","BEST_FPERIOD_OVERRIDE=FQ","FILING_STATUS=OR","SCALING_FORMAT=MLN","Sort=A","Dates=H","DateFormat=P","Fill=—","Direction=H","UseDPDF=Y")</f>
        <v>—</v>
      </c>
      <c r="AD83" s="13" t="str">
        <f>_xll.BDH("XOM US Equity","BS_TOTAL_CAPITAL_LEASES","FQ2 2015","FQ2 2015","Currency=USD","Period=FQ","BEST_FPERIOD_OVERRIDE=FQ","FILING_STATUS=OR","SCALING_FORMAT=MLN","Sort=A","Dates=H","DateFormat=P","Fill=—","Direction=H","UseDPDF=Y")</f>
        <v>—</v>
      </c>
      <c r="AE83" s="13" t="str">
        <f>_xll.BDH("XOM US Equity","BS_TOTAL_CAPITAL_LEASES","FQ3 2015","FQ3 2015","Currency=USD","Period=FQ","BEST_FPERIOD_OVERRIDE=FQ","FILING_STATUS=OR","SCALING_FORMAT=MLN","Sort=A","Dates=H","DateFormat=P","Fill=—","Direction=H","UseDPDF=Y")</f>
        <v>—</v>
      </c>
      <c r="AF83" s="13">
        <f>_xll.BDH("XOM US Equity","BS_TOTAL_CAPITAL_LEASES","FQ4 2015","FQ4 2015","Currency=USD","Period=FQ","BEST_FPERIOD_OVERRIDE=FQ","FILING_STATUS=OR","SCALING_FORMAT=MLN","Sort=A","Dates=H","DateFormat=P","Fill=—","Direction=H","UseDPDF=Y")</f>
        <v>1238</v>
      </c>
      <c r="AG83" s="13" t="str">
        <f>_xll.BDH("XOM US Equity","BS_TOTAL_CAPITAL_LEASES","FQ1 2016","FQ1 2016","Currency=USD","Period=FQ","BEST_FPERIOD_OVERRIDE=FQ","FILING_STATUS=OR","SCALING_FORMAT=MLN","Sort=A","Dates=H","DateFormat=P","Fill=—","Direction=H","UseDPDF=Y")</f>
        <v>—</v>
      </c>
      <c r="AH83" s="13" t="str">
        <f>_xll.BDH("XOM US Equity","BS_TOTAL_CAPITAL_LEASES","FQ2 2016","FQ2 2016","Currency=USD","Period=FQ","BEST_FPERIOD_OVERRIDE=FQ","FILING_STATUS=OR","SCALING_FORMAT=MLN","Sort=A","Dates=H","DateFormat=P","Fill=—","Direction=H","UseDPDF=Y")</f>
        <v>—</v>
      </c>
      <c r="AI83" s="13" t="str">
        <f>_xll.BDH("XOM US Equity","BS_TOTAL_CAPITAL_LEASES","FQ3 2016","FQ3 2016","Currency=USD","Period=FQ","BEST_FPERIOD_OVERRIDE=FQ","FILING_STATUS=OR","SCALING_FORMAT=MLN","Sort=A","Dates=H","DateFormat=P","Fill=—","Direction=H","UseDPDF=Y")</f>
        <v>—</v>
      </c>
      <c r="AJ83" s="13">
        <f>_xll.BDH("XOM US Equity","BS_TOTAL_CAPITAL_LEASES","FQ4 2016","FQ4 2016","Currency=USD","Period=FQ","BEST_FPERIOD_OVERRIDE=FQ","FILING_STATUS=OR","SCALING_FORMAT=MLN","Sort=A","Dates=H","DateFormat=P","Fill=—","Direction=H","UseDPDF=Y")</f>
        <v>1225</v>
      </c>
      <c r="AK83" s="13" t="str">
        <f>_xll.BDH("XOM US Equity","BS_TOTAL_CAPITAL_LEASES","FQ1 2017","FQ1 2017","Currency=USD","Period=FQ","BEST_FPERIOD_OVERRIDE=FQ","FILING_STATUS=OR","SCALING_FORMAT=MLN","Sort=A","Dates=H","DateFormat=P","Fill=—","Direction=H","UseDPDF=Y")</f>
        <v>—</v>
      </c>
      <c r="AL83" s="13" t="str">
        <f>_xll.BDH("XOM US Equity","BS_TOTAL_CAPITAL_LEASES","FQ2 2017","FQ2 2017","Currency=USD","Period=FQ","BEST_FPERIOD_OVERRIDE=FQ","FILING_STATUS=OR","SCALING_FORMAT=MLN","Sort=A","Dates=H","DateFormat=P","Fill=—","Direction=H","UseDPDF=Y")</f>
        <v>—</v>
      </c>
      <c r="AM83" s="13" t="str">
        <f>_xll.BDH("XOM US Equity","BS_TOTAL_CAPITAL_LEASES","FQ3 2017","FQ3 2017","Currency=USD","Period=FQ","BEST_FPERIOD_OVERRIDE=FQ","FILING_STATUS=OR","SCALING_FORMAT=MLN","Sort=A","Dates=H","DateFormat=P","Fill=—","Direction=H","UseDPDF=Y")</f>
        <v>—</v>
      </c>
      <c r="AN83" s="13">
        <f>_xll.BDH("XOM US Equity","BS_TOTAL_CAPITAL_LEASES","FQ4 2017","FQ4 2017","Currency=USD","Period=FQ","BEST_FPERIOD_OVERRIDE=FQ","FILING_STATUS=OR","SCALING_FORMAT=MLN","Sort=A","Dates=H","DateFormat=P","Fill=—","Direction=H","UseDPDF=Y")</f>
        <v>1327</v>
      </c>
      <c r="AO83" s="13" t="str">
        <f>_xll.BDH("XOM US Equity","BS_TOTAL_CAPITAL_LEASES","FQ1 2018","FQ1 2018","Currency=USD","Period=FQ","BEST_FPERIOD_OVERRIDE=FQ","FILING_STATUS=OR","SCALING_FORMAT=MLN","Sort=A","Dates=H","DateFormat=P","Fill=—","Direction=H","UseDPDF=Y")</f>
        <v>—</v>
      </c>
      <c r="AP83" s="13" t="str">
        <f>_xll.BDH("XOM US Equity","BS_TOTAL_CAPITAL_LEASES","FQ2 2018","FQ2 2018","Currency=USD","Period=FQ","BEST_FPERIOD_OVERRIDE=FQ","FILING_STATUS=OR","SCALING_FORMAT=MLN","Sort=A","Dates=H","DateFormat=P","Fill=—","Direction=H","UseDPDF=Y")</f>
        <v>—</v>
      </c>
    </row>
    <row r="84" spans="1:42" x14ac:dyDescent="0.25">
      <c r="A84" s="10" t="s">
        <v>345</v>
      </c>
      <c r="B84" s="10" t="s">
        <v>346</v>
      </c>
      <c r="C84" s="13">
        <f>_xll.BDH("XOM US Equity","BS_OPTIONS_GRANTED","FQ3 2008","FQ3 2008","Currency=USD","Period=FQ","BEST_FPERIOD_OVERRIDE=FQ","FILING_STATUS=OR","Sort=A","Dates=H","DateFormat=P","Fill=—","Direction=H","UseDPDF=Y")</f>
        <v>0</v>
      </c>
      <c r="D84" s="13">
        <f>_xll.BDH("XOM US Equity","BS_OPTIONS_GRANTED","FQ4 2008","FQ4 2008","Currency=USD","Period=FQ","BEST_FPERIOD_OVERRIDE=FQ","FILING_STATUS=OR","Sort=A","Dates=H","DateFormat=P","Fill=—","Direction=H","UseDPDF=Y")</f>
        <v>0</v>
      </c>
      <c r="E84" s="13">
        <f>_xll.BDH("XOM US Equity","BS_OPTIONS_GRANTED","FQ1 2009","FQ1 2009","Currency=USD","Period=FQ","BEST_FPERIOD_OVERRIDE=FQ","FILING_STATUS=OR","Sort=A","Dates=H","DateFormat=P","Fill=—","Direction=H","UseDPDF=Y")</f>
        <v>0</v>
      </c>
      <c r="F84" s="13" t="str">
        <f>_xll.BDH("XOM US Equity","BS_OPTIONS_GRANTED","FQ2 2009","FQ2 2009","Currency=USD","Period=FQ","BEST_FPERIOD_OVERRIDE=FQ","FILING_STATUS=OR","Sort=A","Dates=H","DateFormat=P","Fill=—","Direction=H","UseDPDF=Y")</f>
        <v>—</v>
      </c>
      <c r="G84" s="13" t="str">
        <f>_xll.BDH("XOM US Equity","BS_OPTIONS_GRANTED","FQ3 2009","FQ3 2009","Currency=USD","Period=FQ","BEST_FPERIOD_OVERRIDE=FQ","FILING_STATUS=OR","Sort=A","Dates=H","DateFormat=P","Fill=—","Direction=H","UseDPDF=Y")</f>
        <v>—</v>
      </c>
      <c r="H84" s="13" t="str">
        <f>_xll.BDH("XOM US Equity","BS_OPTIONS_GRANTED","FQ4 2009","FQ4 2009","Currency=USD","Period=FQ","BEST_FPERIOD_OVERRIDE=FQ","FILING_STATUS=OR","Sort=A","Dates=H","DateFormat=P","Fill=—","Direction=H","UseDPDF=Y")</f>
        <v>—</v>
      </c>
      <c r="I84" s="13" t="str">
        <f>_xll.BDH("XOM US Equity","BS_OPTIONS_GRANTED","FQ1 2010","FQ1 2010","Currency=USD","Period=FQ","BEST_FPERIOD_OVERRIDE=FQ","FILING_STATUS=OR","Sort=A","Dates=H","DateFormat=P","Fill=—","Direction=H","UseDPDF=Y")</f>
        <v>—</v>
      </c>
      <c r="J84" s="13">
        <f>_xll.BDH("XOM US Equity","BS_OPTIONS_GRANTED","FQ2 2010","FQ2 2010","Currency=USD","Period=FQ","BEST_FPERIOD_OVERRIDE=FQ","FILING_STATUS=OR","Sort=A","Dates=H","DateFormat=P","Fill=—","Direction=H","UseDPDF=Y")</f>
        <v>12.393000000000001</v>
      </c>
      <c r="K84" s="13" t="str">
        <f>_xll.BDH("XOM US Equity","BS_OPTIONS_GRANTED","FQ3 2010","FQ3 2010","Currency=USD","Period=FQ","BEST_FPERIOD_OVERRIDE=FQ","FILING_STATUS=OR","Sort=A","Dates=H","DateFormat=P","Fill=—","Direction=H","UseDPDF=Y")</f>
        <v>—</v>
      </c>
      <c r="L84" s="13" t="str">
        <f>_xll.BDH("XOM US Equity","BS_OPTIONS_GRANTED","FQ4 2010","FQ4 2010","Currency=USD","Period=FQ","BEST_FPERIOD_OVERRIDE=FQ","FILING_STATUS=OR","Sort=A","Dates=H","DateFormat=P","Fill=—","Direction=H","UseDPDF=Y")</f>
        <v>—</v>
      </c>
      <c r="M84" s="13" t="str">
        <f>_xll.BDH("XOM US Equity","BS_OPTIONS_GRANTED","FQ1 2011","FQ1 2011","Currency=USD","Period=FQ","BEST_FPERIOD_OVERRIDE=FQ","FILING_STATUS=OR","Sort=A","Dates=H","DateFormat=P","Fill=—","Direction=H","UseDPDF=Y")</f>
        <v>—</v>
      </c>
      <c r="N84" s="13" t="str">
        <f>_xll.BDH("XOM US Equity","BS_OPTIONS_GRANTED","FQ2 2011","FQ2 2011","Currency=USD","Period=FQ","BEST_FPERIOD_OVERRIDE=FQ","FILING_STATUS=OR","Sort=A","Dates=H","DateFormat=P","Fill=—","Direction=H","UseDPDF=Y")</f>
        <v>—</v>
      </c>
      <c r="O84" s="13" t="str">
        <f>_xll.BDH("XOM US Equity","BS_OPTIONS_GRANTED","FQ3 2011","FQ3 2011","Currency=USD","Period=FQ","BEST_FPERIOD_OVERRIDE=FQ","FILING_STATUS=OR","Sort=A","Dates=H","DateFormat=P","Fill=—","Direction=H","UseDPDF=Y")</f>
        <v>—</v>
      </c>
      <c r="P84" s="13" t="str">
        <f>_xll.BDH("XOM US Equity","BS_OPTIONS_GRANTED","FQ4 2011","FQ4 2011","Currency=USD","Period=FQ","BEST_FPERIOD_OVERRIDE=FQ","FILING_STATUS=OR","Sort=A","Dates=H","DateFormat=P","Fill=—","Direction=H","UseDPDF=Y")</f>
        <v>—</v>
      </c>
      <c r="Q84" s="13" t="str">
        <f>_xll.BDH("XOM US Equity","BS_OPTIONS_GRANTED","FQ1 2012","FQ1 2012","Currency=USD","Period=FQ","BEST_FPERIOD_OVERRIDE=FQ","FILING_STATUS=OR","Sort=A","Dates=H","DateFormat=P","Fill=—","Direction=H","UseDPDF=Y")</f>
        <v>—</v>
      </c>
      <c r="R84" s="13" t="str">
        <f>_xll.BDH("XOM US Equity","BS_OPTIONS_GRANTED","FQ2 2012","FQ2 2012","Currency=USD","Period=FQ","BEST_FPERIOD_OVERRIDE=FQ","FILING_STATUS=OR","Sort=A","Dates=H","DateFormat=P","Fill=—","Direction=H","UseDPDF=Y")</f>
        <v>—</v>
      </c>
      <c r="S84" s="13" t="str">
        <f>_xll.BDH("XOM US Equity","BS_OPTIONS_GRANTED","FQ3 2012","FQ3 2012","Currency=USD","Period=FQ","BEST_FPERIOD_OVERRIDE=FQ","FILING_STATUS=OR","Sort=A","Dates=H","DateFormat=P","Fill=—","Direction=H","UseDPDF=Y")</f>
        <v>—</v>
      </c>
      <c r="T84" s="13" t="str">
        <f>_xll.BDH("XOM US Equity","BS_OPTIONS_GRANTED","FQ4 2012","FQ4 2012","Currency=USD","Period=FQ","BEST_FPERIOD_OVERRIDE=FQ","FILING_STATUS=OR","Sort=A","Dates=H","DateFormat=P","Fill=—","Direction=H","UseDPDF=Y")</f>
        <v>—</v>
      </c>
      <c r="U84" s="13" t="str">
        <f>_xll.BDH("XOM US Equity","BS_OPTIONS_GRANTED","FQ1 2013","FQ1 2013","Currency=USD","Period=FQ","BEST_FPERIOD_OVERRIDE=FQ","FILING_STATUS=OR","Sort=A","Dates=H","DateFormat=P","Fill=—","Direction=H","UseDPDF=Y")</f>
        <v>—</v>
      </c>
      <c r="V84" s="13" t="str">
        <f>_xll.BDH("XOM US Equity","BS_OPTIONS_GRANTED","FQ2 2013","FQ2 2013","Currency=USD","Period=FQ","BEST_FPERIOD_OVERRIDE=FQ","FILING_STATUS=OR","Sort=A","Dates=H","DateFormat=P","Fill=—","Direction=H","UseDPDF=Y")</f>
        <v>—</v>
      </c>
      <c r="W84" s="13" t="str">
        <f>_xll.BDH("XOM US Equity","BS_OPTIONS_GRANTED","FQ3 2013","FQ3 2013","Currency=USD","Period=FQ","BEST_FPERIOD_OVERRIDE=FQ","FILING_STATUS=OR","Sort=A","Dates=H","DateFormat=P","Fill=—","Direction=H","UseDPDF=Y")</f>
        <v>—</v>
      </c>
      <c r="X84" s="13" t="str">
        <f>_xll.BDH("XOM US Equity","BS_OPTIONS_GRANTED","FQ4 2013","FQ4 2013","Currency=USD","Period=FQ","BEST_FPERIOD_OVERRIDE=FQ","FILING_STATUS=OR","Sort=A","Dates=H","DateFormat=P","Fill=—","Direction=H","UseDPDF=Y")</f>
        <v>—</v>
      </c>
      <c r="Y84" s="13" t="str">
        <f>_xll.BDH("XOM US Equity","BS_OPTIONS_GRANTED","FQ1 2014","FQ1 2014","Currency=USD","Period=FQ","BEST_FPERIOD_OVERRIDE=FQ","FILING_STATUS=OR","Sort=A","Dates=H","DateFormat=P","Fill=—","Direction=H","UseDPDF=Y")</f>
        <v>—</v>
      </c>
      <c r="Z84" s="13" t="str">
        <f>_xll.BDH("XOM US Equity","BS_OPTIONS_GRANTED","FQ2 2014","FQ2 2014","Currency=USD","Period=FQ","BEST_FPERIOD_OVERRIDE=FQ","FILING_STATUS=OR","Sort=A","Dates=H","DateFormat=P","Fill=—","Direction=H","UseDPDF=Y")</f>
        <v>—</v>
      </c>
      <c r="AA84" s="13" t="str">
        <f>_xll.BDH("XOM US Equity","BS_OPTIONS_GRANTED","FQ3 2014","FQ3 2014","Currency=USD","Period=FQ","BEST_FPERIOD_OVERRIDE=FQ","FILING_STATUS=OR","Sort=A","Dates=H","DateFormat=P","Fill=—","Direction=H","UseDPDF=Y")</f>
        <v>—</v>
      </c>
      <c r="AB84" s="13" t="str">
        <f>_xll.BDH("XOM US Equity","BS_OPTIONS_GRANTED","FQ4 2014","FQ4 2014","Currency=USD","Period=FQ","BEST_FPERIOD_OVERRIDE=FQ","FILING_STATUS=OR","Sort=A","Dates=H","DateFormat=P","Fill=—","Direction=H","UseDPDF=Y")</f>
        <v>—</v>
      </c>
      <c r="AC84" s="13" t="str">
        <f>_xll.BDH("XOM US Equity","BS_OPTIONS_GRANTED","FQ1 2015","FQ1 2015","Currency=USD","Period=FQ","BEST_FPERIOD_OVERRIDE=FQ","FILING_STATUS=OR","Sort=A","Dates=H","DateFormat=P","Fill=—","Direction=H","UseDPDF=Y")</f>
        <v>—</v>
      </c>
      <c r="AD84" s="13" t="str">
        <f>_xll.BDH("XOM US Equity","BS_OPTIONS_GRANTED","FQ2 2015","FQ2 2015","Currency=USD","Period=FQ","BEST_FPERIOD_OVERRIDE=FQ","FILING_STATUS=OR","Sort=A","Dates=H","DateFormat=P","Fill=—","Direction=H","UseDPDF=Y")</f>
        <v>—</v>
      </c>
      <c r="AE84" s="13" t="str">
        <f>_xll.BDH("XOM US Equity","BS_OPTIONS_GRANTED","FQ3 2015","FQ3 2015","Currency=USD","Period=FQ","BEST_FPERIOD_OVERRIDE=FQ","FILING_STATUS=OR","Sort=A","Dates=H","DateFormat=P","Fill=—","Direction=H","UseDPDF=Y")</f>
        <v>—</v>
      </c>
      <c r="AF84" s="13" t="str">
        <f>_xll.BDH("XOM US Equity","BS_OPTIONS_GRANTED","FQ4 2015","FQ4 2015","Currency=USD","Period=FQ","BEST_FPERIOD_OVERRIDE=FQ","FILING_STATUS=OR","Sort=A","Dates=H","DateFormat=P","Fill=—","Direction=H","UseDPDF=Y")</f>
        <v>—</v>
      </c>
      <c r="AG84" s="13" t="str">
        <f>_xll.BDH("XOM US Equity","BS_OPTIONS_GRANTED","FQ1 2016","FQ1 2016","Currency=USD","Period=FQ","BEST_FPERIOD_OVERRIDE=FQ","FILING_STATUS=OR","Sort=A","Dates=H","DateFormat=P","Fill=—","Direction=H","UseDPDF=Y")</f>
        <v>—</v>
      </c>
      <c r="AH84" s="13" t="str">
        <f>_xll.BDH("XOM US Equity","BS_OPTIONS_GRANTED","FQ2 2016","FQ2 2016","Currency=USD","Period=FQ","BEST_FPERIOD_OVERRIDE=FQ","FILING_STATUS=OR","Sort=A","Dates=H","DateFormat=P","Fill=—","Direction=H","UseDPDF=Y")</f>
        <v>—</v>
      </c>
      <c r="AI84" s="13" t="str">
        <f>_xll.BDH("XOM US Equity","BS_OPTIONS_GRANTED","FQ3 2016","FQ3 2016","Currency=USD","Period=FQ","BEST_FPERIOD_OVERRIDE=FQ","FILING_STATUS=OR","Sort=A","Dates=H","DateFormat=P","Fill=—","Direction=H","UseDPDF=Y")</f>
        <v>—</v>
      </c>
      <c r="AJ84" s="13" t="str">
        <f>_xll.BDH("XOM US Equity","BS_OPTIONS_GRANTED","FQ4 2016","FQ4 2016","Currency=USD","Period=FQ","BEST_FPERIOD_OVERRIDE=FQ","FILING_STATUS=OR","Sort=A","Dates=H","DateFormat=P","Fill=—","Direction=H","UseDPDF=Y")</f>
        <v>—</v>
      </c>
      <c r="AK84" s="13" t="str">
        <f>_xll.BDH("XOM US Equity","BS_OPTIONS_GRANTED","FQ1 2017","FQ1 2017","Currency=USD","Period=FQ","BEST_FPERIOD_OVERRIDE=FQ","FILING_STATUS=OR","Sort=A","Dates=H","DateFormat=P","Fill=—","Direction=H","UseDPDF=Y")</f>
        <v>—</v>
      </c>
      <c r="AL84" s="13" t="str">
        <f>_xll.BDH("XOM US Equity","BS_OPTIONS_GRANTED","FQ2 2017","FQ2 2017","Currency=USD","Period=FQ","BEST_FPERIOD_OVERRIDE=FQ","FILING_STATUS=OR","Sort=A","Dates=H","DateFormat=P","Fill=—","Direction=H","UseDPDF=Y")</f>
        <v>—</v>
      </c>
      <c r="AM84" s="13" t="str">
        <f>_xll.BDH("XOM US Equity","BS_OPTIONS_GRANTED","FQ3 2017","FQ3 2017","Currency=USD","Period=FQ","BEST_FPERIOD_OVERRIDE=FQ","FILING_STATUS=OR","Sort=A","Dates=H","DateFormat=P","Fill=—","Direction=H","UseDPDF=Y")</f>
        <v>—</v>
      </c>
      <c r="AN84" s="13" t="str">
        <f>_xll.BDH("XOM US Equity","BS_OPTIONS_GRANTED","FQ4 2017","FQ4 2017","Currency=USD","Period=FQ","BEST_FPERIOD_OVERRIDE=FQ","FILING_STATUS=OR","Sort=A","Dates=H","DateFormat=P","Fill=—","Direction=H","UseDPDF=Y")</f>
        <v>—</v>
      </c>
      <c r="AO84" s="13" t="str">
        <f>_xll.BDH("XOM US Equity","BS_OPTIONS_GRANTED","FQ1 2018","FQ1 2018","Currency=USD","Period=FQ","BEST_FPERIOD_OVERRIDE=FQ","FILING_STATUS=OR","Sort=A","Dates=H","DateFormat=P","Fill=—","Direction=H","UseDPDF=Y")</f>
        <v>—</v>
      </c>
      <c r="AP84" s="13" t="str">
        <f>_xll.BDH("XOM US Equity","BS_OPTIONS_GRANTED","FQ2 2018","FQ2 2018","Currency=USD","Period=FQ","BEST_FPERIOD_OVERRIDE=FQ","FILING_STATUS=OR","Sort=A","Dates=H","DateFormat=P","Fill=—","Direction=H","UseDPDF=Y")</f>
        <v>—</v>
      </c>
    </row>
    <row r="85" spans="1:42" x14ac:dyDescent="0.25">
      <c r="A85" s="10" t="s">
        <v>347</v>
      </c>
      <c r="B85" s="10" t="s">
        <v>348</v>
      </c>
      <c r="C85" s="13" t="str">
        <f>_xll.BDH("XOM US Equity","BS_OPTIONS_OUTSTANDING","FQ3 2008","FQ3 2008","Currency=USD","Period=FQ","BEST_FPERIOD_OVERRIDE=FQ","FILING_STATUS=OR","Sort=A","Dates=H","DateFormat=P","Fill=—","Direction=H","UseDPDF=Y")</f>
        <v>—</v>
      </c>
      <c r="D85" s="13">
        <f>_xll.BDH("XOM US Equity","BS_OPTIONS_OUTSTANDING","FQ4 2008","FQ4 2008","Currency=USD","Period=FQ","BEST_FPERIOD_OVERRIDE=FQ","FILING_STATUS=OR","Sort=A","Dates=H","DateFormat=P","Fill=—","Direction=H","UseDPDF=Y")</f>
        <v>59.993000000000002</v>
      </c>
      <c r="E85" s="13" t="str">
        <f>_xll.BDH("XOM US Equity","BS_OPTIONS_OUTSTANDING","FQ1 2009","FQ1 2009","Currency=USD","Period=FQ","BEST_FPERIOD_OVERRIDE=FQ","FILING_STATUS=OR","Sort=A","Dates=H","DateFormat=P","Fill=—","Direction=H","UseDPDF=Y")</f>
        <v>—</v>
      </c>
      <c r="F85" s="13" t="str">
        <f>_xll.BDH("XOM US Equity","BS_OPTIONS_OUTSTANDING","FQ2 2009","FQ2 2009","Currency=USD","Period=FQ","BEST_FPERIOD_OVERRIDE=FQ","FILING_STATUS=OR","Sort=A","Dates=H","DateFormat=P","Fill=—","Direction=H","UseDPDF=Y")</f>
        <v>—</v>
      </c>
      <c r="G85" s="13" t="str">
        <f>_xll.BDH("XOM US Equity","BS_OPTIONS_OUTSTANDING","FQ3 2009","FQ3 2009","Currency=USD","Period=FQ","BEST_FPERIOD_OVERRIDE=FQ","FILING_STATUS=OR","Sort=A","Dates=H","DateFormat=P","Fill=—","Direction=H","UseDPDF=Y")</f>
        <v>—</v>
      </c>
      <c r="H85" s="13">
        <f>_xll.BDH("XOM US Equity","BS_OPTIONS_OUTSTANDING","FQ4 2009","FQ4 2009","Currency=USD","Period=FQ","BEST_FPERIOD_OVERRIDE=FQ","FILING_STATUS=OR","Sort=A","Dates=H","DateFormat=P","Fill=—","Direction=H","UseDPDF=Y")</f>
        <v>41.472999999999999</v>
      </c>
      <c r="I85" s="13" t="str">
        <f>_xll.BDH("XOM US Equity","BS_OPTIONS_OUTSTANDING","FQ1 2010","FQ1 2010","Currency=USD","Period=FQ","BEST_FPERIOD_OVERRIDE=FQ","FILING_STATUS=OR","Sort=A","Dates=H","DateFormat=P","Fill=—","Direction=H","UseDPDF=Y")</f>
        <v>—</v>
      </c>
      <c r="J85" s="13" t="str">
        <f>_xll.BDH("XOM US Equity","BS_OPTIONS_OUTSTANDING","FQ2 2010","FQ2 2010","Currency=USD","Period=FQ","BEST_FPERIOD_OVERRIDE=FQ","FILING_STATUS=OR","Sort=A","Dates=H","DateFormat=P","Fill=—","Direction=H","UseDPDF=Y")</f>
        <v>—</v>
      </c>
      <c r="K85" s="13" t="str">
        <f>_xll.BDH("XOM US Equity","BS_OPTIONS_OUTSTANDING","FQ3 2010","FQ3 2010","Currency=USD","Period=FQ","BEST_FPERIOD_OVERRIDE=FQ","FILING_STATUS=OR","Sort=A","Dates=H","DateFormat=P","Fill=—","Direction=H","UseDPDF=Y")</f>
        <v>—</v>
      </c>
      <c r="L85" s="13">
        <f>_xll.BDH("XOM US Equity","BS_OPTIONS_OUTSTANDING","FQ4 2010","FQ4 2010","Currency=USD","Period=FQ","BEST_FPERIOD_OVERRIDE=FQ","FILING_STATUS=OR","Sort=A","Dates=H","DateFormat=P","Fill=—","Direction=H","UseDPDF=Y")</f>
        <v>29.509</v>
      </c>
      <c r="M85" s="13" t="str">
        <f>_xll.BDH("XOM US Equity","BS_OPTIONS_OUTSTANDING","FQ1 2011","FQ1 2011","Currency=USD","Period=FQ","BEST_FPERIOD_OVERRIDE=FQ","FILING_STATUS=OR","Sort=A","Dates=H","DateFormat=P","Fill=—","Direction=H","UseDPDF=Y")</f>
        <v>—</v>
      </c>
      <c r="N85" s="13" t="str">
        <f>_xll.BDH("XOM US Equity","BS_OPTIONS_OUTSTANDING","FQ2 2011","FQ2 2011","Currency=USD","Period=FQ","BEST_FPERIOD_OVERRIDE=FQ","FILING_STATUS=OR","Sort=A","Dates=H","DateFormat=P","Fill=—","Direction=H","UseDPDF=Y")</f>
        <v>—</v>
      </c>
      <c r="O85" s="13" t="str">
        <f>_xll.BDH("XOM US Equity","BS_OPTIONS_OUTSTANDING","FQ3 2011","FQ3 2011","Currency=USD","Period=FQ","BEST_FPERIOD_OVERRIDE=FQ","FILING_STATUS=OR","Sort=A","Dates=H","DateFormat=P","Fill=—","Direction=H","UseDPDF=Y")</f>
        <v>—</v>
      </c>
      <c r="P85" s="13">
        <f>_xll.BDH("XOM US Equity","BS_OPTIONS_OUTSTANDING","FQ4 2011","FQ4 2011","Currency=USD","Period=FQ","BEST_FPERIOD_OVERRIDE=FQ","FILING_STATUS=OR","Sort=A","Dates=H","DateFormat=P","Fill=—","Direction=H","UseDPDF=Y")</f>
        <v>5.5490000000000004</v>
      </c>
      <c r="Q85" s="13" t="str">
        <f>_xll.BDH("XOM US Equity","BS_OPTIONS_OUTSTANDING","FQ1 2012","FQ1 2012","Currency=USD","Period=FQ","BEST_FPERIOD_OVERRIDE=FQ","FILING_STATUS=OR","Sort=A","Dates=H","DateFormat=P","Fill=—","Direction=H","UseDPDF=Y")</f>
        <v>—</v>
      </c>
      <c r="R85" s="13" t="str">
        <f>_xll.BDH("XOM US Equity","BS_OPTIONS_OUTSTANDING","FQ2 2012","FQ2 2012","Currency=USD","Period=FQ","BEST_FPERIOD_OVERRIDE=FQ","FILING_STATUS=OR","Sort=A","Dates=H","DateFormat=P","Fill=—","Direction=H","UseDPDF=Y")</f>
        <v>—</v>
      </c>
      <c r="S85" s="13" t="str">
        <f>_xll.BDH("XOM US Equity","BS_OPTIONS_OUTSTANDING","FQ3 2012","FQ3 2012","Currency=USD","Period=FQ","BEST_FPERIOD_OVERRIDE=FQ","FILING_STATUS=OR","Sort=A","Dates=H","DateFormat=P","Fill=—","Direction=H","UseDPDF=Y")</f>
        <v>—</v>
      </c>
      <c r="T85" s="13">
        <f>_xll.BDH("XOM US Equity","BS_OPTIONS_OUTSTANDING","FQ4 2012","FQ4 2012","Currency=USD","Period=FQ","BEST_FPERIOD_OVERRIDE=FQ","FILING_STATUS=OR","Sort=A","Dates=H","DateFormat=P","Fill=—","Direction=H","UseDPDF=Y")</f>
        <v>2.355</v>
      </c>
      <c r="U85" s="13" t="str">
        <f>_xll.BDH("XOM US Equity","BS_OPTIONS_OUTSTANDING","FQ1 2013","FQ1 2013","Currency=USD","Period=FQ","BEST_FPERIOD_OVERRIDE=FQ","FILING_STATUS=OR","Sort=A","Dates=H","DateFormat=P","Fill=—","Direction=H","UseDPDF=Y")</f>
        <v>—</v>
      </c>
      <c r="V85" s="13" t="str">
        <f>_xll.BDH("XOM US Equity","BS_OPTIONS_OUTSTANDING","FQ2 2013","FQ2 2013","Currency=USD","Period=FQ","BEST_FPERIOD_OVERRIDE=FQ","FILING_STATUS=OR","Sort=A","Dates=H","DateFormat=P","Fill=—","Direction=H","UseDPDF=Y")</f>
        <v>—</v>
      </c>
      <c r="W85" s="13" t="str">
        <f>_xll.BDH("XOM US Equity","BS_OPTIONS_OUTSTANDING","FQ3 2013","FQ3 2013","Currency=USD","Period=FQ","BEST_FPERIOD_OVERRIDE=FQ","FILING_STATUS=OR","Sort=A","Dates=H","DateFormat=P","Fill=—","Direction=H","UseDPDF=Y")</f>
        <v>—</v>
      </c>
      <c r="X85" s="13">
        <f>_xll.BDH("XOM US Equity","BS_OPTIONS_OUTSTANDING","FQ4 2013","FQ4 2013","Currency=USD","Period=FQ","BEST_FPERIOD_OVERRIDE=FQ","FILING_STATUS=OR","Sort=A","Dates=H","DateFormat=P","Fill=—","Direction=H","UseDPDF=Y")</f>
        <v>1.506</v>
      </c>
      <c r="Y85" s="13" t="str">
        <f>_xll.BDH("XOM US Equity","BS_OPTIONS_OUTSTANDING","FQ1 2014","FQ1 2014","Currency=USD","Period=FQ","BEST_FPERIOD_OVERRIDE=FQ","FILING_STATUS=OR","Sort=A","Dates=H","DateFormat=P","Fill=—","Direction=H","UseDPDF=Y")</f>
        <v>—</v>
      </c>
      <c r="Z85" s="13" t="str">
        <f>_xll.BDH("XOM US Equity","BS_OPTIONS_OUTSTANDING","FQ2 2014","FQ2 2014","Currency=USD","Period=FQ","BEST_FPERIOD_OVERRIDE=FQ","FILING_STATUS=OR","Sort=A","Dates=H","DateFormat=P","Fill=—","Direction=H","UseDPDF=Y")</f>
        <v>—</v>
      </c>
      <c r="AA85" s="13" t="str">
        <f>_xll.BDH("XOM US Equity","BS_OPTIONS_OUTSTANDING","FQ3 2014","FQ3 2014","Currency=USD","Period=FQ","BEST_FPERIOD_OVERRIDE=FQ","FILING_STATUS=OR","Sort=A","Dates=H","DateFormat=P","Fill=—","Direction=H","UseDPDF=Y")</f>
        <v>—</v>
      </c>
      <c r="AB85" s="13" t="str">
        <f>_xll.BDH("XOM US Equity","BS_OPTIONS_OUTSTANDING","FQ4 2014","FQ4 2014","Currency=USD","Period=FQ","BEST_FPERIOD_OVERRIDE=FQ","FILING_STATUS=OR","Sort=A","Dates=H","DateFormat=P","Fill=—","Direction=H","UseDPDF=Y")</f>
        <v>—</v>
      </c>
      <c r="AC85" s="13" t="str">
        <f>_xll.BDH("XOM US Equity","BS_OPTIONS_OUTSTANDING","FQ1 2015","FQ1 2015","Currency=USD","Period=FQ","BEST_FPERIOD_OVERRIDE=FQ","FILING_STATUS=OR","Sort=A","Dates=H","DateFormat=P","Fill=—","Direction=H","UseDPDF=Y")</f>
        <v>—</v>
      </c>
      <c r="AD85" s="13" t="str">
        <f>_xll.BDH("XOM US Equity","BS_OPTIONS_OUTSTANDING","FQ2 2015","FQ2 2015","Currency=USD","Period=FQ","BEST_FPERIOD_OVERRIDE=FQ","FILING_STATUS=OR","Sort=A","Dates=H","DateFormat=P","Fill=—","Direction=H","UseDPDF=Y")</f>
        <v>—</v>
      </c>
      <c r="AE85" s="13" t="str">
        <f>_xll.BDH("XOM US Equity","BS_OPTIONS_OUTSTANDING","FQ3 2015","FQ3 2015","Currency=USD","Period=FQ","BEST_FPERIOD_OVERRIDE=FQ","FILING_STATUS=OR","Sort=A","Dates=H","DateFormat=P","Fill=—","Direction=H","UseDPDF=Y")</f>
        <v>—</v>
      </c>
      <c r="AF85" s="13" t="str">
        <f>_xll.BDH("XOM US Equity","BS_OPTIONS_OUTSTANDING","FQ4 2015","FQ4 2015","Currency=USD","Period=FQ","BEST_FPERIOD_OVERRIDE=FQ","FILING_STATUS=OR","Sort=A","Dates=H","DateFormat=P","Fill=—","Direction=H","UseDPDF=Y")</f>
        <v>—</v>
      </c>
      <c r="AG85" s="13" t="str">
        <f>_xll.BDH("XOM US Equity","BS_OPTIONS_OUTSTANDING","FQ1 2016","FQ1 2016","Currency=USD","Period=FQ","BEST_FPERIOD_OVERRIDE=FQ","FILING_STATUS=OR","Sort=A","Dates=H","DateFormat=P","Fill=—","Direction=H","UseDPDF=Y")</f>
        <v>—</v>
      </c>
      <c r="AH85" s="13" t="str">
        <f>_xll.BDH("XOM US Equity","BS_OPTIONS_OUTSTANDING","FQ2 2016","FQ2 2016","Currency=USD","Period=FQ","BEST_FPERIOD_OVERRIDE=FQ","FILING_STATUS=OR","Sort=A","Dates=H","DateFormat=P","Fill=—","Direction=H","UseDPDF=Y")</f>
        <v>—</v>
      </c>
      <c r="AI85" s="13" t="str">
        <f>_xll.BDH("XOM US Equity","BS_OPTIONS_OUTSTANDING","FQ3 2016","FQ3 2016","Currency=USD","Period=FQ","BEST_FPERIOD_OVERRIDE=FQ","FILING_STATUS=OR","Sort=A","Dates=H","DateFormat=P","Fill=—","Direction=H","UseDPDF=Y")</f>
        <v>—</v>
      </c>
      <c r="AJ85" s="13" t="str">
        <f>_xll.BDH("XOM US Equity","BS_OPTIONS_OUTSTANDING","FQ4 2016","FQ4 2016","Currency=USD","Period=FQ","BEST_FPERIOD_OVERRIDE=FQ","FILING_STATUS=OR","Sort=A","Dates=H","DateFormat=P","Fill=—","Direction=H","UseDPDF=Y")</f>
        <v>—</v>
      </c>
      <c r="AK85" s="13" t="str">
        <f>_xll.BDH("XOM US Equity","BS_OPTIONS_OUTSTANDING","FQ1 2017","FQ1 2017","Currency=USD","Period=FQ","BEST_FPERIOD_OVERRIDE=FQ","FILING_STATUS=OR","Sort=A","Dates=H","DateFormat=P","Fill=—","Direction=H","UseDPDF=Y")</f>
        <v>—</v>
      </c>
      <c r="AL85" s="13" t="str">
        <f>_xll.BDH("XOM US Equity","BS_OPTIONS_OUTSTANDING","FQ2 2017","FQ2 2017","Currency=USD","Period=FQ","BEST_FPERIOD_OVERRIDE=FQ","FILING_STATUS=OR","Sort=A","Dates=H","DateFormat=P","Fill=—","Direction=H","UseDPDF=Y")</f>
        <v>—</v>
      </c>
      <c r="AM85" s="13" t="str">
        <f>_xll.BDH("XOM US Equity","BS_OPTIONS_OUTSTANDING","FQ3 2017","FQ3 2017","Currency=USD","Period=FQ","BEST_FPERIOD_OVERRIDE=FQ","FILING_STATUS=OR","Sort=A","Dates=H","DateFormat=P","Fill=—","Direction=H","UseDPDF=Y")</f>
        <v>—</v>
      </c>
      <c r="AN85" s="13" t="str">
        <f>_xll.BDH("XOM US Equity","BS_OPTIONS_OUTSTANDING","FQ4 2017","FQ4 2017","Currency=USD","Period=FQ","BEST_FPERIOD_OVERRIDE=FQ","FILING_STATUS=OR","Sort=A","Dates=H","DateFormat=P","Fill=—","Direction=H","UseDPDF=Y")</f>
        <v>—</v>
      </c>
      <c r="AO85" s="13" t="str">
        <f>_xll.BDH("XOM US Equity","BS_OPTIONS_OUTSTANDING","FQ1 2018","FQ1 2018","Currency=USD","Period=FQ","BEST_FPERIOD_OVERRIDE=FQ","FILING_STATUS=OR","Sort=A","Dates=H","DateFormat=P","Fill=—","Direction=H","UseDPDF=Y")</f>
        <v>—</v>
      </c>
      <c r="AP85" s="13" t="str">
        <f>_xll.BDH("XOM US Equity","BS_OPTIONS_OUTSTANDING","FQ2 2018","FQ2 2018","Currency=USD","Period=FQ","BEST_FPERIOD_OVERRIDE=FQ","FILING_STATUS=OR","Sort=A","Dates=H","DateFormat=P","Fill=—","Direction=H","UseDPDF=Y")</f>
        <v>—</v>
      </c>
    </row>
    <row r="86" spans="1:42" x14ac:dyDescent="0.25">
      <c r="A86" s="10" t="s">
        <v>349</v>
      </c>
      <c r="B86" s="10" t="s">
        <v>350</v>
      </c>
      <c r="C86" s="13">
        <f>_xll.BDH("XOM US Equity","NET_DEBT","FQ3 2008","FQ3 2008","Currency=USD","Period=FQ","BEST_FPERIOD_OVERRIDE=FQ","FILING_STATUS=OR","SCALING_FORMAT=MLN","Sort=A","Dates=H","DateFormat=P","Fill=—","Direction=H","UseDPDF=Y")</f>
        <v>-28170</v>
      </c>
      <c r="D86" s="13">
        <f>_xll.BDH("XOM US Equity","NET_DEBT","FQ4 2008","FQ4 2008","Currency=USD","Period=FQ","BEST_FPERIOD_OVERRIDE=FQ","FILING_STATUS=OR","SCALING_FORMAT=MLN","Sort=A","Dates=H","DateFormat=P","Fill=—","Direction=H","UseDPDF=Y")</f>
        <v>-22582</v>
      </c>
      <c r="E86" s="13">
        <f>_xll.BDH("XOM US Equity","NET_DEBT","FQ1 2009","FQ1 2009","Currency=USD","Period=FQ","BEST_FPERIOD_OVERRIDE=FQ","FILING_STATUS=OR","SCALING_FORMAT=MLN","Sort=A","Dates=H","DateFormat=P","Fill=—","Direction=H","UseDPDF=Y")</f>
        <v>-15936</v>
      </c>
      <c r="F86" s="13">
        <f>_xll.BDH("XOM US Equity","NET_DEBT","FQ2 2009","FQ2 2009","Currency=USD","Period=FQ","BEST_FPERIOD_OVERRIDE=FQ","FILING_STATUS=OR","SCALING_FORMAT=MLN","Sort=A","Dates=H","DateFormat=P","Fill=—","Direction=H","UseDPDF=Y")</f>
        <v>-6455</v>
      </c>
      <c r="G86" s="13">
        <f>_xll.BDH("XOM US Equity","NET_DEBT","FQ3 2009","FQ3 2009","Currency=USD","Period=FQ","BEST_FPERIOD_OVERRIDE=FQ","FILING_STATUS=OR","SCALING_FORMAT=MLN","Sort=A","Dates=H","DateFormat=P","Fill=—","Direction=H","UseDPDF=Y")</f>
        <v>-3020</v>
      </c>
      <c r="H86" s="13">
        <f>_xll.BDH("XOM US Equity","NET_DEBT","FQ4 2009","FQ4 2009","Currency=USD","Period=FQ","BEST_FPERIOD_OVERRIDE=FQ","FILING_STATUS=OR","SCALING_FORMAT=MLN","Sort=A","Dates=H","DateFormat=P","Fill=—","Direction=H","UseDPDF=Y")</f>
        <v>-1257</v>
      </c>
      <c r="I86" s="13">
        <f>_xll.BDH("XOM US Equity","NET_DEBT","FQ1 2010","FQ1 2010","Currency=USD","Period=FQ","BEST_FPERIOD_OVERRIDE=FQ","FILING_STATUS=OR","SCALING_FORMAT=MLN","Sort=A","Dates=H","DateFormat=P","Fill=—","Direction=H","UseDPDF=Y")</f>
        <v>-4377</v>
      </c>
      <c r="J86" s="13">
        <f>_xll.BDH("XOM US Equity","NET_DEBT","FQ2 2010","FQ2 2010","Currency=USD","Period=FQ","BEST_FPERIOD_OVERRIDE=FQ","FILING_STATUS=OR","SCALING_FORMAT=MLN","Sort=A","Dates=H","DateFormat=P","Fill=—","Direction=H","UseDPDF=Y")</f>
        <v>7165</v>
      </c>
      <c r="K86" s="13">
        <f>_xll.BDH("XOM US Equity","NET_DEBT","FQ3 2010","FQ3 2010","Currency=USD","Period=FQ","BEST_FPERIOD_OVERRIDE=FQ","FILING_STATUS=OR","SCALING_FORMAT=MLN","Sort=A","Dates=H","DateFormat=P","Fill=—","Direction=H","UseDPDF=Y")</f>
        <v>6035</v>
      </c>
      <c r="L86" s="13">
        <f>_xll.BDH("XOM US Equity","NET_DEBT","FQ4 2010","FQ4 2010","Currency=USD","Period=FQ","BEST_FPERIOD_OVERRIDE=FQ","FILING_STATUS=OR","SCALING_FORMAT=MLN","Sort=A","Dates=H","DateFormat=P","Fill=—","Direction=H","UseDPDF=Y")</f>
        <v>7187</v>
      </c>
      <c r="M86" s="13">
        <f>_xll.BDH("XOM US Equity","NET_DEBT","FQ1 2011","FQ1 2011","Currency=USD","Period=FQ","BEST_FPERIOD_OVERRIDE=FQ","FILING_STATUS=OR","SCALING_FORMAT=MLN","Sort=A","Dates=H","DateFormat=P","Fill=—","Direction=H","UseDPDF=Y")</f>
        <v>3043</v>
      </c>
      <c r="N86" s="13">
        <f>_xll.BDH("XOM US Equity","NET_DEBT","FQ2 2011","FQ2 2011","Currency=USD","Period=FQ","BEST_FPERIOD_OVERRIDE=FQ","FILING_STATUS=OR","SCALING_FORMAT=MLN","Sort=A","Dates=H","DateFormat=P","Fill=—","Direction=H","UseDPDF=Y")</f>
        <v>6447</v>
      </c>
      <c r="O86" s="13">
        <f>_xll.BDH("XOM US Equity","NET_DEBT","FQ3 2011","FQ3 2011","Currency=USD","Period=FQ","BEST_FPERIOD_OVERRIDE=FQ","FILING_STATUS=OR","SCALING_FORMAT=MLN","Sort=A","Dates=H","DateFormat=P","Fill=—","Direction=H","UseDPDF=Y")</f>
        <v>5740</v>
      </c>
      <c r="P86" s="13">
        <f>_xll.BDH("XOM US Equity","NET_DEBT","FQ4 2011","FQ4 2011","Currency=USD","Period=FQ","BEST_FPERIOD_OVERRIDE=FQ","FILING_STATUS=OR","SCALING_FORMAT=MLN","Sort=A","Dates=H","DateFormat=P","Fill=—","Direction=H","UseDPDF=Y")</f>
        <v>4369</v>
      </c>
      <c r="Q86" s="13">
        <f>_xll.BDH("XOM US Equity","NET_DEBT","FQ1 2012","FQ1 2012","Currency=USD","Period=FQ","BEST_FPERIOD_OVERRIDE=FQ","FILING_STATUS=OR","SCALING_FORMAT=MLN","Sort=A","Dates=H","DateFormat=P","Fill=—","Direction=H","UseDPDF=Y")</f>
        <v>-3020</v>
      </c>
      <c r="R86" s="13">
        <f>_xll.BDH("XOM US Equity","NET_DEBT","FQ2 2012","FQ2 2012","Currency=USD","Period=FQ","BEST_FPERIOD_OVERRIDE=FQ","FILING_STATUS=OR","SCALING_FORMAT=MLN","Sort=A","Dates=H","DateFormat=P","Fill=—","Direction=H","UseDPDF=Y")</f>
        <v>-2221</v>
      </c>
      <c r="S86" s="13">
        <f>_xll.BDH("XOM US Equity","NET_DEBT","FQ3 2012","FQ3 2012","Currency=USD","Period=FQ","BEST_FPERIOD_OVERRIDE=FQ","FILING_STATUS=OR","SCALING_FORMAT=MLN","Sort=A","Dates=H","DateFormat=P","Fill=—","Direction=H","UseDPDF=Y")</f>
        <v>-631</v>
      </c>
      <c r="T86" s="13">
        <f>_xll.BDH("XOM US Equity","NET_DEBT","FQ4 2012","FQ4 2012","Currency=USD","Period=FQ","BEST_FPERIOD_OVERRIDE=FQ","FILING_STATUS=OR","SCALING_FORMAT=MLN","Sort=A","Dates=H","DateFormat=P","Fill=—","Direction=H","UseDPDF=Y")</f>
        <v>1999</v>
      </c>
      <c r="U86" s="13">
        <f>_xll.BDH("XOM US Equity","NET_DEBT","FQ1 2013","FQ1 2013","Currency=USD","Period=FQ","BEST_FPERIOD_OVERRIDE=FQ","FILING_STATUS=OR","SCALING_FORMAT=MLN","Sort=A","Dates=H","DateFormat=P","Fill=—","Direction=H","UseDPDF=Y")</f>
        <v>7198</v>
      </c>
      <c r="V86" s="13">
        <f>_xll.BDH("XOM US Equity","NET_DEBT","FQ2 2013","FQ2 2013","Currency=USD","Period=FQ","BEST_FPERIOD_OVERRIDE=FQ","FILING_STATUS=OR","SCALING_FORMAT=MLN","Sort=A","Dates=H","DateFormat=P","Fill=—","Direction=H","UseDPDF=Y")</f>
        <v>14748</v>
      </c>
      <c r="W86" s="13">
        <f>_xll.BDH("XOM US Equity","NET_DEBT","FQ3 2013","FQ3 2013","Currency=USD","Period=FQ","BEST_FPERIOD_OVERRIDE=FQ","FILING_STATUS=OR","SCALING_FORMAT=MLN","Sort=A","Dates=H","DateFormat=P","Fill=—","Direction=H","UseDPDF=Y")</f>
        <v>15983</v>
      </c>
      <c r="X86" s="13">
        <f>_xll.BDH("XOM US Equity","NET_DEBT","FQ4 2013","FQ4 2013","Currency=USD","Period=FQ","BEST_FPERIOD_OVERRIDE=FQ","FILING_STATUS=OR","SCALING_FORMAT=MLN","Sort=A","Dates=H","DateFormat=P","Fill=—","Direction=H","UseDPDF=Y")</f>
        <v>18055</v>
      </c>
      <c r="Y86" s="13">
        <f>_xll.BDH("XOM US Equity","NET_DEBT","FQ1 2014","FQ1 2014","Currency=USD","Period=FQ","BEST_FPERIOD_OVERRIDE=FQ","FILING_STATUS=OR","SCALING_FORMAT=MLN","Sort=A","Dates=H","DateFormat=P","Fill=—","Direction=H","UseDPDF=Y")</f>
        <v>15766</v>
      </c>
      <c r="Z86" s="13">
        <f>_xll.BDH("XOM US Equity","NET_DEBT","FQ2 2014","FQ2 2014","Currency=USD","Period=FQ","BEST_FPERIOD_OVERRIDE=FQ","FILING_STATUS=OR","SCALING_FORMAT=MLN","Sort=A","Dates=H","DateFormat=P","Fill=—","Direction=H","UseDPDF=Y")</f>
        <v>15682</v>
      </c>
      <c r="AA86" s="13">
        <f>_xll.BDH("XOM US Equity","NET_DEBT","FQ3 2014","FQ3 2014","Currency=USD","Period=FQ","BEST_FPERIOD_OVERRIDE=FQ","FILING_STATUS=OR","SCALING_FORMAT=MLN","Sort=A","Dates=H","DateFormat=P","Fill=—","Direction=H","UseDPDF=Y")</f>
        <v>16872</v>
      </c>
      <c r="AB86" s="13">
        <f>_xll.BDH("XOM US Equity","NET_DEBT","FQ4 2014","FQ4 2014","Currency=USD","Period=FQ","BEST_FPERIOD_OVERRIDE=FQ","FILING_STATUS=OR","SCALING_FORMAT=MLN","Sort=A","Dates=H","DateFormat=P","Fill=—","Direction=H","UseDPDF=Y")</f>
        <v>24505</v>
      </c>
      <c r="AC86" s="13">
        <f>_xll.BDH("XOM US Equity","NET_DEBT","FQ1 2015","FQ1 2015","Currency=USD","Period=FQ","BEST_FPERIOD_OVERRIDE=FQ","FILING_STATUS=OR","SCALING_FORMAT=MLN","Sort=A","Dates=H","DateFormat=P","Fill=—","Direction=H","UseDPDF=Y")</f>
        <v>27587</v>
      </c>
      <c r="AD86" s="13">
        <f>_xll.BDH("XOM US Equity","NET_DEBT","FQ2 2015","FQ2 2015","Currency=USD","Period=FQ","BEST_FPERIOD_OVERRIDE=FQ","FILING_STATUS=OR","SCALING_FORMAT=MLN","Sort=A","Dates=H","DateFormat=P","Fill=—","Direction=H","UseDPDF=Y")</f>
        <v>29497</v>
      </c>
      <c r="AE86" s="13">
        <f>_xll.BDH("XOM US Equity","NET_DEBT","FQ3 2015","FQ3 2015","Currency=USD","Period=FQ","BEST_FPERIOD_OVERRIDE=FQ","FILING_STATUS=OR","SCALING_FORMAT=MLN","Sort=A","Dates=H","DateFormat=P","Fill=—","Direction=H","UseDPDF=Y")</f>
        <v>30016</v>
      </c>
      <c r="AF86" s="13">
        <f>_xll.BDH("XOM US Equity","NET_DEBT","FQ4 2015","FQ4 2015","Currency=USD","Period=FQ","BEST_FPERIOD_OVERRIDE=FQ","FILING_STATUS=OR","SCALING_FORMAT=MLN","Sort=A","Dates=H","DateFormat=P","Fill=—","Direction=H","UseDPDF=Y")</f>
        <v>34982</v>
      </c>
      <c r="AG86" s="13">
        <f>_xll.BDH("XOM US Equity","NET_DEBT","FQ1 2016","FQ1 2016","Currency=USD","Period=FQ","BEST_FPERIOD_OVERRIDE=FQ","FILING_STATUS=OR","SCALING_FORMAT=MLN","Sort=A","Dates=H","DateFormat=P","Fill=—","Direction=H","UseDPDF=Y")</f>
        <v>38262</v>
      </c>
      <c r="AH86" s="13">
        <f>_xll.BDH("XOM US Equity","NET_DEBT","FQ2 2016","FQ2 2016","Currency=USD","Period=FQ","BEST_FPERIOD_OVERRIDE=FQ","FILING_STATUS=OR","SCALING_FORMAT=MLN","Sort=A","Dates=H","DateFormat=P","Fill=—","Direction=H","UseDPDF=Y")</f>
        <v>40113</v>
      </c>
      <c r="AI86" s="13">
        <f>_xll.BDH("XOM US Equity","NET_DEBT","FQ3 2016","FQ3 2016","Currency=USD","Period=FQ","BEST_FPERIOD_OVERRIDE=FQ","FILING_STATUS=OR","SCALING_FORMAT=MLN","Sort=A","Dates=H","DateFormat=P","Fill=—","Direction=H","UseDPDF=Y")</f>
        <v>41062</v>
      </c>
      <c r="AJ86" s="13">
        <f>_xll.BDH("XOM US Equity","NET_DEBT","FQ4 2016","FQ4 2016","Currency=USD","Period=FQ","BEST_FPERIOD_OVERRIDE=FQ","FILING_STATUS=OR","SCALING_FORMAT=MLN","Sort=A","Dates=H","DateFormat=P","Fill=—","Direction=H","UseDPDF=Y")</f>
        <v>39105</v>
      </c>
      <c r="AK86" s="13">
        <f>_xll.BDH("XOM US Equity","NET_DEBT","FQ1 2017","FQ1 2017","Currency=USD","Period=FQ","BEST_FPERIOD_OVERRIDE=FQ","FILING_STATUS=OR","SCALING_FORMAT=MLN","Sort=A","Dates=H","DateFormat=P","Fill=—","Direction=H","UseDPDF=Y")</f>
        <v>38710</v>
      </c>
      <c r="AL86" s="13">
        <f>_xll.BDH("XOM US Equity","NET_DEBT","FQ2 2017","FQ2 2017","Currency=USD","Period=FQ","BEST_FPERIOD_OVERRIDE=FQ","FILING_STATUS=OR","SCALING_FORMAT=MLN","Sort=A","Dates=H","DateFormat=P","Fill=—","Direction=H","UseDPDF=Y")</f>
        <v>37893</v>
      </c>
      <c r="AM86" s="13">
        <f>_xll.BDH("XOM US Equity","NET_DEBT","FQ3 2017","FQ3 2017","Currency=USD","Period=FQ","BEST_FPERIOD_OVERRIDE=FQ","FILING_STATUS=OR","SCALING_FORMAT=MLN","Sort=A","Dates=H","DateFormat=P","Fill=—","Direction=H","UseDPDF=Y")</f>
        <v>36344</v>
      </c>
      <c r="AN86" s="13">
        <f>_xll.BDH("XOM US Equity","NET_DEBT","FQ4 2017","FQ4 2017","Currency=USD","Period=FQ","BEST_FPERIOD_OVERRIDE=FQ","FILING_STATUS=OR","SCALING_FORMAT=MLN","Sort=A","Dates=H","DateFormat=P","Fill=—","Direction=H","UseDPDF=Y")</f>
        <v>39159</v>
      </c>
      <c r="AO86" s="13">
        <f>_xll.BDH("XOM US Equity","NET_DEBT","FQ1 2018","FQ1 2018","Currency=USD","Period=FQ","BEST_FPERIOD_OVERRIDE=FQ","FILING_STATUS=OR","SCALING_FORMAT=MLN","Sort=A","Dates=H","DateFormat=P","Fill=—","Direction=H","UseDPDF=Y")</f>
        <v>36492</v>
      </c>
      <c r="AP86" s="13">
        <f>_xll.BDH("XOM US Equity","NET_DEBT","FQ2 2018","FQ2 2018","Currency=USD","Period=FQ","BEST_FPERIOD_OVERRIDE=FQ","FILING_STATUS=OR","SCALING_FORMAT=MLN","Sort=A","Dates=H","DateFormat=P","Fill=—","Direction=H","UseDPDF=Y")</f>
        <v>37790</v>
      </c>
    </row>
    <row r="87" spans="1:42" x14ac:dyDescent="0.25">
      <c r="A87" s="10" t="s">
        <v>351</v>
      </c>
      <c r="B87" s="10" t="s">
        <v>352</v>
      </c>
      <c r="C87" s="14">
        <f>_xll.BDH("XOM US Equity","NET_DEBT_TO_SHRHLDR_EQTY","FQ3 2008","FQ3 2008","Currency=USD","Period=FQ","BEST_FPERIOD_OVERRIDE=FQ","FILING_STATUS=OR","Sort=A","Dates=H","DateFormat=P","Fill=—","Direction=H","UseDPDF=Y")</f>
        <v>-22.4846</v>
      </c>
      <c r="D87" s="14">
        <f>_xll.BDH("XOM US Equity","NET_DEBT_TO_SHRHLDR_EQTY","FQ4 2008","FQ4 2008","Currency=USD","Period=FQ","BEST_FPERIOD_OVERRIDE=FQ","FILING_STATUS=OR","Sort=A","Dates=H","DateFormat=P","Fill=—","Direction=H","UseDPDF=Y")</f>
        <v>-19.215</v>
      </c>
      <c r="E87" s="14">
        <f>_xll.BDH("XOM US Equity","NET_DEBT_TO_SHRHLDR_EQTY","FQ1 2009","FQ1 2009","Currency=USD","Period=FQ","BEST_FPERIOD_OVERRIDE=FQ","FILING_STATUS=OR","Sort=A","Dates=H","DateFormat=P","Fill=—","Direction=H","UseDPDF=Y")</f>
        <v>-14.308</v>
      </c>
      <c r="F87" s="14">
        <f>_xll.BDH("XOM US Equity","NET_DEBT_TO_SHRHLDR_EQTY","FQ2 2009","FQ2 2009","Currency=USD","Period=FQ","BEST_FPERIOD_OVERRIDE=FQ","FILING_STATUS=OR","Sort=A","Dates=H","DateFormat=P","Fill=—","Direction=H","UseDPDF=Y")</f>
        <v>-5.8072999999999997</v>
      </c>
      <c r="G87" s="14">
        <f>_xll.BDH("XOM US Equity","NET_DEBT_TO_SHRHLDR_EQTY","FQ3 2009","FQ3 2009","Currency=USD","Period=FQ","BEST_FPERIOD_OVERRIDE=FQ","FILING_STATUS=OR","Sort=A","Dates=H","DateFormat=P","Fill=—","Direction=H","UseDPDF=Y")</f>
        <v>-2.6939000000000002</v>
      </c>
      <c r="H87" s="14">
        <f>_xll.BDH("XOM US Equity","NET_DEBT_TO_SHRHLDR_EQTY","FQ4 2009","FQ4 2009","Currency=USD","Period=FQ","BEST_FPERIOD_OVERRIDE=FQ","FILING_STATUS=OR","Sort=A","Dates=H","DateFormat=P","Fill=—","Direction=H","UseDPDF=Y")</f>
        <v>-1.0892999999999999</v>
      </c>
      <c r="I87" s="14">
        <f>_xll.BDH("XOM US Equity","NET_DEBT_TO_SHRHLDR_EQTY","FQ1 2010","FQ1 2010","Currency=USD","Period=FQ","BEST_FPERIOD_OVERRIDE=FQ","FILING_STATUS=OR","Sort=A","Dates=H","DateFormat=P","Fill=—","Direction=H","UseDPDF=Y")</f>
        <v>-3.7199</v>
      </c>
      <c r="J87" s="14">
        <f>_xll.BDH("XOM US Equity","NET_DEBT_TO_SHRHLDR_EQTY","FQ2 2010","FQ2 2010","Currency=USD","Period=FQ","BEST_FPERIOD_OVERRIDE=FQ","FILING_STATUS=OR","Sort=A","Dates=H","DateFormat=P","Fill=—","Direction=H","UseDPDF=Y")</f>
        <v>4.9288999999999996</v>
      </c>
      <c r="K87" s="14">
        <f>_xll.BDH("XOM US Equity","NET_DEBT_TO_SHRHLDR_EQTY","FQ3 2010","FQ3 2010","Currency=USD","Period=FQ","BEST_FPERIOD_OVERRIDE=FQ","FILING_STATUS=OR","Sort=A","Dates=H","DateFormat=P","Fill=—","Direction=H","UseDPDF=Y")</f>
        <v>4.0072999999999999</v>
      </c>
      <c r="L87" s="14">
        <f>_xll.BDH("XOM US Equity","NET_DEBT_TO_SHRHLDR_EQTY","FQ4 2010","FQ4 2010","Currency=USD","Period=FQ","BEST_FPERIOD_OVERRIDE=FQ","FILING_STATUS=OR","Sort=A","Dates=H","DateFormat=P","Fill=—","Direction=H","UseDPDF=Y")</f>
        <v>4.7073</v>
      </c>
      <c r="M87" s="14">
        <f>_xll.BDH("XOM US Equity","NET_DEBT_TO_SHRHLDR_EQTY","FQ1 2011","FQ1 2011","Currency=USD","Period=FQ","BEST_FPERIOD_OVERRIDE=FQ","FILING_STATUS=OR","Sort=A","Dates=H","DateFormat=P","Fill=—","Direction=H","UseDPDF=Y")</f>
        <v>1.9317</v>
      </c>
      <c r="N87" s="14">
        <f>_xll.BDH("XOM US Equity","NET_DEBT_TO_SHRHLDR_EQTY","FQ2 2011","FQ2 2011","Currency=USD","Period=FQ","BEST_FPERIOD_OVERRIDE=FQ","FILING_STATUS=OR","Sort=A","Dates=H","DateFormat=P","Fill=—","Direction=H","UseDPDF=Y")</f>
        <v>3.9836999999999998</v>
      </c>
      <c r="O87" s="14">
        <f>_xll.BDH("XOM US Equity","NET_DEBT_TO_SHRHLDR_EQTY","FQ3 2011","FQ3 2011","Currency=USD","Period=FQ","BEST_FPERIOD_OVERRIDE=FQ","FILING_STATUS=OR","Sort=A","Dates=H","DateFormat=P","Fill=—","Direction=H","UseDPDF=Y")</f>
        <v>3.5385999999999997</v>
      </c>
      <c r="P87" s="14">
        <f>_xll.BDH("XOM US Equity","NET_DEBT_TO_SHRHLDR_EQTY","FQ4 2011","FQ4 2011","Currency=USD","Period=FQ","BEST_FPERIOD_OVERRIDE=FQ","FILING_STATUS=OR","Sort=A","Dates=H","DateFormat=P","Fill=—","Direction=H","UseDPDF=Y")</f>
        <v>2.718</v>
      </c>
      <c r="Q87" s="14">
        <f>_xll.BDH("XOM US Equity","NET_DEBT_TO_SHRHLDR_EQTY","FQ1 2012","FQ1 2012","Currency=USD","Period=FQ","BEST_FPERIOD_OVERRIDE=FQ","FILING_STATUS=OR","Sort=A","Dates=H","DateFormat=P","Fill=—","Direction=H","UseDPDF=Y")</f>
        <v>-1.8401999999999998</v>
      </c>
      <c r="R87" s="14">
        <f>_xll.BDH("XOM US Equity","NET_DEBT_TO_SHRHLDR_EQTY","FQ2 2012","FQ2 2012","Currency=USD","Period=FQ","BEST_FPERIOD_OVERRIDE=FQ","FILING_STATUS=OR","Sort=A","Dates=H","DateFormat=P","Fill=—","Direction=H","UseDPDF=Y")</f>
        <v>-1.3221000000000001</v>
      </c>
      <c r="S87" s="14">
        <f>_xll.BDH("XOM US Equity","NET_DEBT_TO_SHRHLDR_EQTY","FQ3 2012","FQ3 2012","Currency=USD","Period=FQ","BEST_FPERIOD_OVERRIDE=FQ","FILING_STATUS=OR","Sort=A","Dates=H","DateFormat=P","Fill=—","Direction=H","UseDPDF=Y")</f>
        <v>-0.36609999999999998</v>
      </c>
      <c r="T87" s="14">
        <f>_xll.BDH("XOM US Equity","NET_DEBT_TO_SHRHLDR_EQTY","FQ4 2012","FQ4 2012","Currency=USD","Period=FQ","BEST_FPERIOD_OVERRIDE=FQ","FILING_STATUS=OR","Sort=A","Dates=H","DateFormat=P","Fill=—","Direction=H","UseDPDF=Y")</f>
        <v>1.1645000000000001</v>
      </c>
      <c r="U87" s="14">
        <f>_xll.BDH("XOM US Equity","NET_DEBT_TO_SHRHLDR_EQTY","FQ1 2013","FQ1 2013","Currency=USD","Period=FQ","BEST_FPERIOD_OVERRIDE=FQ","FILING_STATUS=OR","Sort=A","Dates=H","DateFormat=P","Fill=—","Direction=H","UseDPDF=Y")</f>
        <v>4.1588000000000003</v>
      </c>
      <c r="V87" s="14">
        <f>_xll.BDH("XOM US Equity","NET_DEBT_TO_SHRHLDR_EQTY","FQ2 2013","FQ2 2013","Currency=USD","Period=FQ","BEST_FPERIOD_OVERRIDE=FQ","FILING_STATUS=OR","Sort=A","Dates=H","DateFormat=P","Fill=—","Direction=H","UseDPDF=Y")</f>
        <v>8.5950000000000006</v>
      </c>
      <c r="W87" s="14">
        <f>_xll.BDH("XOM US Equity","NET_DEBT_TO_SHRHLDR_EQTY","FQ3 2013","FQ3 2013","Currency=USD","Period=FQ","BEST_FPERIOD_OVERRIDE=FQ","FILING_STATUS=OR","Sort=A","Dates=H","DateFormat=P","Fill=—","Direction=H","UseDPDF=Y")</f>
        <v>9.1082999999999998</v>
      </c>
      <c r="X87" s="14">
        <f>_xll.BDH("XOM US Equity","NET_DEBT_TO_SHRHLDR_EQTY","FQ4 2013","FQ4 2013","Currency=USD","Period=FQ","BEST_FPERIOD_OVERRIDE=FQ","FILING_STATUS=OR","Sort=A","Dates=H","DateFormat=P","Fill=—","Direction=H","UseDPDF=Y")</f>
        <v>10.003</v>
      </c>
      <c r="Y87" s="14">
        <f>_xll.BDH("XOM US Equity","NET_DEBT_TO_SHRHLDR_EQTY","FQ1 2014","FQ1 2014","Currency=USD","Period=FQ","BEST_FPERIOD_OVERRIDE=FQ","FILING_STATUS=OR","Sort=A","Dates=H","DateFormat=P","Fill=—","Direction=H","UseDPDF=Y")</f>
        <v>8.6204000000000001</v>
      </c>
      <c r="Z87" s="14">
        <f>_xll.BDH("XOM US Equity","NET_DEBT_TO_SHRHLDR_EQTY","FQ2 2014","FQ2 2014","Currency=USD","Period=FQ","BEST_FPERIOD_OVERRIDE=FQ","FILING_STATUS=OR","Sort=A","Dates=H","DateFormat=P","Fill=—","Direction=H","UseDPDF=Y")</f>
        <v>8.3356999999999992</v>
      </c>
      <c r="AA87" s="14">
        <f>_xll.BDH("XOM US Equity","NET_DEBT_TO_SHRHLDR_EQTY","FQ3 2014","FQ3 2014","Currency=USD","Period=FQ","BEST_FPERIOD_OVERRIDE=FQ","FILING_STATUS=OR","Sort=A","Dates=H","DateFormat=P","Fill=—","Direction=H","UseDPDF=Y")</f>
        <v>8.9985999999999997</v>
      </c>
      <c r="AB87" s="14">
        <f>_xll.BDH("XOM US Equity","NET_DEBT_TO_SHRHLDR_EQTY","FQ4 2014","FQ4 2014","Currency=USD","Period=FQ","BEST_FPERIOD_OVERRIDE=FQ","FILING_STATUS=OR","Sort=A","Dates=H","DateFormat=P","Fill=—","Direction=H","UseDPDF=Y")</f>
        <v>13.533899999999999</v>
      </c>
      <c r="AC87" s="14">
        <f>_xll.BDH("XOM US Equity","NET_DEBT_TO_SHRHLDR_EQTY","FQ1 2015","FQ1 2015","Currency=USD","Period=FQ","BEST_FPERIOD_OVERRIDE=FQ","FILING_STATUS=OR","Sort=A","Dates=H","DateFormat=P","Fill=—","Direction=H","UseDPDF=Y")</f>
        <v>15.5467</v>
      </c>
      <c r="AD87" s="14">
        <f>_xll.BDH("XOM US Equity","NET_DEBT_TO_SHRHLDR_EQTY","FQ2 2015","FQ2 2015","Currency=USD","Period=FQ","BEST_FPERIOD_OVERRIDE=FQ","FILING_STATUS=OR","Sort=A","Dates=H","DateFormat=P","Fill=—","Direction=H","UseDPDF=Y")</f>
        <v>16.478999999999999</v>
      </c>
      <c r="AE87" s="14">
        <f>_xll.BDH("XOM US Equity","NET_DEBT_TO_SHRHLDR_EQTY","FQ3 2015","FQ3 2015","Currency=USD","Period=FQ","BEST_FPERIOD_OVERRIDE=FQ","FILING_STATUS=OR","Sort=A","Dates=H","DateFormat=P","Fill=—","Direction=H","UseDPDF=Y")</f>
        <v>16.973600000000001</v>
      </c>
      <c r="AF87" s="14">
        <f>_xll.BDH("XOM US Equity","NET_DEBT_TO_SHRHLDR_EQTY","FQ4 2015","FQ4 2015","Currency=USD","Period=FQ","BEST_FPERIOD_OVERRIDE=FQ","FILING_STATUS=OR","Sort=A","Dates=H","DateFormat=P","Fill=—","Direction=H","UseDPDF=Y")</f>
        <v>19.7851</v>
      </c>
      <c r="AG87" s="14">
        <f>_xll.BDH("XOM US Equity","NET_DEBT_TO_SHRHLDR_EQTY","FQ1 2016","FQ1 2016","Currency=USD","Period=FQ","BEST_FPERIOD_OVERRIDE=FQ","FILING_STATUS=OR","Sort=A","Dates=H","DateFormat=P","Fill=—","Direction=H","UseDPDF=Y")</f>
        <v>21.435500000000001</v>
      </c>
      <c r="AH87" s="14">
        <f>_xll.BDH("XOM US Equity","NET_DEBT_TO_SHRHLDR_EQTY","FQ2 2016","FQ2 2016","Currency=USD","Period=FQ","BEST_FPERIOD_OVERRIDE=FQ","FILING_STATUS=OR","Sort=A","Dates=H","DateFormat=P","Fill=—","Direction=H","UseDPDF=Y")</f>
        <v>22.678699999999999</v>
      </c>
      <c r="AI87" s="14">
        <f>_xll.BDH("XOM US Equity","NET_DEBT_TO_SHRHLDR_EQTY","FQ3 2016","FQ3 2016","Currency=USD","Period=FQ","BEST_FPERIOD_OVERRIDE=FQ","FILING_STATUS=OR","Sort=A","Dates=H","DateFormat=P","Fill=—","Direction=H","UseDPDF=Y")</f>
        <v>23.197600000000001</v>
      </c>
      <c r="AJ87" s="14">
        <f>_xll.BDH("XOM US Equity","NET_DEBT_TO_SHRHLDR_EQTY","FQ4 2016","FQ4 2016","Currency=USD","Period=FQ","BEST_FPERIOD_OVERRIDE=FQ","FILING_STATUS=OR","Sort=A","Dates=H","DateFormat=P","Fill=—","Direction=H","UseDPDF=Y")</f>
        <v>22.496099999999998</v>
      </c>
      <c r="AK87" s="14">
        <f>_xll.BDH("XOM US Equity","NET_DEBT_TO_SHRHLDR_EQTY","FQ1 2017","FQ1 2017","Currency=USD","Period=FQ","BEST_FPERIOD_OVERRIDE=FQ","FILING_STATUS=OR","Sort=A","Dates=H","DateFormat=P","Fill=—","Direction=H","UseDPDF=Y")</f>
        <v>21.064299999999999</v>
      </c>
      <c r="AL87" s="14">
        <f>_xll.BDH("XOM US Equity","NET_DEBT_TO_SHRHLDR_EQTY","FQ2 2017","FQ2 2017","Currency=USD","Period=FQ","BEST_FPERIOD_OVERRIDE=FQ","FILING_STATUS=OR","Sort=A","Dates=H","DateFormat=P","Fill=—","Direction=H","UseDPDF=Y")</f>
        <v>20.3903</v>
      </c>
      <c r="AM87" s="14">
        <f>_xll.BDH("XOM US Equity","NET_DEBT_TO_SHRHLDR_EQTY","FQ3 2017","FQ3 2017","Currency=USD","Period=FQ","BEST_FPERIOD_OVERRIDE=FQ","FILING_STATUS=OR","Sort=A","Dates=H","DateFormat=P","Fill=—","Direction=H","UseDPDF=Y")</f>
        <v>19.209499999999998</v>
      </c>
      <c r="AN87" s="14">
        <f>_xll.BDH("XOM US Equity","NET_DEBT_TO_SHRHLDR_EQTY","FQ4 2017","FQ4 2017","Currency=USD","Period=FQ","BEST_FPERIOD_OVERRIDE=FQ","FILING_STATUS=OR","Sort=A","Dates=H","DateFormat=P","Fill=—","Direction=H","UseDPDF=Y")</f>
        <v>20.133199999999999</v>
      </c>
      <c r="AO87" s="14">
        <f>_xll.BDH("XOM US Equity","NET_DEBT_TO_SHRHLDR_EQTY","FQ1 2018","FQ1 2018","Currency=USD","Period=FQ","BEST_FPERIOD_OVERRIDE=FQ","FILING_STATUS=OR","Sort=A","Dates=H","DateFormat=P","Fill=—","Direction=H","UseDPDF=Y")</f>
        <v>18.7224</v>
      </c>
      <c r="AP87" s="14">
        <f>_xll.BDH("XOM US Equity","NET_DEBT_TO_SHRHLDR_EQTY","FQ2 2018","FQ2 2018","Currency=USD","Period=FQ","BEST_FPERIOD_OVERRIDE=FQ","FILING_STATUS=OR","Sort=A","Dates=H","DateFormat=P","Fill=—","Direction=H","UseDPDF=Y")</f>
        <v>19.526399999999999</v>
      </c>
    </row>
    <row r="88" spans="1:42" x14ac:dyDescent="0.25">
      <c r="A88" s="10" t="s">
        <v>353</v>
      </c>
      <c r="B88" s="10" t="s">
        <v>354</v>
      </c>
      <c r="C88" s="14">
        <f>_xll.BDH("XOM US Equity","TCE_RATIO","FQ3 2008","FQ3 2008","Currency=USD","Period=FQ","BEST_FPERIOD_OVERRIDE=FQ","FILING_STATUS=OR","Sort=A","Dates=H","DateFormat=P","Fill=—","Direction=H","UseDPDF=Y")</f>
        <v>48.898200000000003</v>
      </c>
      <c r="D88" s="14">
        <f>_xll.BDH("XOM US Equity","TCE_RATIO","FQ4 2008","FQ4 2008","Currency=USD","Period=FQ","BEST_FPERIOD_OVERRIDE=FQ","FILING_STATUS=OR","Sort=A","Dates=H","DateFormat=P","Fill=—","Direction=H","UseDPDF=Y")</f>
        <v>49.534799999999997</v>
      </c>
      <c r="E88" s="14" t="str">
        <f>_xll.BDH("XOM US Equity","TCE_RATIO","FQ1 2009","FQ1 2009","Currency=USD","Period=FQ","BEST_FPERIOD_OVERRIDE=FQ","FILING_STATUS=OR","Sort=A","Dates=H","DateFormat=P","Fill=—","Direction=H","UseDPDF=Y")</f>
        <v>—</v>
      </c>
      <c r="F88" s="14" t="str">
        <f>_xll.BDH("XOM US Equity","TCE_RATIO","FQ2 2009","FQ2 2009","Currency=USD","Period=FQ","BEST_FPERIOD_OVERRIDE=FQ","FILING_STATUS=OR","Sort=A","Dates=H","DateFormat=P","Fill=—","Direction=H","UseDPDF=Y")</f>
        <v>—</v>
      </c>
      <c r="G88" s="14" t="str">
        <f>_xll.BDH("XOM US Equity","TCE_RATIO","FQ3 2009","FQ3 2009","Currency=USD","Period=FQ","BEST_FPERIOD_OVERRIDE=FQ","FILING_STATUS=OR","Sort=A","Dates=H","DateFormat=P","Fill=—","Direction=H","UseDPDF=Y")</f>
        <v>—</v>
      </c>
      <c r="H88" s="14">
        <f>_xll.BDH("XOM US Equity","TCE_RATIO","FQ4 2009","FQ4 2009","Currency=USD","Period=FQ","BEST_FPERIOD_OVERRIDE=FQ","FILING_STATUS=OR","Sort=A","Dates=H","DateFormat=P","Fill=—","Direction=H","UseDPDF=Y")</f>
        <v>47.388800000000003</v>
      </c>
      <c r="I88" s="14" t="str">
        <f>_xll.BDH("XOM US Equity","TCE_RATIO","FQ1 2010","FQ1 2010","Currency=USD","Period=FQ","BEST_FPERIOD_OVERRIDE=FQ","FILING_STATUS=OR","Sort=A","Dates=H","DateFormat=P","Fill=—","Direction=H","UseDPDF=Y")</f>
        <v>—</v>
      </c>
      <c r="J88" s="14" t="str">
        <f>_xll.BDH("XOM US Equity","TCE_RATIO","FQ2 2010","FQ2 2010","Currency=USD","Period=FQ","BEST_FPERIOD_OVERRIDE=FQ","FILING_STATUS=OR","Sort=A","Dates=H","DateFormat=P","Fill=—","Direction=H","UseDPDF=Y")</f>
        <v>—</v>
      </c>
      <c r="K88" s="14" t="str">
        <f>_xll.BDH("XOM US Equity","TCE_RATIO","FQ3 2010","FQ3 2010","Currency=USD","Period=FQ","BEST_FPERIOD_OVERRIDE=FQ","FILING_STATUS=OR","Sort=A","Dates=H","DateFormat=P","Fill=—","Direction=H","UseDPDF=Y")</f>
        <v>—</v>
      </c>
      <c r="L88" s="14">
        <f>_xll.BDH("XOM US Equity","TCE_RATIO","FQ4 2010","FQ4 2010","Currency=USD","Period=FQ","BEST_FPERIOD_OVERRIDE=FQ","FILING_STATUS=OR","Sort=A","Dates=H","DateFormat=P","Fill=—","Direction=H","UseDPDF=Y")</f>
        <v>48.540199999999999</v>
      </c>
      <c r="M88" s="14" t="str">
        <f>_xll.BDH("XOM US Equity","TCE_RATIO","FQ1 2011","FQ1 2011","Currency=USD","Period=FQ","BEST_FPERIOD_OVERRIDE=FQ","FILING_STATUS=OR","Sort=A","Dates=H","DateFormat=P","Fill=—","Direction=H","UseDPDF=Y")</f>
        <v>—</v>
      </c>
      <c r="N88" s="14" t="str">
        <f>_xll.BDH("XOM US Equity","TCE_RATIO","FQ2 2011","FQ2 2011","Currency=USD","Period=FQ","BEST_FPERIOD_OVERRIDE=FQ","FILING_STATUS=OR","Sort=A","Dates=H","DateFormat=P","Fill=—","Direction=H","UseDPDF=Y")</f>
        <v>—</v>
      </c>
      <c r="O88" s="14" t="str">
        <f>_xll.BDH("XOM US Equity","TCE_RATIO","FQ3 2011","FQ3 2011","Currency=USD","Period=FQ","BEST_FPERIOD_OVERRIDE=FQ","FILING_STATUS=OR","Sort=A","Dates=H","DateFormat=P","Fill=—","Direction=H","UseDPDF=Y")</f>
        <v>—</v>
      </c>
      <c r="P88" s="14">
        <f>_xll.BDH("XOM US Equity","TCE_RATIO","FQ4 2011","FQ4 2011","Currency=USD","Period=FQ","BEST_FPERIOD_OVERRIDE=FQ","FILING_STATUS=OR","Sort=A","Dates=H","DateFormat=P","Fill=—","Direction=H","UseDPDF=Y")</f>
        <v>46.637999999999998</v>
      </c>
      <c r="Q88" s="14" t="str">
        <f>_xll.BDH("XOM US Equity","TCE_RATIO","FQ1 2012","FQ1 2012","Currency=USD","Period=FQ","BEST_FPERIOD_OVERRIDE=FQ","FILING_STATUS=OR","Sort=A","Dates=H","DateFormat=P","Fill=—","Direction=H","UseDPDF=Y")</f>
        <v>—</v>
      </c>
      <c r="R88" s="14" t="str">
        <f>_xll.BDH("XOM US Equity","TCE_RATIO","FQ2 2012","FQ2 2012","Currency=USD","Period=FQ","BEST_FPERIOD_OVERRIDE=FQ","FILING_STATUS=OR","Sort=A","Dates=H","DateFormat=P","Fill=—","Direction=H","UseDPDF=Y")</f>
        <v>—</v>
      </c>
      <c r="S88" s="14" t="str">
        <f>_xll.BDH("XOM US Equity","TCE_RATIO","FQ3 2012","FQ3 2012","Currency=USD","Period=FQ","BEST_FPERIOD_OVERRIDE=FQ","FILING_STATUS=OR","Sort=A","Dates=H","DateFormat=P","Fill=—","Direction=H","UseDPDF=Y")</f>
        <v>—</v>
      </c>
      <c r="T88" s="14">
        <f>_xll.BDH("XOM US Equity","TCE_RATIO","FQ4 2012","FQ4 2012","Currency=USD","Period=FQ","BEST_FPERIOD_OVERRIDE=FQ","FILING_STATUS=OR","Sort=A","Dates=H","DateFormat=P","Fill=—","Direction=H","UseDPDF=Y")</f>
        <v>49.690100000000001</v>
      </c>
      <c r="U88" s="14" t="str">
        <f>_xll.BDH("XOM US Equity","TCE_RATIO","FQ1 2013","FQ1 2013","Currency=USD","Period=FQ","BEST_FPERIOD_OVERRIDE=FQ","FILING_STATUS=OR","Sort=A","Dates=H","DateFormat=P","Fill=—","Direction=H","UseDPDF=Y")</f>
        <v>—</v>
      </c>
      <c r="V88" s="14" t="str">
        <f>_xll.BDH("XOM US Equity","TCE_RATIO","FQ2 2013","FQ2 2013","Currency=USD","Period=FQ","BEST_FPERIOD_OVERRIDE=FQ","FILING_STATUS=OR","Sort=A","Dates=H","DateFormat=P","Fill=—","Direction=H","UseDPDF=Y")</f>
        <v>—</v>
      </c>
      <c r="W88" s="14" t="str">
        <f>_xll.BDH("XOM US Equity","TCE_RATIO","FQ3 2013","FQ3 2013","Currency=USD","Period=FQ","BEST_FPERIOD_OVERRIDE=FQ","FILING_STATUS=OR","Sort=A","Dates=H","DateFormat=P","Fill=—","Direction=H","UseDPDF=Y")</f>
        <v>—</v>
      </c>
      <c r="X88" s="14">
        <f>_xll.BDH("XOM US Equity","TCE_RATIO","FQ4 2013","FQ4 2013","Currency=USD","Period=FQ","BEST_FPERIOD_OVERRIDE=FQ","FILING_STATUS=OR","Sort=A","Dates=H","DateFormat=P","Fill=—","Direction=H","UseDPDF=Y")</f>
        <v>50.172699999999999</v>
      </c>
      <c r="Y88" s="14" t="str">
        <f>_xll.BDH("XOM US Equity","TCE_RATIO","FQ1 2014","FQ1 2014","Currency=USD","Period=FQ","BEST_FPERIOD_OVERRIDE=FQ","FILING_STATUS=OR","Sort=A","Dates=H","DateFormat=P","Fill=—","Direction=H","UseDPDF=Y")</f>
        <v>—</v>
      </c>
      <c r="Z88" s="14" t="str">
        <f>_xll.BDH("XOM US Equity","TCE_RATIO","FQ2 2014","FQ2 2014","Currency=USD","Period=FQ","BEST_FPERIOD_OVERRIDE=FQ","FILING_STATUS=OR","Sort=A","Dates=H","DateFormat=P","Fill=—","Direction=H","UseDPDF=Y")</f>
        <v>—</v>
      </c>
      <c r="AA88" s="14" t="str">
        <f>_xll.BDH("XOM US Equity","TCE_RATIO","FQ3 2014","FQ3 2014","Currency=USD","Period=FQ","BEST_FPERIOD_OVERRIDE=FQ","FILING_STATUS=OR","Sort=A","Dates=H","DateFormat=P","Fill=—","Direction=H","UseDPDF=Y")</f>
        <v>—</v>
      </c>
      <c r="AB88" s="14">
        <f>_xll.BDH("XOM US Equity","TCE_RATIO","FQ4 2014","FQ4 2014","Currency=USD","Period=FQ","BEST_FPERIOD_OVERRIDE=FQ","FILING_STATUS=OR","Sort=A","Dates=H","DateFormat=P","Fill=—","Direction=H","UseDPDF=Y")</f>
        <v>49.900599999999997</v>
      </c>
      <c r="AC88" s="14" t="str">
        <f>_xll.BDH("XOM US Equity","TCE_RATIO","FQ1 2015","FQ1 2015","Currency=USD","Period=FQ","BEST_FPERIOD_OVERRIDE=FQ","FILING_STATUS=OR","Sort=A","Dates=H","DateFormat=P","Fill=—","Direction=H","UseDPDF=Y")</f>
        <v>—</v>
      </c>
      <c r="AD88" s="14" t="str">
        <f>_xll.BDH("XOM US Equity","TCE_RATIO","FQ2 2015","FQ2 2015","Currency=USD","Period=FQ","BEST_FPERIOD_OVERRIDE=FQ","FILING_STATUS=OR","Sort=A","Dates=H","DateFormat=P","Fill=—","Direction=H","UseDPDF=Y")</f>
        <v>—</v>
      </c>
      <c r="AE88" s="14" t="str">
        <f>_xll.BDH("XOM US Equity","TCE_RATIO","FQ3 2015","FQ3 2015","Currency=USD","Period=FQ","BEST_FPERIOD_OVERRIDE=FQ","FILING_STATUS=OR","Sort=A","Dates=H","DateFormat=P","Fill=—","Direction=H","UseDPDF=Y")</f>
        <v>—</v>
      </c>
      <c r="AF88" s="14">
        <f>_xll.BDH("XOM US Equity","TCE_RATIO","FQ4 2015","FQ4 2015","Currency=USD","Period=FQ","BEST_FPERIOD_OVERRIDE=FQ","FILING_STATUS=OR","Sort=A","Dates=H","DateFormat=P","Fill=—","Direction=H","UseDPDF=Y")</f>
        <v>50.722200000000001</v>
      </c>
      <c r="AG88" s="14" t="str">
        <f>_xll.BDH("XOM US Equity","TCE_RATIO","FQ1 2016","FQ1 2016","Currency=USD","Period=FQ","BEST_FPERIOD_OVERRIDE=FQ","FILING_STATUS=OR","Sort=A","Dates=H","DateFormat=P","Fill=—","Direction=H","UseDPDF=Y")</f>
        <v>—</v>
      </c>
      <c r="AH88" s="14" t="str">
        <f>_xll.BDH("XOM US Equity","TCE_RATIO","FQ2 2016","FQ2 2016","Currency=USD","Period=FQ","BEST_FPERIOD_OVERRIDE=FQ","FILING_STATUS=OR","Sort=A","Dates=H","DateFormat=P","Fill=—","Direction=H","UseDPDF=Y")</f>
        <v>—</v>
      </c>
      <c r="AI88" s="14" t="str">
        <f>_xll.BDH("XOM US Equity","TCE_RATIO","FQ3 2016","FQ3 2016","Currency=USD","Period=FQ","BEST_FPERIOD_OVERRIDE=FQ","FILING_STATUS=OR","Sort=A","Dates=H","DateFormat=P","Fill=—","Direction=H","UseDPDF=Y")</f>
        <v>—</v>
      </c>
      <c r="AJ88" s="14">
        <f>_xll.BDH("XOM US Equity","TCE_RATIO","FQ4 2016","FQ4 2016","Currency=USD","Period=FQ","BEST_FPERIOD_OVERRIDE=FQ","FILING_STATUS=OR","Sort=A","Dates=H","DateFormat=P","Fill=—","Direction=H","UseDPDF=Y")</f>
        <v>50.656300000000002</v>
      </c>
      <c r="AK88" s="14" t="str">
        <f>_xll.BDH("XOM US Equity","TCE_RATIO","FQ1 2017","FQ1 2017","Currency=USD","Period=FQ","BEST_FPERIOD_OVERRIDE=FQ","FILING_STATUS=OR","Sort=A","Dates=H","DateFormat=P","Fill=—","Direction=H","UseDPDF=Y")</f>
        <v>—</v>
      </c>
      <c r="AL88" s="14" t="str">
        <f>_xll.BDH("XOM US Equity","TCE_RATIO","FQ2 2017","FQ2 2017","Currency=USD","Period=FQ","BEST_FPERIOD_OVERRIDE=FQ","FILING_STATUS=OR","Sort=A","Dates=H","DateFormat=P","Fill=—","Direction=H","UseDPDF=Y")</f>
        <v>—</v>
      </c>
      <c r="AM88" s="14" t="str">
        <f>_xll.BDH("XOM US Equity","TCE_RATIO","FQ3 2017","FQ3 2017","Currency=USD","Period=FQ","BEST_FPERIOD_OVERRIDE=FQ","FILING_STATUS=OR","Sort=A","Dates=H","DateFormat=P","Fill=—","Direction=H","UseDPDF=Y")</f>
        <v>—</v>
      </c>
      <c r="AN88" s="14">
        <f>_xll.BDH("XOM US Equity","TCE_RATIO","FQ4 2017","FQ4 2017","Currency=USD","Period=FQ","BEST_FPERIOD_OVERRIDE=FQ","FILING_STATUS=OR","Sort=A","Dates=H","DateFormat=P","Fill=—","Direction=H","UseDPDF=Y")</f>
        <v>53.826500000000003</v>
      </c>
      <c r="AO88" s="14" t="str">
        <f>_xll.BDH("XOM US Equity","TCE_RATIO","FQ1 2018","FQ1 2018","Currency=USD","Period=FQ","BEST_FPERIOD_OVERRIDE=FQ","FILING_STATUS=OR","Sort=A","Dates=H","DateFormat=P","Fill=—","Direction=H","UseDPDF=Y")</f>
        <v>—</v>
      </c>
      <c r="AP88" s="14" t="str">
        <f>_xll.BDH("XOM US Equity","TCE_RATIO","FQ2 2018","FQ2 2018","Currency=USD","Period=FQ","BEST_FPERIOD_OVERRIDE=FQ","FILING_STATUS=OR","Sort=A","Dates=H","DateFormat=P","Fill=—","Direction=H","UseDPDF=Y")</f>
        <v>—</v>
      </c>
    </row>
    <row r="89" spans="1:42" x14ac:dyDescent="0.25">
      <c r="A89" s="10" t="s">
        <v>355</v>
      </c>
      <c r="B89" s="10" t="s">
        <v>356</v>
      </c>
      <c r="C89" s="14">
        <f>_xll.BDH("XOM US Equity","CUR_RATIO","FQ3 2008","FQ3 2008","Currency=USD","Period=FQ","BEST_FPERIOD_OVERRIDE=FQ","FILING_STATUS=OR","Sort=A","Dates=H","DateFormat=P","Fill=—","Direction=H","UseDPDF=Y")</f>
        <v>1.4198</v>
      </c>
      <c r="D89" s="14">
        <f>_xll.BDH("XOM US Equity","CUR_RATIO","FQ4 2008","FQ4 2008","Currency=USD","Period=FQ","BEST_FPERIOD_OVERRIDE=FQ","FILING_STATUS=OR","Sort=A","Dates=H","DateFormat=P","Fill=—","Direction=H","UseDPDF=Y")</f>
        <v>1.4718</v>
      </c>
      <c r="E89" s="14">
        <f>_xll.BDH("XOM US Equity","CUR_RATIO","FQ1 2009","FQ1 2009","Currency=USD","Period=FQ","BEST_FPERIOD_OVERRIDE=FQ","FILING_STATUS=OR","Sort=A","Dates=H","DateFormat=P","Fill=—","Direction=H","UseDPDF=Y")</f>
        <v>1.3092999999999999</v>
      </c>
      <c r="F89" s="14">
        <f>_xll.BDH("XOM US Equity","CUR_RATIO","FQ2 2009","FQ2 2009","Currency=USD","Period=FQ","BEST_FPERIOD_OVERRIDE=FQ","FILING_STATUS=OR","Sort=A","Dates=H","DateFormat=P","Fill=—","Direction=H","UseDPDF=Y")</f>
        <v>1.1527000000000001</v>
      </c>
      <c r="G89" s="14">
        <f>_xll.BDH("XOM US Equity","CUR_RATIO","FQ3 2009","FQ3 2009","Currency=USD","Period=FQ","BEST_FPERIOD_OVERRIDE=FQ","FILING_STATUS=OR","Sort=A","Dates=H","DateFormat=P","Fill=—","Direction=H","UseDPDF=Y")</f>
        <v>1.083</v>
      </c>
      <c r="H89" s="14">
        <f>_xll.BDH("XOM US Equity","CUR_RATIO","FQ4 2009","FQ4 2009","Currency=USD","Period=FQ","BEST_FPERIOD_OVERRIDE=FQ","FILING_STATUS=OR","Sort=A","Dates=H","DateFormat=P","Fill=—","Direction=H","UseDPDF=Y")</f>
        <v>1.0609999999999999</v>
      </c>
      <c r="I89" s="14">
        <f>_xll.BDH("XOM US Equity","CUR_RATIO","FQ1 2010","FQ1 2010","Currency=USD","Period=FQ","BEST_FPERIOD_OVERRIDE=FQ","FILING_STATUS=OR","Sort=A","Dates=H","DateFormat=P","Fill=—","Direction=H","UseDPDF=Y")</f>
        <v>1.0684</v>
      </c>
      <c r="J89" s="14">
        <f>_xll.BDH("XOM US Equity","CUR_RATIO","FQ2 2010","FQ2 2010","Currency=USD","Period=FQ","BEST_FPERIOD_OVERRIDE=FQ","FILING_STATUS=OR","Sort=A","Dates=H","DateFormat=P","Fill=—","Direction=H","UseDPDF=Y")</f>
        <v>1.0760000000000001</v>
      </c>
      <c r="K89" s="14">
        <f>_xll.BDH("XOM US Equity","CUR_RATIO","FQ3 2010","FQ3 2010","Currency=USD","Period=FQ","BEST_FPERIOD_OVERRIDE=FQ","FILING_STATUS=OR","Sort=A","Dates=H","DateFormat=P","Fill=—","Direction=H","UseDPDF=Y")</f>
        <v>1.0145</v>
      </c>
      <c r="L89" s="14">
        <f>_xll.BDH("XOM US Equity","CUR_RATIO","FQ4 2010","FQ4 2010","Currency=USD","Period=FQ","BEST_FPERIOD_OVERRIDE=FQ","FILING_STATUS=OR","Sort=A","Dates=H","DateFormat=P","Fill=—","Direction=H","UseDPDF=Y")</f>
        <v>0.94169999999999998</v>
      </c>
      <c r="M89" s="14">
        <f>_xll.BDH("XOM US Equity","CUR_RATIO","FQ1 2011","FQ1 2011","Currency=USD","Period=FQ","BEST_FPERIOD_OVERRIDE=FQ","FILING_STATUS=OR","Sort=A","Dates=H","DateFormat=P","Fill=—","Direction=H","UseDPDF=Y")</f>
        <v>0.97889999999999999</v>
      </c>
      <c r="N89" s="14">
        <f>_xll.BDH("XOM US Equity","CUR_RATIO","FQ2 2011","FQ2 2011","Currency=USD","Period=FQ","BEST_FPERIOD_OVERRIDE=FQ","FILING_STATUS=OR","Sort=A","Dates=H","DateFormat=P","Fill=—","Direction=H","UseDPDF=Y")</f>
        <v>0.97009999999999996</v>
      </c>
      <c r="O89" s="14">
        <f>_xll.BDH("XOM US Equity","CUR_RATIO","FQ3 2011","FQ3 2011","Currency=USD","Period=FQ","BEST_FPERIOD_OVERRIDE=FQ","FILING_STATUS=OR","Sort=A","Dates=H","DateFormat=P","Fill=—","Direction=H","UseDPDF=Y")</f>
        <v>0.9254</v>
      </c>
      <c r="P89" s="14">
        <f>_xll.BDH("XOM US Equity","CUR_RATIO","FQ4 2011","FQ4 2011","Currency=USD","Period=FQ","BEST_FPERIOD_OVERRIDE=FQ","FILING_STATUS=OR","Sort=A","Dates=H","DateFormat=P","Fill=—","Direction=H","UseDPDF=Y")</f>
        <v>0.94140000000000001</v>
      </c>
      <c r="Q89" s="14">
        <f>_xll.BDH("XOM US Equity","CUR_RATIO","FQ1 2012","FQ1 2012","Currency=USD","Period=FQ","BEST_FPERIOD_OVERRIDE=FQ","FILING_STATUS=OR","Sort=A","Dates=H","DateFormat=P","Fill=—","Direction=H","UseDPDF=Y")</f>
        <v>0.95209999999999995</v>
      </c>
      <c r="R89" s="14">
        <f>_xll.BDH("XOM US Equity","CUR_RATIO","FQ2 2012","FQ2 2012","Currency=USD","Period=FQ","BEST_FPERIOD_OVERRIDE=FQ","FILING_STATUS=OR","Sort=A","Dates=H","DateFormat=P","Fill=—","Direction=H","UseDPDF=Y")</f>
        <v>1.0379</v>
      </c>
      <c r="S89" s="14">
        <f>_xll.BDH("XOM US Equity","CUR_RATIO","FQ3 2012","FQ3 2012","Currency=USD","Period=FQ","BEST_FPERIOD_OVERRIDE=FQ","FILING_STATUS=OR","Sort=A","Dates=H","DateFormat=P","Fill=—","Direction=H","UseDPDF=Y")</f>
        <v>1.0296000000000001</v>
      </c>
      <c r="T89" s="14">
        <f>_xll.BDH("XOM US Equity","CUR_RATIO","FQ4 2012","FQ4 2012","Currency=USD","Period=FQ","BEST_FPERIOD_OVERRIDE=FQ","FILING_STATUS=OR","Sort=A","Dates=H","DateFormat=P","Fill=—","Direction=H","UseDPDF=Y")</f>
        <v>1.0049999999999999</v>
      </c>
      <c r="U89" s="14">
        <f>_xll.BDH("XOM US Equity","CUR_RATIO","FQ1 2013","FQ1 2013","Currency=USD","Period=FQ","BEST_FPERIOD_OVERRIDE=FQ","FILING_STATUS=OR","Sort=A","Dates=H","DateFormat=P","Fill=—","Direction=H","UseDPDF=Y")</f>
        <v>0.8931</v>
      </c>
      <c r="V89" s="14">
        <f>_xll.BDH("XOM US Equity","CUR_RATIO","FQ2 2013","FQ2 2013","Currency=USD","Period=FQ","BEST_FPERIOD_OVERRIDE=FQ","FILING_STATUS=OR","Sort=A","Dates=H","DateFormat=P","Fill=—","Direction=H","UseDPDF=Y")</f>
        <v>0.86460000000000004</v>
      </c>
      <c r="W89" s="14">
        <f>_xll.BDH("XOM US Equity","CUR_RATIO","FQ3 2013","FQ3 2013","Currency=USD","Period=FQ","BEST_FPERIOD_OVERRIDE=FQ","FILING_STATUS=OR","Sort=A","Dates=H","DateFormat=P","Fill=—","Direction=H","UseDPDF=Y")</f>
        <v>0.8427</v>
      </c>
      <c r="X89" s="14">
        <f>_xll.BDH("XOM US Equity","CUR_RATIO","FQ4 2013","FQ4 2013","Currency=USD","Period=FQ","BEST_FPERIOD_OVERRIDE=FQ","FILING_STATUS=OR","Sort=A","Dates=H","DateFormat=P","Fill=—","Direction=H","UseDPDF=Y")</f>
        <v>0.82689999999999997</v>
      </c>
      <c r="Y89" s="14">
        <f>_xll.BDH("XOM US Equity","CUR_RATIO","FQ1 2014","FQ1 2014","Currency=USD","Period=FQ","BEST_FPERIOD_OVERRIDE=FQ","FILING_STATUS=OR","Sort=A","Dates=H","DateFormat=P","Fill=—","Direction=H","UseDPDF=Y")</f>
        <v>0.88239999999999996</v>
      </c>
      <c r="Z89" s="14">
        <f>_xll.BDH("XOM US Equity","CUR_RATIO","FQ2 2014","FQ2 2014","Currency=USD","Period=FQ","BEST_FPERIOD_OVERRIDE=FQ","FILING_STATUS=OR","Sort=A","Dates=H","DateFormat=P","Fill=—","Direction=H","UseDPDF=Y")</f>
        <v>0.92069999999999996</v>
      </c>
      <c r="AA89" s="14">
        <f>_xll.BDH("XOM US Equity","CUR_RATIO","FQ3 2014","FQ3 2014","Currency=USD","Period=FQ","BEST_FPERIOD_OVERRIDE=FQ","FILING_STATUS=OR","Sort=A","Dates=H","DateFormat=P","Fill=—","Direction=H","UseDPDF=Y")</f>
        <v>0.88800000000000001</v>
      </c>
      <c r="AB89" s="14">
        <f>_xll.BDH("XOM US Equity","CUR_RATIO","FQ4 2014","FQ4 2014","Currency=USD","Period=FQ","BEST_FPERIOD_OVERRIDE=FQ","FILING_STATUS=OR","Sort=A","Dates=H","DateFormat=P","Fill=—","Direction=H","UseDPDF=Y")</f>
        <v>0.81859999999999999</v>
      </c>
      <c r="AC89" s="14">
        <f>_xll.BDH("XOM US Equity","CUR_RATIO","FQ1 2015","FQ1 2015","Currency=USD","Period=FQ","BEST_FPERIOD_OVERRIDE=FQ","FILING_STATUS=OR","Sort=A","Dates=H","DateFormat=P","Fill=—","Direction=H","UseDPDF=Y")</f>
        <v>0.90569999999999995</v>
      </c>
      <c r="AD89" s="14">
        <f>_xll.BDH("XOM US Equity","CUR_RATIO","FQ2 2015","FQ2 2015","Currency=USD","Period=FQ","BEST_FPERIOD_OVERRIDE=FQ","FILING_STATUS=OR","Sort=A","Dates=H","DateFormat=P","Fill=—","Direction=H","UseDPDF=Y")</f>
        <v>0.88480000000000003</v>
      </c>
      <c r="AE89" s="14">
        <f>_xll.BDH("XOM US Equity","CUR_RATIO","FQ3 2015","FQ3 2015","Currency=USD","Period=FQ","BEST_FPERIOD_OVERRIDE=FQ","FILING_STATUS=OR","Sort=A","Dates=H","DateFormat=P","Fill=—","Direction=H","UseDPDF=Y")</f>
        <v>0.86150000000000004</v>
      </c>
      <c r="AF89" s="14">
        <f>_xll.BDH("XOM US Equity","CUR_RATIO","FQ4 2015","FQ4 2015","Currency=USD","Period=FQ","BEST_FPERIOD_OVERRIDE=FQ","FILING_STATUS=OR","Sort=A","Dates=H","DateFormat=P","Fill=—","Direction=H","UseDPDF=Y")</f>
        <v>0.78969999999999996</v>
      </c>
      <c r="AG89" s="14">
        <f>_xll.BDH("XOM US Equity","CUR_RATIO","FQ1 2016","FQ1 2016","Currency=USD","Period=FQ","BEST_FPERIOD_OVERRIDE=FQ","FILING_STATUS=OR","Sort=A","Dates=H","DateFormat=P","Fill=—","Direction=H","UseDPDF=Y")</f>
        <v>0.90820000000000001</v>
      </c>
      <c r="AH89" s="14">
        <f>_xll.BDH("XOM US Equity","CUR_RATIO","FQ2 2016","FQ2 2016","Currency=USD","Period=FQ","BEST_FPERIOD_OVERRIDE=FQ","FILING_STATUS=OR","Sort=A","Dates=H","DateFormat=P","Fill=—","Direction=H","UseDPDF=Y")</f>
        <v>0.88980000000000004</v>
      </c>
      <c r="AI89" s="14">
        <f>_xll.BDH("XOM US Equity","CUR_RATIO","FQ3 2016","FQ3 2016","Currency=USD","Period=FQ","BEST_FPERIOD_OVERRIDE=FQ","FILING_STATUS=OR","Sort=A","Dates=H","DateFormat=P","Fill=—","Direction=H","UseDPDF=Y")</f>
        <v>0.85850000000000004</v>
      </c>
      <c r="AJ89" s="14">
        <f>_xll.BDH("XOM US Equity","CUR_RATIO","FQ4 2016","FQ4 2016","Currency=USD","Period=FQ","BEST_FPERIOD_OVERRIDE=FQ","FILING_STATUS=OR","Sort=A","Dates=H","DateFormat=P","Fill=—","Direction=H","UseDPDF=Y")</f>
        <v>0.86939999999999995</v>
      </c>
      <c r="AK89" s="14">
        <f>_xll.BDH("XOM US Equity","CUR_RATIO","FQ1 2017","FQ1 2017","Currency=USD","Period=FQ","BEST_FPERIOD_OVERRIDE=FQ","FILING_STATUS=OR","Sort=A","Dates=H","DateFormat=P","Fill=—","Direction=H","UseDPDF=Y")</f>
        <v>0.80810000000000004</v>
      </c>
      <c r="AL89" s="14">
        <f>_xll.BDH("XOM US Equity","CUR_RATIO","FQ2 2017","FQ2 2017","Currency=USD","Period=FQ","BEST_FPERIOD_OVERRIDE=FQ","FILING_STATUS=OR","Sort=A","Dates=H","DateFormat=P","Fill=—","Direction=H","UseDPDF=Y")</f>
        <v>0.82789999999999997</v>
      </c>
      <c r="AM89" s="14">
        <f>_xll.BDH("XOM US Equity","CUR_RATIO","FQ3 2017","FQ3 2017","Currency=USD","Period=FQ","BEST_FPERIOD_OVERRIDE=FQ","FILING_STATUS=OR","Sort=A","Dates=H","DateFormat=P","Fill=—","Direction=H","UseDPDF=Y")</f>
        <v>0.8508</v>
      </c>
      <c r="AN89" s="14">
        <f>_xll.BDH("XOM US Equity","CUR_RATIO","FQ4 2017","FQ4 2017","Currency=USD","Period=FQ","BEST_FPERIOD_OVERRIDE=FQ","FILING_STATUS=OR","Sort=A","Dates=H","DateFormat=P","Fill=—","Direction=H","UseDPDF=Y")</f>
        <v>0.81589999999999996</v>
      </c>
      <c r="AO89" s="14">
        <f>_xll.BDH("XOM US Equity","CUR_RATIO","FQ1 2018","FQ1 2018","Currency=USD","Period=FQ","BEST_FPERIOD_OVERRIDE=FQ","FILING_STATUS=OR","Sort=A","Dates=H","DateFormat=P","Fill=—","Direction=H","UseDPDF=Y")</f>
        <v>0.80120000000000002</v>
      </c>
      <c r="AP89" s="14">
        <f>_xll.BDH("XOM US Equity","CUR_RATIO","FQ2 2018","FQ2 2018","Currency=USD","Period=FQ","BEST_FPERIOD_OVERRIDE=FQ","FILING_STATUS=OR","Sort=A","Dates=H","DateFormat=P","Fill=—","Direction=H","UseDPDF=Y")</f>
        <v>0.80959999999999999</v>
      </c>
    </row>
    <row r="90" spans="1:42" x14ac:dyDescent="0.25">
      <c r="A90" s="10" t="s">
        <v>357</v>
      </c>
      <c r="B90" s="10" t="s">
        <v>358</v>
      </c>
      <c r="C90" s="14">
        <f>_xll.BDH("XOM US Equity","CASH_CONVERSION_CYCLE","FQ3 2008","FQ3 2008","Currency=USD","Period=FQ","BEST_FPERIOD_OVERRIDE=FQ","FILING_STATUS=OR","FA_ADJUSTED=GAAP","Sort=A","Dates=H","DateFormat=P","Fill=—","Direction=H","UseDPDF=Y")</f>
        <v>-4.5344999999999995</v>
      </c>
      <c r="D90" s="14">
        <f>_xll.BDH("XOM US Equity","CASH_CONVERSION_CYCLE","FQ4 2008","FQ4 2008","Currency=USD","Period=FQ","BEST_FPERIOD_OVERRIDE=FQ","FILING_STATUS=OR","FA_ADJUSTED=GAAP","Sort=A","Dates=H","DateFormat=P","Fill=—","Direction=H","UseDPDF=Y")</f>
        <v>2.9483000000000001</v>
      </c>
      <c r="E90" s="14" t="str">
        <f>_xll.BDH("XOM US Equity","CASH_CONVERSION_CYCLE","FQ1 2009","FQ1 2009","Currency=USD","Period=FQ","BEST_FPERIOD_OVERRIDE=FQ","FILING_STATUS=OR","FA_ADJUSTED=GAAP","Sort=A","Dates=H","DateFormat=P","Fill=—","Direction=H","UseDPDF=Y")</f>
        <v>—</v>
      </c>
      <c r="F90" s="14" t="str">
        <f>_xll.BDH("XOM US Equity","CASH_CONVERSION_CYCLE","FQ2 2009","FQ2 2009","Currency=USD","Period=FQ","BEST_FPERIOD_OVERRIDE=FQ","FILING_STATUS=OR","FA_ADJUSTED=GAAP","Sort=A","Dates=H","DateFormat=P","Fill=—","Direction=H","UseDPDF=Y")</f>
        <v>—</v>
      </c>
      <c r="G90" s="14" t="str">
        <f>_xll.BDH("XOM US Equity","CASH_CONVERSION_CYCLE","FQ3 2009","FQ3 2009","Currency=USD","Period=FQ","BEST_FPERIOD_OVERRIDE=FQ","FILING_STATUS=OR","FA_ADJUSTED=GAAP","Sort=A","Dates=H","DateFormat=P","Fill=—","Direction=H","UseDPDF=Y")</f>
        <v>—</v>
      </c>
      <c r="H90" s="14">
        <f>_xll.BDH("XOM US Equity","CASH_CONVERSION_CYCLE","FQ4 2009","FQ4 2009","Currency=USD","Period=FQ","BEST_FPERIOD_OVERRIDE=FQ","FILING_STATUS=OR","FA_ADJUSTED=GAAP","Sort=A","Dates=H","DateFormat=P","Fill=—","Direction=H","UseDPDF=Y")</f>
        <v>13.2418</v>
      </c>
      <c r="I90" s="14" t="str">
        <f>_xll.BDH("XOM US Equity","CASH_CONVERSION_CYCLE","FQ1 2010","FQ1 2010","Currency=USD","Period=FQ","BEST_FPERIOD_OVERRIDE=FQ","FILING_STATUS=OR","FA_ADJUSTED=GAAP","Sort=A","Dates=H","DateFormat=P","Fill=—","Direction=H","UseDPDF=Y")</f>
        <v>—</v>
      </c>
      <c r="J90" s="14" t="str">
        <f>_xll.BDH("XOM US Equity","CASH_CONVERSION_CYCLE","FQ2 2010","FQ2 2010","Currency=USD","Period=FQ","BEST_FPERIOD_OVERRIDE=FQ","FILING_STATUS=OR","FA_ADJUSTED=GAAP","Sort=A","Dates=H","DateFormat=P","Fill=—","Direction=H","UseDPDF=Y")</f>
        <v>—</v>
      </c>
      <c r="K90" s="14" t="str">
        <f>_xll.BDH("XOM US Equity","CASH_CONVERSION_CYCLE","FQ3 2010","FQ3 2010","Currency=USD","Period=FQ","BEST_FPERIOD_OVERRIDE=FQ","FILING_STATUS=OR","FA_ADJUSTED=GAAP","Sort=A","Dates=H","DateFormat=P","Fill=—","Direction=H","UseDPDF=Y")</f>
        <v>—</v>
      </c>
      <c r="L90" s="14">
        <f>_xll.BDH("XOM US Equity","CASH_CONVERSION_CYCLE","FQ4 2010","FQ4 2010","Currency=USD","Period=FQ","BEST_FPERIOD_OVERRIDE=FQ","FILING_STATUS=OR","FA_ADJUSTED=GAAP","Sort=A","Dates=H","DateFormat=P","Fill=—","Direction=H","UseDPDF=Y")</f>
        <v>12.646800000000001</v>
      </c>
      <c r="M90" s="14" t="str">
        <f>_xll.BDH("XOM US Equity","CASH_CONVERSION_CYCLE","FQ1 2011","FQ1 2011","Currency=USD","Period=FQ","BEST_FPERIOD_OVERRIDE=FQ","FILING_STATUS=OR","FA_ADJUSTED=GAAP","Sort=A","Dates=H","DateFormat=P","Fill=—","Direction=H","UseDPDF=Y")</f>
        <v>—</v>
      </c>
      <c r="N90" s="14" t="str">
        <f>_xll.BDH("XOM US Equity","CASH_CONVERSION_CYCLE","FQ2 2011","FQ2 2011","Currency=USD","Period=FQ","BEST_FPERIOD_OVERRIDE=FQ","FILING_STATUS=OR","FA_ADJUSTED=GAAP","Sort=A","Dates=H","DateFormat=P","Fill=—","Direction=H","UseDPDF=Y")</f>
        <v>—</v>
      </c>
      <c r="O90" s="14" t="str">
        <f>_xll.BDH("XOM US Equity","CASH_CONVERSION_CYCLE","FQ3 2011","FQ3 2011","Currency=USD","Period=FQ","BEST_FPERIOD_OVERRIDE=FQ","FILING_STATUS=OR","FA_ADJUSTED=GAAP","Sort=A","Dates=H","DateFormat=P","Fill=—","Direction=H","UseDPDF=Y")</f>
        <v>—</v>
      </c>
      <c r="P90" s="14">
        <f>_xll.BDH("XOM US Equity","CASH_CONVERSION_CYCLE","FQ4 2011","FQ4 2011","Currency=USD","Period=FQ","BEST_FPERIOD_OVERRIDE=FQ","FILING_STATUS=OR","FA_ADJUSTED=GAAP","Sort=A","Dates=H","DateFormat=P","Fill=—","Direction=H","UseDPDF=Y")</f>
        <v>11.532299999999999</v>
      </c>
      <c r="Q90" s="14" t="str">
        <f>_xll.BDH("XOM US Equity","CASH_CONVERSION_CYCLE","FQ1 2012","FQ1 2012","Currency=USD","Period=FQ","BEST_FPERIOD_OVERRIDE=FQ","FILING_STATUS=OR","FA_ADJUSTED=GAAP","Sort=A","Dates=H","DateFormat=P","Fill=—","Direction=H","UseDPDF=Y")</f>
        <v>—</v>
      </c>
      <c r="R90" s="14" t="str">
        <f>_xll.BDH("XOM US Equity","CASH_CONVERSION_CYCLE","FQ2 2012","FQ2 2012","Currency=USD","Period=FQ","BEST_FPERIOD_OVERRIDE=FQ","FILING_STATUS=OR","FA_ADJUSTED=GAAP","Sort=A","Dates=H","DateFormat=P","Fill=—","Direction=H","UseDPDF=Y")</f>
        <v>—</v>
      </c>
      <c r="S90" s="14" t="str">
        <f>_xll.BDH("XOM US Equity","CASH_CONVERSION_CYCLE","FQ3 2012","FQ3 2012","Currency=USD","Period=FQ","BEST_FPERIOD_OVERRIDE=FQ","FILING_STATUS=OR","FA_ADJUSTED=GAAP","Sort=A","Dates=H","DateFormat=P","Fill=—","Direction=H","UseDPDF=Y")</f>
        <v>—</v>
      </c>
      <c r="T90" s="14">
        <f>_xll.BDH("XOM US Equity","CASH_CONVERSION_CYCLE","FQ4 2012","FQ4 2012","Currency=USD","Period=FQ","BEST_FPERIOD_OVERRIDE=FQ","FILING_STATUS=OR","FA_ADJUSTED=GAAP","Sort=A","Dates=H","DateFormat=P","Fill=—","Direction=H","UseDPDF=Y")</f>
        <v>12.3193</v>
      </c>
      <c r="U90" s="14" t="str">
        <f>_xll.BDH("XOM US Equity","CASH_CONVERSION_CYCLE","FQ1 2013","FQ1 2013","Currency=USD","Period=FQ","BEST_FPERIOD_OVERRIDE=FQ","FILING_STATUS=OR","FA_ADJUSTED=GAAP","Sort=A","Dates=H","DateFormat=P","Fill=—","Direction=H","UseDPDF=Y")</f>
        <v>—</v>
      </c>
      <c r="V90" s="14" t="str">
        <f>_xll.BDH("XOM US Equity","CASH_CONVERSION_CYCLE","FQ2 2013","FQ2 2013","Currency=USD","Period=FQ","BEST_FPERIOD_OVERRIDE=FQ","FILING_STATUS=OR","FA_ADJUSTED=GAAP","Sort=A","Dates=H","DateFormat=P","Fill=—","Direction=H","UseDPDF=Y")</f>
        <v>—</v>
      </c>
      <c r="W90" s="14" t="str">
        <f>_xll.BDH("XOM US Equity","CASH_CONVERSION_CYCLE","FQ3 2013","FQ3 2013","Currency=USD","Period=FQ","BEST_FPERIOD_OVERRIDE=FQ","FILING_STATUS=OR","FA_ADJUSTED=GAAP","Sort=A","Dates=H","DateFormat=P","Fill=—","Direction=H","UseDPDF=Y")</f>
        <v>—</v>
      </c>
      <c r="X90" s="14">
        <f>_xll.BDH("XOM US Equity","CASH_CONVERSION_CYCLE","FQ4 2013","FQ4 2013","Currency=USD","Period=FQ","BEST_FPERIOD_OVERRIDE=FQ","FILING_STATUS=OR","FA_ADJUSTED=GAAP","Sort=A","Dates=H","DateFormat=P","Fill=—","Direction=H","UseDPDF=Y")</f>
        <v>13.485200000000001</v>
      </c>
      <c r="Y90" s="14" t="str">
        <f>_xll.BDH("XOM US Equity","CASH_CONVERSION_CYCLE","FQ1 2014","FQ1 2014","Currency=USD","Period=FQ","BEST_FPERIOD_OVERRIDE=FQ","FILING_STATUS=OR","FA_ADJUSTED=GAAP","Sort=A","Dates=H","DateFormat=P","Fill=—","Direction=H","UseDPDF=Y")</f>
        <v>—</v>
      </c>
      <c r="Z90" s="14" t="str">
        <f>_xll.BDH("XOM US Equity","CASH_CONVERSION_CYCLE","FQ2 2014","FQ2 2014","Currency=USD","Period=FQ","BEST_FPERIOD_OVERRIDE=FQ","FILING_STATUS=OR","FA_ADJUSTED=GAAP","Sort=A","Dates=H","DateFormat=P","Fill=—","Direction=H","UseDPDF=Y")</f>
        <v>—</v>
      </c>
      <c r="AA90" s="14" t="str">
        <f>_xll.BDH("XOM US Equity","CASH_CONVERSION_CYCLE","FQ3 2014","FQ3 2014","Currency=USD","Period=FQ","BEST_FPERIOD_OVERRIDE=FQ","FILING_STATUS=OR","FA_ADJUSTED=GAAP","Sort=A","Dates=H","DateFormat=P","Fill=—","Direction=H","UseDPDF=Y")</f>
        <v>—</v>
      </c>
      <c r="AB90" s="14">
        <f>_xll.BDH("XOM US Equity","CASH_CONVERSION_CYCLE","FQ4 2014","FQ4 2014","Currency=USD","Period=FQ","BEST_FPERIOD_OVERRIDE=FQ","FILING_STATUS=OR","FA_ADJUSTED=GAAP","Sort=A","Dates=H","DateFormat=P","Fill=—","Direction=H","UseDPDF=Y")</f>
        <v>17.215399999999999</v>
      </c>
      <c r="AC90" s="14" t="str">
        <f>_xll.BDH("XOM US Equity","CASH_CONVERSION_CYCLE","FQ1 2015","FQ1 2015","Currency=USD","Period=FQ","BEST_FPERIOD_OVERRIDE=FQ","FILING_STATUS=OR","FA_ADJUSTED=GAAP","Sort=A","Dates=H","DateFormat=P","Fill=—","Direction=H","UseDPDF=Y")</f>
        <v>—</v>
      </c>
      <c r="AD90" s="14" t="str">
        <f>_xll.BDH("XOM US Equity","CASH_CONVERSION_CYCLE","FQ2 2015","FQ2 2015","Currency=USD","Period=FQ","BEST_FPERIOD_OVERRIDE=FQ","FILING_STATUS=OR","FA_ADJUSTED=GAAP","Sort=A","Dates=H","DateFormat=P","Fill=—","Direction=H","UseDPDF=Y")</f>
        <v>—</v>
      </c>
      <c r="AE90" s="14" t="str">
        <f>_xll.BDH("XOM US Equity","CASH_CONVERSION_CYCLE","FQ3 2015","FQ3 2015","Currency=USD","Period=FQ","BEST_FPERIOD_OVERRIDE=FQ","FILING_STATUS=OR","FA_ADJUSTED=GAAP","Sort=A","Dates=H","DateFormat=P","Fill=—","Direction=H","UseDPDF=Y")</f>
        <v>—</v>
      </c>
      <c r="AF90" s="14">
        <f>_xll.BDH("XOM US Equity","CASH_CONVERSION_CYCLE","FQ4 2015","FQ4 2015","Currency=USD","Period=FQ","BEST_FPERIOD_OVERRIDE=FQ","FILING_STATUS=OR","FA_ADJUSTED=GAAP","Sort=A","Dates=H","DateFormat=P","Fill=—","Direction=H","UseDPDF=Y")</f>
        <v>27.793700000000001</v>
      </c>
      <c r="AG90" s="14" t="str">
        <f>_xll.BDH("XOM US Equity","CASH_CONVERSION_CYCLE","FQ1 2016","FQ1 2016","Currency=USD","Period=FQ","BEST_FPERIOD_OVERRIDE=FQ","FILING_STATUS=OR","FA_ADJUSTED=GAAP","Sort=A","Dates=H","DateFormat=P","Fill=—","Direction=H","UseDPDF=Y")</f>
        <v>—</v>
      </c>
      <c r="AH90" s="14" t="str">
        <f>_xll.BDH("XOM US Equity","CASH_CONVERSION_CYCLE","FQ2 2016","FQ2 2016","Currency=USD","Period=FQ","BEST_FPERIOD_OVERRIDE=FQ","FILING_STATUS=OR","FA_ADJUSTED=GAAP","Sort=A","Dates=H","DateFormat=P","Fill=—","Direction=H","UseDPDF=Y")</f>
        <v>—</v>
      </c>
      <c r="AI90" s="14" t="str">
        <f>_xll.BDH("XOM US Equity","CASH_CONVERSION_CYCLE","FQ3 2016","FQ3 2016","Currency=USD","Period=FQ","BEST_FPERIOD_OVERRIDE=FQ","FILING_STATUS=OR","FA_ADJUSTED=GAAP","Sort=A","Dates=H","DateFormat=P","Fill=—","Direction=H","UseDPDF=Y")</f>
        <v>—</v>
      </c>
      <c r="AJ90" s="14">
        <f>_xll.BDH("XOM US Equity","CASH_CONVERSION_CYCLE","FQ4 2016","FQ4 2016","Currency=USD","Period=FQ","BEST_FPERIOD_OVERRIDE=FQ","FILING_STATUS=OR","FA_ADJUSTED=GAAP","Sort=A","Dates=H","DateFormat=P","Fill=—","Direction=H","UseDPDF=Y")</f>
        <v>33.491599999999998</v>
      </c>
      <c r="AK90" s="14" t="str">
        <f>_xll.BDH("XOM US Equity","CASH_CONVERSION_CYCLE","FQ1 2017","FQ1 2017","Currency=USD","Period=FQ","BEST_FPERIOD_OVERRIDE=FQ","FILING_STATUS=OR","FA_ADJUSTED=GAAP","Sort=A","Dates=H","DateFormat=P","Fill=—","Direction=H","UseDPDF=Y")</f>
        <v>—</v>
      </c>
      <c r="AL90" s="14" t="str">
        <f>_xll.BDH("XOM US Equity","CASH_CONVERSION_CYCLE","FQ2 2017","FQ2 2017","Currency=USD","Period=FQ","BEST_FPERIOD_OVERRIDE=FQ","FILING_STATUS=OR","FA_ADJUSTED=GAAP","Sort=A","Dates=H","DateFormat=P","Fill=—","Direction=H","UseDPDF=Y")</f>
        <v>—</v>
      </c>
      <c r="AM90" s="14" t="str">
        <f>_xll.BDH("XOM US Equity","CASH_CONVERSION_CYCLE","FQ3 2017","FQ3 2017","Currency=USD","Period=FQ","BEST_FPERIOD_OVERRIDE=FQ","FILING_STATUS=OR","FA_ADJUSTED=GAAP","Sort=A","Dates=H","DateFormat=P","Fill=—","Direction=H","UseDPDF=Y")</f>
        <v>—</v>
      </c>
      <c r="AN90" s="14">
        <f>_xll.BDH("XOM US Equity","CASH_CONVERSION_CYCLE","FQ4 2017","FQ4 2017","Currency=USD","Period=FQ","BEST_FPERIOD_OVERRIDE=FQ","FILING_STATUS=OR","FA_ADJUSTED=GAAP","Sort=A","Dates=H","DateFormat=P","Fill=—","Direction=H","UseDPDF=Y")</f>
        <v>30.040099999999999</v>
      </c>
      <c r="AO90" s="14" t="str">
        <f>_xll.BDH("XOM US Equity","CASH_CONVERSION_CYCLE","FQ1 2018","FQ1 2018","Currency=USD","Period=FQ","BEST_FPERIOD_OVERRIDE=FQ","FILING_STATUS=OR","FA_ADJUSTED=GAAP","Sort=A","Dates=H","DateFormat=P","Fill=—","Direction=H","UseDPDF=Y")</f>
        <v>—</v>
      </c>
      <c r="AP90" s="14" t="str">
        <f>_xll.BDH("XOM US Equity","CASH_CONVERSION_CYCLE","FQ2 2018","FQ2 2018","Currency=USD","Period=FQ","BEST_FPERIOD_OVERRIDE=FQ","FILING_STATUS=OR","FA_ADJUSTED=GAAP","Sort=A","Dates=H","DateFormat=P","Fill=—","Direction=H","UseDPDF=Y")</f>
        <v>—</v>
      </c>
    </row>
    <row r="91" spans="1:42" x14ac:dyDescent="0.25">
      <c r="A91" s="10" t="s">
        <v>359</v>
      </c>
      <c r="B91" s="10" t="s">
        <v>360</v>
      </c>
      <c r="C91" s="14" t="str">
        <f>_xll.BDH("XOM US Equity","NUM_OF_EMPLOYEES","FQ3 2008","FQ3 2008","Currency=USD","Period=FQ","BEST_FPERIOD_OVERRIDE=FQ","FILING_STATUS=OR","Sort=A","Dates=H","DateFormat=P","Fill=—","Direction=H","UseDPDF=Y")</f>
        <v>—</v>
      </c>
      <c r="D91" s="14">
        <f>_xll.BDH("XOM US Equity","NUM_OF_EMPLOYEES","FQ4 2008","FQ4 2008","Currency=USD","Period=FQ","BEST_FPERIOD_OVERRIDE=FQ","FILING_STATUS=OR","Sort=A","Dates=H","DateFormat=P","Fill=—","Direction=H","UseDPDF=Y")</f>
        <v>79900</v>
      </c>
      <c r="E91" s="14" t="str">
        <f>_xll.BDH("XOM US Equity","NUM_OF_EMPLOYEES","FQ1 2009","FQ1 2009","Currency=USD","Period=FQ","BEST_FPERIOD_OVERRIDE=FQ","FILING_STATUS=OR","Sort=A","Dates=H","DateFormat=P","Fill=—","Direction=H","UseDPDF=Y")</f>
        <v>—</v>
      </c>
      <c r="F91" s="14" t="str">
        <f>_xll.BDH("XOM US Equity","NUM_OF_EMPLOYEES","FQ2 2009","FQ2 2009","Currency=USD","Period=FQ","BEST_FPERIOD_OVERRIDE=FQ","FILING_STATUS=OR","Sort=A","Dates=H","DateFormat=P","Fill=—","Direction=H","UseDPDF=Y")</f>
        <v>—</v>
      </c>
      <c r="G91" s="14" t="str">
        <f>_xll.BDH("XOM US Equity","NUM_OF_EMPLOYEES","FQ3 2009","FQ3 2009","Currency=USD","Period=FQ","BEST_FPERIOD_OVERRIDE=FQ","FILING_STATUS=OR","Sort=A","Dates=H","DateFormat=P","Fill=—","Direction=H","UseDPDF=Y")</f>
        <v>—</v>
      </c>
      <c r="H91" s="14">
        <f>_xll.BDH("XOM US Equity","NUM_OF_EMPLOYEES","FQ4 2009","FQ4 2009","Currency=USD","Period=FQ","BEST_FPERIOD_OVERRIDE=FQ","FILING_STATUS=OR","Sort=A","Dates=H","DateFormat=P","Fill=—","Direction=H","UseDPDF=Y")</f>
        <v>80700</v>
      </c>
      <c r="I91" s="14" t="str">
        <f>_xll.BDH("XOM US Equity","NUM_OF_EMPLOYEES","FQ1 2010","FQ1 2010","Currency=USD","Period=FQ","BEST_FPERIOD_OVERRIDE=FQ","FILING_STATUS=OR","Sort=A","Dates=H","DateFormat=P","Fill=—","Direction=H","UseDPDF=Y")</f>
        <v>—</v>
      </c>
      <c r="J91" s="14" t="str">
        <f>_xll.BDH("XOM US Equity","NUM_OF_EMPLOYEES","FQ2 2010","FQ2 2010","Currency=USD","Period=FQ","BEST_FPERIOD_OVERRIDE=FQ","FILING_STATUS=OR","Sort=A","Dates=H","DateFormat=P","Fill=—","Direction=H","UseDPDF=Y")</f>
        <v>—</v>
      </c>
      <c r="K91" s="14" t="str">
        <f>_xll.BDH("XOM US Equity","NUM_OF_EMPLOYEES","FQ3 2010","FQ3 2010","Currency=USD","Period=FQ","BEST_FPERIOD_OVERRIDE=FQ","FILING_STATUS=OR","Sort=A","Dates=H","DateFormat=P","Fill=—","Direction=H","UseDPDF=Y")</f>
        <v>—</v>
      </c>
      <c r="L91" s="14">
        <f>_xll.BDH("XOM US Equity","NUM_OF_EMPLOYEES","FQ4 2010","FQ4 2010","Currency=USD","Period=FQ","BEST_FPERIOD_OVERRIDE=FQ","FILING_STATUS=OR","Sort=A","Dates=H","DateFormat=P","Fill=—","Direction=H","UseDPDF=Y")</f>
        <v>83600</v>
      </c>
      <c r="M91" s="14" t="str">
        <f>_xll.BDH("XOM US Equity","NUM_OF_EMPLOYEES","FQ1 2011","FQ1 2011","Currency=USD","Period=FQ","BEST_FPERIOD_OVERRIDE=FQ","FILING_STATUS=OR","Sort=A","Dates=H","DateFormat=P","Fill=—","Direction=H","UseDPDF=Y")</f>
        <v>—</v>
      </c>
      <c r="N91" s="14" t="str">
        <f>_xll.BDH("XOM US Equity","NUM_OF_EMPLOYEES","FQ2 2011","FQ2 2011","Currency=USD","Period=FQ","BEST_FPERIOD_OVERRIDE=FQ","FILING_STATUS=OR","Sort=A","Dates=H","DateFormat=P","Fill=—","Direction=H","UseDPDF=Y")</f>
        <v>—</v>
      </c>
      <c r="O91" s="14" t="str">
        <f>_xll.BDH("XOM US Equity","NUM_OF_EMPLOYEES","FQ3 2011","FQ3 2011","Currency=USD","Period=FQ","BEST_FPERIOD_OVERRIDE=FQ","FILING_STATUS=OR","Sort=A","Dates=H","DateFormat=P","Fill=—","Direction=H","UseDPDF=Y")</f>
        <v>—</v>
      </c>
      <c r="P91" s="14">
        <f>_xll.BDH("XOM US Equity","NUM_OF_EMPLOYEES","FQ4 2011","FQ4 2011","Currency=USD","Period=FQ","BEST_FPERIOD_OVERRIDE=FQ","FILING_STATUS=OR","Sort=A","Dates=H","DateFormat=P","Fill=—","Direction=H","UseDPDF=Y")</f>
        <v>82100</v>
      </c>
      <c r="Q91" s="14" t="str">
        <f>_xll.BDH("XOM US Equity","NUM_OF_EMPLOYEES","FQ1 2012","FQ1 2012","Currency=USD","Period=FQ","BEST_FPERIOD_OVERRIDE=FQ","FILING_STATUS=OR","Sort=A","Dates=H","DateFormat=P","Fill=—","Direction=H","UseDPDF=Y")</f>
        <v>—</v>
      </c>
      <c r="R91" s="14" t="str">
        <f>_xll.BDH("XOM US Equity","NUM_OF_EMPLOYEES","FQ2 2012","FQ2 2012","Currency=USD","Period=FQ","BEST_FPERIOD_OVERRIDE=FQ","FILING_STATUS=OR","Sort=A","Dates=H","DateFormat=P","Fill=—","Direction=H","UseDPDF=Y")</f>
        <v>—</v>
      </c>
      <c r="S91" s="14" t="str">
        <f>_xll.BDH("XOM US Equity","NUM_OF_EMPLOYEES","FQ3 2012","FQ3 2012","Currency=USD","Period=FQ","BEST_FPERIOD_OVERRIDE=FQ","FILING_STATUS=OR","Sort=A","Dates=H","DateFormat=P","Fill=—","Direction=H","UseDPDF=Y")</f>
        <v>—</v>
      </c>
      <c r="T91" s="14">
        <f>_xll.BDH("XOM US Equity","NUM_OF_EMPLOYEES","FQ4 2012","FQ4 2012","Currency=USD","Period=FQ","BEST_FPERIOD_OVERRIDE=FQ","FILING_STATUS=OR","Sort=A","Dates=H","DateFormat=P","Fill=—","Direction=H","UseDPDF=Y")</f>
        <v>76900</v>
      </c>
      <c r="U91" s="14" t="str">
        <f>_xll.BDH("XOM US Equity","NUM_OF_EMPLOYEES","FQ1 2013","FQ1 2013","Currency=USD","Period=FQ","BEST_FPERIOD_OVERRIDE=FQ","FILING_STATUS=OR","Sort=A","Dates=H","DateFormat=P","Fill=—","Direction=H","UseDPDF=Y")</f>
        <v>—</v>
      </c>
      <c r="V91" s="14" t="str">
        <f>_xll.BDH("XOM US Equity","NUM_OF_EMPLOYEES","FQ2 2013","FQ2 2013","Currency=USD","Period=FQ","BEST_FPERIOD_OVERRIDE=FQ","FILING_STATUS=OR","Sort=A","Dates=H","DateFormat=P","Fill=—","Direction=H","UseDPDF=Y")</f>
        <v>—</v>
      </c>
      <c r="W91" s="14" t="str">
        <f>_xll.BDH("XOM US Equity","NUM_OF_EMPLOYEES","FQ3 2013","FQ3 2013","Currency=USD","Period=FQ","BEST_FPERIOD_OVERRIDE=FQ","FILING_STATUS=OR","Sort=A","Dates=H","DateFormat=P","Fill=—","Direction=H","UseDPDF=Y")</f>
        <v>—</v>
      </c>
      <c r="X91" s="14">
        <f>_xll.BDH("XOM US Equity","NUM_OF_EMPLOYEES","FQ4 2013","FQ4 2013","Currency=USD","Period=FQ","BEST_FPERIOD_OVERRIDE=FQ","FILING_STATUS=OR","Sort=A","Dates=H","DateFormat=P","Fill=—","Direction=H","UseDPDF=Y")</f>
        <v>75000</v>
      </c>
      <c r="Y91" s="14" t="str">
        <f>_xll.BDH("XOM US Equity","NUM_OF_EMPLOYEES","FQ1 2014","FQ1 2014","Currency=USD","Period=FQ","BEST_FPERIOD_OVERRIDE=FQ","FILING_STATUS=OR","Sort=A","Dates=H","DateFormat=P","Fill=—","Direction=H","UseDPDF=Y")</f>
        <v>—</v>
      </c>
      <c r="Z91" s="14" t="str">
        <f>_xll.BDH("XOM US Equity","NUM_OF_EMPLOYEES","FQ2 2014","FQ2 2014","Currency=USD","Period=FQ","BEST_FPERIOD_OVERRIDE=FQ","FILING_STATUS=OR","Sort=A","Dates=H","DateFormat=P","Fill=—","Direction=H","UseDPDF=Y")</f>
        <v>—</v>
      </c>
      <c r="AA91" s="14" t="str">
        <f>_xll.BDH("XOM US Equity","NUM_OF_EMPLOYEES","FQ3 2014","FQ3 2014","Currency=USD","Period=FQ","BEST_FPERIOD_OVERRIDE=FQ","FILING_STATUS=OR","Sort=A","Dates=H","DateFormat=P","Fill=—","Direction=H","UseDPDF=Y")</f>
        <v>—</v>
      </c>
      <c r="AB91" s="14">
        <f>_xll.BDH("XOM US Equity","NUM_OF_EMPLOYEES","FQ4 2014","FQ4 2014","Currency=USD","Period=FQ","BEST_FPERIOD_OVERRIDE=FQ","FILING_STATUS=OR","Sort=A","Dates=H","DateFormat=P","Fill=—","Direction=H","UseDPDF=Y")</f>
        <v>75300</v>
      </c>
      <c r="AC91" s="14" t="str">
        <f>_xll.BDH("XOM US Equity","NUM_OF_EMPLOYEES","FQ1 2015","FQ1 2015","Currency=USD","Period=FQ","BEST_FPERIOD_OVERRIDE=FQ","FILING_STATUS=OR","Sort=A","Dates=H","DateFormat=P","Fill=—","Direction=H","UseDPDF=Y")</f>
        <v>—</v>
      </c>
      <c r="AD91" s="14" t="str">
        <f>_xll.BDH("XOM US Equity","NUM_OF_EMPLOYEES","FQ2 2015","FQ2 2015","Currency=USD","Period=FQ","BEST_FPERIOD_OVERRIDE=FQ","FILING_STATUS=OR","Sort=A","Dates=H","DateFormat=P","Fill=—","Direction=H","UseDPDF=Y")</f>
        <v>—</v>
      </c>
      <c r="AE91" s="14" t="str">
        <f>_xll.BDH("XOM US Equity","NUM_OF_EMPLOYEES","FQ3 2015","FQ3 2015","Currency=USD","Period=FQ","BEST_FPERIOD_OVERRIDE=FQ","FILING_STATUS=OR","Sort=A","Dates=H","DateFormat=P","Fill=—","Direction=H","UseDPDF=Y")</f>
        <v>—</v>
      </c>
      <c r="AF91" s="14">
        <f>_xll.BDH("XOM US Equity","NUM_OF_EMPLOYEES","FQ4 2015","FQ4 2015","Currency=USD","Period=FQ","BEST_FPERIOD_OVERRIDE=FQ","FILING_STATUS=OR","Sort=A","Dates=H","DateFormat=P","Fill=—","Direction=H","UseDPDF=Y")</f>
        <v>73500</v>
      </c>
      <c r="AG91" s="14" t="str">
        <f>_xll.BDH("XOM US Equity","NUM_OF_EMPLOYEES","FQ1 2016","FQ1 2016","Currency=USD","Period=FQ","BEST_FPERIOD_OVERRIDE=FQ","FILING_STATUS=OR","Sort=A","Dates=H","DateFormat=P","Fill=—","Direction=H","UseDPDF=Y")</f>
        <v>—</v>
      </c>
      <c r="AH91" s="14" t="str">
        <f>_xll.BDH("XOM US Equity","NUM_OF_EMPLOYEES","FQ2 2016","FQ2 2016","Currency=USD","Period=FQ","BEST_FPERIOD_OVERRIDE=FQ","FILING_STATUS=OR","Sort=A","Dates=H","DateFormat=P","Fill=—","Direction=H","UseDPDF=Y")</f>
        <v>—</v>
      </c>
      <c r="AI91" s="14" t="str">
        <f>_xll.BDH("XOM US Equity","NUM_OF_EMPLOYEES","FQ3 2016","FQ3 2016","Currency=USD","Period=FQ","BEST_FPERIOD_OVERRIDE=FQ","FILING_STATUS=OR","Sort=A","Dates=H","DateFormat=P","Fill=—","Direction=H","UseDPDF=Y")</f>
        <v>—</v>
      </c>
      <c r="AJ91" s="14">
        <f>_xll.BDH("XOM US Equity","NUM_OF_EMPLOYEES","FQ4 2016","FQ4 2016","Currency=USD","Period=FQ","BEST_FPERIOD_OVERRIDE=FQ","FILING_STATUS=OR","Sort=A","Dates=H","DateFormat=P","Fill=—","Direction=H","UseDPDF=Y")</f>
        <v>71100</v>
      </c>
      <c r="AK91" s="14" t="str">
        <f>_xll.BDH("XOM US Equity","NUM_OF_EMPLOYEES","FQ1 2017","FQ1 2017","Currency=USD","Period=FQ","BEST_FPERIOD_OVERRIDE=FQ","FILING_STATUS=OR","Sort=A","Dates=H","DateFormat=P","Fill=—","Direction=H","UseDPDF=Y")</f>
        <v>—</v>
      </c>
      <c r="AL91" s="14" t="str">
        <f>_xll.BDH("XOM US Equity","NUM_OF_EMPLOYEES","FQ2 2017","FQ2 2017","Currency=USD","Period=FQ","BEST_FPERIOD_OVERRIDE=FQ","FILING_STATUS=OR","Sort=A","Dates=H","DateFormat=P","Fill=—","Direction=H","UseDPDF=Y")</f>
        <v>—</v>
      </c>
      <c r="AM91" s="14" t="str">
        <f>_xll.BDH("XOM US Equity","NUM_OF_EMPLOYEES","FQ3 2017","FQ3 2017","Currency=USD","Period=FQ","BEST_FPERIOD_OVERRIDE=FQ","FILING_STATUS=OR","Sort=A","Dates=H","DateFormat=P","Fill=—","Direction=H","UseDPDF=Y")</f>
        <v>—</v>
      </c>
      <c r="AN91" s="14">
        <f>_xll.BDH("XOM US Equity","NUM_OF_EMPLOYEES","FQ4 2017","FQ4 2017","Currency=USD","Period=FQ","BEST_FPERIOD_OVERRIDE=FQ","FILING_STATUS=OR","Sort=A","Dates=H","DateFormat=P","Fill=—","Direction=H","UseDPDF=Y")</f>
        <v>69600</v>
      </c>
      <c r="AO91" s="14" t="str">
        <f>_xll.BDH("XOM US Equity","NUM_OF_EMPLOYEES","FQ1 2018","FQ1 2018","Currency=USD","Period=FQ","BEST_FPERIOD_OVERRIDE=FQ","FILING_STATUS=OR","Sort=A","Dates=H","DateFormat=P","Fill=—","Direction=H","UseDPDF=Y")</f>
        <v>—</v>
      </c>
      <c r="AP91" s="14" t="str">
        <f>_xll.BDH("XOM US Equity","NUM_OF_EMPLOYEES","FQ2 2018","FQ2 2018","Currency=USD","Period=FQ","BEST_FPERIOD_OVERRIDE=FQ","FILING_STATUS=OR","Sort=A","Dates=H","DateFormat=P","Fill=—","Direction=H","UseDPDF=Y")</f>
        <v>—</v>
      </c>
    </row>
    <row r="92" spans="1:42" x14ac:dyDescent="0.25">
      <c r="A92" s="7" t="s">
        <v>203</v>
      </c>
      <c r="B92" s="7"/>
      <c r="C92" s="7" t="s">
        <v>4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"/>
  <sheetViews>
    <sheetView topLeftCell="A43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204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361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x14ac:dyDescent="0.25">
      <c r="A7" s="10" t="s">
        <v>362</v>
      </c>
      <c r="B7" s="10" t="s">
        <v>363</v>
      </c>
      <c r="C7" s="13">
        <f>_xll.BDH("XOM US Equity","CF_NET_INC","FQ3 2008","FQ3 2008","Currency=USD","Period=FQ","BEST_FPERIOD_OVERRIDE=FQ","FILING_STATUS=OR","SCALING_FORMAT=MLN","Sort=A","Dates=H","DateFormat=P","Fill=—","Direction=H","UseDPDF=Y")</f>
        <v>14830</v>
      </c>
      <c r="D7" s="13">
        <f>_xll.BDH("XOM US Equity","CF_NET_INC","FQ4 2008","FQ4 2008","Currency=USD","Period=FQ","BEST_FPERIOD_OVERRIDE=FQ","FILING_STATUS=OR","SCALING_FORMAT=MLN","Sort=A","Dates=H","DateFormat=P","Fill=—","Direction=H","UseDPDF=Y")</f>
        <v>7820</v>
      </c>
      <c r="E7" s="13">
        <f>_xll.BDH("XOM US Equity","CF_NET_INC","FQ1 2009","FQ1 2009","Currency=USD","Period=FQ","BEST_FPERIOD_OVERRIDE=FQ","FILING_STATUS=OR","SCALING_FORMAT=MLN","Sort=A","Dates=H","DateFormat=P","Fill=—","Direction=H","UseDPDF=Y")</f>
        <v>4550</v>
      </c>
      <c r="F7" s="13">
        <f>_xll.BDH("XOM US Equity","CF_NET_INC","FQ2 2009","FQ2 2009","Currency=USD","Period=FQ","BEST_FPERIOD_OVERRIDE=FQ","FILING_STATUS=OR","SCALING_FORMAT=MLN","Sort=A","Dates=H","DateFormat=P","Fill=—","Direction=H","UseDPDF=Y")</f>
        <v>3950</v>
      </c>
      <c r="G7" s="13">
        <f>_xll.BDH("XOM US Equity","CF_NET_INC","FQ3 2009","FQ3 2009","Currency=USD","Period=FQ","BEST_FPERIOD_OVERRIDE=FQ","FILING_STATUS=OR","SCALING_FORMAT=MLN","Sort=A","Dates=H","DateFormat=P","Fill=—","Direction=H","UseDPDF=Y")</f>
        <v>4730</v>
      </c>
      <c r="H7" s="13">
        <f>_xll.BDH("XOM US Equity","CF_NET_INC","FQ4 2009","FQ4 2009","Currency=USD","Period=FQ","BEST_FPERIOD_OVERRIDE=FQ","FILING_STATUS=OR","SCALING_FORMAT=MLN","Sort=A","Dates=H","DateFormat=P","Fill=—","Direction=H","UseDPDF=Y")</f>
        <v>6050</v>
      </c>
      <c r="I7" s="13">
        <f>_xll.BDH("XOM US Equity","CF_NET_INC","FQ1 2010","FQ1 2010","Currency=USD","Period=FQ","BEST_FPERIOD_OVERRIDE=FQ","FILING_STATUS=OR","SCALING_FORMAT=MLN","Sort=A","Dates=H","DateFormat=P","Fill=—","Direction=H","UseDPDF=Y")</f>
        <v>6300</v>
      </c>
      <c r="J7" s="13">
        <f>_xll.BDH("XOM US Equity","CF_NET_INC","FQ2 2010","FQ2 2010","Currency=USD","Period=FQ","BEST_FPERIOD_OVERRIDE=FQ","FILING_STATUS=OR","SCALING_FORMAT=MLN","Sort=A","Dates=H","DateFormat=P","Fill=—","Direction=H","UseDPDF=Y")</f>
        <v>7560</v>
      </c>
      <c r="K7" s="13">
        <f>_xll.BDH("XOM US Equity","CF_NET_INC","FQ3 2010","FQ3 2010","Currency=USD","Period=FQ","BEST_FPERIOD_OVERRIDE=FQ","FILING_STATUS=OR","SCALING_FORMAT=MLN","Sort=A","Dates=H","DateFormat=P","Fill=—","Direction=H","UseDPDF=Y")</f>
        <v>7350</v>
      </c>
      <c r="L7" s="13">
        <f>_xll.BDH("XOM US Equity","CF_NET_INC","FQ4 2010","FQ4 2010","Currency=USD","Period=FQ","BEST_FPERIOD_OVERRIDE=FQ","FILING_STATUS=OR","SCALING_FORMAT=MLN","Sort=A","Dates=H","DateFormat=P","Fill=—","Direction=H","UseDPDF=Y")</f>
        <v>9250</v>
      </c>
      <c r="M7" s="13">
        <f>_xll.BDH("XOM US Equity","CF_NET_INC","FQ1 2011","FQ1 2011","Currency=USD","Period=FQ","BEST_FPERIOD_OVERRIDE=FQ","FILING_STATUS=OR","SCALING_FORMAT=MLN","Sort=A","Dates=H","DateFormat=P","Fill=—","Direction=H","UseDPDF=Y")</f>
        <v>10650</v>
      </c>
      <c r="N7" s="13">
        <f>_xll.BDH("XOM US Equity","CF_NET_INC","FQ2 2011","FQ2 2011","Currency=USD","Period=FQ","BEST_FPERIOD_OVERRIDE=FQ","FILING_STATUS=OR","SCALING_FORMAT=MLN","Sort=A","Dates=H","DateFormat=P","Fill=—","Direction=H","UseDPDF=Y")</f>
        <v>10680</v>
      </c>
      <c r="O7" s="13">
        <f>_xll.BDH("XOM US Equity","CF_NET_INC","FQ3 2011","FQ3 2011","Currency=USD","Period=FQ","BEST_FPERIOD_OVERRIDE=FQ","FILING_STATUS=OR","SCALING_FORMAT=MLN","Sort=A","Dates=H","DateFormat=P","Fill=—","Direction=H","UseDPDF=Y")</f>
        <v>10330</v>
      </c>
      <c r="P7" s="13">
        <f>_xll.BDH("XOM US Equity","CF_NET_INC","FQ4 2011","FQ4 2011","Currency=USD","Period=FQ","BEST_FPERIOD_OVERRIDE=FQ","FILING_STATUS=OR","SCALING_FORMAT=MLN","Sort=A","Dates=H","DateFormat=P","Fill=—","Direction=H","UseDPDF=Y")</f>
        <v>9400</v>
      </c>
      <c r="Q7" s="13">
        <f>_xll.BDH("XOM US Equity","CF_NET_INC","FQ1 2012","FQ1 2012","Currency=USD","Period=FQ","BEST_FPERIOD_OVERRIDE=FQ","FILING_STATUS=OR","SCALING_FORMAT=MLN","Sort=A","Dates=H","DateFormat=P","Fill=—","Direction=H","UseDPDF=Y")</f>
        <v>9450</v>
      </c>
      <c r="R7" s="13">
        <f>_xll.BDH("XOM US Equity","CF_NET_INC","FQ2 2012","FQ2 2012","Currency=USD","Period=FQ","BEST_FPERIOD_OVERRIDE=FQ","FILING_STATUS=OR","SCALING_FORMAT=MLN","Sort=A","Dates=H","DateFormat=P","Fill=—","Direction=H","UseDPDF=Y")</f>
        <v>15910</v>
      </c>
      <c r="S7" s="13">
        <f>_xll.BDH("XOM US Equity","CF_NET_INC","FQ3 2012","FQ3 2012","Currency=USD","Period=FQ","BEST_FPERIOD_OVERRIDE=FQ","FILING_STATUS=OR","SCALING_FORMAT=MLN","Sort=A","Dates=H","DateFormat=P","Fill=—","Direction=H","UseDPDF=Y")</f>
        <v>9570</v>
      </c>
      <c r="T7" s="13">
        <f>_xll.BDH("XOM US Equity","CF_NET_INC","FQ4 2012","FQ4 2012","Currency=USD","Period=FQ","BEST_FPERIOD_OVERRIDE=FQ","FILING_STATUS=OR","SCALING_FORMAT=MLN","Sort=A","Dates=H","DateFormat=P","Fill=—","Direction=H","UseDPDF=Y")</f>
        <v>9950</v>
      </c>
      <c r="U7" s="13">
        <f>_xll.BDH("XOM US Equity","CF_NET_INC","FQ1 2013","FQ1 2013","Currency=USD","Period=FQ","BEST_FPERIOD_OVERRIDE=FQ","FILING_STATUS=OR","SCALING_FORMAT=MLN","Sort=A","Dates=H","DateFormat=P","Fill=—","Direction=H","UseDPDF=Y")</f>
        <v>9500</v>
      </c>
      <c r="V7" s="13">
        <f>_xll.BDH("XOM US Equity","CF_NET_INC","FQ2 2013","FQ2 2013","Currency=USD","Period=FQ","BEST_FPERIOD_OVERRIDE=FQ","FILING_STATUS=OR","SCALING_FORMAT=MLN","Sort=A","Dates=H","DateFormat=P","Fill=—","Direction=H","UseDPDF=Y")</f>
        <v>6860</v>
      </c>
      <c r="W7" s="13">
        <f>_xll.BDH("XOM US Equity","CF_NET_INC","FQ3 2013","FQ3 2013","Currency=USD","Period=FQ","BEST_FPERIOD_OVERRIDE=FQ","FILING_STATUS=OR","SCALING_FORMAT=MLN","Sort=A","Dates=H","DateFormat=P","Fill=—","Direction=H","UseDPDF=Y")</f>
        <v>7870</v>
      </c>
      <c r="X7" s="13">
        <f>_xll.BDH("XOM US Equity","CF_NET_INC","FQ4 2013","FQ4 2013","Currency=USD","Period=FQ","BEST_FPERIOD_OVERRIDE=FQ","FILING_STATUS=OR","SCALING_FORMAT=MLN","Sort=A","Dates=H","DateFormat=P","Fill=—","Direction=H","UseDPDF=Y")</f>
        <v>8350</v>
      </c>
      <c r="Y7" s="13">
        <f>_xll.BDH("XOM US Equity","CF_NET_INC","FQ1 2014","FQ1 2014","Currency=USD","Period=FQ","BEST_FPERIOD_OVERRIDE=FQ","FILING_STATUS=OR","SCALING_FORMAT=MLN","Sort=A","Dates=H","DateFormat=P","Fill=—","Direction=H","UseDPDF=Y")</f>
        <v>9100</v>
      </c>
      <c r="Z7" s="13">
        <f>_xll.BDH("XOM US Equity","CF_NET_INC","FQ2 2014","FQ2 2014","Currency=USD","Period=FQ","BEST_FPERIOD_OVERRIDE=FQ","FILING_STATUS=OR","SCALING_FORMAT=MLN","Sort=A","Dates=H","DateFormat=P","Fill=—","Direction=H","UseDPDF=Y")</f>
        <v>8780</v>
      </c>
      <c r="AA7" s="13">
        <f>_xll.BDH("XOM US Equity","CF_NET_INC","FQ3 2014","FQ3 2014","Currency=USD","Period=FQ","BEST_FPERIOD_OVERRIDE=FQ","FILING_STATUS=OR","SCALING_FORMAT=MLN","Sort=A","Dates=H","DateFormat=P","Fill=—","Direction=H","UseDPDF=Y")</f>
        <v>8070</v>
      </c>
      <c r="AB7" s="13">
        <f>_xll.BDH("XOM US Equity","CF_NET_INC","FQ4 2014","FQ4 2014","Currency=USD","Period=FQ","BEST_FPERIOD_OVERRIDE=FQ","FILING_STATUS=OR","SCALING_FORMAT=MLN","Sort=A","Dates=H","DateFormat=P","Fill=—","Direction=H","UseDPDF=Y")</f>
        <v>6570</v>
      </c>
      <c r="AC7" s="13">
        <f>_xll.BDH("XOM US Equity","CF_NET_INC","FQ1 2015","FQ1 2015","Currency=USD","Period=FQ","BEST_FPERIOD_OVERRIDE=FQ","FILING_STATUS=OR","SCALING_FORMAT=MLN","Sort=A","Dates=H","DateFormat=P","Fill=—","Direction=H","UseDPDF=Y")</f>
        <v>4940</v>
      </c>
      <c r="AD7" s="13">
        <f>_xll.BDH("XOM US Equity","CF_NET_INC","FQ2 2015","FQ2 2015","Currency=USD","Period=FQ","BEST_FPERIOD_OVERRIDE=FQ","FILING_STATUS=OR","SCALING_FORMAT=MLN","Sort=A","Dates=H","DateFormat=P","Fill=—","Direction=H","UseDPDF=Y")</f>
        <v>4190</v>
      </c>
      <c r="AE7" s="13">
        <f>_xll.BDH("XOM US Equity","CF_NET_INC","FQ3 2015","FQ3 2015","Currency=USD","Period=FQ","BEST_FPERIOD_OVERRIDE=FQ","FILING_STATUS=OR","SCALING_FORMAT=MLN","Sort=A","Dates=H","DateFormat=P","Fill=—","Direction=H","UseDPDF=Y")</f>
        <v>4240</v>
      </c>
      <c r="AF7" s="13">
        <f>_xll.BDH("XOM US Equity","CF_NET_INC","FQ4 2015","FQ4 2015","Currency=USD","Period=FQ","BEST_FPERIOD_OVERRIDE=FQ","FILING_STATUS=OR","SCALING_FORMAT=MLN","Sort=A","Dates=H","DateFormat=P","Fill=—","Direction=H","UseDPDF=Y")</f>
        <v>2780</v>
      </c>
      <c r="AG7" s="13">
        <f>_xll.BDH("XOM US Equity","CF_NET_INC","FQ1 2016","FQ1 2016","Currency=USD","Period=FQ","BEST_FPERIOD_OVERRIDE=FQ","FILING_STATUS=OR","SCALING_FORMAT=MLN","Sort=A","Dates=H","DateFormat=P","Fill=—","Direction=H","UseDPDF=Y")</f>
        <v>1810</v>
      </c>
      <c r="AH7" s="13">
        <f>_xll.BDH("XOM US Equity","CF_NET_INC","FQ2 2016","FQ2 2016","Currency=USD","Period=FQ","BEST_FPERIOD_OVERRIDE=FQ","FILING_STATUS=OR","SCALING_FORMAT=MLN","Sort=A","Dates=H","DateFormat=P","Fill=—","Direction=H","UseDPDF=Y")</f>
        <v>1700</v>
      </c>
      <c r="AI7" s="13">
        <f>_xll.BDH("XOM US Equity","CF_NET_INC","FQ3 2016","FQ3 2016","Currency=USD","Period=FQ","BEST_FPERIOD_OVERRIDE=FQ","FILING_STATUS=OR","SCALING_FORMAT=MLN","Sort=A","Dates=H","DateFormat=P","Fill=—","Direction=H","UseDPDF=Y")</f>
        <v>2650</v>
      </c>
      <c r="AJ7" s="13">
        <f>_xll.BDH("XOM US Equity","CF_NET_INC","FQ4 2016","FQ4 2016","Currency=USD","Period=FQ","BEST_FPERIOD_OVERRIDE=FQ","FILING_STATUS=OR","SCALING_FORMAT=MLN","Sort=A","Dates=H","DateFormat=P","Fill=—","Direction=H","UseDPDF=Y")</f>
        <v>1680</v>
      </c>
      <c r="AK7" s="13">
        <f>_xll.BDH("XOM US Equity","CF_NET_INC","FQ1 2017","FQ1 2017","Currency=USD","Period=FQ","BEST_FPERIOD_OVERRIDE=FQ","FILING_STATUS=OR","SCALING_FORMAT=MLN","Sort=A","Dates=H","DateFormat=P","Fill=—","Direction=H","UseDPDF=Y")</f>
        <v>4010</v>
      </c>
      <c r="AL7" s="13">
        <f>_xll.BDH("XOM US Equity","CF_NET_INC","FQ2 2017","FQ2 2017","Currency=USD","Period=FQ","BEST_FPERIOD_OVERRIDE=FQ","FILING_STATUS=OR","SCALING_FORMAT=MLN","Sort=A","Dates=H","DateFormat=P","Fill=—","Direction=H","UseDPDF=Y")</f>
        <v>3350</v>
      </c>
      <c r="AM7" s="13">
        <f>_xll.BDH("XOM US Equity","CF_NET_INC","FQ3 2017","FQ3 2017","Currency=USD","Period=FQ","BEST_FPERIOD_OVERRIDE=FQ","FILING_STATUS=OR","SCALING_FORMAT=MLN","Sort=A","Dates=H","DateFormat=P","Fill=—","Direction=H","UseDPDF=Y")</f>
        <v>3970</v>
      </c>
      <c r="AN7" s="13">
        <f>_xll.BDH("XOM US Equity","CF_NET_INC","FQ4 2017","FQ4 2017","Currency=USD","Period=FQ","BEST_FPERIOD_OVERRIDE=FQ","FILING_STATUS=OR","SCALING_FORMAT=MLN","Sort=A","Dates=H","DateFormat=P","Fill=—","Direction=H","UseDPDF=Y")</f>
        <v>8380</v>
      </c>
      <c r="AO7" s="13">
        <f>_xll.BDH("XOM US Equity","CF_NET_INC","FQ1 2018","FQ1 2018","Currency=USD","Period=FQ","BEST_FPERIOD_OVERRIDE=FQ","FILING_STATUS=OR","SCALING_FORMAT=MLN","Sort=A","Dates=H","DateFormat=P","Fill=—","Direction=H","UseDPDF=Y")</f>
        <v>4650</v>
      </c>
      <c r="AP7" s="13">
        <f>_xll.BDH("XOM US Equity","CF_NET_INC","FQ2 2018","FQ2 2018","Currency=USD","Period=FQ","BEST_FPERIOD_OVERRIDE=FQ","FILING_STATUS=OR","SCALING_FORMAT=MLN","Sort=A","Dates=H","DateFormat=P","Fill=—","Direction=H","UseDPDF=Y")</f>
        <v>3950</v>
      </c>
    </row>
    <row r="8" spans="1:42" x14ac:dyDescent="0.25">
      <c r="A8" s="10" t="s">
        <v>364</v>
      </c>
      <c r="B8" s="10" t="s">
        <v>365</v>
      </c>
      <c r="C8" s="13">
        <f>_xll.BDH("XOM US Equity","CF_DEPR_AMORT","FQ3 2008","FQ3 2008","Currency=USD","Period=FQ","BEST_FPERIOD_OVERRIDE=FQ","FILING_STATUS=OR","SCALING_FORMAT=MLN","Sort=A","Dates=H","DateFormat=P","Fill=—","Direction=H","UseDPDF=Y")</f>
        <v>3008</v>
      </c>
      <c r="D8" s="13">
        <f>_xll.BDH("XOM US Equity","CF_DEPR_AMORT","FQ4 2008","FQ4 2008","Currency=USD","Period=FQ","BEST_FPERIOD_OVERRIDE=FQ","FILING_STATUS=OR","SCALING_FORMAT=MLN","Sort=A","Dates=H","DateFormat=P","Fill=—","Direction=H","UseDPDF=Y")</f>
        <v>3177</v>
      </c>
      <c r="E8" s="13">
        <f>_xll.BDH("XOM US Equity","CF_DEPR_AMORT","FQ1 2009","FQ1 2009","Currency=USD","Period=FQ","BEST_FPERIOD_OVERRIDE=FQ","FILING_STATUS=OR","SCALING_FORMAT=MLN","Sort=A","Dates=H","DateFormat=P","Fill=—","Direction=H","UseDPDF=Y")</f>
        <v>2793</v>
      </c>
      <c r="F8" s="13">
        <f>_xll.BDH("XOM US Equity","CF_DEPR_AMORT","FQ2 2009","FQ2 2009","Currency=USD","Period=FQ","BEST_FPERIOD_OVERRIDE=FQ","FILING_STATUS=OR","SCALING_FORMAT=MLN","Sort=A","Dates=H","DateFormat=P","Fill=—","Direction=H","UseDPDF=Y")</f>
        <v>3004</v>
      </c>
      <c r="G8" s="13">
        <f>_xll.BDH("XOM US Equity","CF_DEPR_AMORT","FQ3 2009","FQ3 2009","Currency=USD","Period=FQ","BEST_FPERIOD_OVERRIDE=FQ","FILING_STATUS=OR","SCALING_FORMAT=MLN","Sort=A","Dates=H","DateFormat=P","Fill=—","Direction=H","UseDPDF=Y")</f>
        <v>2927</v>
      </c>
      <c r="H8" s="13">
        <f>_xll.BDH("XOM US Equity","CF_DEPR_AMORT","FQ4 2009","FQ4 2009","Currency=USD","Period=FQ","BEST_FPERIOD_OVERRIDE=FQ","FILING_STATUS=OR","SCALING_FORMAT=MLN","Sort=A","Dates=H","DateFormat=P","Fill=—","Direction=H","UseDPDF=Y")</f>
        <v>3193</v>
      </c>
      <c r="I8" s="13">
        <f>_xll.BDH("XOM US Equity","CF_DEPR_AMORT","FQ1 2010","FQ1 2010","Currency=USD","Period=FQ","BEST_FPERIOD_OVERRIDE=FQ","FILING_STATUS=OR","SCALING_FORMAT=MLN","Sort=A","Dates=H","DateFormat=P","Fill=—","Direction=H","UseDPDF=Y")</f>
        <v>3280</v>
      </c>
      <c r="J8" s="13">
        <f>_xll.BDH("XOM US Equity","CF_DEPR_AMORT","FQ2 2010","FQ2 2010","Currency=USD","Period=FQ","BEST_FPERIOD_OVERRIDE=FQ","FILING_STATUS=OR","SCALING_FORMAT=MLN","Sort=A","Dates=H","DateFormat=P","Fill=—","Direction=H","UseDPDF=Y")</f>
        <v>3366</v>
      </c>
      <c r="K8" s="13">
        <f>_xll.BDH("XOM US Equity","CF_DEPR_AMORT","FQ3 2010","FQ3 2010","Currency=USD","Period=FQ","BEST_FPERIOD_OVERRIDE=FQ","FILING_STATUS=OR","SCALING_FORMAT=MLN","Sort=A","Dates=H","DateFormat=P","Fill=—","Direction=H","UseDPDF=Y")</f>
        <v>3844</v>
      </c>
      <c r="L8" s="13">
        <f>_xll.BDH("XOM US Equity","CF_DEPR_AMORT","FQ4 2010","FQ4 2010","Currency=USD","Period=FQ","BEST_FPERIOD_OVERRIDE=FQ","FILING_STATUS=OR","SCALING_FORMAT=MLN","Sort=A","Dates=H","DateFormat=P","Fill=—","Direction=H","UseDPDF=Y")</f>
        <v>4270</v>
      </c>
      <c r="M8" s="13">
        <f>_xll.BDH("XOM US Equity","CF_DEPR_AMORT","FQ1 2011","FQ1 2011","Currency=USD","Period=FQ","BEST_FPERIOD_OVERRIDE=FQ","FILING_STATUS=OR","SCALING_FORMAT=MLN","Sort=A","Dates=H","DateFormat=P","Fill=—","Direction=H","UseDPDF=Y")</f>
        <v>3761</v>
      </c>
      <c r="N8" s="13">
        <f>_xll.BDH("XOM US Equity","CF_DEPR_AMORT","FQ2 2011","FQ2 2011","Currency=USD","Period=FQ","BEST_FPERIOD_OVERRIDE=FQ","FILING_STATUS=OR","SCALING_FORMAT=MLN","Sort=A","Dates=H","DateFormat=P","Fill=—","Direction=H","UseDPDF=Y")</f>
        <v>3881</v>
      </c>
      <c r="O8" s="13">
        <f>_xll.BDH("XOM US Equity","CF_DEPR_AMORT","FQ3 2011","FQ3 2011","Currency=USD","Period=FQ","BEST_FPERIOD_OVERRIDE=FQ","FILING_STATUS=OR","SCALING_FORMAT=MLN","Sort=A","Dates=H","DateFormat=P","Fill=—","Direction=H","UseDPDF=Y")</f>
        <v>3866</v>
      </c>
      <c r="P8" s="13">
        <f>_xll.BDH("XOM US Equity","CF_DEPR_AMORT","FQ4 2011","FQ4 2011","Currency=USD","Period=FQ","BEST_FPERIOD_OVERRIDE=FQ","FILING_STATUS=OR","SCALING_FORMAT=MLN","Sort=A","Dates=H","DateFormat=P","Fill=—","Direction=H","UseDPDF=Y")</f>
        <v>4075</v>
      </c>
      <c r="Q8" s="13">
        <f>_xll.BDH("XOM US Equity","CF_DEPR_AMORT","FQ1 2012","FQ1 2012","Currency=USD","Period=FQ","BEST_FPERIOD_OVERRIDE=FQ","FILING_STATUS=OR","SCALING_FORMAT=MLN","Sort=A","Dates=H","DateFormat=P","Fill=—","Direction=H","UseDPDF=Y")</f>
        <v>3842</v>
      </c>
      <c r="R8" s="13">
        <f>_xll.BDH("XOM US Equity","CF_DEPR_AMORT","FQ2 2012","FQ2 2012","Currency=USD","Period=FQ","BEST_FPERIOD_OVERRIDE=FQ","FILING_STATUS=OR","SCALING_FORMAT=MLN","Sort=A","Dates=H","DateFormat=P","Fill=—","Direction=H","UseDPDF=Y")</f>
        <v>3899</v>
      </c>
      <c r="S8" s="13">
        <f>_xll.BDH("XOM US Equity","CF_DEPR_AMORT","FQ3 2012","FQ3 2012","Currency=USD","Period=FQ","BEST_FPERIOD_OVERRIDE=FQ","FILING_STATUS=OR","SCALING_FORMAT=MLN","Sort=A","Dates=H","DateFormat=P","Fill=—","Direction=H","UseDPDF=Y")</f>
        <v>4037</v>
      </c>
      <c r="T8" s="13">
        <f>_xll.BDH("XOM US Equity","CF_DEPR_AMORT","FQ4 2012","FQ4 2012","Currency=USD","Period=FQ","BEST_FPERIOD_OVERRIDE=FQ","FILING_STATUS=OR","SCALING_FORMAT=MLN","Sort=A","Dates=H","DateFormat=P","Fill=—","Direction=H","UseDPDF=Y")</f>
        <v>4110</v>
      </c>
      <c r="U8" s="13">
        <f>_xll.BDH("XOM US Equity","CF_DEPR_AMORT","FQ1 2013","FQ1 2013","Currency=USD","Period=FQ","BEST_FPERIOD_OVERRIDE=FQ","FILING_STATUS=OR","SCALING_FORMAT=MLN","Sort=A","Dates=H","DateFormat=P","Fill=—","Direction=H","UseDPDF=Y")</f>
        <v>4110</v>
      </c>
      <c r="V8" s="13">
        <f>_xll.BDH("XOM US Equity","CF_DEPR_AMORT","FQ2 2013","FQ2 2013","Currency=USD","Period=FQ","BEST_FPERIOD_OVERRIDE=FQ","FILING_STATUS=OR","SCALING_FORMAT=MLN","Sort=A","Dates=H","DateFormat=P","Fill=—","Direction=H","UseDPDF=Y")</f>
        <v>4405</v>
      </c>
      <c r="W8" s="13">
        <f>_xll.BDH("XOM US Equity","CF_DEPR_AMORT","FQ3 2013","FQ3 2013","Currency=USD","Period=FQ","BEST_FPERIOD_OVERRIDE=FQ","FILING_STATUS=OR","SCALING_FORMAT=MLN","Sort=A","Dates=H","DateFormat=P","Fill=—","Direction=H","UseDPDF=Y")</f>
        <v>4287</v>
      </c>
      <c r="X8" s="13">
        <f>_xll.BDH("XOM US Equity","CF_DEPR_AMORT","FQ4 2013","FQ4 2013","Currency=USD","Period=FQ","BEST_FPERIOD_OVERRIDE=FQ","FILING_STATUS=OR","SCALING_FORMAT=MLN","Sort=A","Dates=H","DateFormat=P","Fill=—","Direction=H","UseDPDF=Y")</f>
        <v>4380</v>
      </c>
      <c r="Y8" s="13">
        <f>_xll.BDH("XOM US Equity","CF_DEPR_AMORT","FQ1 2014","FQ1 2014","Currency=USD","Period=FQ","BEST_FPERIOD_OVERRIDE=FQ","FILING_STATUS=OR","SCALING_FORMAT=MLN","Sort=A","Dates=H","DateFormat=P","Fill=—","Direction=H","UseDPDF=Y")</f>
        <v>4192</v>
      </c>
      <c r="Z8" s="13">
        <f>_xll.BDH("XOM US Equity","CF_DEPR_AMORT","FQ2 2014","FQ2 2014","Currency=USD","Period=FQ","BEST_FPERIOD_OVERRIDE=FQ","FILING_STATUS=OR","SCALING_FORMAT=MLN","Sort=A","Dates=H","DateFormat=P","Fill=—","Direction=H","UseDPDF=Y")</f>
        <v>4285</v>
      </c>
      <c r="AA8" s="13">
        <f>_xll.BDH("XOM US Equity","CF_DEPR_AMORT","FQ3 2014","FQ3 2014","Currency=USD","Period=FQ","BEST_FPERIOD_OVERRIDE=FQ","FILING_STATUS=OR","SCALING_FORMAT=MLN","Sort=A","Dates=H","DateFormat=P","Fill=—","Direction=H","UseDPDF=Y")</f>
        <v>4362</v>
      </c>
      <c r="AB8" s="13">
        <f>_xll.BDH("XOM US Equity","CF_DEPR_AMORT","FQ4 2014","FQ4 2014","Currency=USD","Period=FQ","BEST_FPERIOD_OVERRIDE=FQ","FILING_STATUS=OR","SCALING_FORMAT=MLN","Sort=A","Dates=H","DateFormat=P","Fill=—","Direction=H","UseDPDF=Y")</f>
        <v>4458</v>
      </c>
      <c r="AC8" s="13">
        <f>_xll.BDH("XOM US Equity","CF_DEPR_AMORT","FQ1 2015","FQ1 2015","Currency=USD","Period=FQ","BEST_FPERIOD_OVERRIDE=FQ","FILING_STATUS=OR","SCALING_FORMAT=MLN","Sort=A","Dates=H","DateFormat=P","Fill=—","Direction=H","UseDPDF=Y")</f>
        <v>4300</v>
      </c>
      <c r="AD8" s="13">
        <f>_xll.BDH("XOM US Equity","CF_DEPR_AMORT","FQ2 2015","FQ2 2015","Currency=USD","Period=FQ","BEST_FPERIOD_OVERRIDE=FQ","FILING_STATUS=OR","SCALING_FORMAT=MLN","Sort=A","Dates=H","DateFormat=P","Fill=—","Direction=H","UseDPDF=Y")</f>
        <v>4451</v>
      </c>
      <c r="AE8" s="13">
        <f>_xll.BDH("XOM US Equity","CF_DEPR_AMORT","FQ3 2015","FQ3 2015","Currency=USD","Period=FQ","BEST_FPERIOD_OVERRIDE=FQ","FILING_STATUS=OR","SCALING_FORMAT=MLN","Sort=A","Dates=H","DateFormat=P","Fill=—","Direction=H","UseDPDF=Y")</f>
        <v>4542</v>
      </c>
      <c r="AF8" s="13">
        <f>_xll.BDH("XOM US Equity","CF_DEPR_AMORT","FQ4 2015","FQ4 2015","Currency=USD","Period=FQ","BEST_FPERIOD_OVERRIDE=FQ","FILING_STATUS=OR","SCALING_FORMAT=MLN","Sort=A","Dates=H","DateFormat=P","Fill=—","Direction=H","UseDPDF=Y")</f>
        <v>4755</v>
      </c>
      <c r="AG8" s="13">
        <f>_xll.BDH("XOM US Equity","CF_DEPR_AMORT","FQ1 2016","FQ1 2016","Currency=USD","Period=FQ","BEST_FPERIOD_OVERRIDE=FQ","FILING_STATUS=OR","SCALING_FORMAT=MLN","Sort=A","Dates=H","DateFormat=P","Fill=—","Direction=H","UseDPDF=Y")</f>
        <v>4765</v>
      </c>
      <c r="AH8" s="13">
        <f>_xll.BDH("XOM US Equity","CF_DEPR_AMORT","FQ2 2016","FQ2 2016","Currency=USD","Period=FQ","BEST_FPERIOD_OVERRIDE=FQ","FILING_STATUS=OR","SCALING_FORMAT=MLN","Sort=A","Dates=H","DateFormat=P","Fill=—","Direction=H","UseDPDF=Y")</f>
        <v>4821</v>
      </c>
      <c r="AI8" s="13">
        <f>_xll.BDH("XOM US Equity","CF_DEPR_AMORT","FQ3 2016","FQ3 2016","Currency=USD","Period=FQ","BEST_FPERIOD_OVERRIDE=FQ","FILING_STATUS=OR","SCALING_FORMAT=MLN","Sort=A","Dates=H","DateFormat=P","Fill=—","Direction=H","UseDPDF=Y")</f>
        <v>4605</v>
      </c>
      <c r="AJ8" s="13">
        <f>_xll.BDH("XOM US Equity","CF_DEPR_AMORT","FQ4 2016","FQ4 2016","Currency=USD","Period=FQ","BEST_FPERIOD_OVERRIDE=FQ","FILING_STATUS=OR","SCALING_FORMAT=MLN","Sort=A","Dates=H","DateFormat=P","Fill=—","Direction=H","UseDPDF=Y")</f>
        <v>8117</v>
      </c>
      <c r="AK8" s="13">
        <f>_xll.BDH("XOM US Equity","CF_DEPR_AMORT","FQ1 2017","FQ1 2017","Currency=USD","Period=FQ","BEST_FPERIOD_OVERRIDE=FQ","FILING_STATUS=OR","SCALING_FORMAT=MLN","Sort=A","Dates=H","DateFormat=P","Fill=—","Direction=H","UseDPDF=Y")</f>
        <v>4519</v>
      </c>
      <c r="AL8" s="13">
        <f>_xll.BDH("XOM US Equity","CF_DEPR_AMORT","FQ2 2017","FQ2 2017","Currency=USD","Period=FQ","BEST_FPERIOD_OVERRIDE=FQ","FILING_STATUS=OR","SCALING_FORMAT=MLN","Sort=A","Dates=H","DateFormat=P","Fill=—","Direction=H","UseDPDF=Y")</f>
        <v>4652</v>
      </c>
      <c r="AM8" s="13">
        <f>_xll.BDH("XOM US Equity","CF_DEPR_AMORT","FQ3 2017","FQ3 2017","Currency=USD","Period=FQ","BEST_FPERIOD_OVERRIDE=FQ","FILING_STATUS=OR","SCALING_FORMAT=MLN","Sort=A","Dates=H","DateFormat=P","Fill=—","Direction=H","UseDPDF=Y")</f>
        <v>4880</v>
      </c>
      <c r="AN8" s="13">
        <f>_xll.BDH("XOM US Equity","CF_DEPR_AMORT","FQ4 2017","FQ4 2017","Currency=USD","Period=FQ","BEST_FPERIOD_OVERRIDE=FQ","FILING_STATUS=OR","SCALING_FORMAT=MLN","Sort=A","Dates=H","DateFormat=P","Fill=—","Direction=H","UseDPDF=Y")</f>
        <v>5842</v>
      </c>
      <c r="AO8" s="13">
        <f>_xll.BDH("XOM US Equity","CF_DEPR_AMORT","FQ1 2018","FQ1 2018","Currency=USD","Period=FQ","BEST_FPERIOD_OVERRIDE=FQ","FILING_STATUS=OR","SCALING_FORMAT=MLN","Sort=A","Dates=H","DateFormat=P","Fill=—","Direction=H","UseDPDF=Y")</f>
        <v>4470</v>
      </c>
      <c r="AP8" s="13">
        <f>_xll.BDH("XOM US Equity","CF_DEPR_AMORT","FQ2 2018","FQ2 2018","Currency=USD","Period=FQ","BEST_FPERIOD_OVERRIDE=FQ","FILING_STATUS=OR","SCALING_FORMAT=MLN","Sort=A","Dates=H","DateFormat=P","Fill=—","Direction=H","UseDPDF=Y")</f>
        <v>4589</v>
      </c>
    </row>
    <row r="9" spans="1:42" x14ac:dyDescent="0.25">
      <c r="A9" s="10" t="s">
        <v>366</v>
      </c>
      <c r="B9" s="10" t="s">
        <v>367</v>
      </c>
      <c r="C9" s="13">
        <f>_xll.BDH("XOM US Equity","NON_CASH_ITEMS_DETAILED","FQ3 2008","FQ3 2008","Currency=USD","Period=FQ","BEST_FPERIOD_OVERRIDE=FQ","FILING_STATUS=OR","SCALING_FORMAT=MLN","Sort=A","Dates=H","DateFormat=P","Fill=—","Direction=H","UseDPDF=Y")</f>
        <v>-579</v>
      </c>
      <c r="D9" s="13">
        <f>_xll.BDH("XOM US Equity","NON_CASH_ITEMS_DETAILED","FQ4 2008","FQ4 2008","Currency=USD","Period=FQ","BEST_FPERIOD_OVERRIDE=FQ","FILING_STATUS=OR","SCALING_FORMAT=MLN","Sort=A","Dates=H","DateFormat=P","Fill=—","Direction=H","UseDPDF=Y")</f>
        <v>2485</v>
      </c>
      <c r="E9" s="13">
        <f>_xll.BDH("XOM US Equity","NON_CASH_ITEMS_DETAILED","FQ1 2009","FQ1 2009","Currency=USD","Period=FQ","BEST_FPERIOD_OVERRIDE=FQ","FILING_STATUS=OR","SCALING_FORMAT=MLN","Sort=A","Dates=H","DateFormat=P","Fill=—","Direction=H","UseDPDF=Y")</f>
        <v>435</v>
      </c>
      <c r="F9" s="13">
        <f>_xll.BDH("XOM US Equity","NON_CASH_ITEMS_DETAILED","FQ2 2009","FQ2 2009","Currency=USD","Period=FQ","BEST_FPERIOD_OVERRIDE=FQ","FILING_STATUS=OR","SCALING_FORMAT=MLN","Sort=A","Dates=H","DateFormat=P","Fill=—","Direction=H","UseDPDF=Y")</f>
        <v>-2633</v>
      </c>
      <c r="G9" s="13">
        <f>_xll.BDH("XOM US Equity","NON_CASH_ITEMS_DETAILED","FQ3 2009","FQ3 2009","Currency=USD","Period=FQ","BEST_FPERIOD_OVERRIDE=FQ","FILING_STATUS=OR","SCALING_FORMAT=MLN","Sort=A","Dates=H","DateFormat=P","Fill=—","Direction=H","UseDPDF=Y")</f>
        <v>1030</v>
      </c>
      <c r="H9" s="13">
        <f>_xll.BDH("XOM US Equity","NON_CASH_ITEMS_DETAILED","FQ4 2009","FQ4 2009","Currency=USD","Period=FQ","BEST_FPERIOD_OVERRIDE=FQ","FILING_STATUS=OR","SCALING_FORMAT=MLN","Sort=A","Dates=H","DateFormat=P","Fill=—","Direction=H","UseDPDF=Y")</f>
        <v>-432</v>
      </c>
      <c r="I9" s="13">
        <f>_xll.BDH("XOM US Equity","NON_CASH_ITEMS_DETAILED","FQ1 2010","FQ1 2010","Currency=USD","Period=FQ","BEST_FPERIOD_OVERRIDE=FQ","FILING_STATUS=OR","SCALING_FORMAT=MLN","Sort=A","Dates=H","DateFormat=P","Fill=—","Direction=H","UseDPDF=Y")</f>
        <v>265</v>
      </c>
      <c r="J9" s="13">
        <f>_xll.BDH("XOM US Equity","NON_CASH_ITEMS_DETAILED","FQ2 2010","FQ2 2010","Currency=USD","Period=FQ","BEST_FPERIOD_OVERRIDE=FQ","FILING_STATUS=OR","SCALING_FORMAT=MLN","Sort=A","Dates=H","DateFormat=P","Fill=—","Direction=H","UseDPDF=Y")</f>
        <v>-558</v>
      </c>
      <c r="K9" s="13">
        <f>_xll.BDH("XOM US Equity","NON_CASH_ITEMS_DETAILED","FQ3 2010","FQ3 2010","Currency=USD","Period=FQ","BEST_FPERIOD_OVERRIDE=FQ","FILING_STATUS=OR","SCALING_FORMAT=MLN","Sort=A","Dates=H","DateFormat=P","Fill=—","Direction=H","UseDPDF=Y")</f>
        <v>229</v>
      </c>
      <c r="L9" s="13">
        <f>_xll.BDH("XOM US Equity","NON_CASH_ITEMS_DETAILED","FQ4 2010","FQ4 2010","Currency=USD","Period=FQ","BEST_FPERIOD_OVERRIDE=FQ","FILING_STATUS=OR","SCALING_FORMAT=MLN","Sort=A","Dates=H","DateFormat=P","Fill=—","Direction=H","UseDPDF=Y")</f>
        <v>-588</v>
      </c>
      <c r="M9" s="13">
        <f>_xll.BDH("XOM US Equity","NON_CASH_ITEMS_DETAILED","FQ1 2011","FQ1 2011","Currency=USD","Period=FQ","BEST_FPERIOD_OVERRIDE=FQ","FILING_STATUS=OR","SCALING_FORMAT=MLN","Sort=A","Dates=H","DateFormat=P","Fill=—","Direction=H","UseDPDF=Y")</f>
        <v>-442</v>
      </c>
      <c r="N9" s="13">
        <f>_xll.BDH("XOM US Equity","NON_CASH_ITEMS_DETAILED","FQ2 2011","FQ2 2011","Currency=USD","Period=FQ","BEST_FPERIOD_OVERRIDE=FQ","FILING_STATUS=OR","SCALING_FORMAT=MLN","Sort=A","Dates=H","DateFormat=P","Fill=—","Direction=H","UseDPDF=Y")</f>
        <v>137</v>
      </c>
      <c r="O9" s="13">
        <f>_xll.BDH("XOM US Equity","NON_CASH_ITEMS_DETAILED","FQ3 2011","FQ3 2011","Currency=USD","Period=FQ","BEST_FPERIOD_OVERRIDE=FQ","FILING_STATUS=OR","SCALING_FORMAT=MLN","Sort=A","Dates=H","DateFormat=P","Fill=—","Direction=H","UseDPDF=Y")</f>
        <v>-423</v>
      </c>
      <c r="P9" s="13">
        <f>_xll.BDH("XOM US Equity","NON_CASH_ITEMS_DETAILED","FQ4 2011","FQ4 2011","Currency=USD","Period=FQ","BEST_FPERIOD_OVERRIDE=FQ","FILING_STATUS=OR","SCALING_FORMAT=MLN","Sort=A","Dates=H","DateFormat=P","Fill=—","Direction=H","UseDPDF=Y")</f>
        <v>442</v>
      </c>
      <c r="Q9" s="13">
        <f>_xll.BDH("XOM US Equity","NON_CASH_ITEMS_DETAILED","FQ1 2012","FQ1 2012","Currency=USD","Period=FQ","BEST_FPERIOD_OVERRIDE=FQ","FILING_STATUS=OR","SCALING_FORMAT=MLN","Sort=A","Dates=H","DateFormat=P","Fill=—","Direction=H","UseDPDF=Y")</f>
        <v>203</v>
      </c>
      <c r="R9" s="13">
        <f>_xll.BDH("XOM US Equity","NON_CASH_ITEMS_DETAILED","FQ2 2012","FQ2 2012","Currency=USD","Period=FQ","BEST_FPERIOD_OVERRIDE=FQ","FILING_STATUS=OR","SCALING_FORMAT=MLN","Sort=A","Dates=H","DateFormat=P","Fill=—","Direction=H","UseDPDF=Y")</f>
        <v>-7208</v>
      </c>
      <c r="S9" s="13">
        <f>_xll.BDH("XOM US Equity","NON_CASH_ITEMS_DETAILED","FQ3 2012","FQ3 2012","Currency=USD","Period=FQ","BEST_FPERIOD_OVERRIDE=FQ","FILING_STATUS=OR","SCALING_FORMAT=MLN","Sort=A","Dates=H","DateFormat=P","Fill=—","Direction=H","UseDPDF=Y")</f>
        <v>124</v>
      </c>
      <c r="T9" s="13">
        <f>_xll.BDH("XOM US Equity","NON_CASH_ITEMS_DETAILED","FQ4 2012","FQ4 2012","Currency=USD","Period=FQ","BEST_FPERIOD_OVERRIDE=FQ","FILING_STATUS=OR","SCALING_FORMAT=MLN","Sort=A","Dates=H","DateFormat=P","Fill=—","Direction=H","UseDPDF=Y")</f>
        <v>1656</v>
      </c>
      <c r="U9" s="13">
        <f>_xll.BDH("XOM US Equity","NON_CASH_ITEMS_DETAILED","FQ1 2013","FQ1 2013","Currency=USD","Period=FQ","BEST_FPERIOD_OVERRIDE=FQ","FILING_STATUS=OR","SCALING_FORMAT=MLN","Sort=A","Dates=H","DateFormat=P","Fill=—","Direction=H","UseDPDF=Y")</f>
        <v>-2339</v>
      </c>
      <c r="V9" s="13">
        <f>_xll.BDH("XOM US Equity","NON_CASH_ITEMS_DETAILED","FQ2 2013","FQ2 2013","Currency=USD","Period=FQ","BEST_FPERIOD_OVERRIDE=FQ","FILING_STATUS=OR","SCALING_FORMAT=MLN","Sort=A","Dates=H","DateFormat=P","Fill=—","Direction=H","UseDPDF=Y")</f>
        <v>1701</v>
      </c>
      <c r="W9" s="13">
        <f>_xll.BDH("XOM US Equity","NON_CASH_ITEMS_DETAILED","FQ3 2013","FQ3 2013","Currency=USD","Period=FQ","BEST_FPERIOD_OVERRIDE=FQ","FILING_STATUS=OR","SCALING_FORMAT=MLN","Sort=A","Dates=H","DateFormat=P","Fill=—","Direction=H","UseDPDF=Y")</f>
        <v>988</v>
      </c>
      <c r="X9" s="13">
        <f>_xll.BDH("XOM US Equity","NON_CASH_ITEMS_DETAILED","FQ4 2013","FQ4 2013","Currency=USD","Period=FQ","BEST_FPERIOD_OVERRIDE=FQ","FILING_STATUS=OR","SCALING_FORMAT=MLN","Sort=A","Dates=H","DateFormat=P","Fill=—","Direction=H","UseDPDF=Y")</f>
        <v>-478</v>
      </c>
      <c r="Y9" s="13">
        <f>_xll.BDH("XOM US Equity","NON_CASH_ITEMS_DETAILED","FQ1 2014","FQ1 2014","Currency=USD","Period=FQ","BEST_FPERIOD_OVERRIDE=FQ","FILING_STATUS=OR","SCALING_FORMAT=MLN","Sort=A","Dates=H","DateFormat=P","Fill=—","Direction=H","UseDPDF=Y")</f>
        <v>-641</v>
      </c>
      <c r="Z9" s="13">
        <f>_xll.BDH("XOM US Equity","NON_CASH_ITEMS_DETAILED","FQ2 2014","FQ2 2014","Currency=USD","Period=FQ","BEST_FPERIOD_OVERRIDE=FQ","FILING_STATUS=OR","SCALING_FORMAT=MLN","Sort=A","Dates=H","DateFormat=P","Fill=—","Direction=H","UseDPDF=Y")</f>
        <v>-414</v>
      </c>
      <c r="AA9" s="13">
        <f>_xll.BDH("XOM US Equity","NON_CASH_ITEMS_DETAILED","FQ3 2014","FQ3 2014","Currency=USD","Period=FQ","BEST_FPERIOD_OVERRIDE=FQ","FILING_STATUS=OR","SCALING_FORMAT=MLN","Sort=A","Dates=H","DateFormat=P","Fill=—","Direction=H","UseDPDF=Y")</f>
        <v>427</v>
      </c>
      <c r="AB9" s="13">
        <f>_xll.BDH("XOM US Equity","NON_CASH_ITEMS_DETAILED","FQ4 2014","FQ4 2014","Currency=USD","Period=FQ","BEST_FPERIOD_OVERRIDE=FQ","FILING_STATUS=OR","SCALING_FORMAT=MLN","Sort=A","Dates=H","DateFormat=P","Fill=—","Direction=H","UseDPDF=Y")</f>
        <v>859</v>
      </c>
      <c r="AC9" s="13">
        <f>_xll.BDH("XOM US Equity","NON_CASH_ITEMS_DETAILED","FQ1 2015","FQ1 2015","Currency=USD","Period=FQ","BEST_FPERIOD_OVERRIDE=FQ","FILING_STATUS=OR","SCALING_FORMAT=MLN","Sort=A","Dates=H","DateFormat=P","Fill=—","Direction=H","UseDPDF=Y")</f>
        <v>-733</v>
      </c>
      <c r="AD9" s="13">
        <f>_xll.BDH("XOM US Equity","NON_CASH_ITEMS_DETAILED","FQ2 2015","FQ2 2015","Currency=USD","Period=FQ","BEST_FPERIOD_OVERRIDE=FQ","FILING_STATUS=OR","SCALING_FORMAT=MLN","Sort=A","Dates=H","DateFormat=P","Fill=—","Direction=H","UseDPDF=Y")</f>
        <v>1175</v>
      </c>
      <c r="AE9" s="13">
        <f>_xll.BDH("XOM US Equity","NON_CASH_ITEMS_DETAILED","FQ3 2015","FQ3 2015","Currency=USD","Period=FQ","BEST_FPERIOD_OVERRIDE=FQ","FILING_STATUS=OR","SCALING_FORMAT=MLN","Sort=A","Dates=H","DateFormat=P","Fill=—","Direction=H","UseDPDF=Y")</f>
        <v>-104</v>
      </c>
      <c r="AF9" s="13">
        <f>_xll.BDH("XOM US Equity","NON_CASH_ITEMS_DETAILED","FQ4 2015","FQ4 2015","Currency=USD","Period=FQ","BEST_FPERIOD_OVERRIDE=FQ","FILING_STATUS=OR","SCALING_FORMAT=MLN","Sort=A","Dates=H","DateFormat=P","Fill=—","Direction=H","UseDPDF=Y")</f>
        <v>-1079</v>
      </c>
      <c r="AG9" s="13">
        <f>_xll.BDH("XOM US Equity","NON_CASH_ITEMS_DETAILED","FQ1 2016","FQ1 2016","Currency=USD","Period=FQ","BEST_FPERIOD_OVERRIDE=FQ","FILING_STATUS=OR","SCALING_FORMAT=MLN","Sort=A","Dates=H","DateFormat=P","Fill=—","Direction=H","UseDPDF=Y")</f>
        <v>-1364</v>
      </c>
      <c r="AH9" s="13">
        <f>_xll.BDH("XOM US Equity","NON_CASH_ITEMS_DETAILED","FQ2 2016","FQ2 2016","Currency=USD","Period=FQ","BEST_FPERIOD_OVERRIDE=FQ","FILING_STATUS=OR","SCALING_FORMAT=MLN","Sort=A","Dates=H","DateFormat=P","Fill=—","Direction=H","UseDPDF=Y")</f>
        <v>-676</v>
      </c>
      <c r="AI9" s="13">
        <f>_xll.BDH("XOM US Equity","NON_CASH_ITEMS_DETAILED","FQ3 2016","FQ3 2016","Currency=USD","Period=FQ","BEST_FPERIOD_OVERRIDE=FQ","FILING_STATUS=OR","SCALING_FORMAT=MLN","Sort=A","Dates=H","DateFormat=P","Fill=—","Direction=H","UseDPDF=Y")</f>
        <v>-1239</v>
      </c>
      <c r="AJ9" s="13">
        <f>_xll.BDH("XOM US Equity","NON_CASH_ITEMS_DETAILED","FQ4 2016","FQ4 2016","Currency=USD","Period=FQ","BEST_FPERIOD_OVERRIDE=FQ","FILING_STATUS=OR","SCALING_FORMAT=MLN","Sort=A","Dates=H","DateFormat=P","Fill=—","Direction=H","UseDPDF=Y")</f>
        <v>-3395</v>
      </c>
      <c r="AK9" s="13">
        <f>_xll.BDH("XOM US Equity","NON_CASH_ITEMS_DETAILED","FQ1 2017","FQ1 2017","Currency=USD","Period=FQ","BEST_FPERIOD_OVERRIDE=FQ","FILING_STATUS=OR","SCALING_FORMAT=MLN","Sort=A","Dates=H","DateFormat=P","Fill=—","Direction=H","UseDPDF=Y")</f>
        <v>-1149</v>
      </c>
      <c r="AL9" s="13">
        <f>_xll.BDH("XOM US Equity","NON_CASH_ITEMS_DETAILED","FQ2 2017","FQ2 2017","Currency=USD","Period=FQ","BEST_FPERIOD_OVERRIDE=FQ","FILING_STATUS=OR","SCALING_FORMAT=MLN","Sort=A","Dates=H","DateFormat=P","Fill=—","Direction=H","UseDPDF=Y")</f>
        <v>-34</v>
      </c>
      <c r="AM9" s="13">
        <f>_xll.BDH("XOM US Equity","NON_CASH_ITEMS_DETAILED","FQ3 2017","FQ3 2017","Currency=USD","Period=FQ","BEST_FPERIOD_OVERRIDE=FQ","FILING_STATUS=OR","SCALING_FORMAT=MLN","Sort=A","Dates=H","DateFormat=P","Fill=—","Direction=H","UseDPDF=Y")</f>
        <v>-996</v>
      </c>
      <c r="AN9" s="13">
        <f>_xll.BDH("XOM US Equity","NON_CASH_ITEMS_DETAILED","FQ4 2017","FQ4 2017","Currency=USD","Period=FQ","BEST_FPERIOD_OVERRIDE=FQ","FILING_STATUS=OR","SCALING_FORMAT=MLN","Sort=A","Dates=H","DateFormat=P","Fill=—","Direction=H","UseDPDF=Y")</f>
        <v>-6709</v>
      </c>
      <c r="AO9" s="13">
        <f>_xll.BDH("XOM US Equity","NON_CASH_ITEMS_DETAILED","FQ1 2018","FQ1 2018","Currency=USD","Period=FQ","BEST_FPERIOD_OVERRIDE=FQ","FILING_STATUS=OR","SCALING_FORMAT=MLN","Sort=A","Dates=H","DateFormat=P","Fill=—","Direction=H","UseDPDF=Y")</f>
        <v>-952</v>
      </c>
      <c r="AP9" s="13">
        <f>_xll.BDH("XOM US Equity","NON_CASH_ITEMS_DETAILED","FQ2 2018","FQ2 2018","Currency=USD","Period=FQ","BEST_FPERIOD_OVERRIDE=FQ","FILING_STATUS=OR","SCALING_FORMAT=MLN","Sort=A","Dates=H","DateFormat=P","Fill=—","Direction=H","UseDPDF=Y")</f>
        <v>574</v>
      </c>
    </row>
    <row r="10" spans="1:42" x14ac:dyDescent="0.25">
      <c r="A10" s="10" t="s">
        <v>368</v>
      </c>
      <c r="B10" s="10" t="s">
        <v>369</v>
      </c>
      <c r="C10" s="13" t="str">
        <f>_xll.BDH("XOM US Equity","CF_STOCK_BASED_COMPENSATION","FQ3 2008","FQ3 2008","Currency=USD","Period=FQ","BEST_FPERIOD_OVERRIDE=FQ","FILING_STATUS=OR","SCALING_FORMAT=MLN","Sort=A","Dates=H","DateFormat=P","Fill=—","Direction=H","UseDPDF=Y")</f>
        <v>—</v>
      </c>
      <c r="D10" s="13" t="str">
        <f>_xll.BDH("XOM US Equity","CF_STOCK_BASED_COMPENSATION","FQ4 2008","FQ4 2008","Currency=USD","Period=FQ","BEST_FPERIOD_OVERRIDE=FQ","FILING_STATUS=OR","SCALING_FORMAT=MLN","Sort=A","Dates=H","DateFormat=P","Fill=—","Direction=H","UseDPDF=Y")</f>
        <v>—</v>
      </c>
      <c r="E10" s="13" t="str">
        <f>_xll.BDH("XOM US Equity","CF_STOCK_BASED_COMPENSATION","FQ1 2009","FQ1 2009","Currency=USD","Period=FQ","BEST_FPERIOD_OVERRIDE=FQ","FILING_STATUS=OR","SCALING_FORMAT=MLN","Sort=A","Dates=H","DateFormat=P","Fill=—","Direction=H","UseDPDF=Y")</f>
        <v>—</v>
      </c>
      <c r="F10" s="13" t="str">
        <f>_xll.BDH("XOM US Equity","CF_STOCK_BASED_COMPENSATION","FQ2 2009","FQ2 2009","Currency=USD","Period=FQ","BEST_FPERIOD_OVERRIDE=FQ","FILING_STATUS=OR","SCALING_FORMAT=MLN","Sort=A","Dates=H","DateFormat=P","Fill=—","Direction=H","UseDPDF=Y")</f>
        <v>—</v>
      </c>
      <c r="G10" s="13" t="str">
        <f>_xll.BDH("XOM US Equity","CF_STOCK_BASED_COMPENSATION","FQ3 2009","FQ3 2009","Currency=USD","Period=FQ","BEST_FPERIOD_OVERRIDE=FQ","FILING_STATUS=OR","SCALING_FORMAT=MLN","Sort=A","Dates=H","DateFormat=P","Fill=—","Direction=H","UseDPDF=Y")</f>
        <v>—</v>
      </c>
      <c r="H10" s="13" t="str">
        <f>_xll.BDH("XOM US Equity","CF_STOCK_BASED_COMPENSATION","FQ4 2009","FQ4 2009","Currency=USD","Period=FQ","BEST_FPERIOD_OVERRIDE=FQ","FILING_STATUS=OR","SCALING_FORMAT=MLN","Sort=A","Dates=H","DateFormat=P","Fill=—","Direction=H","UseDPDF=Y")</f>
        <v>—</v>
      </c>
      <c r="I10" s="13" t="str">
        <f>_xll.BDH("XOM US Equity","CF_STOCK_BASED_COMPENSATION","FQ1 2010","FQ1 2010","Currency=USD","Period=FQ","BEST_FPERIOD_OVERRIDE=FQ","FILING_STATUS=OR","SCALING_FORMAT=MLN","Sort=A","Dates=H","DateFormat=P","Fill=—","Direction=H","UseDPDF=Y")</f>
        <v>—</v>
      </c>
      <c r="J10" s="13" t="str">
        <f>_xll.BDH("XOM US Equity","CF_STOCK_BASED_COMPENSATION","FQ2 2010","FQ2 2010","Currency=USD","Period=FQ","BEST_FPERIOD_OVERRIDE=FQ","FILING_STATUS=OR","SCALING_FORMAT=MLN","Sort=A","Dates=H","DateFormat=P","Fill=—","Direction=H","UseDPDF=Y")</f>
        <v>—</v>
      </c>
      <c r="K10" s="13" t="str">
        <f>_xll.BDH("XOM US Equity","CF_STOCK_BASED_COMPENSATION","FQ3 2010","FQ3 2010","Currency=USD","Period=FQ","BEST_FPERIOD_OVERRIDE=FQ","FILING_STATUS=OR","SCALING_FORMAT=MLN","Sort=A","Dates=H","DateFormat=P","Fill=—","Direction=H","UseDPDF=Y")</f>
        <v>—</v>
      </c>
      <c r="L10" s="13" t="str">
        <f>_xll.BDH("XOM US Equity","CF_STOCK_BASED_COMPENSATION","FQ4 2010","FQ4 2010","Currency=USD","Period=FQ","BEST_FPERIOD_OVERRIDE=FQ","FILING_STATUS=OR","SCALING_FORMAT=MLN","Sort=A","Dates=H","DateFormat=P","Fill=—","Direction=H","UseDPDF=Y")</f>
        <v>—</v>
      </c>
      <c r="M10" s="13" t="str">
        <f>_xll.BDH("XOM US Equity","CF_STOCK_BASED_COMPENSATION","FQ1 2011","FQ1 2011","Currency=USD","Period=FQ","BEST_FPERIOD_OVERRIDE=FQ","FILING_STATUS=OR","SCALING_FORMAT=MLN","Sort=A","Dates=H","DateFormat=P","Fill=—","Direction=H","UseDPDF=Y")</f>
        <v>—</v>
      </c>
      <c r="N10" s="13" t="str">
        <f>_xll.BDH("XOM US Equity","CF_STOCK_BASED_COMPENSATION","FQ2 2011","FQ2 2011","Currency=USD","Period=FQ","BEST_FPERIOD_OVERRIDE=FQ","FILING_STATUS=OR","SCALING_FORMAT=MLN","Sort=A","Dates=H","DateFormat=P","Fill=—","Direction=H","UseDPDF=Y")</f>
        <v>—</v>
      </c>
      <c r="O10" s="13" t="str">
        <f>_xll.BDH("XOM US Equity","CF_STOCK_BASED_COMPENSATION","FQ3 2011","FQ3 2011","Currency=USD","Period=FQ","BEST_FPERIOD_OVERRIDE=FQ","FILING_STATUS=OR","SCALING_FORMAT=MLN","Sort=A","Dates=H","DateFormat=P","Fill=—","Direction=H","UseDPDF=Y")</f>
        <v>—</v>
      </c>
      <c r="P10" s="13" t="str">
        <f>_xll.BDH("XOM US Equity","CF_STOCK_BASED_COMPENSATION","FQ4 2011","FQ4 2011","Currency=USD","Period=FQ","BEST_FPERIOD_OVERRIDE=FQ","FILING_STATUS=OR","SCALING_FORMAT=MLN","Sort=A","Dates=H","DateFormat=P","Fill=—","Direction=H","UseDPDF=Y")</f>
        <v>—</v>
      </c>
      <c r="Q10" s="13">
        <f>_xll.BDH("XOM US Equity","CF_STOCK_BASED_COMPENSATION","FQ1 2012","FQ1 2012","Currency=USD","Period=FQ","BEST_FPERIOD_OVERRIDE=FQ","FILING_STATUS=OR","SCALING_FORMAT=MLN","Sort=A","Dates=H","DateFormat=P","Fill=—","Direction=H","UseDPDF=Y")</f>
        <v>0</v>
      </c>
      <c r="R10" s="13" t="str">
        <f>_xll.BDH("XOM US Equity","CF_STOCK_BASED_COMPENSATION","FQ2 2012","FQ2 2012","Currency=USD","Period=FQ","BEST_FPERIOD_OVERRIDE=FQ","FILING_STATUS=OR","SCALING_FORMAT=MLN","Sort=A","Dates=H","DateFormat=P","Fill=—","Direction=H","UseDPDF=Y")</f>
        <v>—</v>
      </c>
      <c r="S10" s="13" t="str">
        <f>_xll.BDH("XOM US Equity","CF_STOCK_BASED_COMPENSATION","FQ3 2012","FQ3 2012","Currency=USD","Period=FQ","BEST_FPERIOD_OVERRIDE=FQ","FILING_STATUS=OR","SCALING_FORMAT=MLN","Sort=A","Dates=H","DateFormat=P","Fill=—","Direction=H","UseDPDF=Y")</f>
        <v>—</v>
      </c>
      <c r="T10" s="13" t="str">
        <f>_xll.BDH("XOM US Equity","CF_STOCK_BASED_COMPENSATION","FQ4 2012","FQ4 2012","Currency=USD","Period=FQ","BEST_FPERIOD_OVERRIDE=FQ","FILING_STATUS=OR","SCALING_FORMAT=MLN","Sort=A","Dates=H","DateFormat=P","Fill=—","Direction=H","UseDPDF=Y")</f>
        <v>—</v>
      </c>
      <c r="U10" s="13">
        <f>_xll.BDH("XOM US Equity","CF_STOCK_BASED_COMPENSATION","FQ1 2013","FQ1 2013","Currency=USD","Period=FQ","BEST_FPERIOD_OVERRIDE=FQ","FILING_STATUS=OR","SCALING_FORMAT=MLN","Sort=A","Dates=H","DateFormat=P","Fill=—","Direction=H","UseDPDF=Y")</f>
        <v>0</v>
      </c>
      <c r="V10" s="13">
        <f>_xll.BDH("XOM US Equity","CF_STOCK_BASED_COMPENSATION","FQ2 2013","FQ2 2013","Currency=USD","Period=FQ","BEST_FPERIOD_OVERRIDE=FQ","FILING_STATUS=OR","SCALING_FORMAT=MLN","Sort=A","Dates=H","DateFormat=P","Fill=—","Direction=H","UseDPDF=Y")</f>
        <v>0</v>
      </c>
      <c r="W10" s="13" t="str">
        <f>_xll.BDH("XOM US Equity","CF_STOCK_BASED_COMPENSATION","FQ3 2013","FQ3 2013","Currency=USD","Period=FQ","BEST_FPERIOD_OVERRIDE=FQ","FILING_STATUS=OR","SCALING_FORMAT=MLN","Sort=A","Dates=H","DateFormat=P","Fill=—","Direction=H","UseDPDF=Y")</f>
        <v>—</v>
      </c>
      <c r="X10" s="13" t="str">
        <f>_xll.BDH("XOM US Equity","CF_STOCK_BASED_COMPENSATION","FQ4 2013","FQ4 2013","Currency=USD","Period=FQ","BEST_FPERIOD_OVERRIDE=FQ","FILING_STATUS=OR","SCALING_FORMAT=MLN","Sort=A","Dates=H","DateFormat=P","Fill=—","Direction=H","UseDPDF=Y")</f>
        <v>—</v>
      </c>
      <c r="Y10" s="13">
        <f>_xll.BDH("XOM US Equity","CF_STOCK_BASED_COMPENSATION","FQ1 2014","FQ1 2014","Currency=USD","Period=FQ","BEST_FPERIOD_OVERRIDE=FQ","FILING_STATUS=OR","SCALING_FORMAT=MLN","Sort=A","Dates=H","DateFormat=P","Fill=—","Direction=H","UseDPDF=Y")</f>
        <v>0</v>
      </c>
      <c r="Z10" s="13">
        <f>_xll.BDH("XOM US Equity","CF_STOCK_BASED_COMPENSATION","FQ2 2014","FQ2 2014","Currency=USD","Period=FQ","BEST_FPERIOD_OVERRIDE=FQ","FILING_STATUS=OR","SCALING_FORMAT=MLN","Sort=A","Dates=H","DateFormat=P","Fill=—","Direction=H","UseDPDF=Y")</f>
        <v>0</v>
      </c>
      <c r="AA10" s="13">
        <f>_xll.BDH("XOM US Equity","CF_STOCK_BASED_COMPENSATION","FQ3 2014","FQ3 2014","Currency=USD","Period=FQ","BEST_FPERIOD_OVERRIDE=FQ","FILING_STATUS=OR","SCALING_FORMAT=MLN","Sort=A","Dates=H","DateFormat=P","Fill=—","Direction=H","UseDPDF=Y")</f>
        <v>0</v>
      </c>
      <c r="AB10" s="13" t="str">
        <f>_xll.BDH("XOM US Equity","CF_STOCK_BASED_COMPENSATION","FQ4 2014","FQ4 2014","Currency=USD","Period=FQ","BEST_FPERIOD_OVERRIDE=FQ","FILING_STATUS=OR","SCALING_FORMAT=MLN","Sort=A","Dates=H","DateFormat=P","Fill=—","Direction=H","UseDPDF=Y")</f>
        <v>—</v>
      </c>
      <c r="AC10" s="13" t="str">
        <f>_xll.BDH("XOM US Equity","CF_STOCK_BASED_COMPENSATION","FQ1 2015","FQ1 2015","Currency=USD","Period=FQ","BEST_FPERIOD_OVERRIDE=FQ","FILING_STATUS=OR","SCALING_FORMAT=MLN","Sort=A","Dates=H","DateFormat=P","Fill=—","Direction=H","UseDPDF=Y")</f>
        <v>—</v>
      </c>
      <c r="AD10" s="13" t="str">
        <f>_xll.BDH("XOM US Equity","CF_STOCK_BASED_COMPENSATION","FQ2 2015","FQ2 2015","Currency=USD","Period=FQ","BEST_FPERIOD_OVERRIDE=FQ","FILING_STATUS=OR","SCALING_FORMAT=MLN","Sort=A","Dates=H","DateFormat=P","Fill=—","Direction=H","UseDPDF=Y")</f>
        <v>—</v>
      </c>
      <c r="AE10" s="13" t="str">
        <f>_xll.BDH("XOM US Equity","CF_STOCK_BASED_COMPENSATION","FQ3 2015","FQ3 2015","Currency=USD","Period=FQ","BEST_FPERIOD_OVERRIDE=FQ","FILING_STATUS=OR","SCALING_FORMAT=MLN","Sort=A","Dates=H","DateFormat=P","Fill=—","Direction=H","UseDPDF=Y")</f>
        <v>—</v>
      </c>
      <c r="AF10" s="13" t="str">
        <f>_xll.BDH("XOM US Equity","CF_STOCK_BASED_COMPENSATION","FQ4 2015","FQ4 2015","Currency=USD","Period=FQ","BEST_FPERIOD_OVERRIDE=FQ","FILING_STATUS=OR","SCALING_FORMAT=MLN","Sort=A","Dates=H","DateFormat=P","Fill=—","Direction=H","UseDPDF=Y")</f>
        <v>—</v>
      </c>
      <c r="AG10" s="13" t="str">
        <f>_xll.BDH("XOM US Equity","CF_STOCK_BASED_COMPENSATION","FQ1 2016","FQ1 2016","Currency=USD","Period=FQ","BEST_FPERIOD_OVERRIDE=FQ","FILING_STATUS=OR","SCALING_FORMAT=MLN","Sort=A","Dates=H","DateFormat=P","Fill=—","Direction=H","UseDPDF=Y")</f>
        <v>—</v>
      </c>
      <c r="AH10" s="13" t="str">
        <f>_xll.BDH("XOM US Equity","CF_STOCK_BASED_COMPENSATION","FQ2 2016","FQ2 2016","Currency=USD","Period=FQ","BEST_FPERIOD_OVERRIDE=FQ","FILING_STATUS=OR","SCALING_FORMAT=MLN","Sort=A","Dates=H","DateFormat=P","Fill=—","Direction=H","UseDPDF=Y")</f>
        <v>—</v>
      </c>
      <c r="AI10" s="13" t="str">
        <f>_xll.BDH("XOM US Equity","CF_STOCK_BASED_COMPENSATION","FQ3 2016","FQ3 2016","Currency=USD","Period=FQ","BEST_FPERIOD_OVERRIDE=FQ","FILING_STATUS=OR","SCALING_FORMAT=MLN","Sort=A","Dates=H","DateFormat=P","Fill=—","Direction=H","UseDPDF=Y")</f>
        <v>—</v>
      </c>
      <c r="AJ10" s="13" t="str">
        <f>_xll.BDH("XOM US Equity","CF_STOCK_BASED_COMPENSATION","FQ4 2016","FQ4 2016","Currency=USD","Period=FQ","BEST_FPERIOD_OVERRIDE=FQ","FILING_STATUS=OR","SCALING_FORMAT=MLN","Sort=A","Dates=H","DateFormat=P","Fill=—","Direction=H","UseDPDF=Y")</f>
        <v>—</v>
      </c>
      <c r="AK10" s="13" t="str">
        <f>_xll.BDH("XOM US Equity","CF_STOCK_BASED_COMPENSATION","FQ1 2017","FQ1 2017","Currency=USD","Period=FQ","BEST_FPERIOD_OVERRIDE=FQ","FILING_STATUS=OR","SCALING_FORMAT=MLN","Sort=A","Dates=H","DateFormat=P","Fill=—","Direction=H","UseDPDF=Y")</f>
        <v>—</v>
      </c>
      <c r="AL10" s="13" t="str">
        <f>_xll.BDH("XOM US Equity","CF_STOCK_BASED_COMPENSATION","FQ2 2017","FQ2 2017","Currency=USD","Period=FQ","BEST_FPERIOD_OVERRIDE=FQ","FILING_STATUS=OR","SCALING_FORMAT=MLN","Sort=A","Dates=H","DateFormat=P","Fill=—","Direction=H","UseDPDF=Y")</f>
        <v>—</v>
      </c>
      <c r="AM10" s="13" t="str">
        <f>_xll.BDH("XOM US Equity","CF_STOCK_BASED_COMPENSATION","FQ3 2017","FQ3 2017","Currency=USD","Period=FQ","BEST_FPERIOD_OVERRIDE=FQ","FILING_STATUS=OR","SCALING_FORMAT=MLN","Sort=A","Dates=H","DateFormat=P","Fill=—","Direction=H","UseDPDF=Y")</f>
        <v>—</v>
      </c>
      <c r="AN10" s="13" t="str">
        <f>_xll.BDH("XOM US Equity","CF_STOCK_BASED_COMPENSATION","FQ4 2017","FQ4 2017","Currency=USD","Period=FQ","BEST_FPERIOD_OVERRIDE=FQ","FILING_STATUS=OR","SCALING_FORMAT=MLN","Sort=A","Dates=H","DateFormat=P","Fill=—","Direction=H","UseDPDF=Y")</f>
        <v>—</v>
      </c>
      <c r="AO10" s="13" t="str">
        <f>_xll.BDH("XOM US Equity","CF_STOCK_BASED_COMPENSATION","FQ1 2018","FQ1 2018","Currency=USD","Period=FQ","BEST_FPERIOD_OVERRIDE=FQ","FILING_STATUS=OR","SCALING_FORMAT=MLN","Sort=A","Dates=H","DateFormat=P","Fill=—","Direction=H","UseDPDF=Y")</f>
        <v>—</v>
      </c>
      <c r="AP10" s="13" t="str">
        <f>_xll.BDH("XOM US Equity","CF_STOCK_BASED_COMPENSATION","FQ2 2018","FQ2 2018","Currency=USD","Period=FQ","BEST_FPERIOD_OVERRIDE=FQ","FILING_STATUS=OR","SCALING_FORMAT=MLN","Sort=A","Dates=H","DateFormat=P","Fill=—","Direction=H","UseDPDF=Y")</f>
        <v>—</v>
      </c>
    </row>
    <row r="11" spans="1:42" x14ac:dyDescent="0.25">
      <c r="A11" s="10" t="s">
        <v>370</v>
      </c>
      <c r="B11" s="10" t="s">
        <v>371</v>
      </c>
      <c r="C11" s="13" t="str">
        <f>_xll.BDH("XOM US Equity","CF_DEF_INC_TAX","FQ3 2008","FQ3 2008","Currency=USD","Period=FQ","BEST_FPERIOD_OVERRIDE=FQ","FILING_STATUS=OR","SCALING_FORMAT=MLN","Sort=A","Dates=H","DateFormat=P","Fill=—","Direction=H","UseDPDF=Y")</f>
        <v>—</v>
      </c>
      <c r="D11" s="13">
        <f>_xll.BDH("XOM US Equity","CF_DEF_INC_TAX","FQ4 2008","FQ4 2008","Currency=USD","Period=FQ","BEST_FPERIOD_OVERRIDE=FQ","FILING_STATUS=OR","SCALING_FORMAT=MLN","Sort=A","Dates=H","DateFormat=P","Fill=—","Direction=H","UseDPDF=Y")</f>
        <v>1399</v>
      </c>
      <c r="E11" s="13" t="str">
        <f>_xll.BDH("XOM US Equity","CF_DEF_INC_TAX","FQ1 2009","FQ1 2009","Currency=USD","Period=FQ","BEST_FPERIOD_OVERRIDE=FQ","FILING_STATUS=OR","SCALING_FORMAT=MLN","Sort=A","Dates=H","DateFormat=P","Fill=—","Direction=H","UseDPDF=Y")</f>
        <v>—</v>
      </c>
      <c r="F11" s="13" t="str">
        <f>_xll.BDH("XOM US Equity","CF_DEF_INC_TAX","FQ2 2009","FQ2 2009","Currency=USD","Period=FQ","BEST_FPERIOD_OVERRIDE=FQ","FILING_STATUS=OR","SCALING_FORMAT=MLN","Sort=A","Dates=H","DateFormat=P","Fill=—","Direction=H","UseDPDF=Y")</f>
        <v>—</v>
      </c>
      <c r="G11" s="13" t="str">
        <f>_xll.BDH("XOM US Equity","CF_DEF_INC_TAX","FQ3 2009","FQ3 2009","Currency=USD","Period=FQ","BEST_FPERIOD_OVERRIDE=FQ","FILING_STATUS=OR","SCALING_FORMAT=MLN","Sort=A","Dates=H","DateFormat=P","Fill=—","Direction=H","UseDPDF=Y")</f>
        <v>—</v>
      </c>
      <c r="H11" s="13" t="str">
        <f>_xll.BDH("XOM US Equity","CF_DEF_INC_TAX","FQ4 2009","FQ4 2009","Currency=USD","Period=FQ","BEST_FPERIOD_OVERRIDE=FQ","FILING_STATUS=OR","SCALING_FORMAT=MLN","Sort=A","Dates=H","DateFormat=P","Fill=—","Direction=H","UseDPDF=Y")</f>
        <v>—</v>
      </c>
      <c r="I11" s="13" t="str">
        <f>_xll.BDH("XOM US Equity","CF_DEF_INC_TAX","FQ1 2010","FQ1 2010","Currency=USD","Period=FQ","BEST_FPERIOD_OVERRIDE=FQ","FILING_STATUS=OR","SCALING_FORMAT=MLN","Sort=A","Dates=H","DateFormat=P","Fill=—","Direction=H","UseDPDF=Y")</f>
        <v>—</v>
      </c>
      <c r="J11" s="13" t="str">
        <f>_xll.BDH("XOM US Equity","CF_DEF_INC_TAX","FQ2 2010","FQ2 2010","Currency=USD","Period=FQ","BEST_FPERIOD_OVERRIDE=FQ","FILING_STATUS=OR","SCALING_FORMAT=MLN","Sort=A","Dates=H","DateFormat=P","Fill=—","Direction=H","UseDPDF=Y")</f>
        <v>—</v>
      </c>
      <c r="K11" s="13" t="str">
        <f>_xll.BDH("XOM US Equity","CF_DEF_INC_TAX","FQ3 2010","FQ3 2010","Currency=USD","Period=FQ","BEST_FPERIOD_OVERRIDE=FQ","FILING_STATUS=OR","SCALING_FORMAT=MLN","Sort=A","Dates=H","DateFormat=P","Fill=—","Direction=H","UseDPDF=Y")</f>
        <v>—</v>
      </c>
      <c r="L11" s="13" t="str">
        <f>_xll.BDH("XOM US Equity","CF_DEF_INC_TAX","FQ4 2010","FQ4 2010","Currency=USD","Period=FQ","BEST_FPERIOD_OVERRIDE=FQ","FILING_STATUS=OR","SCALING_FORMAT=MLN","Sort=A","Dates=H","DateFormat=P","Fill=—","Direction=H","UseDPDF=Y")</f>
        <v>—</v>
      </c>
      <c r="M11" s="13" t="str">
        <f>_xll.BDH("XOM US Equity","CF_DEF_INC_TAX","FQ1 2011","FQ1 2011","Currency=USD","Period=FQ","BEST_FPERIOD_OVERRIDE=FQ","FILING_STATUS=OR","SCALING_FORMAT=MLN","Sort=A","Dates=H","DateFormat=P","Fill=—","Direction=H","UseDPDF=Y")</f>
        <v>—</v>
      </c>
      <c r="N11" s="13" t="str">
        <f>_xll.BDH("XOM US Equity","CF_DEF_INC_TAX","FQ2 2011","FQ2 2011","Currency=USD","Period=FQ","BEST_FPERIOD_OVERRIDE=FQ","FILING_STATUS=OR","SCALING_FORMAT=MLN","Sort=A","Dates=H","DateFormat=P","Fill=—","Direction=H","UseDPDF=Y")</f>
        <v>—</v>
      </c>
      <c r="O11" s="13" t="str">
        <f>_xll.BDH("XOM US Equity","CF_DEF_INC_TAX","FQ3 2011","FQ3 2011","Currency=USD","Period=FQ","BEST_FPERIOD_OVERRIDE=FQ","FILING_STATUS=OR","SCALING_FORMAT=MLN","Sort=A","Dates=H","DateFormat=P","Fill=—","Direction=H","UseDPDF=Y")</f>
        <v>—</v>
      </c>
      <c r="P11" s="13" t="str">
        <f>_xll.BDH("XOM US Equity","CF_DEF_INC_TAX","FQ4 2011","FQ4 2011","Currency=USD","Period=FQ","BEST_FPERIOD_OVERRIDE=FQ","FILING_STATUS=OR","SCALING_FORMAT=MLN","Sort=A","Dates=H","DateFormat=P","Fill=—","Direction=H","UseDPDF=Y")</f>
        <v>—</v>
      </c>
      <c r="Q11" s="13" t="str">
        <f>_xll.BDH("XOM US Equity","CF_DEF_INC_TAX","FQ1 2012","FQ1 2012","Currency=USD","Period=FQ","BEST_FPERIOD_OVERRIDE=FQ","FILING_STATUS=OR","SCALING_FORMAT=MLN","Sort=A","Dates=H","DateFormat=P","Fill=—","Direction=H","UseDPDF=Y")</f>
        <v>—</v>
      </c>
      <c r="R11" s="13" t="str">
        <f>_xll.BDH("XOM US Equity","CF_DEF_INC_TAX","FQ2 2012","FQ2 2012","Currency=USD","Period=FQ","BEST_FPERIOD_OVERRIDE=FQ","FILING_STATUS=OR","SCALING_FORMAT=MLN","Sort=A","Dates=H","DateFormat=P","Fill=—","Direction=H","UseDPDF=Y")</f>
        <v>—</v>
      </c>
      <c r="S11" s="13" t="str">
        <f>_xll.BDH("XOM US Equity","CF_DEF_INC_TAX","FQ3 2012","FQ3 2012","Currency=USD","Period=FQ","BEST_FPERIOD_OVERRIDE=FQ","FILING_STATUS=OR","SCALING_FORMAT=MLN","Sort=A","Dates=H","DateFormat=P","Fill=—","Direction=H","UseDPDF=Y")</f>
        <v>—</v>
      </c>
      <c r="T11" s="13" t="str">
        <f>_xll.BDH("XOM US Equity","CF_DEF_INC_TAX","FQ4 2012","FQ4 2012","Currency=USD","Period=FQ","BEST_FPERIOD_OVERRIDE=FQ","FILING_STATUS=OR","SCALING_FORMAT=MLN","Sort=A","Dates=H","DateFormat=P","Fill=—","Direction=H","UseDPDF=Y")</f>
        <v>—</v>
      </c>
      <c r="U11" s="13" t="str">
        <f>_xll.BDH("XOM US Equity","CF_DEF_INC_TAX","FQ1 2013","FQ1 2013","Currency=USD","Period=FQ","BEST_FPERIOD_OVERRIDE=FQ","FILING_STATUS=OR","SCALING_FORMAT=MLN","Sort=A","Dates=H","DateFormat=P","Fill=—","Direction=H","UseDPDF=Y")</f>
        <v>—</v>
      </c>
      <c r="V11" s="13" t="str">
        <f>_xll.BDH("XOM US Equity","CF_DEF_INC_TAX","FQ2 2013","FQ2 2013","Currency=USD","Period=FQ","BEST_FPERIOD_OVERRIDE=FQ","FILING_STATUS=OR","SCALING_FORMAT=MLN","Sort=A","Dates=H","DateFormat=P","Fill=—","Direction=H","UseDPDF=Y")</f>
        <v>—</v>
      </c>
      <c r="W11" s="13" t="str">
        <f>_xll.BDH("XOM US Equity","CF_DEF_INC_TAX","FQ3 2013","FQ3 2013","Currency=USD","Period=FQ","BEST_FPERIOD_OVERRIDE=FQ","FILING_STATUS=OR","SCALING_FORMAT=MLN","Sort=A","Dates=H","DateFormat=P","Fill=—","Direction=H","UseDPDF=Y")</f>
        <v>—</v>
      </c>
      <c r="X11" s="13" t="str">
        <f>_xll.BDH("XOM US Equity","CF_DEF_INC_TAX","FQ4 2013","FQ4 2013","Currency=USD","Period=FQ","BEST_FPERIOD_OVERRIDE=FQ","FILING_STATUS=OR","SCALING_FORMAT=MLN","Sort=A","Dates=H","DateFormat=P","Fill=—","Direction=H","UseDPDF=Y")</f>
        <v>—</v>
      </c>
      <c r="Y11" s="13" t="str">
        <f>_xll.BDH("XOM US Equity","CF_DEF_INC_TAX","FQ1 2014","FQ1 2014","Currency=USD","Period=FQ","BEST_FPERIOD_OVERRIDE=FQ","FILING_STATUS=OR","SCALING_FORMAT=MLN","Sort=A","Dates=H","DateFormat=P","Fill=—","Direction=H","UseDPDF=Y")</f>
        <v>—</v>
      </c>
      <c r="Z11" s="13" t="str">
        <f>_xll.BDH("XOM US Equity","CF_DEF_INC_TAX","FQ2 2014","FQ2 2014","Currency=USD","Period=FQ","BEST_FPERIOD_OVERRIDE=FQ","FILING_STATUS=OR","SCALING_FORMAT=MLN","Sort=A","Dates=H","DateFormat=P","Fill=—","Direction=H","UseDPDF=Y")</f>
        <v>—</v>
      </c>
      <c r="AA11" s="13" t="str">
        <f>_xll.BDH("XOM US Equity","CF_DEF_INC_TAX","FQ3 2014","FQ3 2014","Currency=USD","Period=FQ","BEST_FPERIOD_OVERRIDE=FQ","FILING_STATUS=OR","SCALING_FORMAT=MLN","Sort=A","Dates=H","DateFormat=P","Fill=—","Direction=H","UseDPDF=Y")</f>
        <v>—</v>
      </c>
      <c r="AB11" s="13" t="str">
        <f>_xll.BDH("XOM US Equity","CF_DEF_INC_TAX","FQ4 2014","FQ4 2014","Currency=USD","Period=FQ","BEST_FPERIOD_OVERRIDE=FQ","FILING_STATUS=OR","SCALING_FORMAT=MLN","Sort=A","Dates=H","DateFormat=P","Fill=—","Direction=H","UseDPDF=Y")</f>
        <v>—</v>
      </c>
      <c r="AC11" s="13" t="str">
        <f>_xll.BDH("XOM US Equity","CF_DEF_INC_TAX","FQ1 2015","FQ1 2015","Currency=USD","Period=FQ","BEST_FPERIOD_OVERRIDE=FQ","FILING_STATUS=OR","SCALING_FORMAT=MLN","Sort=A","Dates=H","DateFormat=P","Fill=—","Direction=H","UseDPDF=Y")</f>
        <v>—</v>
      </c>
      <c r="AD11" s="13" t="str">
        <f>_xll.BDH("XOM US Equity","CF_DEF_INC_TAX","FQ2 2015","FQ2 2015","Currency=USD","Period=FQ","BEST_FPERIOD_OVERRIDE=FQ","FILING_STATUS=OR","SCALING_FORMAT=MLN","Sort=A","Dates=H","DateFormat=P","Fill=—","Direction=H","UseDPDF=Y")</f>
        <v>—</v>
      </c>
      <c r="AE11" s="13" t="str">
        <f>_xll.BDH("XOM US Equity","CF_DEF_INC_TAX","FQ3 2015","FQ3 2015","Currency=USD","Period=FQ","BEST_FPERIOD_OVERRIDE=FQ","FILING_STATUS=OR","SCALING_FORMAT=MLN","Sort=A","Dates=H","DateFormat=P","Fill=—","Direction=H","UseDPDF=Y")</f>
        <v>—</v>
      </c>
      <c r="AF11" s="13" t="str">
        <f>_xll.BDH("XOM US Equity","CF_DEF_INC_TAX","FQ4 2015","FQ4 2015","Currency=USD","Period=FQ","BEST_FPERIOD_OVERRIDE=FQ","FILING_STATUS=OR","SCALING_FORMAT=MLN","Sort=A","Dates=H","DateFormat=P","Fill=—","Direction=H","UseDPDF=Y")</f>
        <v>—</v>
      </c>
      <c r="AG11" s="13" t="str">
        <f>_xll.BDH("XOM US Equity","CF_DEF_INC_TAX","FQ1 2016","FQ1 2016","Currency=USD","Period=FQ","BEST_FPERIOD_OVERRIDE=FQ","FILING_STATUS=OR","SCALING_FORMAT=MLN","Sort=A","Dates=H","DateFormat=P","Fill=—","Direction=H","UseDPDF=Y")</f>
        <v>—</v>
      </c>
      <c r="AH11" s="13" t="str">
        <f>_xll.BDH("XOM US Equity","CF_DEF_INC_TAX","FQ2 2016","FQ2 2016","Currency=USD","Period=FQ","BEST_FPERIOD_OVERRIDE=FQ","FILING_STATUS=OR","SCALING_FORMAT=MLN","Sort=A","Dates=H","DateFormat=P","Fill=—","Direction=H","UseDPDF=Y")</f>
        <v>—</v>
      </c>
      <c r="AI11" s="13" t="str">
        <f>_xll.BDH("XOM US Equity","CF_DEF_INC_TAX","FQ3 2016","FQ3 2016","Currency=USD","Period=FQ","BEST_FPERIOD_OVERRIDE=FQ","FILING_STATUS=OR","SCALING_FORMAT=MLN","Sort=A","Dates=H","DateFormat=P","Fill=—","Direction=H","UseDPDF=Y")</f>
        <v>—</v>
      </c>
      <c r="AJ11" s="13" t="str">
        <f>_xll.BDH("XOM US Equity","CF_DEF_INC_TAX","FQ4 2016","FQ4 2016","Currency=USD","Period=FQ","BEST_FPERIOD_OVERRIDE=FQ","FILING_STATUS=OR","SCALING_FORMAT=MLN","Sort=A","Dates=H","DateFormat=P","Fill=—","Direction=H","UseDPDF=Y")</f>
        <v>—</v>
      </c>
      <c r="AK11" s="13" t="str">
        <f>_xll.BDH("XOM US Equity","CF_DEF_INC_TAX","FQ1 2017","FQ1 2017","Currency=USD","Period=FQ","BEST_FPERIOD_OVERRIDE=FQ","FILING_STATUS=OR","SCALING_FORMAT=MLN","Sort=A","Dates=H","DateFormat=P","Fill=—","Direction=H","UseDPDF=Y")</f>
        <v>—</v>
      </c>
      <c r="AL11" s="13" t="str">
        <f>_xll.BDH("XOM US Equity","CF_DEF_INC_TAX","FQ2 2017","FQ2 2017","Currency=USD","Period=FQ","BEST_FPERIOD_OVERRIDE=FQ","FILING_STATUS=OR","SCALING_FORMAT=MLN","Sort=A","Dates=H","DateFormat=P","Fill=—","Direction=H","UseDPDF=Y")</f>
        <v>—</v>
      </c>
      <c r="AM11" s="13" t="str">
        <f>_xll.BDH("XOM US Equity","CF_DEF_INC_TAX","FQ3 2017","FQ3 2017","Currency=USD","Period=FQ","BEST_FPERIOD_OVERRIDE=FQ","FILING_STATUS=OR","SCALING_FORMAT=MLN","Sort=A","Dates=H","DateFormat=P","Fill=—","Direction=H","UseDPDF=Y")</f>
        <v>—</v>
      </c>
      <c r="AN11" s="13" t="str">
        <f>_xll.BDH("XOM US Equity","CF_DEF_INC_TAX","FQ4 2017","FQ4 2017","Currency=USD","Period=FQ","BEST_FPERIOD_OVERRIDE=FQ","FILING_STATUS=OR","SCALING_FORMAT=MLN","Sort=A","Dates=H","DateFormat=P","Fill=—","Direction=H","UseDPDF=Y")</f>
        <v>—</v>
      </c>
      <c r="AO11" s="13" t="str">
        <f>_xll.BDH("XOM US Equity","CF_DEF_INC_TAX","FQ1 2018","FQ1 2018","Currency=USD","Period=FQ","BEST_FPERIOD_OVERRIDE=FQ","FILING_STATUS=OR","SCALING_FORMAT=MLN","Sort=A","Dates=H","DateFormat=P","Fill=—","Direction=H","UseDPDF=Y")</f>
        <v>—</v>
      </c>
      <c r="AP11" s="13" t="str">
        <f>_xll.BDH("XOM US Equity","CF_DEF_INC_TAX","FQ2 2018","FQ2 2018","Currency=USD","Period=FQ","BEST_FPERIOD_OVERRIDE=FQ","FILING_STATUS=OR","SCALING_FORMAT=MLN","Sort=A","Dates=H","DateFormat=P","Fill=—","Direction=H","UseDPDF=Y")</f>
        <v>—</v>
      </c>
    </row>
    <row r="12" spans="1:42" x14ac:dyDescent="0.25">
      <c r="A12" s="10" t="s">
        <v>372</v>
      </c>
      <c r="B12" s="10" t="s">
        <v>373</v>
      </c>
      <c r="C12" s="13">
        <f>_xll.BDH("XOM US Equity","OTHER_NON_CASH_ADJ_LESS_DETAILED","FQ3 2008","FQ3 2008","Currency=USD","Period=FQ","BEST_FPERIOD_OVERRIDE=FQ","FILING_STATUS=OR","SCALING_FORMAT=MLN","Sort=A","Dates=H","DateFormat=P","Fill=—","Direction=H","UseDPDF=Y")</f>
        <v>-579</v>
      </c>
      <c r="D12" s="13">
        <f>_xll.BDH("XOM US Equity","OTHER_NON_CASH_ADJ_LESS_DETAILED","FQ4 2008","FQ4 2008","Currency=USD","Period=FQ","BEST_FPERIOD_OVERRIDE=FQ","FILING_STATUS=OR","SCALING_FORMAT=MLN","Sort=A","Dates=H","DateFormat=P","Fill=—","Direction=H","UseDPDF=Y")</f>
        <v>1086</v>
      </c>
      <c r="E12" s="13">
        <f>_xll.BDH("XOM US Equity","OTHER_NON_CASH_ADJ_LESS_DETAILED","FQ1 2009","FQ1 2009","Currency=USD","Period=FQ","BEST_FPERIOD_OVERRIDE=FQ","FILING_STATUS=OR","SCALING_FORMAT=MLN","Sort=A","Dates=H","DateFormat=P","Fill=—","Direction=H","UseDPDF=Y")</f>
        <v>435</v>
      </c>
      <c r="F12" s="13">
        <f>_xll.BDH("XOM US Equity","OTHER_NON_CASH_ADJ_LESS_DETAILED","FQ2 2009","FQ2 2009","Currency=USD","Period=FQ","BEST_FPERIOD_OVERRIDE=FQ","FILING_STATUS=OR","SCALING_FORMAT=MLN","Sort=A","Dates=H","DateFormat=P","Fill=—","Direction=H","UseDPDF=Y")</f>
        <v>-2633</v>
      </c>
      <c r="G12" s="13">
        <f>_xll.BDH("XOM US Equity","OTHER_NON_CASH_ADJ_LESS_DETAILED","FQ3 2009","FQ3 2009","Currency=USD","Period=FQ","BEST_FPERIOD_OVERRIDE=FQ","FILING_STATUS=OR","SCALING_FORMAT=MLN","Sort=A","Dates=H","DateFormat=P","Fill=—","Direction=H","UseDPDF=Y")</f>
        <v>1030</v>
      </c>
      <c r="H12" s="13">
        <f>_xll.BDH("XOM US Equity","OTHER_NON_CASH_ADJ_LESS_DETAILED","FQ4 2009","FQ4 2009","Currency=USD","Period=FQ","BEST_FPERIOD_OVERRIDE=FQ","FILING_STATUS=OR","SCALING_FORMAT=MLN","Sort=A","Dates=H","DateFormat=P","Fill=—","Direction=H","UseDPDF=Y")</f>
        <v>-432</v>
      </c>
      <c r="I12" s="13">
        <f>_xll.BDH("XOM US Equity","OTHER_NON_CASH_ADJ_LESS_DETAILED","FQ1 2010","FQ1 2010","Currency=USD","Period=FQ","BEST_FPERIOD_OVERRIDE=FQ","FILING_STATUS=OR","SCALING_FORMAT=MLN","Sort=A","Dates=H","DateFormat=P","Fill=—","Direction=H","UseDPDF=Y")</f>
        <v>265</v>
      </c>
      <c r="J12" s="13">
        <f>_xll.BDH("XOM US Equity","OTHER_NON_CASH_ADJ_LESS_DETAILED","FQ2 2010","FQ2 2010","Currency=USD","Period=FQ","BEST_FPERIOD_OVERRIDE=FQ","FILING_STATUS=OR","SCALING_FORMAT=MLN","Sort=A","Dates=H","DateFormat=P","Fill=—","Direction=H","UseDPDF=Y")</f>
        <v>-558</v>
      </c>
      <c r="K12" s="13">
        <f>_xll.BDH("XOM US Equity","OTHER_NON_CASH_ADJ_LESS_DETAILED","FQ3 2010","FQ3 2010","Currency=USD","Period=FQ","BEST_FPERIOD_OVERRIDE=FQ","FILING_STATUS=OR","SCALING_FORMAT=MLN","Sort=A","Dates=H","DateFormat=P","Fill=—","Direction=H","UseDPDF=Y")</f>
        <v>229</v>
      </c>
      <c r="L12" s="13">
        <f>_xll.BDH("XOM US Equity","OTHER_NON_CASH_ADJ_LESS_DETAILED","FQ4 2010","FQ4 2010","Currency=USD","Period=FQ","BEST_FPERIOD_OVERRIDE=FQ","FILING_STATUS=OR","SCALING_FORMAT=MLN","Sort=A","Dates=H","DateFormat=P","Fill=—","Direction=H","UseDPDF=Y")</f>
        <v>-588</v>
      </c>
      <c r="M12" s="13">
        <f>_xll.BDH("XOM US Equity","OTHER_NON_CASH_ADJ_LESS_DETAILED","FQ1 2011","FQ1 2011","Currency=USD","Period=FQ","BEST_FPERIOD_OVERRIDE=FQ","FILING_STATUS=OR","SCALING_FORMAT=MLN","Sort=A","Dates=H","DateFormat=P","Fill=—","Direction=H","UseDPDF=Y")</f>
        <v>-442</v>
      </c>
      <c r="N12" s="13">
        <f>_xll.BDH("XOM US Equity","OTHER_NON_CASH_ADJ_LESS_DETAILED","FQ2 2011","FQ2 2011","Currency=USD","Period=FQ","BEST_FPERIOD_OVERRIDE=FQ","FILING_STATUS=OR","SCALING_FORMAT=MLN","Sort=A","Dates=H","DateFormat=P","Fill=—","Direction=H","UseDPDF=Y")</f>
        <v>137</v>
      </c>
      <c r="O12" s="13">
        <f>_xll.BDH("XOM US Equity","OTHER_NON_CASH_ADJ_LESS_DETAILED","FQ3 2011","FQ3 2011","Currency=USD","Period=FQ","BEST_FPERIOD_OVERRIDE=FQ","FILING_STATUS=OR","SCALING_FORMAT=MLN","Sort=A","Dates=H","DateFormat=P","Fill=—","Direction=H","UseDPDF=Y")</f>
        <v>-423</v>
      </c>
      <c r="P12" s="13">
        <f>_xll.BDH("XOM US Equity","OTHER_NON_CASH_ADJ_LESS_DETAILED","FQ4 2011","FQ4 2011","Currency=USD","Period=FQ","BEST_FPERIOD_OVERRIDE=FQ","FILING_STATUS=OR","SCALING_FORMAT=MLN","Sort=A","Dates=H","DateFormat=P","Fill=—","Direction=H","UseDPDF=Y")</f>
        <v>442</v>
      </c>
      <c r="Q12" s="13">
        <f>_xll.BDH("XOM US Equity","OTHER_NON_CASH_ADJ_LESS_DETAILED","FQ1 2012","FQ1 2012","Currency=USD","Period=FQ","BEST_FPERIOD_OVERRIDE=FQ","FILING_STATUS=OR","SCALING_FORMAT=MLN","Sort=A","Dates=H","DateFormat=P","Fill=—","Direction=H","UseDPDF=Y")</f>
        <v>203</v>
      </c>
      <c r="R12" s="13">
        <f>_xll.BDH("XOM US Equity","OTHER_NON_CASH_ADJ_LESS_DETAILED","FQ2 2012","FQ2 2012","Currency=USD","Period=FQ","BEST_FPERIOD_OVERRIDE=FQ","FILING_STATUS=OR","SCALING_FORMAT=MLN","Sort=A","Dates=H","DateFormat=P","Fill=—","Direction=H","UseDPDF=Y")</f>
        <v>-7208</v>
      </c>
      <c r="S12" s="13">
        <f>_xll.BDH("XOM US Equity","OTHER_NON_CASH_ADJ_LESS_DETAILED","FQ3 2012","FQ3 2012","Currency=USD","Period=FQ","BEST_FPERIOD_OVERRIDE=FQ","FILING_STATUS=OR","SCALING_FORMAT=MLN","Sort=A","Dates=H","DateFormat=P","Fill=—","Direction=H","UseDPDF=Y")</f>
        <v>124</v>
      </c>
      <c r="T12" s="13">
        <f>_xll.BDH("XOM US Equity","OTHER_NON_CASH_ADJ_LESS_DETAILED","FQ4 2012","FQ4 2012","Currency=USD","Period=FQ","BEST_FPERIOD_OVERRIDE=FQ","FILING_STATUS=OR","SCALING_FORMAT=MLN","Sort=A","Dates=H","DateFormat=P","Fill=—","Direction=H","UseDPDF=Y")</f>
        <v>1656</v>
      </c>
      <c r="U12" s="13">
        <f>_xll.BDH("XOM US Equity","OTHER_NON_CASH_ADJ_LESS_DETAILED","FQ1 2013","FQ1 2013","Currency=USD","Period=FQ","BEST_FPERIOD_OVERRIDE=FQ","FILING_STATUS=OR","SCALING_FORMAT=MLN","Sort=A","Dates=H","DateFormat=P","Fill=—","Direction=H","UseDPDF=Y")</f>
        <v>-2339</v>
      </c>
      <c r="V12" s="13">
        <f>_xll.BDH("XOM US Equity","OTHER_NON_CASH_ADJ_LESS_DETAILED","FQ2 2013","FQ2 2013","Currency=USD","Period=FQ","BEST_FPERIOD_OVERRIDE=FQ","FILING_STATUS=OR","SCALING_FORMAT=MLN","Sort=A","Dates=H","DateFormat=P","Fill=—","Direction=H","UseDPDF=Y")</f>
        <v>1701</v>
      </c>
      <c r="W12" s="13">
        <f>_xll.BDH("XOM US Equity","OTHER_NON_CASH_ADJ_LESS_DETAILED","FQ3 2013","FQ3 2013","Currency=USD","Period=FQ","BEST_FPERIOD_OVERRIDE=FQ","FILING_STATUS=OR","SCALING_FORMAT=MLN","Sort=A","Dates=H","DateFormat=P","Fill=—","Direction=H","UseDPDF=Y")</f>
        <v>988</v>
      </c>
      <c r="X12" s="13">
        <f>_xll.BDH("XOM US Equity","OTHER_NON_CASH_ADJ_LESS_DETAILED","FQ4 2013","FQ4 2013","Currency=USD","Period=FQ","BEST_FPERIOD_OVERRIDE=FQ","FILING_STATUS=OR","SCALING_FORMAT=MLN","Sort=A","Dates=H","DateFormat=P","Fill=—","Direction=H","UseDPDF=Y")</f>
        <v>-478</v>
      </c>
      <c r="Y12" s="13">
        <f>_xll.BDH("XOM US Equity","OTHER_NON_CASH_ADJ_LESS_DETAILED","FQ1 2014","FQ1 2014","Currency=USD","Period=FQ","BEST_FPERIOD_OVERRIDE=FQ","FILING_STATUS=OR","SCALING_FORMAT=MLN","Sort=A","Dates=H","DateFormat=P","Fill=—","Direction=H","UseDPDF=Y")</f>
        <v>-641</v>
      </c>
      <c r="Z12" s="13">
        <f>_xll.BDH("XOM US Equity","OTHER_NON_CASH_ADJ_LESS_DETAILED","FQ2 2014","FQ2 2014","Currency=USD","Period=FQ","BEST_FPERIOD_OVERRIDE=FQ","FILING_STATUS=OR","SCALING_FORMAT=MLN","Sort=A","Dates=H","DateFormat=P","Fill=—","Direction=H","UseDPDF=Y")</f>
        <v>-414</v>
      </c>
      <c r="AA12" s="13">
        <f>_xll.BDH("XOM US Equity","OTHER_NON_CASH_ADJ_LESS_DETAILED","FQ3 2014","FQ3 2014","Currency=USD","Period=FQ","BEST_FPERIOD_OVERRIDE=FQ","FILING_STATUS=OR","SCALING_FORMAT=MLN","Sort=A","Dates=H","DateFormat=P","Fill=—","Direction=H","UseDPDF=Y")</f>
        <v>427</v>
      </c>
      <c r="AB12" s="13">
        <f>_xll.BDH("XOM US Equity","OTHER_NON_CASH_ADJ_LESS_DETAILED","FQ4 2014","FQ4 2014","Currency=USD","Period=FQ","BEST_FPERIOD_OVERRIDE=FQ","FILING_STATUS=OR","SCALING_FORMAT=MLN","Sort=A","Dates=H","DateFormat=P","Fill=—","Direction=H","UseDPDF=Y")</f>
        <v>859</v>
      </c>
      <c r="AC12" s="13">
        <f>_xll.BDH("XOM US Equity","OTHER_NON_CASH_ADJ_LESS_DETAILED","FQ1 2015","FQ1 2015","Currency=USD","Period=FQ","BEST_FPERIOD_OVERRIDE=FQ","FILING_STATUS=OR","SCALING_FORMAT=MLN","Sort=A","Dates=H","DateFormat=P","Fill=—","Direction=H","UseDPDF=Y")</f>
        <v>-733</v>
      </c>
      <c r="AD12" s="13">
        <f>_xll.BDH("XOM US Equity","OTHER_NON_CASH_ADJ_LESS_DETAILED","FQ2 2015","FQ2 2015","Currency=USD","Period=FQ","BEST_FPERIOD_OVERRIDE=FQ","FILING_STATUS=OR","SCALING_FORMAT=MLN","Sort=A","Dates=H","DateFormat=P","Fill=—","Direction=H","UseDPDF=Y")</f>
        <v>1175</v>
      </c>
      <c r="AE12" s="13">
        <f>_xll.BDH("XOM US Equity","OTHER_NON_CASH_ADJ_LESS_DETAILED","FQ3 2015","FQ3 2015","Currency=USD","Period=FQ","BEST_FPERIOD_OVERRIDE=FQ","FILING_STATUS=OR","SCALING_FORMAT=MLN","Sort=A","Dates=H","DateFormat=P","Fill=—","Direction=H","UseDPDF=Y")</f>
        <v>-104</v>
      </c>
      <c r="AF12" s="13">
        <f>_xll.BDH("XOM US Equity","OTHER_NON_CASH_ADJ_LESS_DETAILED","FQ4 2015","FQ4 2015","Currency=USD","Period=FQ","BEST_FPERIOD_OVERRIDE=FQ","FILING_STATUS=OR","SCALING_FORMAT=MLN","Sort=A","Dates=H","DateFormat=P","Fill=—","Direction=H","UseDPDF=Y")</f>
        <v>-1079</v>
      </c>
      <c r="AG12" s="13">
        <f>_xll.BDH("XOM US Equity","OTHER_NON_CASH_ADJ_LESS_DETAILED","FQ1 2016","FQ1 2016","Currency=USD","Period=FQ","BEST_FPERIOD_OVERRIDE=FQ","FILING_STATUS=OR","SCALING_FORMAT=MLN","Sort=A","Dates=H","DateFormat=P","Fill=—","Direction=H","UseDPDF=Y")</f>
        <v>-1364</v>
      </c>
      <c r="AH12" s="13">
        <f>_xll.BDH("XOM US Equity","OTHER_NON_CASH_ADJ_LESS_DETAILED","FQ2 2016","FQ2 2016","Currency=USD","Period=FQ","BEST_FPERIOD_OVERRIDE=FQ","FILING_STATUS=OR","SCALING_FORMAT=MLN","Sort=A","Dates=H","DateFormat=P","Fill=—","Direction=H","UseDPDF=Y")</f>
        <v>-676</v>
      </c>
      <c r="AI12" s="13">
        <f>_xll.BDH("XOM US Equity","OTHER_NON_CASH_ADJ_LESS_DETAILED","FQ3 2016","FQ3 2016","Currency=USD","Period=FQ","BEST_FPERIOD_OVERRIDE=FQ","FILING_STATUS=OR","SCALING_FORMAT=MLN","Sort=A","Dates=H","DateFormat=P","Fill=—","Direction=H","UseDPDF=Y")</f>
        <v>-1239</v>
      </c>
      <c r="AJ12" s="13">
        <f>_xll.BDH("XOM US Equity","OTHER_NON_CASH_ADJ_LESS_DETAILED","FQ4 2016","FQ4 2016","Currency=USD","Period=FQ","BEST_FPERIOD_OVERRIDE=FQ","FILING_STATUS=OR","SCALING_FORMAT=MLN","Sort=A","Dates=H","DateFormat=P","Fill=—","Direction=H","UseDPDF=Y")</f>
        <v>-3395</v>
      </c>
      <c r="AK12" s="13">
        <f>_xll.BDH("XOM US Equity","OTHER_NON_CASH_ADJ_LESS_DETAILED","FQ1 2017","FQ1 2017","Currency=USD","Period=FQ","BEST_FPERIOD_OVERRIDE=FQ","FILING_STATUS=OR","SCALING_FORMAT=MLN","Sort=A","Dates=H","DateFormat=P","Fill=—","Direction=H","UseDPDF=Y")</f>
        <v>-1149</v>
      </c>
      <c r="AL12" s="13">
        <f>_xll.BDH("XOM US Equity","OTHER_NON_CASH_ADJ_LESS_DETAILED","FQ2 2017","FQ2 2017","Currency=USD","Period=FQ","BEST_FPERIOD_OVERRIDE=FQ","FILING_STATUS=OR","SCALING_FORMAT=MLN","Sort=A","Dates=H","DateFormat=P","Fill=—","Direction=H","UseDPDF=Y")</f>
        <v>-34</v>
      </c>
      <c r="AM12" s="13">
        <f>_xll.BDH("XOM US Equity","OTHER_NON_CASH_ADJ_LESS_DETAILED","FQ3 2017","FQ3 2017","Currency=USD","Period=FQ","BEST_FPERIOD_OVERRIDE=FQ","FILING_STATUS=OR","SCALING_FORMAT=MLN","Sort=A","Dates=H","DateFormat=P","Fill=—","Direction=H","UseDPDF=Y")</f>
        <v>-996</v>
      </c>
      <c r="AN12" s="13">
        <f>_xll.BDH("XOM US Equity","OTHER_NON_CASH_ADJ_LESS_DETAILED","FQ4 2017","FQ4 2017","Currency=USD","Period=FQ","BEST_FPERIOD_OVERRIDE=FQ","FILING_STATUS=OR","SCALING_FORMAT=MLN","Sort=A","Dates=H","DateFormat=P","Fill=—","Direction=H","UseDPDF=Y")</f>
        <v>-6709</v>
      </c>
      <c r="AO12" s="13">
        <f>_xll.BDH("XOM US Equity","OTHER_NON_CASH_ADJ_LESS_DETAILED","FQ1 2018","FQ1 2018","Currency=USD","Period=FQ","BEST_FPERIOD_OVERRIDE=FQ","FILING_STATUS=OR","SCALING_FORMAT=MLN","Sort=A","Dates=H","DateFormat=P","Fill=—","Direction=H","UseDPDF=Y")</f>
        <v>-952</v>
      </c>
      <c r="AP12" s="13">
        <f>_xll.BDH("XOM US Equity","OTHER_NON_CASH_ADJ_LESS_DETAILED","FQ2 2018","FQ2 2018","Currency=USD","Period=FQ","BEST_FPERIOD_OVERRIDE=FQ","FILING_STATUS=OR","SCALING_FORMAT=MLN","Sort=A","Dates=H","DateFormat=P","Fill=—","Direction=H","UseDPDF=Y")</f>
        <v>574</v>
      </c>
    </row>
    <row r="13" spans="1:42" x14ac:dyDescent="0.25">
      <c r="A13" s="10" t="s">
        <v>374</v>
      </c>
      <c r="B13" s="10" t="s">
        <v>375</v>
      </c>
      <c r="C13" s="13">
        <f>_xll.BDH("XOM US Equity","CF_CHNG_NON_CASH_WORK_CAP","FQ3 2008","FQ3 2008","Currency=USD","Period=FQ","BEST_FPERIOD_OVERRIDE=FQ","FILING_STATUS=OR","SCALING_FORMAT=MLN","Sort=A","Dates=H","DateFormat=P","Fill=—","Direction=H","UseDPDF=Y")</f>
        <v>-2856</v>
      </c>
      <c r="D13" s="13">
        <f>_xll.BDH("XOM US Equity","CF_CHNG_NON_CASH_WORK_CAP","FQ4 2008","FQ4 2008","Currency=USD","Period=FQ","BEST_FPERIOD_OVERRIDE=FQ","FILING_STATUS=OR","SCALING_FORMAT=MLN","Sort=A","Dates=H","DateFormat=P","Fill=—","Direction=H","UseDPDF=Y")</f>
        <v>-2998</v>
      </c>
      <c r="E13" s="13">
        <f>_xll.BDH("XOM US Equity","CF_CHNG_NON_CASH_WORK_CAP","FQ1 2009","FQ1 2009","Currency=USD","Period=FQ","BEST_FPERIOD_OVERRIDE=FQ","FILING_STATUS=OR","SCALING_FORMAT=MLN","Sort=A","Dates=H","DateFormat=P","Fill=—","Direction=H","UseDPDF=Y")</f>
        <v>1132</v>
      </c>
      <c r="F13" s="13">
        <f>_xll.BDH("XOM US Equity","CF_CHNG_NON_CASH_WORK_CAP","FQ2 2009","FQ2 2009","Currency=USD","Period=FQ","BEST_FPERIOD_OVERRIDE=FQ","FILING_STATUS=OR","SCALING_FORMAT=MLN","Sort=A","Dates=H","DateFormat=P","Fill=—","Direction=H","UseDPDF=Y")</f>
        <v>-2124</v>
      </c>
      <c r="G13" s="13">
        <f>_xll.BDH("XOM US Equity","CF_CHNG_NON_CASH_WORK_CAP","FQ3 2009","FQ3 2009","Currency=USD","Period=FQ","BEST_FPERIOD_OVERRIDE=FQ","FILING_STATUS=OR","SCALING_FORMAT=MLN","Sort=A","Dates=H","DateFormat=P","Fill=—","Direction=H","UseDPDF=Y")</f>
        <v>140</v>
      </c>
      <c r="H13" s="13">
        <f>_xll.BDH("XOM US Equity","CF_CHNG_NON_CASH_WORK_CAP","FQ4 2009","FQ4 2009","Currency=USD","Period=FQ","BEST_FPERIOD_OVERRIDE=FQ","FILING_STATUS=OR","SCALING_FORMAT=MLN","Sort=A","Dates=H","DateFormat=P","Fill=—","Direction=H","UseDPDF=Y")</f>
        <v>-307</v>
      </c>
      <c r="I13" s="13">
        <f>_xll.BDH("XOM US Equity","CF_CHNG_NON_CASH_WORK_CAP","FQ1 2010","FQ1 2010","Currency=USD","Period=FQ","BEST_FPERIOD_OVERRIDE=FQ","FILING_STATUS=OR","SCALING_FORMAT=MLN","Sort=A","Dates=H","DateFormat=P","Fill=—","Direction=H","UseDPDF=Y")</f>
        <v>3201</v>
      </c>
      <c r="J13" s="13">
        <f>_xll.BDH("XOM US Equity","CF_CHNG_NON_CASH_WORK_CAP","FQ2 2010","FQ2 2010","Currency=USD","Period=FQ","BEST_FPERIOD_OVERRIDE=FQ","FILING_STATUS=OR","SCALING_FORMAT=MLN","Sort=A","Dates=H","DateFormat=P","Fill=—","Direction=H","UseDPDF=Y")</f>
        <v>-1133</v>
      </c>
      <c r="K13" s="13">
        <f>_xll.BDH("XOM US Equity","CF_CHNG_NON_CASH_WORK_CAP","FQ3 2010","FQ3 2010","Currency=USD","Period=FQ","BEST_FPERIOD_OVERRIDE=FQ","FILING_STATUS=OR","SCALING_FORMAT=MLN","Sort=A","Dates=H","DateFormat=P","Fill=—","Direction=H","UseDPDF=Y")</f>
        <v>1654</v>
      </c>
      <c r="L13" s="13">
        <f>_xll.BDH("XOM US Equity","CF_CHNG_NON_CASH_WORK_CAP","FQ4 2010","FQ4 2010","Currency=USD","Period=FQ","BEST_FPERIOD_OVERRIDE=FQ","FILING_STATUS=OR","SCALING_FORMAT=MLN","Sort=A","Dates=H","DateFormat=P","Fill=—","Direction=H","UseDPDF=Y")</f>
        <v>123</v>
      </c>
      <c r="M13" s="13">
        <f>_xll.BDH("XOM US Equity","CF_CHNG_NON_CASH_WORK_CAP","FQ1 2011","FQ1 2011","Currency=USD","Period=FQ","BEST_FPERIOD_OVERRIDE=FQ","FILING_STATUS=OR","SCALING_FORMAT=MLN","Sort=A","Dates=H","DateFormat=P","Fill=—","Direction=H","UseDPDF=Y")</f>
        <v>2887</v>
      </c>
      <c r="N13" s="13">
        <f>_xll.BDH("XOM US Equity","CF_CHNG_NON_CASH_WORK_CAP","FQ2 2011","FQ2 2011","Currency=USD","Period=FQ","BEST_FPERIOD_OVERRIDE=FQ","FILING_STATUS=OR","SCALING_FORMAT=MLN","Sort=A","Dates=H","DateFormat=P","Fill=—","Direction=H","UseDPDF=Y")</f>
        <v>-1809</v>
      </c>
      <c r="O13" s="13">
        <f>_xll.BDH("XOM US Equity","CF_CHNG_NON_CASH_WORK_CAP","FQ3 2011","FQ3 2011","Currency=USD","Period=FQ","BEST_FPERIOD_OVERRIDE=FQ","FILING_STATUS=OR","SCALING_FORMAT=MLN","Sort=A","Dates=H","DateFormat=P","Fill=—","Direction=H","UseDPDF=Y")</f>
        <v>1076</v>
      </c>
      <c r="P13" s="13">
        <f>_xll.BDH("XOM US Equity","CF_CHNG_NON_CASH_WORK_CAP","FQ4 2011","FQ4 2011","Currency=USD","Period=FQ","BEST_FPERIOD_OVERRIDE=FQ","FILING_STATUS=OR","SCALING_FORMAT=MLN","Sort=A","Dates=H","DateFormat=P","Fill=—","Direction=H","UseDPDF=Y")</f>
        <v>-3166</v>
      </c>
      <c r="Q13" s="13">
        <f>_xll.BDH("XOM US Equity","CF_CHNG_NON_CASH_WORK_CAP","FQ1 2012","FQ1 2012","Currency=USD","Period=FQ","BEST_FPERIOD_OVERRIDE=FQ","FILING_STATUS=OR","SCALING_FORMAT=MLN","Sort=A","Dates=H","DateFormat=P","Fill=—","Direction=H","UseDPDF=Y")</f>
        <v>5792</v>
      </c>
      <c r="R13" s="13">
        <f>_xll.BDH("XOM US Equity","CF_CHNG_NON_CASH_WORK_CAP","FQ2 2012","FQ2 2012","Currency=USD","Period=FQ","BEST_FPERIOD_OVERRIDE=FQ","FILING_STATUS=OR","SCALING_FORMAT=MLN","Sort=A","Dates=H","DateFormat=P","Fill=—","Direction=H","UseDPDF=Y")</f>
        <v>-2384</v>
      </c>
      <c r="S13" s="13">
        <f>_xll.BDH("XOM US Equity","CF_CHNG_NON_CASH_WORK_CAP","FQ3 2012","FQ3 2012","Currency=USD","Period=FQ","BEST_FPERIOD_OVERRIDE=FQ","FILING_STATUS=OR","SCALING_FORMAT=MLN","Sort=A","Dates=H","DateFormat=P","Fill=—","Direction=H","UseDPDF=Y")</f>
        <v>-289</v>
      </c>
      <c r="T13" s="13">
        <f>_xll.BDH("XOM US Equity","CF_CHNG_NON_CASH_WORK_CAP","FQ4 2012","FQ4 2012","Currency=USD","Period=FQ","BEST_FPERIOD_OVERRIDE=FQ","FILING_STATUS=OR","SCALING_FORMAT=MLN","Sort=A","Dates=H","DateFormat=P","Fill=—","Direction=H","UseDPDF=Y")</f>
        <v>-2492</v>
      </c>
      <c r="U13" s="13">
        <f>_xll.BDH("XOM US Equity","CF_CHNG_NON_CASH_WORK_CAP","FQ1 2013","FQ1 2013","Currency=USD","Period=FQ","BEST_FPERIOD_OVERRIDE=FQ","FILING_STATUS=OR","SCALING_FORMAT=MLN","Sort=A","Dates=H","DateFormat=P","Fill=—","Direction=H","UseDPDF=Y")</f>
        <v>2321</v>
      </c>
      <c r="V13" s="13">
        <f>_xll.BDH("XOM US Equity","CF_CHNG_NON_CASH_WORK_CAP","FQ2 2013","FQ2 2013","Currency=USD","Period=FQ","BEST_FPERIOD_OVERRIDE=FQ","FILING_STATUS=OR","SCALING_FORMAT=MLN","Sort=A","Dates=H","DateFormat=P","Fill=—","Direction=H","UseDPDF=Y")</f>
        <v>-5283</v>
      </c>
      <c r="W13" s="13">
        <f>_xll.BDH("XOM US Equity","CF_CHNG_NON_CASH_WORK_CAP","FQ3 2013","FQ3 2013","Currency=USD","Period=FQ","BEST_FPERIOD_OVERRIDE=FQ","FILING_STATUS=OR","SCALING_FORMAT=MLN","Sort=A","Dates=H","DateFormat=P","Fill=—","Direction=H","UseDPDF=Y")</f>
        <v>286</v>
      </c>
      <c r="X13" s="13">
        <f>_xll.BDH("XOM US Equity","CF_CHNG_NON_CASH_WORK_CAP","FQ4 2013","FQ4 2013","Currency=USD","Period=FQ","BEST_FPERIOD_OVERRIDE=FQ","FILING_STATUS=OR","SCALING_FORMAT=MLN","Sort=A","Dates=H","DateFormat=P","Fill=—","Direction=H","UseDPDF=Y")</f>
        <v>-2044</v>
      </c>
      <c r="Y13" s="13">
        <f>_xll.BDH("XOM US Equity","CF_CHNG_NON_CASH_WORK_CAP","FQ1 2014","FQ1 2014","Currency=USD","Period=FQ","BEST_FPERIOD_OVERRIDE=FQ","FILING_STATUS=OR","SCALING_FORMAT=MLN","Sort=A","Dates=H","DateFormat=P","Fill=—","Direction=H","UseDPDF=Y")</f>
        <v>2452</v>
      </c>
      <c r="Z13" s="13">
        <f>_xll.BDH("XOM US Equity","CF_CHNG_NON_CASH_WORK_CAP","FQ2 2014","FQ2 2014","Currency=USD","Period=FQ","BEST_FPERIOD_OVERRIDE=FQ","FILING_STATUS=OR","SCALING_FORMAT=MLN","Sort=A","Dates=H","DateFormat=P","Fill=—","Direction=H","UseDPDF=Y")</f>
        <v>-2449</v>
      </c>
      <c r="AA13" s="13">
        <f>_xll.BDH("XOM US Equity","CF_CHNG_NON_CASH_WORK_CAP","FQ3 2014","FQ3 2014","Currency=USD","Period=FQ","BEST_FPERIOD_OVERRIDE=FQ","FILING_STATUS=OR","SCALING_FORMAT=MLN","Sort=A","Dates=H","DateFormat=P","Fill=—","Direction=H","UseDPDF=Y")</f>
        <v>-463</v>
      </c>
      <c r="AB13" s="13">
        <f>_xll.BDH("XOM US Equity","CF_CHNG_NON_CASH_WORK_CAP","FQ4 2014","FQ4 2014","Currency=USD","Period=FQ","BEST_FPERIOD_OVERRIDE=FQ","FILING_STATUS=OR","SCALING_FORMAT=MLN","Sort=A","Dates=H","DateFormat=P","Fill=—","Direction=H","UseDPDF=Y")</f>
        <v>-4472</v>
      </c>
      <c r="AC13" s="13">
        <f>_xll.BDH("XOM US Equity","CF_CHNG_NON_CASH_WORK_CAP","FQ1 2015","FQ1 2015","Currency=USD","Period=FQ","BEST_FPERIOD_OVERRIDE=FQ","FILING_STATUS=OR","SCALING_FORMAT=MLN","Sort=A","Dates=H","DateFormat=P","Fill=—","Direction=H","UseDPDF=Y")</f>
        <v>-509</v>
      </c>
      <c r="AD13" s="13">
        <f>_xll.BDH("XOM US Equity","CF_CHNG_NON_CASH_WORK_CAP","FQ2 2015","FQ2 2015","Currency=USD","Period=FQ","BEST_FPERIOD_OVERRIDE=FQ","FILING_STATUS=OR","SCALING_FORMAT=MLN","Sort=A","Dates=H","DateFormat=P","Fill=—","Direction=H","UseDPDF=Y")</f>
        <v>-1024</v>
      </c>
      <c r="AE13" s="13">
        <f>_xll.BDH("XOM US Equity","CF_CHNG_NON_CASH_WORK_CAP","FQ3 2015","FQ3 2015","Currency=USD","Period=FQ","BEST_FPERIOD_OVERRIDE=FQ","FILING_STATUS=OR","SCALING_FORMAT=MLN","Sort=A","Dates=H","DateFormat=P","Fill=—","Direction=H","UseDPDF=Y")</f>
        <v>496</v>
      </c>
      <c r="AF13" s="13">
        <f>_xll.BDH("XOM US Equity","CF_CHNG_NON_CASH_WORK_CAP","FQ4 2015","FQ4 2015","Currency=USD","Period=FQ","BEST_FPERIOD_OVERRIDE=FQ","FILING_STATUS=OR","SCALING_FORMAT=MLN","Sort=A","Dates=H","DateFormat=P","Fill=—","Direction=H","UseDPDF=Y")</f>
        <v>-2076</v>
      </c>
      <c r="AG13" s="13">
        <f>_xll.BDH("XOM US Equity","CF_CHNG_NON_CASH_WORK_CAP","FQ1 2016","FQ1 2016","Currency=USD","Period=FQ","BEST_FPERIOD_OVERRIDE=FQ","FILING_STATUS=OR","SCALING_FORMAT=MLN","Sort=A","Dates=H","DateFormat=P","Fill=—","Direction=H","UseDPDF=Y")</f>
        <v>-399</v>
      </c>
      <c r="AH13" s="13">
        <f>_xll.BDH("XOM US Equity","CF_CHNG_NON_CASH_WORK_CAP","FQ2 2016","FQ2 2016","Currency=USD","Period=FQ","BEST_FPERIOD_OVERRIDE=FQ","FILING_STATUS=OR","SCALING_FORMAT=MLN","Sort=A","Dates=H","DateFormat=P","Fill=—","Direction=H","UseDPDF=Y")</f>
        <v>-1326</v>
      </c>
      <c r="AI13" s="13">
        <f>_xll.BDH("XOM US Equity","CF_CHNG_NON_CASH_WORK_CAP","FQ3 2016","FQ3 2016","Currency=USD","Period=FQ","BEST_FPERIOD_OVERRIDE=FQ","FILING_STATUS=OR","SCALING_FORMAT=MLN","Sort=A","Dates=H","DateFormat=P","Fill=—","Direction=H","UseDPDF=Y")</f>
        <v>-661</v>
      </c>
      <c r="AJ13" s="13">
        <f>_xll.BDH("XOM US Equity","CF_CHNG_NON_CASH_WORK_CAP","FQ4 2016","FQ4 2016","Currency=USD","Period=FQ","BEST_FPERIOD_OVERRIDE=FQ","FILING_STATUS=OR","SCALING_FORMAT=MLN","Sort=A","Dates=H","DateFormat=P","Fill=—","Direction=H","UseDPDF=Y")</f>
        <v>994</v>
      </c>
      <c r="AK13" s="13">
        <f>_xll.BDH("XOM US Equity","CF_CHNG_NON_CASH_WORK_CAP","FQ1 2017","FQ1 2017","Currency=USD","Period=FQ","BEST_FPERIOD_OVERRIDE=FQ","FILING_STATUS=OR","SCALING_FORMAT=MLN","Sort=A","Dates=H","DateFormat=P","Fill=—","Direction=H","UseDPDF=Y")</f>
        <v>793</v>
      </c>
      <c r="AL13" s="13">
        <f>_xll.BDH("XOM US Equity","CF_CHNG_NON_CASH_WORK_CAP","FQ2 2017","FQ2 2017","Currency=USD","Period=FQ","BEST_FPERIOD_OVERRIDE=FQ","FILING_STATUS=OR","SCALING_FORMAT=MLN","Sort=A","Dates=H","DateFormat=P","Fill=—","Direction=H","UseDPDF=Y")</f>
        <v>-1021</v>
      </c>
      <c r="AM13" s="13">
        <f>_xll.BDH("XOM US Equity","CF_CHNG_NON_CASH_WORK_CAP","FQ3 2017","FQ3 2017","Currency=USD","Period=FQ","BEST_FPERIOD_OVERRIDE=FQ","FILING_STATUS=OR","SCALING_FORMAT=MLN","Sort=A","Dates=H","DateFormat=P","Fill=—","Direction=H","UseDPDF=Y")</f>
        <v>-319</v>
      </c>
      <c r="AN13" s="13">
        <f>_xll.BDH("XOM US Equity","CF_CHNG_NON_CASH_WORK_CAP","FQ4 2017","FQ4 2017","Currency=USD","Period=FQ","BEST_FPERIOD_OVERRIDE=FQ","FILING_STATUS=OR","SCALING_FORMAT=MLN","Sort=A","Dates=H","DateFormat=P","Fill=—","Direction=H","UseDPDF=Y")</f>
        <v>-102</v>
      </c>
      <c r="AO13" s="13">
        <f>_xll.BDH("XOM US Equity","CF_CHNG_NON_CASH_WORK_CAP","FQ1 2018","FQ1 2018","Currency=USD","Period=FQ","BEST_FPERIOD_OVERRIDE=FQ","FILING_STATUS=OR","SCALING_FORMAT=MLN","Sort=A","Dates=H","DateFormat=P","Fill=—","Direction=H","UseDPDF=Y")</f>
        <v>351</v>
      </c>
      <c r="AP13" s="13">
        <f>_xll.BDH("XOM US Equity","CF_CHNG_NON_CASH_WORK_CAP","FQ2 2018","FQ2 2018","Currency=USD","Period=FQ","BEST_FPERIOD_OVERRIDE=FQ","FILING_STATUS=OR","SCALING_FORMAT=MLN","Sort=A","Dates=H","DateFormat=P","Fill=—","Direction=H","UseDPDF=Y")</f>
        <v>-1333</v>
      </c>
    </row>
    <row r="14" spans="1:42" x14ac:dyDescent="0.25">
      <c r="A14" s="10" t="s">
        <v>376</v>
      </c>
      <c r="B14" s="10" t="s">
        <v>377</v>
      </c>
      <c r="C14" s="13" t="str">
        <f>_xll.BDH("XOM US Equity","CF_CHANGE_IN_INVENTORIES","FQ3 2008","FQ3 2008","Currency=USD","Period=FQ","BEST_FPERIOD_OVERRIDE=FQ","FILING_STATUS=OR","SCALING_FORMAT=MLN","Sort=A","Dates=H","DateFormat=P","Fill=—","Direction=H","UseDPDF=Y")</f>
        <v>—</v>
      </c>
      <c r="D14" s="13">
        <f>_xll.BDH("XOM US Equity","CF_CHANGE_IN_INVENTORIES","FQ4 2008","FQ4 2008","Currency=USD","Period=FQ","BEST_FPERIOD_OVERRIDE=FQ","FILING_STATUS=OR","SCALING_FORMAT=MLN","Sort=A","Dates=H","DateFormat=P","Fill=—","Direction=H","UseDPDF=Y")</f>
        <v>-1285</v>
      </c>
      <c r="E14" s="13" t="str">
        <f>_xll.BDH("XOM US Equity","CF_CHANGE_IN_INVENTORIES","FQ1 2009","FQ1 2009","Currency=USD","Period=FQ","BEST_FPERIOD_OVERRIDE=FQ","FILING_STATUS=OR","SCALING_FORMAT=MLN","Sort=A","Dates=H","DateFormat=P","Fill=—","Direction=H","UseDPDF=Y")</f>
        <v>—</v>
      </c>
      <c r="F14" s="13" t="str">
        <f>_xll.BDH("XOM US Equity","CF_CHANGE_IN_INVENTORIES","FQ2 2009","FQ2 2009","Currency=USD","Period=FQ","BEST_FPERIOD_OVERRIDE=FQ","FILING_STATUS=OR","SCALING_FORMAT=MLN","Sort=A","Dates=H","DateFormat=P","Fill=—","Direction=H","UseDPDF=Y")</f>
        <v>—</v>
      </c>
      <c r="G14" s="13" t="str">
        <f>_xll.BDH("XOM US Equity","CF_CHANGE_IN_INVENTORIES","FQ3 2009","FQ3 2009","Currency=USD","Period=FQ","BEST_FPERIOD_OVERRIDE=FQ","FILING_STATUS=OR","SCALING_FORMAT=MLN","Sort=A","Dates=H","DateFormat=P","Fill=—","Direction=H","UseDPDF=Y")</f>
        <v>—</v>
      </c>
      <c r="H14" s="13" t="str">
        <f>_xll.BDH("XOM US Equity","CF_CHANGE_IN_INVENTORIES","FQ4 2009","FQ4 2009","Currency=USD","Period=FQ","BEST_FPERIOD_OVERRIDE=FQ","FILING_STATUS=OR","SCALING_FORMAT=MLN","Sort=A","Dates=H","DateFormat=P","Fill=—","Direction=H","UseDPDF=Y")</f>
        <v>—</v>
      </c>
      <c r="I14" s="13" t="str">
        <f>_xll.BDH("XOM US Equity","CF_CHANGE_IN_INVENTORIES","FQ1 2010","FQ1 2010","Currency=USD","Period=FQ","BEST_FPERIOD_OVERRIDE=FQ","FILING_STATUS=OR","SCALING_FORMAT=MLN","Sort=A","Dates=H","DateFormat=P","Fill=—","Direction=H","UseDPDF=Y")</f>
        <v>—</v>
      </c>
      <c r="J14" s="13" t="str">
        <f>_xll.BDH("XOM US Equity","CF_CHANGE_IN_INVENTORIES","FQ2 2010","FQ2 2010","Currency=USD","Period=FQ","BEST_FPERIOD_OVERRIDE=FQ","FILING_STATUS=OR","SCALING_FORMAT=MLN","Sort=A","Dates=H","DateFormat=P","Fill=—","Direction=H","UseDPDF=Y")</f>
        <v>—</v>
      </c>
      <c r="K14" s="13" t="str">
        <f>_xll.BDH("XOM US Equity","CF_CHANGE_IN_INVENTORIES","FQ3 2010","FQ3 2010","Currency=USD","Period=FQ","BEST_FPERIOD_OVERRIDE=FQ","FILING_STATUS=OR","SCALING_FORMAT=MLN","Sort=A","Dates=H","DateFormat=P","Fill=—","Direction=H","UseDPDF=Y")</f>
        <v>—</v>
      </c>
      <c r="L14" s="13" t="str">
        <f>_xll.BDH("XOM US Equity","CF_CHANGE_IN_INVENTORIES","FQ4 2010","FQ4 2010","Currency=USD","Period=FQ","BEST_FPERIOD_OVERRIDE=FQ","FILING_STATUS=OR","SCALING_FORMAT=MLN","Sort=A","Dates=H","DateFormat=P","Fill=—","Direction=H","UseDPDF=Y")</f>
        <v>—</v>
      </c>
      <c r="M14" s="13" t="str">
        <f>_xll.BDH("XOM US Equity","CF_CHANGE_IN_INVENTORIES","FQ1 2011","FQ1 2011","Currency=USD","Period=FQ","BEST_FPERIOD_OVERRIDE=FQ","FILING_STATUS=OR","SCALING_FORMAT=MLN","Sort=A","Dates=H","DateFormat=P","Fill=—","Direction=H","UseDPDF=Y")</f>
        <v>—</v>
      </c>
      <c r="N14" s="13" t="str">
        <f>_xll.BDH("XOM US Equity","CF_CHANGE_IN_INVENTORIES","FQ2 2011","FQ2 2011","Currency=USD","Period=FQ","BEST_FPERIOD_OVERRIDE=FQ","FILING_STATUS=OR","SCALING_FORMAT=MLN","Sort=A","Dates=H","DateFormat=P","Fill=—","Direction=H","UseDPDF=Y")</f>
        <v>—</v>
      </c>
      <c r="O14" s="13" t="str">
        <f>_xll.BDH("XOM US Equity","CF_CHANGE_IN_INVENTORIES","FQ3 2011","FQ3 2011","Currency=USD","Period=FQ","BEST_FPERIOD_OVERRIDE=FQ","FILING_STATUS=OR","SCALING_FORMAT=MLN","Sort=A","Dates=H","DateFormat=P","Fill=—","Direction=H","UseDPDF=Y")</f>
        <v>—</v>
      </c>
      <c r="P14" s="13" t="str">
        <f>_xll.BDH("XOM US Equity","CF_CHANGE_IN_INVENTORIES","FQ4 2011","FQ4 2011","Currency=USD","Period=FQ","BEST_FPERIOD_OVERRIDE=FQ","FILING_STATUS=OR","SCALING_FORMAT=MLN","Sort=A","Dates=H","DateFormat=P","Fill=—","Direction=H","UseDPDF=Y")</f>
        <v>—</v>
      </c>
      <c r="Q14" s="13" t="str">
        <f>_xll.BDH("XOM US Equity","CF_CHANGE_IN_INVENTORIES","FQ1 2012","FQ1 2012","Currency=USD","Period=FQ","BEST_FPERIOD_OVERRIDE=FQ","FILING_STATUS=OR","SCALING_FORMAT=MLN","Sort=A","Dates=H","DateFormat=P","Fill=—","Direction=H","UseDPDF=Y")</f>
        <v>—</v>
      </c>
      <c r="R14" s="13" t="str">
        <f>_xll.BDH("XOM US Equity","CF_CHANGE_IN_INVENTORIES","FQ2 2012","FQ2 2012","Currency=USD","Period=FQ","BEST_FPERIOD_OVERRIDE=FQ","FILING_STATUS=OR","SCALING_FORMAT=MLN","Sort=A","Dates=H","DateFormat=P","Fill=—","Direction=H","UseDPDF=Y")</f>
        <v>—</v>
      </c>
      <c r="S14" s="13" t="str">
        <f>_xll.BDH("XOM US Equity","CF_CHANGE_IN_INVENTORIES","FQ3 2012","FQ3 2012","Currency=USD","Period=FQ","BEST_FPERIOD_OVERRIDE=FQ","FILING_STATUS=OR","SCALING_FORMAT=MLN","Sort=A","Dates=H","DateFormat=P","Fill=—","Direction=H","UseDPDF=Y")</f>
        <v>—</v>
      </c>
      <c r="T14" s="13" t="str">
        <f>_xll.BDH("XOM US Equity","CF_CHANGE_IN_INVENTORIES","FQ4 2012","FQ4 2012","Currency=USD","Period=FQ","BEST_FPERIOD_OVERRIDE=FQ","FILING_STATUS=OR","SCALING_FORMAT=MLN","Sort=A","Dates=H","DateFormat=P","Fill=—","Direction=H","UseDPDF=Y")</f>
        <v>—</v>
      </c>
      <c r="U14" s="13" t="str">
        <f>_xll.BDH("XOM US Equity","CF_CHANGE_IN_INVENTORIES","FQ1 2013","FQ1 2013","Currency=USD","Period=FQ","BEST_FPERIOD_OVERRIDE=FQ","FILING_STATUS=OR","SCALING_FORMAT=MLN","Sort=A","Dates=H","DateFormat=P","Fill=—","Direction=H","UseDPDF=Y")</f>
        <v>—</v>
      </c>
      <c r="V14" s="13" t="str">
        <f>_xll.BDH("XOM US Equity","CF_CHANGE_IN_INVENTORIES","FQ2 2013","FQ2 2013","Currency=USD","Period=FQ","BEST_FPERIOD_OVERRIDE=FQ","FILING_STATUS=OR","SCALING_FORMAT=MLN","Sort=A","Dates=H","DateFormat=P","Fill=—","Direction=H","UseDPDF=Y")</f>
        <v>—</v>
      </c>
      <c r="W14" s="13" t="str">
        <f>_xll.BDH("XOM US Equity","CF_CHANGE_IN_INVENTORIES","FQ3 2013","FQ3 2013","Currency=USD","Period=FQ","BEST_FPERIOD_OVERRIDE=FQ","FILING_STATUS=OR","SCALING_FORMAT=MLN","Sort=A","Dates=H","DateFormat=P","Fill=—","Direction=H","UseDPDF=Y")</f>
        <v>—</v>
      </c>
      <c r="X14" s="13" t="str">
        <f>_xll.BDH("XOM US Equity","CF_CHANGE_IN_INVENTORIES","FQ4 2013","FQ4 2013","Currency=USD","Period=FQ","BEST_FPERIOD_OVERRIDE=FQ","FILING_STATUS=OR","SCALING_FORMAT=MLN","Sort=A","Dates=H","DateFormat=P","Fill=—","Direction=H","UseDPDF=Y")</f>
        <v>—</v>
      </c>
      <c r="Y14" s="13" t="str">
        <f>_xll.BDH("XOM US Equity","CF_CHANGE_IN_INVENTORIES","FQ1 2014","FQ1 2014","Currency=USD","Period=FQ","BEST_FPERIOD_OVERRIDE=FQ","FILING_STATUS=OR","SCALING_FORMAT=MLN","Sort=A","Dates=H","DateFormat=P","Fill=—","Direction=H","UseDPDF=Y")</f>
        <v>—</v>
      </c>
      <c r="Z14" s="13" t="str">
        <f>_xll.BDH("XOM US Equity","CF_CHANGE_IN_INVENTORIES","FQ2 2014","FQ2 2014","Currency=USD","Period=FQ","BEST_FPERIOD_OVERRIDE=FQ","FILING_STATUS=OR","SCALING_FORMAT=MLN","Sort=A","Dates=H","DateFormat=P","Fill=—","Direction=H","UseDPDF=Y")</f>
        <v>—</v>
      </c>
      <c r="AA14" s="13" t="str">
        <f>_xll.BDH("XOM US Equity","CF_CHANGE_IN_INVENTORIES","FQ3 2014","FQ3 2014","Currency=USD","Period=FQ","BEST_FPERIOD_OVERRIDE=FQ","FILING_STATUS=OR","SCALING_FORMAT=MLN","Sort=A","Dates=H","DateFormat=P","Fill=—","Direction=H","UseDPDF=Y")</f>
        <v>—</v>
      </c>
      <c r="AB14" s="13" t="str">
        <f>_xll.BDH("XOM US Equity","CF_CHANGE_IN_INVENTORIES","FQ4 2014","FQ4 2014","Currency=USD","Period=FQ","BEST_FPERIOD_OVERRIDE=FQ","FILING_STATUS=OR","SCALING_FORMAT=MLN","Sort=A","Dates=H","DateFormat=P","Fill=—","Direction=H","UseDPDF=Y")</f>
        <v>—</v>
      </c>
      <c r="AC14" s="13" t="str">
        <f>_xll.BDH("XOM US Equity","CF_CHANGE_IN_INVENTORIES","FQ1 2015","FQ1 2015","Currency=USD","Period=FQ","BEST_FPERIOD_OVERRIDE=FQ","FILING_STATUS=OR","SCALING_FORMAT=MLN","Sort=A","Dates=H","DateFormat=P","Fill=—","Direction=H","UseDPDF=Y")</f>
        <v>—</v>
      </c>
      <c r="AD14" s="13" t="str">
        <f>_xll.BDH("XOM US Equity","CF_CHANGE_IN_INVENTORIES","FQ2 2015","FQ2 2015","Currency=USD","Period=FQ","BEST_FPERIOD_OVERRIDE=FQ","FILING_STATUS=OR","SCALING_FORMAT=MLN","Sort=A","Dates=H","DateFormat=P","Fill=—","Direction=H","UseDPDF=Y")</f>
        <v>—</v>
      </c>
      <c r="AE14" s="13" t="str">
        <f>_xll.BDH("XOM US Equity","CF_CHANGE_IN_INVENTORIES","FQ3 2015","FQ3 2015","Currency=USD","Period=FQ","BEST_FPERIOD_OVERRIDE=FQ","FILING_STATUS=OR","SCALING_FORMAT=MLN","Sort=A","Dates=H","DateFormat=P","Fill=—","Direction=H","UseDPDF=Y")</f>
        <v>—</v>
      </c>
      <c r="AF14" s="13" t="str">
        <f>_xll.BDH("XOM US Equity","CF_CHANGE_IN_INVENTORIES","FQ4 2015","FQ4 2015","Currency=USD","Period=FQ","BEST_FPERIOD_OVERRIDE=FQ","FILING_STATUS=OR","SCALING_FORMAT=MLN","Sort=A","Dates=H","DateFormat=P","Fill=—","Direction=H","UseDPDF=Y")</f>
        <v>—</v>
      </c>
      <c r="AG14" s="13" t="str">
        <f>_xll.BDH("XOM US Equity","CF_CHANGE_IN_INVENTORIES","FQ1 2016","FQ1 2016","Currency=USD","Period=FQ","BEST_FPERIOD_OVERRIDE=FQ","FILING_STATUS=OR","SCALING_FORMAT=MLN","Sort=A","Dates=H","DateFormat=P","Fill=—","Direction=H","UseDPDF=Y")</f>
        <v>—</v>
      </c>
      <c r="AH14" s="13" t="str">
        <f>_xll.BDH("XOM US Equity","CF_CHANGE_IN_INVENTORIES","FQ2 2016","FQ2 2016","Currency=USD","Period=FQ","BEST_FPERIOD_OVERRIDE=FQ","FILING_STATUS=OR","SCALING_FORMAT=MLN","Sort=A","Dates=H","DateFormat=P","Fill=—","Direction=H","UseDPDF=Y")</f>
        <v>—</v>
      </c>
      <c r="AI14" s="13" t="str">
        <f>_xll.BDH("XOM US Equity","CF_CHANGE_IN_INVENTORIES","FQ3 2016","FQ3 2016","Currency=USD","Period=FQ","BEST_FPERIOD_OVERRIDE=FQ","FILING_STATUS=OR","SCALING_FORMAT=MLN","Sort=A","Dates=H","DateFormat=P","Fill=—","Direction=H","UseDPDF=Y")</f>
        <v>—</v>
      </c>
      <c r="AJ14" s="13" t="str">
        <f>_xll.BDH("XOM US Equity","CF_CHANGE_IN_INVENTORIES","FQ4 2016","FQ4 2016","Currency=USD","Period=FQ","BEST_FPERIOD_OVERRIDE=FQ","FILING_STATUS=OR","SCALING_FORMAT=MLN","Sort=A","Dates=H","DateFormat=P","Fill=—","Direction=H","UseDPDF=Y")</f>
        <v>—</v>
      </c>
      <c r="AK14" s="13" t="str">
        <f>_xll.BDH("XOM US Equity","CF_CHANGE_IN_INVENTORIES","FQ1 2017","FQ1 2017","Currency=USD","Period=FQ","BEST_FPERIOD_OVERRIDE=FQ","FILING_STATUS=OR","SCALING_FORMAT=MLN","Sort=A","Dates=H","DateFormat=P","Fill=—","Direction=H","UseDPDF=Y")</f>
        <v>—</v>
      </c>
      <c r="AL14" s="13" t="str">
        <f>_xll.BDH("XOM US Equity","CF_CHANGE_IN_INVENTORIES","FQ2 2017","FQ2 2017","Currency=USD","Period=FQ","BEST_FPERIOD_OVERRIDE=FQ","FILING_STATUS=OR","SCALING_FORMAT=MLN","Sort=A","Dates=H","DateFormat=P","Fill=—","Direction=H","UseDPDF=Y")</f>
        <v>—</v>
      </c>
      <c r="AM14" s="13" t="str">
        <f>_xll.BDH("XOM US Equity","CF_CHANGE_IN_INVENTORIES","FQ3 2017","FQ3 2017","Currency=USD","Period=FQ","BEST_FPERIOD_OVERRIDE=FQ","FILING_STATUS=OR","SCALING_FORMAT=MLN","Sort=A","Dates=H","DateFormat=P","Fill=—","Direction=H","UseDPDF=Y")</f>
        <v>—</v>
      </c>
      <c r="AN14" s="13" t="str">
        <f>_xll.BDH("XOM US Equity","CF_CHANGE_IN_INVENTORIES","FQ4 2017","FQ4 2017","Currency=USD","Period=FQ","BEST_FPERIOD_OVERRIDE=FQ","FILING_STATUS=OR","SCALING_FORMAT=MLN","Sort=A","Dates=H","DateFormat=P","Fill=—","Direction=H","UseDPDF=Y")</f>
        <v>—</v>
      </c>
      <c r="AO14" s="13" t="str">
        <f>_xll.BDH("XOM US Equity","CF_CHANGE_IN_INVENTORIES","FQ1 2018","FQ1 2018","Currency=USD","Period=FQ","BEST_FPERIOD_OVERRIDE=FQ","FILING_STATUS=OR","SCALING_FORMAT=MLN","Sort=A","Dates=H","DateFormat=P","Fill=—","Direction=H","UseDPDF=Y")</f>
        <v>—</v>
      </c>
      <c r="AP14" s="13" t="str">
        <f>_xll.BDH("XOM US Equity","CF_CHANGE_IN_INVENTORIES","FQ2 2018","FQ2 2018","Currency=USD","Period=FQ","BEST_FPERIOD_OVERRIDE=FQ","FILING_STATUS=OR","SCALING_FORMAT=MLN","Sort=A","Dates=H","DateFormat=P","Fill=—","Direction=H","UseDPDF=Y")</f>
        <v>—</v>
      </c>
    </row>
    <row r="15" spans="1:42" x14ac:dyDescent="0.25">
      <c r="A15" s="10" t="s">
        <v>378</v>
      </c>
      <c r="B15" s="10" t="s">
        <v>379</v>
      </c>
      <c r="C15" s="13">
        <f>_xll.BDH("XOM US Equity","INC_DEC_IN_OT_OP_AST_LIAB_DETAIL","FQ3 2008","FQ3 2008","Currency=USD","Period=FQ","BEST_FPERIOD_OVERRIDE=FQ","FILING_STATUS=OR","SCALING_FORMAT=MLN","Sort=A","Dates=H","DateFormat=P","Fill=—","Direction=H","UseDPDF=Y")</f>
        <v>-2856</v>
      </c>
      <c r="D15" s="13">
        <f>_xll.BDH("XOM US Equity","INC_DEC_IN_OT_OP_AST_LIAB_DETAIL","FQ4 2008","FQ4 2008","Currency=USD","Period=FQ","BEST_FPERIOD_OVERRIDE=FQ","FILING_STATUS=OR","SCALING_FORMAT=MLN","Sort=A","Dates=H","DateFormat=P","Fill=—","Direction=H","UseDPDF=Y")</f>
        <v>-1713</v>
      </c>
      <c r="E15" s="13">
        <f>_xll.BDH("XOM US Equity","INC_DEC_IN_OT_OP_AST_LIAB_DETAIL","FQ1 2009","FQ1 2009","Currency=USD","Period=FQ","BEST_FPERIOD_OVERRIDE=FQ","FILING_STATUS=OR","SCALING_FORMAT=MLN","Sort=A","Dates=H","DateFormat=P","Fill=—","Direction=H","UseDPDF=Y")</f>
        <v>1132</v>
      </c>
      <c r="F15" s="13">
        <f>_xll.BDH("XOM US Equity","INC_DEC_IN_OT_OP_AST_LIAB_DETAIL","FQ2 2009","FQ2 2009","Currency=USD","Period=FQ","BEST_FPERIOD_OVERRIDE=FQ","FILING_STATUS=OR","SCALING_FORMAT=MLN","Sort=A","Dates=H","DateFormat=P","Fill=—","Direction=H","UseDPDF=Y")</f>
        <v>-2124</v>
      </c>
      <c r="G15" s="13">
        <f>_xll.BDH("XOM US Equity","INC_DEC_IN_OT_OP_AST_LIAB_DETAIL","FQ3 2009","FQ3 2009","Currency=USD","Period=FQ","BEST_FPERIOD_OVERRIDE=FQ","FILING_STATUS=OR","SCALING_FORMAT=MLN","Sort=A","Dates=H","DateFormat=P","Fill=—","Direction=H","UseDPDF=Y")</f>
        <v>140</v>
      </c>
      <c r="H15" s="13">
        <f>_xll.BDH("XOM US Equity","INC_DEC_IN_OT_OP_AST_LIAB_DETAIL","FQ4 2009","FQ4 2009","Currency=USD","Period=FQ","BEST_FPERIOD_OVERRIDE=FQ","FILING_STATUS=OR","SCALING_FORMAT=MLN","Sort=A","Dates=H","DateFormat=P","Fill=—","Direction=H","UseDPDF=Y")</f>
        <v>-307</v>
      </c>
      <c r="I15" s="13">
        <f>_xll.BDH("XOM US Equity","INC_DEC_IN_OT_OP_AST_LIAB_DETAIL","FQ1 2010","FQ1 2010","Currency=USD","Period=FQ","BEST_FPERIOD_OVERRIDE=FQ","FILING_STATUS=OR","SCALING_FORMAT=MLN","Sort=A","Dates=H","DateFormat=P","Fill=—","Direction=H","UseDPDF=Y")</f>
        <v>3201</v>
      </c>
      <c r="J15" s="13">
        <f>_xll.BDH("XOM US Equity","INC_DEC_IN_OT_OP_AST_LIAB_DETAIL","FQ2 2010","FQ2 2010","Currency=USD","Period=FQ","BEST_FPERIOD_OVERRIDE=FQ","FILING_STATUS=OR","SCALING_FORMAT=MLN","Sort=A","Dates=H","DateFormat=P","Fill=—","Direction=H","UseDPDF=Y")</f>
        <v>-1133</v>
      </c>
      <c r="K15" s="13">
        <f>_xll.BDH("XOM US Equity","INC_DEC_IN_OT_OP_AST_LIAB_DETAIL","FQ3 2010","FQ3 2010","Currency=USD","Period=FQ","BEST_FPERIOD_OVERRIDE=FQ","FILING_STATUS=OR","SCALING_FORMAT=MLN","Sort=A","Dates=H","DateFormat=P","Fill=—","Direction=H","UseDPDF=Y")</f>
        <v>1654</v>
      </c>
      <c r="L15" s="13">
        <f>_xll.BDH("XOM US Equity","INC_DEC_IN_OT_OP_AST_LIAB_DETAIL","FQ4 2010","FQ4 2010","Currency=USD","Period=FQ","BEST_FPERIOD_OVERRIDE=FQ","FILING_STATUS=OR","SCALING_FORMAT=MLN","Sort=A","Dates=H","DateFormat=P","Fill=—","Direction=H","UseDPDF=Y")</f>
        <v>123</v>
      </c>
      <c r="M15" s="13">
        <f>_xll.BDH("XOM US Equity","INC_DEC_IN_OT_OP_AST_LIAB_DETAIL","FQ1 2011","FQ1 2011","Currency=USD","Period=FQ","BEST_FPERIOD_OVERRIDE=FQ","FILING_STATUS=OR","SCALING_FORMAT=MLN","Sort=A","Dates=H","DateFormat=P","Fill=—","Direction=H","UseDPDF=Y")</f>
        <v>2887</v>
      </c>
      <c r="N15" s="13">
        <f>_xll.BDH("XOM US Equity","INC_DEC_IN_OT_OP_AST_LIAB_DETAIL","FQ2 2011","FQ2 2011","Currency=USD","Period=FQ","BEST_FPERIOD_OVERRIDE=FQ","FILING_STATUS=OR","SCALING_FORMAT=MLN","Sort=A","Dates=H","DateFormat=P","Fill=—","Direction=H","UseDPDF=Y")</f>
        <v>-1809</v>
      </c>
      <c r="O15" s="13">
        <f>_xll.BDH("XOM US Equity","INC_DEC_IN_OT_OP_AST_LIAB_DETAIL","FQ3 2011","FQ3 2011","Currency=USD","Period=FQ","BEST_FPERIOD_OVERRIDE=FQ","FILING_STATUS=OR","SCALING_FORMAT=MLN","Sort=A","Dates=H","DateFormat=P","Fill=—","Direction=H","UseDPDF=Y")</f>
        <v>1076</v>
      </c>
      <c r="P15" s="13">
        <f>_xll.BDH("XOM US Equity","INC_DEC_IN_OT_OP_AST_LIAB_DETAIL","FQ4 2011","FQ4 2011","Currency=USD","Period=FQ","BEST_FPERIOD_OVERRIDE=FQ","FILING_STATUS=OR","SCALING_FORMAT=MLN","Sort=A","Dates=H","DateFormat=P","Fill=—","Direction=H","UseDPDF=Y")</f>
        <v>-3166</v>
      </c>
      <c r="Q15" s="13">
        <f>_xll.BDH("XOM US Equity","INC_DEC_IN_OT_OP_AST_LIAB_DETAIL","FQ1 2012","FQ1 2012","Currency=USD","Period=FQ","BEST_FPERIOD_OVERRIDE=FQ","FILING_STATUS=OR","SCALING_FORMAT=MLN","Sort=A","Dates=H","DateFormat=P","Fill=—","Direction=H","UseDPDF=Y")</f>
        <v>5792</v>
      </c>
      <c r="R15" s="13">
        <f>_xll.BDH("XOM US Equity","INC_DEC_IN_OT_OP_AST_LIAB_DETAIL","FQ2 2012","FQ2 2012","Currency=USD","Period=FQ","BEST_FPERIOD_OVERRIDE=FQ","FILING_STATUS=OR","SCALING_FORMAT=MLN","Sort=A","Dates=H","DateFormat=P","Fill=—","Direction=H","UseDPDF=Y")</f>
        <v>-2384</v>
      </c>
      <c r="S15" s="13">
        <f>_xll.BDH("XOM US Equity","INC_DEC_IN_OT_OP_AST_LIAB_DETAIL","FQ3 2012","FQ3 2012","Currency=USD","Period=FQ","BEST_FPERIOD_OVERRIDE=FQ","FILING_STATUS=OR","SCALING_FORMAT=MLN","Sort=A","Dates=H","DateFormat=P","Fill=—","Direction=H","UseDPDF=Y")</f>
        <v>-289</v>
      </c>
      <c r="T15" s="13">
        <f>_xll.BDH("XOM US Equity","INC_DEC_IN_OT_OP_AST_LIAB_DETAIL","FQ4 2012","FQ4 2012","Currency=USD","Period=FQ","BEST_FPERIOD_OVERRIDE=FQ","FILING_STATUS=OR","SCALING_FORMAT=MLN","Sort=A","Dates=H","DateFormat=P","Fill=—","Direction=H","UseDPDF=Y")</f>
        <v>-2492</v>
      </c>
      <c r="U15" s="13">
        <f>_xll.BDH("XOM US Equity","INC_DEC_IN_OT_OP_AST_LIAB_DETAIL","FQ1 2013","FQ1 2013","Currency=USD","Period=FQ","BEST_FPERIOD_OVERRIDE=FQ","FILING_STATUS=OR","SCALING_FORMAT=MLN","Sort=A","Dates=H","DateFormat=P","Fill=—","Direction=H","UseDPDF=Y")</f>
        <v>2321</v>
      </c>
      <c r="V15" s="13">
        <f>_xll.BDH("XOM US Equity","INC_DEC_IN_OT_OP_AST_LIAB_DETAIL","FQ2 2013","FQ2 2013","Currency=USD","Period=FQ","BEST_FPERIOD_OVERRIDE=FQ","FILING_STATUS=OR","SCALING_FORMAT=MLN","Sort=A","Dates=H","DateFormat=P","Fill=—","Direction=H","UseDPDF=Y")</f>
        <v>-5283</v>
      </c>
      <c r="W15" s="13">
        <f>_xll.BDH("XOM US Equity","INC_DEC_IN_OT_OP_AST_LIAB_DETAIL","FQ3 2013","FQ3 2013","Currency=USD","Period=FQ","BEST_FPERIOD_OVERRIDE=FQ","FILING_STATUS=OR","SCALING_FORMAT=MLN","Sort=A","Dates=H","DateFormat=P","Fill=—","Direction=H","UseDPDF=Y")</f>
        <v>286</v>
      </c>
      <c r="X15" s="13">
        <f>_xll.BDH("XOM US Equity","INC_DEC_IN_OT_OP_AST_LIAB_DETAIL","FQ4 2013","FQ4 2013","Currency=USD","Period=FQ","BEST_FPERIOD_OVERRIDE=FQ","FILING_STATUS=OR","SCALING_FORMAT=MLN","Sort=A","Dates=H","DateFormat=P","Fill=—","Direction=H","UseDPDF=Y")</f>
        <v>-2044</v>
      </c>
      <c r="Y15" s="13">
        <f>_xll.BDH("XOM US Equity","INC_DEC_IN_OT_OP_AST_LIAB_DETAIL","FQ1 2014","FQ1 2014","Currency=USD","Period=FQ","BEST_FPERIOD_OVERRIDE=FQ","FILING_STATUS=OR","SCALING_FORMAT=MLN","Sort=A","Dates=H","DateFormat=P","Fill=—","Direction=H","UseDPDF=Y")</f>
        <v>2452</v>
      </c>
      <c r="Z15" s="13">
        <f>_xll.BDH("XOM US Equity","INC_DEC_IN_OT_OP_AST_LIAB_DETAIL","FQ2 2014","FQ2 2014","Currency=USD","Period=FQ","BEST_FPERIOD_OVERRIDE=FQ","FILING_STATUS=OR","SCALING_FORMAT=MLN","Sort=A","Dates=H","DateFormat=P","Fill=—","Direction=H","UseDPDF=Y")</f>
        <v>-2449</v>
      </c>
      <c r="AA15" s="13">
        <f>_xll.BDH("XOM US Equity","INC_DEC_IN_OT_OP_AST_LIAB_DETAIL","FQ3 2014","FQ3 2014","Currency=USD","Period=FQ","BEST_FPERIOD_OVERRIDE=FQ","FILING_STATUS=OR","SCALING_FORMAT=MLN","Sort=A","Dates=H","DateFormat=P","Fill=—","Direction=H","UseDPDF=Y")</f>
        <v>-463</v>
      </c>
      <c r="AB15" s="13">
        <f>_xll.BDH("XOM US Equity","INC_DEC_IN_OT_OP_AST_LIAB_DETAIL","FQ4 2014","FQ4 2014","Currency=USD","Period=FQ","BEST_FPERIOD_OVERRIDE=FQ","FILING_STATUS=OR","SCALING_FORMAT=MLN","Sort=A","Dates=H","DateFormat=P","Fill=—","Direction=H","UseDPDF=Y")</f>
        <v>-4472</v>
      </c>
      <c r="AC15" s="13">
        <f>_xll.BDH("XOM US Equity","INC_DEC_IN_OT_OP_AST_LIAB_DETAIL","FQ1 2015","FQ1 2015","Currency=USD","Period=FQ","BEST_FPERIOD_OVERRIDE=FQ","FILING_STATUS=OR","SCALING_FORMAT=MLN","Sort=A","Dates=H","DateFormat=P","Fill=—","Direction=H","UseDPDF=Y")</f>
        <v>-509</v>
      </c>
      <c r="AD15" s="13">
        <f>_xll.BDH("XOM US Equity","INC_DEC_IN_OT_OP_AST_LIAB_DETAIL","FQ2 2015","FQ2 2015","Currency=USD","Period=FQ","BEST_FPERIOD_OVERRIDE=FQ","FILING_STATUS=OR","SCALING_FORMAT=MLN","Sort=A","Dates=H","DateFormat=P","Fill=—","Direction=H","UseDPDF=Y")</f>
        <v>-1024</v>
      </c>
      <c r="AE15" s="13">
        <f>_xll.BDH("XOM US Equity","INC_DEC_IN_OT_OP_AST_LIAB_DETAIL","FQ3 2015","FQ3 2015","Currency=USD","Period=FQ","BEST_FPERIOD_OVERRIDE=FQ","FILING_STATUS=OR","SCALING_FORMAT=MLN","Sort=A","Dates=H","DateFormat=P","Fill=—","Direction=H","UseDPDF=Y")</f>
        <v>496</v>
      </c>
      <c r="AF15" s="13">
        <f>_xll.BDH("XOM US Equity","INC_DEC_IN_OT_OP_AST_LIAB_DETAIL","FQ4 2015","FQ4 2015","Currency=USD","Period=FQ","BEST_FPERIOD_OVERRIDE=FQ","FILING_STATUS=OR","SCALING_FORMAT=MLN","Sort=A","Dates=H","DateFormat=P","Fill=—","Direction=H","UseDPDF=Y")</f>
        <v>-2076</v>
      </c>
      <c r="AG15" s="13">
        <f>_xll.BDH("XOM US Equity","INC_DEC_IN_OT_OP_AST_LIAB_DETAIL","FQ1 2016","FQ1 2016","Currency=USD","Period=FQ","BEST_FPERIOD_OVERRIDE=FQ","FILING_STATUS=OR","SCALING_FORMAT=MLN","Sort=A","Dates=H","DateFormat=P","Fill=—","Direction=H","UseDPDF=Y")</f>
        <v>-399</v>
      </c>
      <c r="AH15" s="13">
        <f>_xll.BDH("XOM US Equity","INC_DEC_IN_OT_OP_AST_LIAB_DETAIL","FQ2 2016","FQ2 2016","Currency=USD","Period=FQ","BEST_FPERIOD_OVERRIDE=FQ","FILING_STATUS=OR","SCALING_FORMAT=MLN","Sort=A","Dates=H","DateFormat=P","Fill=—","Direction=H","UseDPDF=Y")</f>
        <v>-1326</v>
      </c>
      <c r="AI15" s="13">
        <f>_xll.BDH("XOM US Equity","INC_DEC_IN_OT_OP_AST_LIAB_DETAIL","FQ3 2016","FQ3 2016","Currency=USD","Period=FQ","BEST_FPERIOD_OVERRIDE=FQ","FILING_STATUS=OR","SCALING_FORMAT=MLN","Sort=A","Dates=H","DateFormat=P","Fill=—","Direction=H","UseDPDF=Y")</f>
        <v>-661</v>
      </c>
      <c r="AJ15" s="13">
        <f>_xll.BDH("XOM US Equity","INC_DEC_IN_OT_OP_AST_LIAB_DETAIL","FQ4 2016","FQ4 2016","Currency=USD","Period=FQ","BEST_FPERIOD_OVERRIDE=FQ","FILING_STATUS=OR","SCALING_FORMAT=MLN","Sort=A","Dates=H","DateFormat=P","Fill=—","Direction=H","UseDPDF=Y")</f>
        <v>994</v>
      </c>
      <c r="AK15" s="13">
        <f>_xll.BDH("XOM US Equity","INC_DEC_IN_OT_OP_AST_LIAB_DETAIL","FQ1 2017","FQ1 2017","Currency=USD","Period=FQ","BEST_FPERIOD_OVERRIDE=FQ","FILING_STATUS=OR","SCALING_FORMAT=MLN","Sort=A","Dates=H","DateFormat=P","Fill=—","Direction=H","UseDPDF=Y")</f>
        <v>793</v>
      </c>
      <c r="AL15" s="13">
        <f>_xll.BDH("XOM US Equity","INC_DEC_IN_OT_OP_AST_LIAB_DETAIL","FQ2 2017","FQ2 2017","Currency=USD","Period=FQ","BEST_FPERIOD_OVERRIDE=FQ","FILING_STATUS=OR","SCALING_FORMAT=MLN","Sort=A","Dates=H","DateFormat=P","Fill=—","Direction=H","UseDPDF=Y")</f>
        <v>-1021</v>
      </c>
      <c r="AM15" s="13">
        <f>_xll.BDH("XOM US Equity","INC_DEC_IN_OT_OP_AST_LIAB_DETAIL","FQ3 2017","FQ3 2017","Currency=USD","Period=FQ","BEST_FPERIOD_OVERRIDE=FQ","FILING_STATUS=OR","SCALING_FORMAT=MLN","Sort=A","Dates=H","DateFormat=P","Fill=—","Direction=H","UseDPDF=Y")</f>
        <v>-319</v>
      </c>
      <c r="AN15" s="13">
        <f>_xll.BDH("XOM US Equity","INC_DEC_IN_OT_OP_AST_LIAB_DETAIL","FQ4 2017","FQ4 2017","Currency=USD","Period=FQ","BEST_FPERIOD_OVERRIDE=FQ","FILING_STATUS=OR","SCALING_FORMAT=MLN","Sort=A","Dates=H","DateFormat=P","Fill=—","Direction=H","UseDPDF=Y")</f>
        <v>-102</v>
      </c>
      <c r="AO15" s="13">
        <f>_xll.BDH("XOM US Equity","INC_DEC_IN_OT_OP_AST_LIAB_DETAIL","FQ1 2018","FQ1 2018","Currency=USD","Period=FQ","BEST_FPERIOD_OVERRIDE=FQ","FILING_STATUS=OR","SCALING_FORMAT=MLN","Sort=A","Dates=H","DateFormat=P","Fill=—","Direction=H","UseDPDF=Y")</f>
        <v>351</v>
      </c>
      <c r="AP15" s="13">
        <f>_xll.BDH("XOM US Equity","INC_DEC_IN_OT_OP_AST_LIAB_DETAIL","FQ2 2018","FQ2 2018","Currency=USD","Period=FQ","BEST_FPERIOD_OVERRIDE=FQ","FILING_STATUS=OR","SCALING_FORMAT=MLN","Sort=A","Dates=H","DateFormat=P","Fill=—","Direction=H","UseDPDF=Y")</f>
        <v>-1333</v>
      </c>
    </row>
    <row r="16" spans="1:42" x14ac:dyDescent="0.25">
      <c r="A16" s="10" t="s">
        <v>380</v>
      </c>
      <c r="B16" s="10" t="s">
        <v>381</v>
      </c>
      <c r="C16" s="13" t="str">
        <f>_xll.BDH("XOM US Equity","CF_NET_CASH_DISCONT_OPS_OPER","FQ3 2008","FQ3 2008","Currency=USD","Period=FQ","BEST_FPERIOD_OVERRIDE=FQ","FILING_STATUS=OR","SCALING_FORMAT=MLN","Sort=A","Dates=H","DateFormat=P","Fill=—","Direction=H","UseDPDF=Y")</f>
        <v>—</v>
      </c>
      <c r="D16" s="13" t="str">
        <f>_xll.BDH("XOM US Equity","CF_NET_CASH_DISCONT_OPS_OPER","FQ4 2008","FQ4 2008","Currency=USD","Period=FQ","BEST_FPERIOD_OVERRIDE=FQ","FILING_STATUS=OR","SCALING_FORMAT=MLN","Sort=A","Dates=H","DateFormat=P","Fill=—","Direction=H","UseDPDF=Y")</f>
        <v>—</v>
      </c>
      <c r="E16" s="13">
        <f>_xll.BDH("XOM US Equity","CF_NET_CASH_DISCONT_OPS_OPER","FQ1 2009","FQ1 2009","Currency=USD","Period=FQ","BEST_FPERIOD_OVERRIDE=FQ","FILING_STATUS=OR","SCALING_FORMAT=MLN","Sort=A","Dates=H","DateFormat=P","Fill=—","Direction=H","UseDPDF=Y")</f>
        <v>0</v>
      </c>
      <c r="F16" s="13">
        <f>_xll.BDH("XOM US Equity","CF_NET_CASH_DISCONT_OPS_OPER","FQ2 2009","FQ2 2009","Currency=USD","Period=FQ","BEST_FPERIOD_OVERRIDE=FQ","FILING_STATUS=OR","SCALING_FORMAT=MLN","Sort=A","Dates=H","DateFormat=P","Fill=—","Direction=H","UseDPDF=Y")</f>
        <v>0</v>
      </c>
      <c r="G16" s="13">
        <f>_xll.BDH("XOM US Equity","CF_NET_CASH_DISCONT_OPS_OPER","FQ3 2009","FQ3 2009","Currency=USD","Period=FQ","BEST_FPERIOD_OVERRIDE=FQ","FILING_STATUS=OR","SCALING_FORMAT=MLN","Sort=A","Dates=H","DateFormat=P","Fill=—","Direction=H","UseDPDF=Y")</f>
        <v>0</v>
      </c>
      <c r="H16" s="13">
        <f>_xll.BDH("XOM US Equity","CF_NET_CASH_DISCONT_OPS_OPER","FQ4 2009","FQ4 2009","Currency=USD","Period=FQ","BEST_FPERIOD_OVERRIDE=FQ","FILING_STATUS=OR","SCALING_FORMAT=MLN","Sort=A","Dates=H","DateFormat=P","Fill=—","Direction=H","UseDPDF=Y")</f>
        <v>0</v>
      </c>
      <c r="I16" s="13">
        <f>_xll.BDH("XOM US Equity","CF_NET_CASH_DISCONT_OPS_OPER","FQ1 2010","FQ1 2010","Currency=USD","Period=FQ","BEST_FPERIOD_OVERRIDE=FQ","FILING_STATUS=OR","SCALING_FORMAT=MLN","Sort=A","Dates=H","DateFormat=P","Fill=—","Direction=H","UseDPDF=Y")</f>
        <v>0</v>
      </c>
      <c r="J16" s="13">
        <f>_xll.BDH("XOM US Equity","CF_NET_CASH_DISCONT_OPS_OPER","FQ2 2010","FQ2 2010","Currency=USD","Period=FQ","BEST_FPERIOD_OVERRIDE=FQ","FILING_STATUS=OR","SCALING_FORMAT=MLN","Sort=A","Dates=H","DateFormat=P","Fill=—","Direction=H","UseDPDF=Y")</f>
        <v>0</v>
      </c>
      <c r="K16" s="13">
        <f>_xll.BDH("XOM US Equity","CF_NET_CASH_DISCONT_OPS_OPER","FQ3 2010","FQ3 2010","Currency=USD","Period=FQ","BEST_FPERIOD_OVERRIDE=FQ","FILING_STATUS=OR","SCALING_FORMAT=MLN","Sort=A","Dates=H","DateFormat=P","Fill=—","Direction=H","UseDPDF=Y")</f>
        <v>0</v>
      </c>
      <c r="L16" s="13">
        <f>_xll.BDH("XOM US Equity","CF_NET_CASH_DISCONT_OPS_OPER","FQ4 2010","FQ4 2010","Currency=USD","Period=FQ","BEST_FPERIOD_OVERRIDE=FQ","FILING_STATUS=OR","SCALING_FORMAT=MLN","Sort=A","Dates=H","DateFormat=P","Fill=—","Direction=H","UseDPDF=Y")</f>
        <v>0</v>
      </c>
      <c r="M16" s="13">
        <f>_xll.BDH("XOM US Equity","CF_NET_CASH_DISCONT_OPS_OPER","FQ1 2011","FQ1 2011","Currency=USD","Period=FQ","BEST_FPERIOD_OVERRIDE=FQ","FILING_STATUS=OR","SCALING_FORMAT=MLN","Sort=A","Dates=H","DateFormat=P","Fill=—","Direction=H","UseDPDF=Y")</f>
        <v>0</v>
      </c>
      <c r="N16" s="13">
        <f>_xll.BDH("XOM US Equity","CF_NET_CASH_DISCONT_OPS_OPER","FQ2 2011","FQ2 2011","Currency=USD","Period=FQ","BEST_FPERIOD_OVERRIDE=FQ","FILING_STATUS=OR","SCALING_FORMAT=MLN","Sort=A","Dates=H","DateFormat=P","Fill=—","Direction=H","UseDPDF=Y")</f>
        <v>0</v>
      </c>
      <c r="O16" s="13">
        <f>_xll.BDH("XOM US Equity","CF_NET_CASH_DISCONT_OPS_OPER","FQ3 2011","FQ3 2011","Currency=USD","Period=FQ","BEST_FPERIOD_OVERRIDE=FQ","FILING_STATUS=OR","SCALING_FORMAT=MLN","Sort=A","Dates=H","DateFormat=P","Fill=—","Direction=H","UseDPDF=Y")</f>
        <v>0</v>
      </c>
      <c r="P16" s="13">
        <f>_xll.BDH("XOM US Equity","CF_NET_CASH_DISCONT_OPS_OPER","FQ4 2011","FQ4 2011","Currency=USD","Period=FQ","BEST_FPERIOD_OVERRIDE=FQ","FILING_STATUS=OR","SCALING_FORMAT=MLN","Sort=A","Dates=H","DateFormat=P","Fill=—","Direction=H","UseDPDF=Y")</f>
        <v>0</v>
      </c>
      <c r="Q16" s="13">
        <f>_xll.BDH("XOM US Equity","CF_NET_CASH_DISCONT_OPS_OPER","FQ1 2012","FQ1 2012","Currency=USD","Period=FQ","BEST_FPERIOD_OVERRIDE=FQ","FILING_STATUS=OR","SCALING_FORMAT=MLN","Sort=A","Dates=H","DateFormat=P","Fill=—","Direction=H","UseDPDF=Y")</f>
        <v>0</v>
      </c>
      <c r="R16" s="13">
        <f>_xll.BDH("XOM US Equity","CF_NET_CASH_DISCONT_OPS_OPER","FQ2 2012","FQ2 2012","Currency=USD","Period=FQ","BEST_FPERIOD_OVERRIDE=FQ","FILING_STATUS=OR","SCALING_FORMAT=MLN","Sort=A","Dates=H","DateFormat=P","Fill=—","Direction=H","UseDPDF=Y")</f>
        <v>0</v>
      </c>
      <c r="S16" s="13">
        <f>_xll.BDH("XOM US Equity","CF_NET_CASH_DISCONT_OPS_OPER","FQ3 2012","FQ3 2012","Currency=USD","Period=FQ","BEST_FPERIOD_OVERRIDE=FQ","FILING_STATUS=OR","SCALING_FORMAT=MLN","Sort=A","Dates=H","DateFormat=P","Fill=—","Direction=H","UseDPDF=Y")</f>
        <v>0</v>
      </c>
      <c r="T16" s="13">
        <f>_xll.BDH("XOM US Equity","CF_NET_CASH_DISCONT_OPS_OPER","FQ4 2012","FQ4 2012","Currency=USD","Period=FQ","BEST_FPERIOD_OVERRIDE=FQ","FILING_STATUS=OR","SCALING_FORMAT=MLN","Sort=A","Dates=H","DateFormat=P","Fill=—","Direction=H","UseDPDF=Y")</f>
        <v>0</v>
      </c>
      <c r="U16" s="13">
        <f>_xll.BDH("XOM US Equity","CF_NET_CASH_DISCONT_OPS_OPER","FQ1 2013","FQ1 2013","Currency=USD","Period=FQ","BEST_FPERIOD_OVERRIDE=FQ","FILING_STATUS=OR","SCALING_FORMAT=MLN","Sort=A","Dates=H","DateFormat=P","Fill=—","Direction=H","UseDPDF=Y")</f>
        <v>0</v>
      </c>
      <c r="V16" s="13">
        <f>_xll.BDH("XOM US Equity","CF_NET_CASH_DISCONT_OPS_OPER","FQ2 2013","FQ2 2013","Currency=USD","Period=FQ","BEST_FPERIOD_OVERRIDE=FQ","FILING_STATUS=OR","SCALING_FORMAT=MLN","Sort=A","Dates=H","DateFormat=P","Fill=—","Direction=H","UseDPDF=Y")</f>
        <v>0</v>
      </c>
      <c r="W16" s="13">
        <f>_xll.BDH("XOM US Equity","CF_NET_CASH_DISCONT_OPS_OPER","FQ3 2013","FQ3 2013","Currency=USD","Period=FQ","BEST_FPERIOD_OVERRIDE=FQ","FILING_STATUS=OR","SCALING_FORMAT=MLN","Sort=A","Dates=H","DateFormat=P","Fill=—","Direction=H","UseDPDF=Y")</f>
        <v>0</v>
      </c>
      <c r="X16" s="13">
        <f>_xll.BDH("XOM US Equity","CF_NET_CASH_DISCONT_OPS_OPER","FQ4 2013","FQ4 2013","Currency=USD","Period=FQ","BEST_FPERIOD_OVERRIDE=FQ","FILING_STATUS=OR","SCALING_FORMAT=MLN","Sort=A","Dates=H","DateFormat=P","Fill=—","Direction=H","UseDPDF=Y")</f>
        <v>0</v>
      </c>
      <c r="Y16" s="13">
        <f>_xll.BDH("XOM US Equity","CF_NET_CASH_DISCONT_OPS_OPER","FQ1 2014","FQ1 2014","Currency=USD","Period=FQ","BEST_FPERIOD_OVERRIDE=FQ","FILING_STATUS=OR","SCALING_FORMAT=MLN","Sort=A","Dates=H","DateFormat=P","Fill=—","Direction=H","UseDPDF=Y")</f>
        <v>0</v>
      </c>
      <c r="Z16" s="13">
        <f>_xll.BDH("XOM US Equity","CF_NET_CASH_DISCONT_OPS_OPER","FQ2 2014","FQ2 2014","Currency=USD","Period=FQ","BEST_FPERIOD_OVERRIDE=FQ","FILING_STATUS=OR","SCALING_FORMAT=MLN","Sort=A","Dates=H","DateFormat=P","Fill=—","Direction=H","UseDPDF=Y")</f>
        <v>0</v>
      </c>
      <c r="AA16" s="13">
        <f>_xll.BDH("XOM US Equity","CF_NET_CASH_DISCONT_OPS_OPER","FQ3 2014","FQ3 2014","Currency=USD","Period=FQ","BEST_FPERIOD_OVERRIDE=FQ","FILING_STATUS=OR","SCALING_FORMAT=MLN","Sort=A","Dates=H","DateFormat=P","Fill=—","Direction=H","UseDPDF=Y")</f>
        <v>0</v>
      </c>
      <c r="AB16" s="13">
        <f>_xll.BDH("XOM US Equity","CF_NET_CASH_DISCONT_OPS_OPER","FQ4 2014","FQ4 2014","Currency=USD","Period=FQ","BEST_FPERIOD_OVERRIDE=FQ","FILING_STATUS=OR","SCALING_FORMAT=MLN","Sort=A","Dates=H","DateFormat=P","Fill=—","Direction=H","UseDPDF=Y")</f>
        <v>0</v>
      </c>
      <c r="AC16" s="13">
        <f>_xll.BDH("XOM US Equity","CF_NET_CASH_DISCONT_OPS_OPER","FQ1 2015","FQ1 2015","Currency=USD","Period=FQ","BEST_FPERIOD_OVERRIDE=FQ","FILING_STATUS=OR","SCALING_FORMAT=MLN","Sort=A","Dates=H","DateFormat=P","Fill=—","Direction=H","UseDPDF=Y")</f>
        <v>0</v>
      </c>
      <c r="AD16" s="13">
        <f>_xll.BDH("XOM US Equity","CF_NET_CASH_DISCONT_OPS_OPER","FQ2 2015","FQ2 2015","Currency=USD","Period=FQ","BEST_FPERIOD_OVERRIDE=FQ","FILING_STATUS=OR","SCALING_FORMAT=MLN","Sort=A","Dates=H","DateFormat=P","Fill=—","Direction=H","UseDPDF=Y")</f>
        <v>0</v>
      </c>
      <c r="AE16" s="13">
        <f>_xll.BDH("XOM US Equity","CF_NET_CASH_DISCONT_OPS_OPER","FQ3 2015","FQ3 2015","Currency=USD","Period=FQ","BEST_FPERIOD_OVERRIDE=FQ","FILING_STATUS=OR","SCALING_FORMAT=MLN","Sort=A","Dates=H","DateFormat=P","Fill=—","Direction=H","UseDPDF=Y")</f>
        <v>0</v>
      </c>
      <c r="AF16" s="13">
        <f>_xll.BDH("XOM US Equity","CF_NET_CASH_DISCONT_OPS_OPER","FQ4 2015","FQ4 2015","Currency=USD","Period=FQ","BEST_FPERIOD_OVERRIDE=FQ","FILING_STATUS=OR","SCALING_FORMAT=MLN","Sort=A","Dates=H","DateFormat=P","Fill=—","Direction=H","UseDPDF=Y")</f>
        <v>0</v>
      </c>
      <c r="AG16" s="13">
        <f>_xll.BDH("XOM US Equity","CF_NET_CASH_DISCONT_OPS_OPER","FQ1 2016","FQ1 2016","Currency=USD","Period=FQ","BEST_FPERIOD_OVERRIDE=FQ","FILING_STATUS=OR","SCALING_FORMAT=MLN","Sort=A","Dates=H","DateFormat=P","Fill=—","Direction=H","UseDPDF=Y")</f>
        <v>0</v>
      </c>
      <c r="AH16" s="13">
        <f>_xll.BDH("XOM US Equity","CF_NET_CASH_DISCONT_OPS_OPER","FQ2 2016","FQ2 2016","Currency=USD","Period=FQ","BEST_FPERIOD_OVERRIDE=FQ","FILING_STATUS=OR","SCALING_FORMAT=MLN","Sort=A","Dates=H","DateFormat=P","Fill=—","Direction=H","UseDPDF=Y")</f>
        <v>0</v>
      </c>
      <c r="AI16" s="13">
        <f>_xll.BDH("XOM US Equity","CF_NET_CASH_DISCONT_OPS_OPER","FQ3 2016","FQ3 2016","Currency=USD","Period=FQ","BEST_FPERIOD_OVERRIDE=FQ","FILING_STATUS=OR","SCALING_FORMAT=MLN","Sort=A","Dates=H","DateFormat=P","Fill=—","Direction=H","UseDPDF=Y")</f>
        <v>0</v>
      </c>
      <c r="AJ16" s="13">
        <f>_xll.BDH("XOM US Equity","CF_NET_CASH_DISCONT_OPS_OPER","FQ4 2016","FQ4 2016","Currency=USD","Period=FQ","BEST_FPERIOD_OVERRIDE=FQ","FILING_STATUS=OR","SCALING_FORMAT=MLN","Sort=A","Dates=H","DateFormat=P","Fill=—","Direction=H","UseDPDF=Y")</f>
        <v>0</v>
      </c>
      <c r="AK16" s="13">
        <f>_xll.BDH("XOM US Equity","CF_NET_CASH_DISCONT_OPS_OPER","FQ1 2017","FQ1 2017","Currency=USD","Period=FQ","BEST_FPERIOD_OVERRIDE=FQ","FILING_STATUS=OR","SCALING_FORMAT=MLN","Sort=A","Dates=H","DateFormat=P","Fill=—","Direction=H","UseDPDF=Y")</f>
        <v>0</v>
      </c>
      <c r="AL16" s="13">
        <f>_xll.BDH("XOM US Equity","CF_NET_CASH_DISCONT_OPS_OPER","FQ2 2017","FQ2 2017","Currency=USD","Period=FQ","BEST_FPERIOD_OVERRIDE=FQ","FILING_STATUS=OR","SCALING_FORMAT=MLN","Sort=A","Dates=H","DateFormat=P","Fill=—","Direction=H","UseDPDF=Y")</f>
        <v>0</v>
      </c>
      <c r="AM16" s="13">
        <f>_xll.BDH("XOM US Equity","CF_NET_CASH_DISCONT_OPS_OPER","FQ3 2017","FQ3 2017","Currency=USD","Period=FQ","BEST_FPERIOD_OVERRIDE=FQ","FILING_STATUS=OR","SCALING_FORMAT=MLN","Sort=A","Dates=H","DateFormat=P","Fill=—","Direction=H","UseDPDF=Y")</f>
        <v>0</v>
      </c>
      <c r="AN16" s="13">
        <f>_xll.BDH("XOM US Equity","CF_NET_CASH_DISCONT_OPS_OPER","FQ4 2017","FQ4 2017","Currency=USD","Period=FQ","BEST_FPERIOD_OVERRIDE=FQ","FILING_STATUS=OR","SCALING_FORMAT=MLN","Sort=A","Dates=H","DateFormat=P","Fill=—","Direction=H","UseDPDF=Y")</f>
        <v>0</v>
      </c>
      <c r="AO16" s="13">
        <f>_xll.BDH("XOM US Equity","CF_NET_CASH_DISCONT_OPS_OPER","FQ1 2018","FQ1 2018","Currency=USD","Period=FQ","BEST_FPERIOD_OVERRIDE=FQ","FILING_STATUS=OR","SCALING_FORMAT=MLN","Sort=A","Dates=H","DateFormat=P","Fill=—","Direction=H","UseDPDF=Y")</f>
        <v>0</v>
      </c>
      <c r="AP16" s="13">
        <f>_xll.BDH("XOM US Equity","CF_NET_CASH_DISCONT_OPS_OPER","FQ2 2018","FQ2 2018","Currency=USD","Period=FQ","BEST_FPERIOD_OVERRIDE=FQ","FILING_STATUS=OR","SCALING_FORMAT=MLN","Sort=A","Dates=H","DateFormat=P","Fill=—","Direction=H","UseDPDF=Y")</f>
        <v>0</v>
      </c>
    </row>
    <row r="17" spans="1:42" x14ac:dyDescent="0.25">
      <c r="A17" s="6" t="s">
        <v>361</v>
      </c>
      <c r="B17" s="6" t="s">
        <v>382</v>
      </c>
      <c r="C17" s="16">
        <f>_xll.BDH("XOM US Equity","CF_CASH_FROM_OPER","FQ3 2008","FQ3 2008","Currency=USD","Period=FQ","BEST_FPERIOD_OVERRIDE=FQ","FILING_STATUS=OR","SCALING_FORMAT=MLN","Sort=A","Dates=H","DateFormat=P","Fill=—","Direction=H","UseDPDF=Y")</f>
        <v>14403</v>
      </c>
      <c r="D17" s="16">
        <f>_xll.BDH("XOM US Equity","CF_CASH_FROM_OPER","FQ4 2008","FQ4 2008","Currency=USD","Period=FQ","BEST_FPERIOD_OVERRIDE=FQ","FILING_STATUS=OR","SCALING_FORMAT=MLN","Sort=A","Dates=H","DateFormat=P","Fill=—","Direction=H","UseDPDF=Y")</f>
        <v>10484</v>
      </c>
      <c r="E17" s="16">
        <f>_xll.BDH("XOM US Equity","CF_CASH_FROM_OPER","FQ1 2009","FQ1 2009","Currency=USD","Period=FQ","BEST_FPERIOD_OVERRIDE=FQ","FILING_STATUS=OR","SCALING_FORMAT=MLN","Sort=A","Dates=H","DateFormat=P","Fill=—","Direction=H","UseDPDF=Y")</f>
        <v>8910</v>
      </c>
      <c r="F17" s="16">
        <f>_xll.BDH("XOM US Equity","CF_CASH_FROM_OPER","FQ2 2009","FQ2 2009","Currency=USD","Period=FQ","BEST_FPERIOD_OVERRIDE=FQ","FILING_STATUS=OR","SCALING_FORMAT=MLN","Sort=A","Dates=H","DateFormat=P","Fill=—","Direction=H","UseDPDF=Y")</f>
        <v>2197</v>
      </c>
      <c r="G17" s="16">
        <f>_xll.BDH("XOM US Equity","CF_CASH_FROM_OPER","FQ3 2009","FQ3 2009","Currency=USD","Period=FQ","BEST_FPERIOD_OVERRIDE=FQ","FILING_STATUS=OR","SCALING_FORMAT=MLN","Sort=A","Dates=H","DateFormat=P","Fill=—","Direction=H","UseDPDF=Y")</f>
        <v>8827</v>
      </c>
      <c r="H17" s="16">
        <f>_xll.BDH("XOM US Equity","CF_CASH_FROM_OPER","FQ4 2009","FQ4 2009","Currency=USD","Period=FQ","BEST_FPERIOD_OVERRIDE=FQ","FILING_STATUS=OR","SCALING_FORMAT=MLN","Sort=A","Dates=H","DateFormat=P","Fill=—","Direction=H","UseDPDF=Y")</f>
        <v>8504</v>
      </c>
      <c r="I17" s="16">
        <f>_xll.BDH("XOM US Equity","CF_CASH_FROM_OPER","FQ1 2010","FQ1 2010","Currency=USD","Period=FQ","BEST_FPERIOD_OVERRIDE=FQ","FILING_STATUS=OR","SCALING_FORMAT=MLN","Sort=A","Dates=H","DateFormat=P","Fill=—","Direction=H","UseDPDF=Y")</f>
        <v>13046</v>
      </c>
      <c r="J17" s="16">
        <f>_xll.BDH("XOM US Equity","CF_CASH_FROM_OPER","FQ2 2010","FQ2 2010","Currency=USD","Period=FQ","BEST_FPERIOD_OVERRIDE=FQ","FILING_STATUS=OR","SCALING_FORMAT=MLN","Sort=A","Dates=H","DateFormat=P","Fill=—","Direction=H","UseDPDF=Y")</f>
        <v>9235</v>
      </c>
      <c r="K17" s="16">
        <f>_xll.BDH("XOM US Equity","CF_CASH_FROM_OPER","FQ3 2010","FQ3 2010","Currency=USD","Period=FQ","BEST_FPERIOD_OVERRIDE=FQ","FILING_STATUS=OR","SCALING_FORMAT=MLN","Sort=A","Dates=H","DateFormat=P","Fill=—","Direction=H","UseDPDF=Y")</f>
        <v>13077</v>
      </c>
      <c r="L17" s="16">
        <f>_xll.BDH("XOM US Equity","CF_CASH_FROM_OPER","FQ4 2010","FQ4 2010","Currency=USD","Period=FQ","BEST_FPERIOD_OVERRIDE=FQ","FILING_STATUS=OR","SCALING_FORMAT=MLN","Sort=A","Dates=H","DateFormat=P","Fill=—","Direction=H","UseDPDF=Y")</f>
        <v>13055</v>
      </c>
      <c r="M17" s="16">
        <f>_xll.BDH("XOM US Equity","CF_CASH_FROM_OPER","FQ1 2011","FQ1 2011","Currency=USD","Period=FQ","BEST_FPERIOD_OVERRIDE=FQ","FILING_STATUS=OR","SCALING_FORMAT=MLN","Sort=A","Dates=H","DateFormat=P","Fill=—","Direction=H","UseDPDF=Y")</f>
        <v>16856</v>
      </c>
      <c r="N17" s="16">
        <f>_xll.BDH("XOM US Equity","CF_CASH_FROM_OPER","FQ2 2011","FQ2 2011","Currency=USD","Period=FQ","BEST_FPERIOD_OVERRIDE=FQ","FILING_STATUS=OR","SCALING_FORMAT=MLN","Sort=A","Dates=H","DateFormat=P","Fill=—","Direction=H","UseDPDF=Y")</f>
        <v>12889</v>
      </c>
      <c r="O17" s="16">
        <f>_xll.BDH("XOM US Equity","CF_CASH_FROM_OPER","FQ3 2011","FQ3 2011","Currency=USD","Period=FQ","BEST_FPERIOD_OVERRIDE=FQ","FILING_STATUS=OR","SCALING_FORMAT=MLN","Sort=A","Dates=H","DateFormat=P","Fill=—","Direction=H","UseDPDF=Y")</f>
        <v>14849</v>
      </c>
      <c r="P17" s="16">
        <f>_xll.BDH("XOM US Equity","CF_CASH_FROM_OPER","FQ4 2011","FQ4 2011","Currency=USD","Period=FQ","BEST_FPERIOD_OVERRIDE=FQ","FILING_STATUS=OR","SCALING_FORMAT=MLN","Sort=A","Dates=H","DateFormat=P","Fill=—","Direction=H","UseDPDF=Y")</f>
        <v>10751</v>
      </c>
      <c r="Q17" s="16">
        <f>_xll.BDH("XOM US Equity","CF_CASH_FROM_OPER","FQ1 2012","FQ1 2012","Currency=USD","Period=FQ","BEST_FPERIOD_OVERRIDE=FQ","FILING_STATUS=OR","SCALING_FORMAT=MLN","Sort=A","Dates=H","DateFormat=P","Fill=—","Direction=H","UseDPDF=Y")</f>
        <v>19287</v>
      </c>
      <c r="R17" s="16">
        <f>_xll.BDH("XOM US Equity","CF_CASH_FROM_OPER","FQ2 2012","FQ2 2012","Currency=USD","Period=FQ","BEST_FPERIOD_OVERRIDE=FQ","FILING_STATUS=OR","SCALING_FORMAT=MLN","Sort=A","Dates=H","DateFormat=P","Fill=—","Direction=H","UseDPDF=Y")</f>
        <v>10217</v>
      </c>
      <c r="S17" s="16">
        <f>_xll.BDH("XOM US Equity","CF_CASH_FROM_OPER","FQ3 2012","FQ3 2012","Currency=USD","Period=FQ","BEST_FPERIOD_OVERRIDE=FQ","FILING_STATUS=OR","SCALING_FORMAT=MLN","Sort=A","Dates=H","DateFormat=P","Fill=—","Direction=H","UseDPDF=Y")</f>
        <v>13442</v>
      </c>
      <c r="T17" s="16">
        <f>_xll.BDH("XOM US Equity","CF_CASH_FROM_OPER","FQ4 2012","FQ4 2012","Currency=USD","Period=FQ","BEST_FPERIOD_OVERRIDE=FQ","FILING_STATUS=OR","SCALING_FORMAT=MLN","Sort=A","Dates=H","DateFormat=P","Fill=—","Direction=H","UseDPDF=Y")</f>
        <v>13224</v>
      </c>
      <c r="U17" s="16">
        <f>_xll.BDH("XOM US Equity","CF_CASH_FROM_OPER","FQ1 2013","FQ1 2013","Currency=USD","Period=FQ","BEST_FPERIOD_OVERRIDE=FQ","FILING_STATUS=OR","SCALING_FORMAT=MLN","Sort=A","Dates=H","DateFormat=P","Fill=—","Direction=H","UseDPDF=Y")</f>
        <v>13592</v>
      </c>
      <c r="V17" s="16">
        <f>_xll.BDH("XOM US Equity","CF_CASH_FROM_OPER","FQ2 2013","FQ2 2013","Currency=USD","Period=FQ","BEST_FPERIOD_OVERRIDE=FQ","FILING_STATUS=OR","SCALING_FORMAT=MLN","Sort=A","Dates=H","DateFormat=P","Fill=—","Direction=H","UseDPDF=Y")</f>
        <v>7683</v>
      </c>
      <c r="W17" s="16">
        <f>_xll.BDH("XOM US Equity","CF_CASH_FROM_OPER","FQ3 2013","FQ3 2013","Currency=USD","Period=FQ","BEST_FPERIOD_OVERRIDE=FQ","FILING_STATUS=OR","SCALING_FORMAT=MLN","Sort=A","Dates=H","DateFormat=P","Fill=—","Direction=H","UseDPDF=Y")</f>
        <v>13431</v>
      </c>
      <c r="X17" s="16">
        <f>_xll.BDH("XOM US Equity","CF_CASH_FROM_OPER","FQ4 2013","FQ4 2013","Currency=USD","Period=FQ","BEST_FPERIOD_OVERRIDE=FQ","FILING_STATUS=OR","SCALING_FORMAT=MLN","Sort=A","Dates=H","DateFormat=P","Fill=—","Direction=H","UseDPDF=Y")</f>
        <v>10208</v>
      </c>
      <c r="Y17" s="16">
        <f>_xll.BDH("XOM US Equity","CF_CASH_FROM_OPER","FQ1 2014","FQ1 2014","Currency=USD","Period=FQ","BEST_FPERIOD_OVERRIDE=FQ","FILING_STATUS=OR","SCALING_FORMAT=MLN","Sort=A","Dates=H","DateFormat=P","Fill=—","Direction=H","UseDPDF=Y")</f>
        <v>15103</v>
      </c>
      <c r="Z17" s="16">
        <f>_xll.BDH("XOM US Equity","CF_CASH_FROM_OPER","FQ2 2014","FQ2 2014","Currency=USD","Period=FQ","BEST_FPERIOD_OVERRIDE=FQ","FILING_STATUS=OR","SCALING_FORMAT=MLN","Sort=A","Dates=H","DateFormat=P","Fill=—","Direction=H","UseDPDF=Y")</f>
        <v>10202</v>
      </c>
      <c r="AA17" s="16">
        <f>_xll.BDH("XOM US Equity","CF_CASH_FROM_OPER","FQ3 2014","FQ3 2014","Currency=USD","Period=FQ","BEST_FPERIOD_OVERRIDE=FQ","FILING_STATUS=OR","SCALING_FORMAT=MLN","Sort=A","Dates=H","DateFormat=P","Fill=—","Direction=H","UseDPDF=Y")</f>
        <v>12396</v>
      </c>
      <c r="AB17" s="16">
        <f>_xll.BDH("XOM US Equity","CF_CASH_FROM_OPER","FQ4 2014","FQ4 2014","Currency=USD","Period=FQ","BEST_FPERIOD_OVERRIDE=FQ","FILING_STATUS=OR","SCALING_FORMAT=MLN","Sort=A","Dates=H","DateFormat=P","Fill=—","Direction=H","UseDPDF=Y")</f>
        <v>7415</v>
      </c>
      <c r="AC17" s="16">
        <f>_xll.BDH("XOM US Equity","CF_CASH_FROM_OPER","FQ1 2015","FQ1 2015","Currency=USD","Period=FQ","BEST_FPERIOD_OVERRIDE=FQ","FILING_STATUS=OR","SCALING_FORMAT=MLN","Sort=A","Dates=H","DateFormat=P","Fill=—","Direction=H","UseDPDF=Y")</f>
        <v>7998</v>
      </c>
      <c r="AD17" s="16">
        <f>_xll.BDH("XOM US Equity","CF_CASH_FROM_OPER","FQ2 2015","FQ2 2015","Currency=USD","Period=FQ","BEST_FPERIOD_OVERRIDE=FQ","FILING_STATUS=OR","SCALING_FORMAT=MLN","Sort=A","Dates=H","DateFormat=P","Fill=—","Direction=H","UseDPDF=Y")</f>
        <v>8792</v>
      </c>
      <c r="AE17" s="16">
        <f>_xll.BDH("XOM US Equity","CF_CASH_FROM_OPER","FQ3 2015","FQ3 2015","Currency=USD","Period=FQ","BEST_FPERIOD_OVERRIDE=FQ","FILING_STATUS=OR","SCALING_FORMAT=MLN","Sort=A","Dates=H","DateFormat=P","Fill=—","Direction=H","UseDPDF=Y")</f>
        <v>9174</v>
      </c>
      <c r="AF17" s="16">
        <f>_xll.BDH("XOM US Equity","CF_CASH_FROM_OPER","FQ4 2015","FQ4 2015","Currency=USD","Period=FQ","BEST_FPERIOD_OVERRIDE=FQ","FILING_STATUS=OR","SCALING_FORMAT=MLN","Sort=A","Dates=H","DateFormat=P","Fill=—","Direction=H","UseDPDF=Y")</f>
        <v>4380</v>
      </c>
      <c r="AG17" s="16">
        <f>_xll.BDH("XOM US Equity","CF_CASH_FROM_OPER","FQ1 2016","FQ1 2016","Currency=USD","Period=FQ","BEST_FPERIOD_OVERRIDE=FQ","FILING_STATUS=OR","SCALING_FORMAT=MLN","Sort=A","Dates=H","DateFormat=P","Fill=—","Direction=H","UseDPDF=Y")</f>
        <v>4812</v>
      </c>
      <c r="AH17" s="16">
        <f>_xll.BDH("XOM US Equity","CF_CASH_FROM_OPER","FQ2 2016","FQ2 2016","Currency=USD","Period=FQ","BEST_FPERIOD_OVERRIDE=FQ","FILING_STATUS=OR","SCALING_FORMAT=MLN","Sort=A","Dates=H","DateFormat=P","Fill=—","Direction=H","UseDPDF=Y")</f>
        <v>4519</v>
      </c>
      <c r="AI17" s="16">
        <f>_xll.BDH("XOM US Equity","CF_CASH_FROM_OPER","FQ3 2016","FQ3 2016","Currency=USD","Period=FQ","BEST_FPERIOD_OVERRIDE=FQ","FILING_STATUS=OR","SCALING_FORMAT=MLN","Sort=A","Dates=H","DateFormat=P","Fill=—","Direction=H","UseDPDF=Y")</f>
        <v>5355</v>
      </c>
      <c r="AJ17" s="16">
        <f>_xll.BDH("XOM US Equity","CF_CASH_FROM_OPER","FQ4 2016","FQ4 2016","Currency=USD","Period=FQ","BEST_FPERIOD_OVERRIDE=FQ","FILING_STATUS=OR","SCALING_FORMAT=MLN","Sort=A","Dates=H","DateFormat=P","Fill=—","Direction=H","UseDPDF=Y")</f>
        <v>7396</v>
      </c>
      <c r="AK17" s="16">
        <f>_xll.BDH("XOM US Equity","CF_CASH_FROM_OPER","FQ1 2017","FQ1 2017","Currency=USD","Period=FQ","BEST_FPERIOD_OVERRIDE=FQ","FILING_STATUS=OR","SCALING_FORMAT=MLN","Sort=A","Dates=H","DateFormat=P","Fill=—","Direction=H","UseDPDF=Y")</f>
        <v>8173</v>
      </c>
      <c r="AL17" s="16">
        <f>_xll.BDH("XOM US Equity","CF_CASH_FROM_OPER","FQ2 2017","FQ2 2017","Currency=USD","Period=FQ","BEST_FPERIOD_OVERRIDE=FQ","FILING_STATUS=OR","SCALING_FORMAT=MLN","Sort=A","Dates=H","DateFormat=P","Fill=—","Direction=H","UseDPDF=Y")</f>
        <v>6947</v>
      </c>
      <c r="AM17" s="16">
        <f>_xll.BDH("XOM US Equity","CF_CASH_FROM_OPER","FQ3 2017","FQ3 2017","Currency=USD","Period=FQ","BEST_FPERIOD_OVERRIDE=FQ","FILING_STATUS=OR","SCALING_FORMAT=MLN","Sort=A","Dates=H","DateFormat=P","Fill=—","Direction=H","UseDPDF=Y")</f>
        <v>7535</v>
      </c>
      <c r="AN17" s="16">
        <f>_xll.BDH("XOM US Equity","CF_CASH_FROM_OPER","FQ4 2017","FQ4 2017","Currency=USD","Period=FQ","BEST_FPERIOD_OVERRIDE=FQ","FILING_STATUS=OR","SCALING_FORMAT=MLN","Sort=A","Dates=H","DateFormat=P","Fill=—","Direction=H","UseDPDF=Y")</f>
        <v>7411</v>
      </c>
      <c r="AO17" s="16">
        <f>_xll.BDH("XOM US Equity","CF_CASH_FROM_OPER","FQ1 2018","FQ1 2018","Currency=USD","Period=FQ","BEST_FPERIOD_OVERRIDE=FQ","FILING_STATUS=OR","SCALING_FORMAT=MLN","Sort=A","Dates=H","DateFormat=P","Fill=—","Direction=H","UseDPDF=Y")</f>
        <v>8519</v>
      </c>
      <c r="AP17" s="16">
        <f>_xll.BDH("XOM US Equity","CF_CASH_FROM_OPER","FQ2 2018","FQ2 2018","Currency=USD","Period=FQ","BEST_FPERIOD_OVERRIDE=FQ","FILING_STATUS=OR","SCALING_FORMAT=MLN","Sort=A","Dates=H","DateFormat=P","Fill=—","Direction=H","UseDPDF=Y")</f>
        <v>7780</v>
      </c>
    </row>
    <row r="18" spans="1:42" x14ac:dyDescent="0.25">
      <c r="A18" s="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x14ac:dyDescent="0.25">
      <c r="A19" s="6" t="s">
        <v>383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x14ac:dyDescent="0.25">
      <c r="A20" s="10" t="s">
        <v>384</v>
      </c>
      <c r="B20" s="10" t="s">
        <v>385</v>
      </c>
      <c r="C20" s="13">
        <f>_xll.BDH("XOM US Equity","CHG_IN_FXD_&amp;_INTANG_AST_DETAILED","FQ3 2008","FQ3 2008","Currency=USD","Period=FQ","BEST_FPERIOD_OVERRIDE=FQ","FILING_STATUS=OR","SCALING_FORMAT=MLN","Sort=A","Dates=H","DateFormat=P","Fill=—","Direction=H","UseDPDF=Y")</f>
        <v>-2512</v>
      </c>
      <c r="D20" s="13">
        <f>_xll.BDH("XOM US Equity","CHG_IN_FXD_&amp;_INTANG_AST_DETAILED","FQ4 2008","FQ4 2008","Currency=USD","Period=FQ","BEST_FPERIOD_OVERRIDE=FQ","FILING_STATUS=OR","SCALING_FORMAT=MLN","Sort=A","Dates=H","DateFormat=P","Fill=—","Direction=H","UseDPDF=Y")</f>
        <v>-3542</v>
      </c>
      <c r="E20" s="13">
        <f>_xll.BDH("XOM US Equity","CHG_IN_FXD_&amp;_INTANG_AST_DETAILED","FQ1 2009","FQ1 2009","Currency=USD","Period=FQ","BEST_FPERIOD_OVERRIDE=FQ","FILING_STATUS=OR","SCALING_FORMAT=MLN","Sort=A","Dates=H","DateFormat=P","Fill=—","Direction=H","UseDPDF=Y")</f>
        <v>-4532</v>
      </c>
      <c r="F20" s="13">
        <f>_xll.BDH("XOM US Equity","CHG_IN_FXD_&amp;_INTANG_AST_DETAILED","FQ2 2009","FQ2 2009","Currency=USD","Period=FQ","BEST_FPERIOD_OVERRIDE=FQ","FILING_STATUS=OR","SCALING_FORMAT=MLN","Sort=A","Dates=H","DateFormat=P","Fill=—","Direction=H","UseDPDF=Y")</f>
        <v>-4795</v>
      </c>
      <c r="G20" s="13">
        <f>_xll.BDH("XOM US Equity","CHG_IN_FXD_&amp;_INTANG_AST_DETAILED","FQ3 2009","FQ3 2009","Currency=USD","Period=FQ","BEST_FPERIOD_OVERRIDE=FQ","FILING_STATUS=OR","SCALING_FORMAT=MLN","Sort=A","Dates=H","DateFormat=P","Fill=—","Direction=H","UseDPDF=Y")</f>
        <v>-5318</v>
      </c>
      <c r="H20" s="13">
        <f>_xll.BDH("XOM US Equity","CHG_IN_FXD_&amp;_INTANG_AST_DETAILED","FQ4 2009","FQ4 2009","Currency=USD","Period=FQ","BEST_FPERIOD_OVERRIDE=FQ","FILING_STATUS=OR","SCALING_FORMAT=MLN","Sort=A","Dates=H","DateFormat=P","Fill=—","Direction=H","UseDPDF=Y")</f>
        <v>-6301</v>
      </c>
      <c r="I20" s="13">
        <f>_xll.BDH("XOM US Equity","CHG_IN_FXD_&amp;_INTANG_AST_DETAILED","FQ1 2010","FQ1 2010","Currency=USD","Period=FQ","BEST_FPERIOD_OVERRIDE=FQ","FILING_STATUS=OR","SCALING_FORMAT=MLN","Sort=A","Dates=H","DateFormat=P","Fill=—","Direction=H","UseDPDF=Y")</f>
        <v>-5332</v>
      </c>
      <c r="J20" s="13">
        <f>_xll.BDH("XOM US Equity","CHG_IN_FXD_&amp;_INTANG_AST_DETAILED","FQ2 2010","FQ2 2010","Currency=USD","Period=FQ","BEST_FPERIOD_OVERRIDE=FQ","FILING_STATUS=OR","SCALING_FORMAT=MLN","Sort=A","Dates=H","DateFormat=P","Fill=—","Direction=H","UseDPDF=Y")</f>
        <v>-5216</v>
      </c>
      <c r="K20" s="13">
        <f>_xll.BDH("XOM US Equity","CHG_IN_FXD_&amp;_INTANG_AST_DETAILED","FQ3 2010","FQ3 2010","Currency=USD","Period=FQ","BEST_FPERIOD_OVERRIDE=FQ","FILING_STATUS=OR","SCALING_FORMAT=MLN","Sort=A","Dates=H","DateFormat=P","Fill=—","Direction=H","UseDPDF=Y")</f>
        <v>-7046</v>
      </c>
      <c r="L20" s="13">
        <f>_xll.BDH("XOM US Equity","CHG_IN_FXD_&amp;_INTANG_AST_DETAILED","FQ4 2010","FQ4 2010","Currency=USD","Period=FQ","BEST_FPERIOD_OVERRIDE=FQ","FILING_STATUS=OR","SCALING_FORMAT=MLN","Sort=A","Dates=H","DateFormat=P","Fill=—","Direction=H","UseDPDF=Y")</f>
        <v>-6016</v>
      </c>
      <c r="M20" s="13">
        <f>_xll.BDH("XOM US Equity","CHG_IN_FXD_&amp;_INTANG_AST_DETAILED","FQ1 2011","FQ1 2011","Currency=USD","Period=FQ","BEST_FPERIOD_OVERRIDE=FQ","FILING_STATUS=OR","SCALING_FORMAT=MLN","Sort=A","Dates=H","DateFormat=P","Fill=—","Direction=H","UseDPDF=Y")</f>
        <v>-5710</v>
      </c>
      <c r="N20" s="13">
        <f>_xll.BDH("XOM US Equity","CHG_IN_FXD_&amp;_INTANG_AST_DETAILED","FQ2 2011","FQ2 2011","Currency=USD","Period=FQ","BEST_FPERIOD_OVERRIDE=FQ","FILING_STATUS=OR","SCALING_FORMAT=MLN","Sort=A","Dates=H","DateFormat=P","Fill=—","Direction=H","UseDPDF=Y")</f>
        <v>-6315</v>
      </c>
      <c r="O20" s="13">
        <f>_xll.BDH("XOM US Equity","CHG_IN_FXD_&amp;_INTANG_AST_DETAILED","FQ3 2011","FQ3 2011","Currency=USD","Period=FQ","BEST_FPERIOD_OVERRIDE=FQ","FILING_STATUS=OR","SCALING_FORMAT=MLN","Sort=A","Dates=H","DateFormat=P","Fill=—","Direction=H","UseDPDF=Y")</f>
        <v>-6070</v>
      </c>
      <c r="P20" s="13">
        <f>_xll.BDH("XOM US Equity","CHG_IN_FXD_&amp;_INTANG_AST_DETAILED","FQ4 2011","FQ4 2011","Currency=USD","Period=FQ","BEST_FPERIOD_OVERRIDE=FQ","FILING_STATUS=OR","SCALING_FORMAT=MLN","Sort=A","Dates=H","DateFormat=P","Fill=—","Direction=H","UseDPDF=Y")</f>
        <v>-1747</v>
      </c>
      <c r="Q20" s="13">
        <f>_xll.BDH("XOM US Equity","CHG_IN_FXD_&amp;_INTANG_AST_DETAILED","FQ1 2012","FQ1 2012","Currency=USD","Period=FQ","BEST_FPERIOD_OVERRIDE=FQ","FILING_STATUS=OR","SCALING_FORMAT=MLN","Sort=A","Dates=H","DateFormat=P","Fill=—","Direction=H","UseDPDF=Y")</f>
        <v>-5330</v>
      </c>
      <c r="R20" s="13">
        <f>_xll.BDH("XOM US Equity","CHG_IN_FXD_&amp;_INTANG_AST_DETAILED","FQ2 2012","FQ2 2012","Currency=USD","Period=FQ","BEST_FPERIOD_OVERRIDE=FQ","FILING_STATUS=OR","SCALING_FORMAT=MLN","Sort=A","Dates=H","DateFormat=P","Fill=—","Direction=H","UseDPDF=Y")</f>
        <v>-4615</v>
      </c>
      <c r="S20" s="13">
        <f>_xll.BDH("XOM US Equity","CHG_IN_FXD_&amp;_INTANG_AST_DETAILED","FQ3 2012","FQ3 2012","Currency=USD","Period=FQ","BEST_FPERIOD_OVERRIDE=FQ","FILING_STATUS=OR","SCALING_FORMAT=MLN","Sort=A","Dates=H","DateFormat=P","Fill=—","Direction=H","UseDPDF=Y")</f>
        <v>-7419</v>
      </c>
      <c r="T20" s="13">
        <f>_xll.BDH("XOM US Equity","CHG_IN_FXD_&amp;_INTANG_AST_DETAILED","FQ4 2012","FQ4 2012","Currency=USD","Period=FQ","BEST_FPERIOD_OVERRIDE=FQ","FILING_STATUS=OR","SCALING_FORMAT=MLN","Sort=A","Dates=H","DateFormat=P","Fill=—","Direction=H","UseDPDF=Y")</f>
        <v>-9252</v>
      </c>
      <c r="U20" s="13">
        <f>_xll.BDH("XOM US Equity","CHG_IN_FXD_&amp;_INTANG_AST_DETAILED","FQ1 2013","FQ1 2013","Currency=USD","Period=FQ","BEST_FPERIOD_OVERRIDE=FQ","FILING_STATUS=OR","SCALING_FORMAT=MLN","Sort=A","Dates=H","DateFormat=P","Fill=—","Direction=H","UseDPDF=Y")</f>
        <v>-7134</v>
      </c>
      <c r="V20" s="13">
        <f>_xll.BDH("XOM US Equity","CHG_IN_FXD_&amp;_INTANG_AST_DETAILED","FQ2 2013","FQ2 2013","Currency=USD","Period=FQ","BEST_FPERIOD_OVERRIDE=FQ","FILING_STATUS=OR","SCALING_FORMAT=MLN","Sort=A","Dates=H","DateFormat=P","Fill=—","Direction=H","UseDPDF=Y")</f>
        <v>-8346</v>
      </c>
      <c r="W20" s="13">
        <f>_xll.BDH("XOM US Equity","CHG_IN_FXD_&amp;_INTANG_AST_DETAILED","FQ3 2013","FQ3 2013","Currency=USD","Period=FQ","BEST_FPERIOD_OVERRIDE=FQ","FILING_STATUS=OR","SCALING_FORMAT=MLN","Sort=A","Dates=H","DateFormat=P","Fill=—","Direction=H","UseDPDF=Y")</f>
        <v>-8892</v>
      </c>
      <c r="X20" s="13">
        <f>_xll.BDH("XOM US Equity","CHG_IN_FXD_&amp;_INTANG_AST_DETAILED","FQ4 2013","FQ4 2013","Currency=USD","Period=FQ","BEST_FPERIOD_OVERRIDE=FQ","FILING_STATUS=OR","SCALING_FORMAT=MLN","Sort=A","Dates=H","DateFormat=P","Fill=—","Direction=H","UseDPDF=Y")</f>
        <v>-6590</v>
      </c>
      <c r="Y20" s="13">
        <f>_xll.BDH("XOM US Equity","CHG_IN_FXD_&amp;_INTANG_AST_DETAILED","FQ1 2014","FQ1 2014","Currency=USD","Period=FQ","BEST_FPERIOD_OVERRIDE=FQ","FILING_STATUS=OR","SCALING_FORMAT=MLN","Sort=A","Dates=H","DateFormat=P","Fill=—","Direction=H","UseDPDF=Y")</f>
        <v>-6217</v>
      </c>
      <c r="Z20" s="13">
        <f>_xll.BDH("XOM US Equity","CHG_IN_FXD_&amp;_INTANG_AST_DETAILED","FQ2 2014","FQ2 2014","Currency=USD","Period=FQ","BEST_FPERIOD_OVERRIDE=FQ","FILING_STATUS=OR","SCALING_FORMAT=MLN","Sort=A","Dates=H","DateFormat=P","Fill=—","Direction=H","UseDPDF=Y")</f>
        <v>-5986</v>
      </c>
      <c r="AA20" s="13">
        <f>_xll.BDH("XOM US Equity","CHG_IN_FXD_&amp;_INTANG_AST_DETAILED","FQ3 2014","FQ3 2014","Currency=USD","Period=FQ","BEST_FPERIOD_OVERRIDE=FQ","FILING_STATUS=OR","SCALING_FORMAT=MLN","Sort=A","Dates=H","DateFormat=P","Fill=—","Direction=H","UseDPDF=Y")</f>
        <v>-8071</v>
      </c>
      <c r="AB20" s="13">
        <f>_xll.BDH("XOM US Equity","CHG_IN_FXD_&amp;_INTANG_AST_DETAILED","FQ4 2014","FQ4 2014","Currency=USD","Period=FQ","BEST_FPERIOD_OVERRIDE=FQ","FILING_STATUS=OR","SCALING_FORMAT=MLN","Sort=A","Dates=H","DateFormat=P","Fill=—","Direction=H","UseDPDF=Y")</f>
        <v>-8643</v>
      </c>
      <c r="AC20" s="13">
        <f>_xll.BDH("XOM US Equity","CHG_IN_FXD_&amp;_INTANG_AST_DETAILED","FQ1 2015","FQ1 2015","Currency=USD","Period=FQ","BEST_FPERIOD_OVERRIDE=FQ","FILING_STATUS=OR","SCALING_FORMAT=MLN","Sort=A","Dates=H","DateFormat=P","Fill=—","Direction=H","UseDPDF=Y")</f>
        <v>-6360</v>
      </c>
      <c r="AD20" s="13">
        <f>_xll.BDH("XOM US Equity","CHG_IN_FXD_&amp;_INTANG_AST_DETAILED","FQ2 2015","FQ2 2015","Currency=USD","Period=FQ","BEST_FPERIOD_OVERRIDE=FQ","FILING_STATUS=OR","SCALING_FORMAT=MLN","Sort=A","Dates=H","DateFormat=P","Fill=—","Direction=H","UseDPDF=Y")</f>
        <v>-6480</v>
      </c>
      <c r="AE20" s="13">
        <f>_xll.BDH("XOM US Equity","CHG_IN_FXD_&amp;_INTANG_AST_DETAILED","FQ3 2015","FQ3 2015","Currency=USD","Period=FQ","BEST_FPERIOD_OVERRIDE=FQ","FILING_STATUS=OR","SCALING_FORMAT=MLN","Sort=A","Dates=H","DateFormat=P","Fill=—","Direction=H","UseDPDF=Y")</f>
        <v>-5910</v>
      </c>
      <c r="AF20" s="13">
        <f>_xll.BDH("XOM US Equity","CHG_IN_FXD_&amp;_INTANG_AST_DETAILED","FQ4 2015","FQ4 2015","Currency=USD","Period=FQ","BEST_FPERIOD_OVERRIDE=FQ","FILING_STATUS=OR","SCALING_FORMAT=MLN","Sort=A","Dates=H","DateFormat=P","Fill=—","Direction=H","UseDPDF=Y")</f>
        <v>-5351</v>
      </c>
      <c r="AG20" s="13">
        <f>_xll.BDH("XOM US Equity","CHG_IN_FXD_&amp;_INTANG_AST_DETAILED","FQ1 2016","FQ1 2016","Currency=USD","Period=FQ","BEST_FPERIOD_OVERRIDE=FQ","FILING_STATUS=OR","SCALING_FORMAT=MLN","Sort=A","Dates=H","DateFormat=P","Fill=—","Direction=H","UseDPDF=Y")</f>
        <v>-4424</v>
      </c>
      <c r="AH20" s="13">
        <f>_xll.BDH("XOM US Equity","CHG_IN_FXD_&amp;_INTANG_AST_DETAILED","FQ2 2016","FQ2 2016","Currency=USD","Period=FQ","BEST_FPERIOD_OVERRIDE=FQ","FILING_STATUS=OR","SCALING_FORMAT=MLN","Sort=A","Dates=H","DateFormat=P","Fill=—","Direction=H","UseDPDF=Y")</f>
        <v>-3242</v>
      </c>
      <c r="AI20" s="13">
        <f>_xll.BDH("XOM US Equity","CHG_IN_FXD_&amp;_INTANG_AST_DETAILED","FQ3 2016","FQ3 2016","Currency=USD","Period=FQ","BEST_FPERIOD_OVERRIDE=FQ","FILING_STATUS=OR","SCALING_FORMAT=MLN","Sort=A","Dates=H","DateFormat=P","Fill=—","Direction=H","UseDPDF=Y")</f>
        <v>-2428</v>
      </c>
      <c r="AJ20" s="13">
        <f>_xll.BDH("XOM US Equity","CHG_IN_FXD_&amp;_INTANG_AST_DETAILED","FQ4 2016","FQ4 2016","Currency=USD","Period=FQ","BEST_FPERIOD_OVERRIDE=FQ","FILING_STATUS=OR","SCALING_FORMAT=MLN","Sort=A","Dates=H","DateFormat=P","Fill=—","Direction=H","UseDPDF=Y")</f>
        <v>-1794</v>
      </c>
      <c r="AK20" s="13">
        <f>_xll.BDH("XOM US Equity","CHG_IN_FXD_&amp;_INTANG_AST_DETAILED","FQ1 2017","FQ1 2017","Currency=USD","Period=FQ","BEST_FPERIOD_OVERRIDE=FQ","FILING_STATUS=OR","SCALING_FORMAT=MLN","Sort=A","Dates=H","DateFormat=P","Fill=—","Direction=H","UseDPDF=Y")</f>
        <v>-2203</v>
      </c>
      <c r="AL20" s="13">
        <f>_xll.BDH("XOM US Equity","CHG_IN_FXD_&amp;_INTANG_AST_DETAILED","FQ2 2017","FQ2 2017","Currency=USD","Period=FQ","BEST_FPERIOD_OVERRIDE=FQ","FILING_STATUS=OR","SCALING_FORMAT=MLN","Sort=A","Dates=H","DateFormat=P","Fill=—","Direction=H","UseDPDF=Y")</f>
        <v>-2944</v>
      </c>
      <c r="AM20" s="13">
        <f>_xll.BDH("XOM US Equity","CHG_IN_FXD_&amp;_INTANG_AST_DETAILED","FQ3 2017","FQ3 2017","Currency=USD","Period=FQ","BEST_FPERIOD_OVERRIDE=FQ","FILING_STATUS=OR","SCALING_FORMAT=MLN","Sort=A","Dates=H","DateFormat=P","Fill=—","Direction=H","UseDPDF=Y")</f>
        <v>-4059</v>
      </c>
      <c r="AN20" s="13">
        <f>_xll.BDH("XOM US Equity","CHG_IN_FXD_&amp;_INTANG_AST_DETAILED","FQ4 2017","FQ4 2017","Currency=USD","Period=FQ","BEST_FPERIOD_OVERRIDE=FQ","FILING_STATUS=OR","SCALING_FORMAT=MLN","Sort=A","Dates=H","DateFormat=P","Fill=—","Direction=H","UseDPDF=Y")</f>
        <v>-3093</v>
      </c>
      <c r="AO20" s="13">
        <f>_xll.BDH("XOM US Equity","CHG_IN_FXD_&amp;_INTANG_AST_DETAILED","FQ1 2018","FQ1 2018","Currency=USD","Period=FQ","BEST_FPERIOD_OVERRIDE=FQ","FILING_STATUS=OR","SCALING_FORMAT=MLN","Sort=A","Dates=H","DateFormat=P","Fill=—","Direction=H","UseDPDF=Y")</f>
        <v>-1908</v>
      </c>
      <c r="AP20" s="13">
        <f>_xll.BDH("XOM US Equity","CHG_IN_FXD_&amp;_INTANG_AST_DETAILED","FQ2 2018","FQ2 2018","Currency=USD","Period=FQ","BEST_FPERIOD_OVERRIDE=FQ","FILING_STATUS=OR","SCALING_FORMAT=MLN","Sort=A","Dates=H","DateFormat=P","Fill=—","Direction=H","UseDPDF=Y")</f>
        <v>-4620</v>
      </c>
    </row>
    <row r="21" spans="1:42" x14ac:dyDescent="0.25">
      <c r="A21" s="10" t="s">
        <v>386</v>
      </c>
      <c r="B21" s="10" t="s">
        <v>387</v>
      </c>
      <c r="C21" s="13">
        <f>_xll.BDH("XOM US Equity","DISP_FXD_&amp;_INTANGIBLES_DETAILED","FQ3 2008","FQ3 2008","Currency=USD","Period=FQ","BEST_FPERIOD_OVERRIDE=FQ","FILING_STATUS=OR","SCALING_FORMAT=MLN","Sort=A","Dates=H","DateFormat=P","Fill=—","Direction=H","UseDPDF=Y")</f>
        <v>2630</v>
      </c>
      <c r="D21" s="13">
        <f>_xll.BDH("XOM US Equity","DISP_FXD_&amp;_INTANGIBLES_DETAILED","FQ4 2008","FQ4 2008","Currency=USD","Period=FQ","BEST_FPERIOD_OVERRIDE=FQ","FILING_STATUS=OR","SCALING_FORMAT=MLN","Sort=A","Dates=H","DateFormat=P","Fill=—","Direction=H","UseDPDF=Y")</f>
        <v>1783</v>
      </c>
      <c r="E21" s="13">
        <f>_xll.BDH("XOM US Equity","DISP_FXD_&amp;_INTANGIBLES_DETAILED","FQ1 2009","FQ1 2009","Currency=USD","Period=FQ","BEST_FPERIOD_OVERRIDE=FQ","FILING_STATUS=OR","SCALING_FORMAT=MLN","Sort=A","Dates=H","DateFormat=P","Fill=—","Direction=H","UseDPDF=Y")</f>
        <v>141</v>
      </c>
      <c r="F21" s="13">
        <f>_xll.BDH("XOM US Equity","DISP_FXD_&amp;_INTANGIBLES_DETAILED","FQ2 2009","FQ2 2009","Currency=USD","Period=FQ","BEST_FPERIOD_OVERRIDE=FQ","FILING_STATUS=OR","SCALING_FORMAT=MLN","Sort=A","Dates=H","DateFormat=P","Fill=—","Direction=H","UseDPDF=Y")</f>
        <v>770</v>
      </c>
      <c r="G21" s="13">
        <f>_xll.BDH("XOM US Equity","DISP_FXD_&amp;_INTANGIBLES_DETAILED","FQ3 2009","FQ3 2009","Currency=USD","Period=FQ","BEST_FPERIOD_OVERRIDE=FQ","FILING_STATUS=OR","SCALING_FORMAT=MLN","Sort=A","Dates=H","DateFormat=P","Fill=—","Direction=H","UseDPDF=Y")</f>
        <v>172</v>
      </c>
      <c r="H21" s="13">
        <f>_xll.BDH("XOM US Equity","DISP_FXD_&amp;_INTANGIBLES_DETAILED","FQ4 2009","FQ4 2009","Currency=USD","Period=FQ","BEST_FPERIOD_OVERRIDE=FQ","FILING_STATUS=OR","SCALING_FORMAT=MLN","Sort=A","Dates=H","DateFormat=P","Fill=—","Direction=H","UseDPDF=Y")</f>
        <v>462</v>
      </c>
      <c r="I21" s="13">
        <f>_xll.BDH("XOM US Equity","DISP_FXD_&amp;_INTANGIBLES_DETAILED","FQ1 2010","FQ1 2010","Currency=USD","Period=FQ","BEST_FPERIOD_OVERRIDE=FQ","FILING_STATUS=OR","SCALING_FORMAT=MLN","Sort=A","Dates=H","DateFormat=P","Fill=—","Direction=H","UseDPDF=Y")</f>
        <v>424</v>
      </c>
      <c r="J21" s="13">
        <f>_xll.BDH("XOM US Equity","DISP_FXD_&amp;_INTANGIBLES_DETAILED","FQ2 2010","FQ2 2010","Currency=USD","Period=FQ","BEST_FPERIOD_OVERRIDE=FQ","FILING_STATUS=OR","SCALING_FORMAT=MLN","Sort=A","Dates=H","DateFormat=P","Fill=—","Direction=H","UseDPDF=Y")</f>
        <v>428</v>
      </c>
      <c r="K21" s="13">
        <f>_xll.BDH("XOM US Equity","DISP_FXD_&amp;_INTANGIBLES_DETAILED","FQ3 2010","FQ3 2010","Currency=USD","Period=FQ","BEST_FPERIOD_OVERRIDE=FQ","FILING_STATUS=OR","SCALING_FORMAT=MLN","Sort=A","Dates=H","DateFormat=P","Fill=—","Direction=H","UseDPDF=Y")</f>
        <v>755</v>
      </c>
      <c r="L21" s="13">
        <f>_xll.BDH("XOM US Equity","DISP_FXD_&amp;_INTANGIBLES_DETAILED","FQ4 2010","FQ4 2010","Currency=USD","Period=FQ","BEST_FPERIOD_OVERRIDE=FQ","FILING_STATUS=OR","SCALING_FORMAT=MLN","Sort=A","Dates=H","DateFormat=P","Fill=—","Direction=H","UseDPDF=Y")</f>
        <v>1654</v>
      </c>
      <c r="M21" s="13">
        <f>_xll.BDH("XOM US Equity","DISP_FXD_&amp;_INTANGIBLES_DETAILED","FQ1 2011","FQ1 2011","Currency=USD","Period=FQ","BEST_FPERIOD_OVERRIDE=FQ","FILING_STATUS=OR","SCALING_FORMAT=MLN","Sort=A","Dates=H","DateFormat=P","Fill=—","Direction=H","UseDPDF=Y")</f>
        <v>1341</v>
      </c>
      <c r="N21" s="13">
        <f>_xll.BDH("XOM US Equity","DISP_FXD_&amp;_INTANGIBLES_DETAILED","FQ2 2011","FQ2 2011","Currency=USD","Period=FQ","BEST_FPERIOD_OVERRIDE=FQ","FILING_STATUS=OR","SCALING_FORMAT=MLN","Sort=A","Dates=H","DateFormat=P","Fill=—","Direction=H","UseDPDF=Y")</f>
        <v>1497</v>
      </c>
      <c r="O21" s="13">
        <f>_xll.BDH("XOM US Equity","DISP_FXD_&amp;_INTANGIBLES_DETAILED","FQ3 2011","FQ3 2011","Currency=USD","Period=FQ","BEST_FPERIOD_OVERRIDE=FQ","FILING_STATUS=OR","SCALING_FORMAT=MLN","Sort=A","Dates=H","DateFormat=P","Fill=—","Direction=H","UseDPDF=Y")</f>
        <v>1408</v>
      </c>
      <c r="P21" s="13">
        <f>_xll.BDH("XOM US Equity","DISP_FXD_&amp;_INTANGIBLES_DETAILED","FQ4 2011","FQ4 2011","Currency=USD","Period=FQ","BEST_FPERIOD_OVERRIDE=FQ","FILING_STATUS=OR","SCALING_FORMAT=MLN","Sort=A","Dates=H","DateFormat=P","Fill=—","Direction=H","UseDPDF=Y")</f>
        <v>6887</v>
      </c>
      <c r="Q21" s="13">
        <f>_xll.BDH("XOM US Equity","DISP_FXD_&amp;_INTANGIBLES_DETAILED","FQ1 2012","FQ1 2012","Currency=USD","Period=FQ","BEST_FPERIOD_OVERRIDE=FQ","FILING_STATUS=OR","SCALING_FORMAT=MLN","Sort=A","Dates=H","DateFormat=P","Fill=—","Direction=H","UseDPDF=Y")</f>
        <v>2513</v>
      </c>
      <c r="R21" s="13">
        <f>_xll.BDH("XOM US Equity","DISP_FXD_&amp;_INTANGIBLES_DETAILED","FQ2 2012","FQ2 2012","Currency=USD","Period=FQ","BEST_FPERIOD_OVERRIDE=FQ","FILING_STATUS=OR","SCALING_FORMAT=MLN","Sort=A","Dates=H","DateFormat=P","Fill=—","Direction=H","UseDPDF=Y")</f>
        <v>3730</v>
      </c>
      <c r="S21" s="13">
        <f>_xll.BDH("XOM US Equity","DISP_FXD_&amp;_INTANGIBLES_DETAILED","FQ3 2012","FQ3 2012","Currency=USD","Period=FQ","BEST_FPERIOD_OVERRIDE=FQ","FILING_STATUS=OR","SCALING_FORMAT=MLN","Sort=A","Dates=H","DateFormat=P","Fill=—","Direction=H","UseDPDF=Y")</f>
        <v>607</v>
      </c>
      <c r="T21" s="13">
        <f>_xll.BDH("XOM US Equity","DISP_FXD_&amp;_INTANGIBLES_DETAILED","FQ4 2012","FQ4 2012","Currency=USD","Period=FQ","BEST_FPERIOD_OVERRIDE=FQ","FILING_STATUS=OR","SCALING_FORMAT=MLN","Sort=A","Dates=H","DateFormat=P","Fill=—","Direction=H","UseDPDF=Y")</f>
        <v>805</v>
      </c>
      <c r="U21" s="13">
        <f>_xll.BDH("XOM US Equity","DISP_FXD_&amp;_INTANGIBLES_DETAILED","FQ1 2013","FQ1 2013","Currency=USD","Period=FQ","BEST_FPERIOD_OVERRIDE=FQ","FILING_STATUS=OR","SCALING_FORMAT=MLN","Sort=A","Dates=H","DateFormat=P","Fill=—","Direction=H","UseDPDF=Y")</f>
        <v>360</v>
      </c>
      <c r="V21" s="13">
        <f>_xll.BDH("XOM US Equity","DISP_FXD_&amp;_INTANGIBLES_DETAILED","FQ2 2013","FQ2 2013","Currency=USD","Period=FQ","BEST_FPERIOD_OVERRIDE=FQ","FILING_STATUS=OR","SCALING_FORMAT=MLN","Sort=A","Dates=H","DateFormat=P","Fill=—","Direction=H","UseDPDF=Y")</f>
        <v>305</v>
      </c>
      <c r="W21" s="13">
        <f>_xll.BDH("XOM US Equity","DISP_FXD_&amp;_INTANGIBLES_DETAILED","FQ3 2013","FQ3 2013","Currency=USD","Period=FQ","BEST_FPERIOD_OVERRIDE=FQ","FILING_STATUS=OR","SCALING_FORMAT=MLN","Sort=A","Dates=H","DateFormat=P","Fill=—","Direction=H","UseDPDF=Y")</f>
        <v>206</v>
      </c>
      <c r="X21" s="13">
        <f>_xll.BDH("XOM US Equity","DISP_FXD_&amp;_INTANGIBLES_DETAILED","FQ4 2013","FQ4 2013","Currency=USD","Period=FQ","BEST_FPERIOD_OVERRIDE=FQ","FILING_STATUS=OR","SCALING_FORMAT=MLN","Sort=A","Dates=H","DateFormat=P","Fill=—","Direction=H","UseDPDF=Y")</f>
        <v>1836</v>
      </c>
      <c r="Y21" s="13">
        <f>_xll.BDH("XOM US Equity","DISP_FXD_&amp;_INTANGIBLES_DETAILED","FQ1 2014","FQ1 2014","Currency=USD","Period=FQ","BEST_FPERIOD_OVERRIDE=FQ","FILING_STATUS=OR","SCALING_FORMAT=MLN","Sort=A","Dates=H","DateFormat=P","Fill=—","Direction=H","UseDPDF=Y")</f>
        <v>1111</v>
      </c>
      <c r="Z21" s="13">
        <f>_xll.BDH("XOM US Equity","DISP_FXD_&amp;_INTANGIBLES_DETAILED","FQ2 2014","FQ2 2014","Currency=USD","Period=FQ","BEST_FPERIOD_OVERRIDE=FQ","FILING_STATUS=OR","SCALING_FORMAT=MLN","Sort=A","Dates=H","DateFormat=P","Fill=—","Direction=H","UseDPDF=Y")</f>
        <v>2556</v>
      </c>
      <c r="AA21" s="13">
        <f>_xll.BDH("XOM US Equity","DISP_FXD_&amp;_INTANGIBLES_DETAILED","FQ3 2014","FQ3 2014","Currency=USD","Period=FQ","BEST_FPERIOD_OVERRIDE=FQ","FILING_STATUS=OR","SCALING_FORMAT=MLN","Sort=A","Dates=H","DateFormat=P","Fill=—","Direction=H","UseDPDF=Y")</f>
        <v>127</v>
      </c>
      <c r="AB21" s="13">
        <f>_xll.BDH("XOM US Equity","DISP_FXD_&amp;_INTANGIBLES_DETAILED","FQ4 2014","FQ4 2014","Currency=USD","Period=FQ","BEST_FPERIOD_OVERRIDE=FQ","FILING_STATUS=OR","SCALING_FORMAT=MLN","Sort=A","Dates=H","DateFormat=P","Fill=—","Direction=H","UseDPDF=Y")</f>
        <v>241</v>
      </c>
      <c r="AC21" s="13">
        <f>_xll.BDH("XOM US Equity","DISP_FXD_&amp;_INTANGIBLES_DETAILED","FQ1 2015","FQ1 2015","Currency=USD","Period=FQ","BEST_FPERIOD_OVERRIDE=FQ","FILING_STATUS=OR","SCALING_FORMAT=MLN","Sort=A","Dates=H","DateFormat=P","Fill=—","Direction=H","UseDPDF=Y")</f>
        <v>484</v>
      </c>
      <c r="AD21" s="13">
        <f>_xll.BDH("XOM US Equity","DISP_FXD_&amp;_INTANGIBLES_DETAILED","FQ2 2015","FQ2 2015","Currency=USD","Period=FQ","BEST_FPERIOD_OVERRIDE=FQ","FILING_STATUS=OR","SCALING_FORMAT=MLN","Sort=A","Dates=H","DateFormat=P","Fill=—","Direction=H","UseDPDF=Y")</f>
        <v>629</v>
      </c>
      <c r="AE21" s="13">
        <f>_xll.BDH("XOM US Equity","DISP_FXD_&amp;_INTANGIBLES_DETAILED","FQ3 2015","FQ3 2015","Currency=USD","Period=FQ","BEST_FPERIOD_OVERRIDE=FQ","FILING_STATUS=OR","SCALING_FORMAT=MLN","Sort=A","Dates=H","DateFormat=P","Fill=—","Direction=H","UseDPDF=Y")</f>
        <v>491</v>
      </c>
      <c r="AF21" s="13">
        <f>_xll.BDH("XOM US Equity","DISP_FXD_&amp;_INTANGIBLES_DETAILED","FQ4 2015","FQ4 2015","Currency=USD","Period=FQ","BEST_FPERIOD_OVERRIDE=FQ","FILING_STATUS=OR","SCALING_FORMAT=MLN","Sort=A","Dates=H","DateFormat=P","Fill=—","Direction=H","UseDPDF=Y")</f>
        <v>785</v>
      </c>
      <c r="AG21" s="13">
        <f>_xll.BDH("XOM US Equity","DISP_FXD_&amp;_INTANGIBLES_DETAILED","FQ1 2016","FQ1 2016","Currency=USD","Period=FQ","BEST_FPERIOD_OVERRIDE=FQ","FILING_STATUS=OR","SCALING_FORMAT=MLN","Sort=A","Dates=H","DateFormat=P","Fill=—","Direction=H","UseDPDF=Y")</f>
        <v>177</v>
      </c>
      <c r="AH21" s="13">
        <f>_xll.BDH("XOM US Equity","DISP_FXD_&amp;_INTANGIBLES_DETAILED","FQ2 2016","FQ2 2016","Currency=USD","Period=FQ","BEST_FPERIOD_OVERRIDE=FQ","FILING_STATUS=OR","SCALING_FORMAT=MLN","Sort=A","Dates=H","DateFormat=P","Fill=—","Direction=H","UseDPDF=Y")</f>
        <v>1029</v>
      </c>
      <c r="AI21" s="13">
        <f>_xll.BDH("XOM US Equity","DISP_FXD_&amp;_INTANGIBLES_DETAILED","FQ3 2016","FQ3 2016","Currency=USD","Period=FQ","BEST_FPERIOD_OVERRIDE=FQ","FILING_STATUS=OR","SCALING_FORMAT=MLN","Sort=A","Dates=H","DateFormat=P","Fill=—","Direction=H","UseDPDF=Y")</f>
        <v>976</v>
      </c>
      <c r="AJ21" s="13">
        <f>_xll.BDH("XOM US Equity","DISP_FXD_&amp;_INTANGIBLES_DETAILED","FQ4 2016","FQ4 2016","Currency=USD","Period=FQ","BEST_FPERIOD_OVERRIDE=FQ","FILING_STATUS=OR","SCALING_FORMAT=MLN","Sort=A","Dates=H","DateFormat=P","Fill=—","Direction=H","UseDPDF=Y")</f>
        <v>2093</v>
      </c>
      <c r="AK21" s="13">
        <f>_xll.BDH("XOM US Equity","DISP_FXD_&amp;_INTANGIBLES_DETAILED","FQ1 2017","FQ1 2017","Currency=USD","Period=FQ","BEST_FPERIOD_OVERRIDE=FQ","FILING_STATUS=OR","SCALING_FORMAT=MLN","Sort=A","Dates=H","DateFormat=P","Fill=—","Direction=H","UseDPDF=Y")</f>
        <v>687</v>
      </c>
      <c r="AL21" s="13">
        <f>_xll.BDH("XOM US Equity","DISP_FXD_&amp;_INTANGIBLES_DETAILED","FQ2 2017","FQ2 2017","Currency=USD","Period=FQ","BEST_FPERIOD_OVERRIDE=FQ","FILING_STATUS=OR","SCALING_FORMAT=MLN","Sort=A","Dates=H","DateFormat=P","Fill=—","Direction=H","UseDPDF=Y")</f>
        <v>154</v>
      </c>
      <c r="AM21" s="13">
        <f>_xll.BDH("XOM US Equity","DISP_FXD_&amp;_INTANGIBLES_DETAILED","FQ3 2017","FQ3 2017","Currency=USD","Period=FQ","BEST_FPERIOD_OVERRIDE=FQ","FILING_STATUS=OR","SCALING_FORMAT=MLN","Sort=A","Dates=H","DateFormat=P","Fill=—","Direction=H","UseDPDF=Y")</f>
        <v>854</v>
      </c>
      <c r="AN21" s="13">
        <f>_xll.BDH("XOM US Equity","DISP_FXD_&amp;_INTANGIBLES_DETAILED","FQ4 2017","FQ4 2017","Currency=USD","Period=FQ","BEST_FPERIOD_OVERRIDE=FQ","FILING_STATUS=OR","SCALING_FORMAT=MLN","Sort=A","Dates=H","DateFormat=P","Fill=—","Direction=H","UseDPDF=Y")</f>
        <v>1408</v>
      </c>
      <c r="AO21" s="13">
        <f>_xll.BDH("XOM US Equity","DISP_FXD_&amp;_INTANGIBLES_DETAILED","FQ1 2018","FQ1 2018","Currency=USD","Period=FQ","BEST_FPERIOD_OVERRIDE=FQ","FILING_STATUS=OR","SCALING_FORMAT=MLN","Sort=A","Dates=H","DateFormat=P","Fill=—","Direction=H","UseDPDF=Y")</f>
        <v>1441</v>
      </c>
      <c r="AP21" s="13">
        <f>_xll.BDH("XOM US Equity","DISP_FXD_&amp;_INTANGIBLES_DETAILED","FQ2 2018","FQ2 2018","Currency=USD","Period=FQ","BEST_FPERIOD_OVERRIDE=FQ","FILING_STATUS=OR","SCALING_FORMAT=MLN","Sort=A","Dates=H","DateFormat=P","Fill=—","Direction=H","UseDPDF=Y")</f>
        <v>307</v>
      </c>
    </row>
    <row r="22" spans="1:42" x14ac:dyDescent="0.25">
      <c r="A22" s="11" t="s">
        <v>388</v>
      </c>
      <c r="B22" s="11" t="s">
        <v>389</v>
      </c>
      <c r="C22" s="18" t="str">
        <f>_xll.BDH("XOM US Equity","CF_DISPOSAL_OF_FIXED_PROD_ASSETS","FQ3 2008","FQ3 2008","Currency=USD","Period=FQ","BEST_FPERIOD_OVERRIDE=FQ","FILING_STATUS=OR","SCALING_FORMAT=MLN","Sort=A","Dates=H","DateFormat=P","Fill=—","Direction=H","UseDPDF=Y")</f>
        <v>—</v>
      </c>
      <c r="D22" s="18" t="str">
        <f>_xll.BDH("XOM US Equity","CF_DISPOSAL_OF_FIXED_PROD_ASSETS","FQ4 2008","FQ4 2008","Currency=USD","Period=FQ","BEST_FPERIOD_OVERRIDE=FQ","FILING_STATUS=OR","SCALING_FORMAT=MLN","Sort=A","Dates=H","DateFormat=P","Fill=—","Direction=H","UseDPDF=Y")</f>
        <v>—</v>
      </c>
      <c r="E22" s="18">
        <f>_xll.BDH("XOM US Equity","CF_DISPOSAL_OF_FIXED_PROD_ASSETS","FQ1 2009","FQ1 2009","Currency=USD","Period=FQ","BEST_FPERIOD_OVERRIDE=FQ","FILING_STATUS=OR","SCALING_FORMAT=MLN","Sort=A","Dates=H","DateFormat=P","Fill=—","Direction=H","UseDPDF=Y")</f>
        <v>141</v>
      </c>
      <c r="F22" s="18">
        <f>_xll.BDH("XOM US Equity","CF_DISPOSAL_OF_FIXED_PROD_ASSETS","FQ2 2009","FQ2 2009","Currency=USD","Period=FQ","BEST_FPERIOD_OVERRIDE=FQ","FILING_STATUS=OR","SCALING_FORMAT=MLN","Sort=A","Dates=H","DateFormat=P","Fill=—","Direction=H","UseDPDF=Y")</f>
        <v>770</v>
      </c>
      <c r="G22" s="18">
        <f>_xll.BDH("XOM US Equity","CF_DISPOSAL_OF_FIXED_PROD_ASSETS","FQ3 2009","FQ3 2009","Currency=USD","Period=FQ","BEST_FPERIOD_OVERRIDE=FQ","FILING_STATUS=OR","SCALING_FORMAT=MLN","Sort=A","Dates=H","DateFormat=P","Fill=—","Direction=H","UseDPDF=Y")</f>
        <v>172</v>
      </c>
      <c r="H22" s="18">
        <f>_xll.BDH("XOM US Equity","CF_DISPOSAL_OF_FIXED_PROD_ASSETS","FQ4 2009","FQ4 2009","Currency=USD","Period=FQ","BEST_FPERIOD_OVERRIDE=FQ","FILING_STATUS=OR","SCALING_FORMAT=MLN","Sort=A","Dates=H","DateFormat=P","Fill=—","Direction=H","UseDPDF=Y")</f>
        <v>462</v>
      </c>
      <c r="I22" s="18">
        <f>_xll.BDH("XOM US Equity","CF_DISPOSAL_OF_FIXED_PROD_ASSETS","FQ1 2010","FQ1 2010","Currency=USD","Period=FQ","BEST_FPERIOD_OVERRIDE=FQ","FILING_STATUS=OR","SCALING_FORMAT=MLN","Sort=A","Dates=H","DateFormat=P","Fill=—","Direction=H","UseDPDF=Y")</f>
        <v>424</v>
      </c>
      <c r="J22" s="18">
        <f>_xll.BDH("XOM US Equity","CF_DISPOSAL_OF_FIXED_PROD_ASSETS","FQ2 2010","FQ2 2010","Currency=USD","Period=FQ","BEST_FPERIOD_OVERRIDE=FQ","FILING_STATUS=OR","SCALING_FORMAT=MLN","Sort=A","Dates=H","DateFormat=P","Fill=—","Direction=H","UseDPDF=Y")</f>
        <v>428</v>
      </c>
      <c r="K22" s="18">
        <f>_xll.BDH("XOM US Equity","CF_DISPOSAL_OF_FIXED_PROD_ASSETS","FQ3 2010","FQ3 2010","Currency=USD","Period=FQ","BEST_FPERIOD_OVERRIDE=FQ","FILING_STATUS=OR","SCALING_FORMAT=MLN","Sort=A","Dates=H","DateFormat=P","Fill=—","Direction=H","UseDPDF=Y")</f>
        <v>755</v>
      </c>
      <c r="L22" s="18">
        <f>_xll.BDH("XOM US Equity","CF_DISPOSAL_OF_FIXED_PROD_ASSETS","FQ4 2010","FQ4 2010","Currency=USD","Period=FQ","BEST_FPERIOD_OVERRIDE=FQ","FILING_STATUS=OR","SCALING_FORMAT=MLN","Sort=A","Dates=H","DateFormat=P","Fill=—","Direction=H","UseDPDF=Y")</f>
        <v>1654</v>
      </c>
      <c r="M22" s="18">
        <f>_xll.BDH("XOM US Equity","CF_DISPOSAL_OF_FIXED_PROD_ASSETS","FQ1 2011","FQ1 2011","Currency=USD","Period=FQ","BEST_FPERIOD_OVERRIDE=FQ","FILING_STATUS=OR","SCALING_FORMAT=MLN","Sort=A","Dates=H","DateFormat=P","Fill=—","Direction=H","UseDPDF=Y")</f>
        <v>1341</v>
      </c>
      <c r="N22" s="18">
        <f>_xll.BDH("XOM US Equity","CF_DISPOSAL_OF_FIXED_PROD_ASSETS","FQ2 2011","FQ2 2011","Currency=USD","Period=FQ","BEST_FPERIOD_OVERRIDE=FQ","FILING_STATUS=OR","SCALING_FORMAT=MLN","Sort=A","Dates=H","DateFormat=P","Fill=—","Direction=H","UseDPDF=Y")</f>
        <v>1497</v>
      </c>
      <c r="O22" s="18">
        <f>_xll.BDH("XOM US Equity","CF_DISPOSAL_OF_FIXED_PROD_ASSETS","FQ3 2011","FQ3 2011","Currency=USD","Period=FQ","BEST_FPERIOD_OVERRIDE=FQ","FILING_STATUS=OR","SCALING_FORMAT=MLN","Sort=A","Dates=H","DateFormat=P","Fill=—","Direction=H","UseDPDF=Y")</f>
        <v>1408</v>
      </c>
      <c r="P22" s="18">
        <f>_xll.BDH("XOM US Equity","CF_DISPOSAL_OF_FIXED_PROD_ASSETS","FQ4 2011","FQ4 2011","Currency=USD","Period=FQ","BEST_FPERIOD_OVERRIDE=FQ","FILING_STATUS=OR","SCALING_FORMAT=MLN","Sort=A","Dates=H","DateFormat=P","Fill=—","Direction=H","UseDPDF=Y")</f>
        <v>6887</v>
      </c>
      <c r="Q22" s="18">
        <f>_xll.BDH("XOM US Equity","CF_DISPOSAL_OF_FIXED_PROD_ASSETS","FQ1 2012","FQ1 2012","Currency=USD","Period=FQ","BEST_FPERIOD_OVERRIDE=FQ","FILING_STATUS=OR","SCALING_FORMAT=MLN","Sort=A","Dates=H","DateFormat=P","Fill=—","Direction=H","UseDPDF=Y")</f>
        <v>2513</v>
      </c>
      <c r="R22" s="18">
        <f>_xll.BDH("XOM US Equity","CF_DISPOSAL_OF_FIXED_PROD_ASSETS","FQ2 2012","FQ2 2012","Currency=USD","Period=FQ","BEST_FPERIOD_OVERRIDE=FQ","FILING_STATUS=OR","SCALING_FORMAT=MLN","Sort=A","Dates=H","DateFormat=P","Fill=—","Direction=H","UseDPDF=Y")</f>
        <v>3730</v>
      </c>
      <c r="S22" s="18">
        <f>_xll.BDH("XOM US Equity","CF_DISPOSAL_OF_FIXED_PROD_ASSETS","FQ3 2012","FQ3 2012","Currency=USD","Period=FQ","BEST_FPERIOD_OVERRIDE=FQ","FILING_STATUS=OR","SCALING_FORMAT=MLN","Sort=A","Dates=H","DateFormat=P","Fill=—","Direction=H","UseDPDF=Y")</f>
        <v>607</v>
      </c>
      <c r="T22" s="18">
        <f>_xll.BDH("XOM US Equity","CF_DISPOSAL_OF_FIXED_PROD_ASSETS","FQ4 2012","FQ4 2012","Currency=USD","Period=FQ","BEST_FPERIOD_OVERRIDE=FQ","FILING_STATUS=OR","SCALING_FORMAT=MLN","Sort=A","Dates=H","DateFormat=P","Fill=—","Direction=H","UseDPDF=Y")</f>
        <v>805</v>
      </c>
      <c r="U22" s="18">
        <f>_xll.BDH("XOM US Equity","CF_DISPOSAL_OF_FIXED_PROD_ASSETS","FQ1 2013","FQ1 2013","Currency=USD","Period=FQ","BEST_FPERIOD_OVERRIDE=FQ","FILING_STATUS=OR","SCALING_FORMAT=MLN","Sort=A","Dates=H","DateFormat=P","Fill=—","Direction=H","UseDPDF=Y")</f>
        <v>360</v>
      </c>
      <c r="V22" s="18">
        <f>_xll.BDH("XOM US Equity","CF_DISPOSAL_OF_FIXED_PROD_ASSETS","FQ2 2013","FQ2 2013","Currency=USD","Period=FQ","BEST_FPERIOD_OVERRIDE=FQ","FILING_STATUS=OR","SCALING_FORMAT=MLN","Sort=A","Dates=H","DateFormat=P","Fill=—","Direction=H","UseDPDF=Y")</f>
        <v>305</v>
      </c>
      <c r="W22" s="18">
        <f>_xll.BDH("XOM US Equity","CF_DISPOSAL_OF_FIXED_PROD_ASSETS","FQ3 2013","FQ3 2013","Currency=USD","Period=FQ","BEST_FPERIOD_OVERRIDE=FQ","FILING_STATUS=OR","SCALING_FORMAT=MLN","Sort=A","Dates=H","DateFormat=P","Fill=—","Direction=H","UseDPDF=Y")</f>
        <v>206</v>
      </c>
      <c r="X22" s="18">
        <f>_xll.BDH("XOM US Equity","CF_DISPOSAL_OF_FIXED_PROD_ASSETS","FQ4 2013","FQ4 2013","Currency=USD","Period=FQ","BEST_FPERIOD_OVERRIDE=FQ","FILING_STATUS=OR","SCALING_FORMAT=MLN","Sort=A","Dates=H","DateFormat=P","Fill=—","Direction=H","UseDPDF=Y")</f>
        <v>1836</v>
      </c>
      <c r="Y22" s="18">
        <f>_xll.BDH("XOM US Equity","CF_DISPOSAL_OF_FIXED_PROD_ASSETS","FQ1 2014","FQ1 2014","Currency=USD","Period=FQ","BEST_FPERIOD_OVERRIDE=FQ","FILING_STATUS=OR","SCALING_FORMAT=MLN","Sort=A","Dates=H","DateFormat=P","Fill=—","Direction=H","UseDPDF=Y")</f>
        <v>1111</v>
      </c>
      <c r="Z22" s="18">
        <f>_xll.BDH("XOM US Equity","CF_DISPOSAL_OF_FIXED_PROD_ASSETS","FQ2 2014","FQ2 2014","Currency=USD","Period=FQ","BEST_FPERIOD_OVERRIDE=FQ","FILING_STATUS=OR","SCALING_FORMAT=MLN","Sort=A","Dates=H","DateFormat=P","Fill=—","Direction=H","UseDPDF=Y")</f>
        <v>2556</v>
      </c>
      <c r="AA22" s="18">
        <f>_xll.BDH("XOM US Equity","CF_DISPOSAL_OF_FIXED_PROD_ASSETS","FQ3 2014","FQ3 2014","Currency=USD","Period=FQ","BEST_FPERIOD_OVERRIDE=FQ","FILING_STATUS=OR","SCALING_FORMAT=MLN","Sort=A","Dates=H","DateFormat=P","Fill=—","Direction=H","UseDPDF=Y")</f>
        <v>127</v>
      </c>
      <c r="AB22" s="18">
        <f>_xll.BDH("XOM US Equity","CF_DISPOSAL_OF_FIXED_PROD_ASSETS","FQ4 2014","FQ4 2014","Currency=USD","Period=FQ","BEST_FPERIOD_OVERRIDE=FQ","FILING_STATUS=OR","SCALING_FORMAT=MLN","Sort=A","Dates=H","DateFormat=P","Fill=—","Direction=H","UseDPDF=Y")</f>
        <v>241</v>
      </c>
      <c r="AC22" s="18">
        <f>_xll.BDH("XOM US Equity","CF_DISPOSAL_OF_FIXED_PROD_ASSETS","FQ1 2015","FQ1 2015","Currency=USD","Period=FQ","BEST_FPERIOD_OVERRIDE=FQ","FILING_STATUS=OR","SCALING_FORMAT=MLN","Sort=A","Dates=H","DateFormat=P","Fill=—","Direction=H","UseDPDF=Y")</f>
        <v>484</v>
      </c>
      <c r="AD22" s="18">
        <f>_xll.BDH("XOM US Equity","CF_DISPOSAL_OF_FIXED_PROD_ASSETS","FQ2 2015","FQ2 2015","Currency=USD","Period=FQ","BEST_FPERIOD_OVERRIDE=FQ","FILING_STATUS=OR","SCALING_FORMAT=MLN","Sort=A","Dates=H","DateFormat=P","Fill=—","Direction=H","UseDPDF=Y")</f>
        <v>629</v>
      </c>
      <c r="AE22" s="18">
        <f>_xll.BDH("XOM US Equity","CF_DISPOSAL_OF_FIXED_PROD_ASSETS","FQ3 2015","FQ3 2015","Currency=USD","Period=FQ","BEST_FPERIOD_OVERRIDE=FQ","FILING_STATUS=OR","SCALING_FORMAT=MLN","Sort=A","Dates=H","DateFormat=P","Fill=—","Direction=H","UseDPDF=Y")</f>
        <v>491</v>
      </c>
      <c r="AF22" s="18">
        <f>_xll.BDH("XOM US Equity","CF_DISPOSAL_OF_FIXED_PROD_ASSETS","FQ4 2015","FQ4 2015","Currency=USD","Period=FQ","BEST_FPERIOD_OVERRIDE=FQ","FILING_STATUS=OR","SCALING_FORMAT=MLN","Sort=A","Dates=H","DateFormat=P","Fill=—","Direction=H","UseDPDF=Y")</f>
        <v>785</v>
      </c>
      <c r="AG22" s="18">
        <f>_xll.BDH("XOM US Equity","CF_DISPOSAL_OF_FIXED_PROD_ASSETS","FQ1 2016","FQ1 2016","Currency=USD","Period=FQ","BEST_FPERIOD_OVERRIDE=FQ","FILING_STATUS=OR","SCALING_FORMAT=MLN","Sort=A","Dates=H","DateFormat=P","Fill=—","Direction=H","UseDPDF=Y")</f>
        <v>177</v>
      </c>
      <c r="AH22" s="18">
        <f>_xll.BDH("XOM US Equity","CF_DISPOSAL_OF_FIXED_PROD_ASSETS","FQ2 2016","FQ2 2016","Currency=USD","Period=FQ","BEST_FPERIOD_OVERRIDE=FQ","FILING_STATUS=OR","SCALING_FORMAT=MLN","Sort=A","Dates=H","DateFormat=P","Fill=—","Direction=H","UseDPDF=Y")</f>
        <v>1029</v>
      </c>
      <c r="AI22" s="18">
        <f>_xll.BDH("XOM US Equity","CF_DISPOSAL_OF_FIXED_PROD_ASSETS","FQ3 2016","FQ3 2016","Currency=USD","Period=FQ","BEST_FPERIOD_OVERRIDE=FQ","FILING_STATUS=OR","SCALING_FORMAT=MLN","Sort=A","Dates=H","DateFormat=P","Fill=—","Direction=H","UseDPDF=Y")</f>
        <v>976</v>
      </c>
      <c r="AJ22" s="18">
        <f>_xll.BDH("XOM US Equity","CF_DISPOSAL_OF_FIXED_PROD_ASSETS","FQ4 2016","FQ4 2016","Currency=USD","Period=FQ","BEST_FPERIOD_OVERRIDE=FQ","FILING_STATUS=OR","SCALING_FORMAT=MLN","Sort=A","Dates=H","DateFormat=P","Fill=—","Direction=H","UseDPDF=Y")</f>
        <v>2093</v>
      </c>
      <c r="AK22" s="18">
        <f>_xll.BDH("XOM US Equity","CF_DISPOSAL_OF_FIXED_PROD_ASSETS","FQ1 2017","FQ1 2017","Currency=USD","Period=FQ","BEST_FPERIOD_OVERRIDE=FQ","FILING_STATUS=OR","SCALING_FORMAT=MLN","Sort=A","Dates=H","DateFormat=P","Fill=—","Direction=H","UseDPDF=Y")</f>
        <v>687</v>
      </c>
      <c r="AL22" s="18">
        <f>_xll.BDH("XOM US Equity","CF_DISPOSAL_OF_FIXED_PROD_ASSETS","FQ2 2017","FQ2 2017","Currency=USD","Period=FQ","BEST_FPERIOD_OVERRIDE=FQ","FILING_STATUS=OR","SCALING_FORMAT=MLN","Sort=A","Dates=H","DateFormat=P","Fill=—","Direction=H","UseDPDF=Y")</f>
        <v>154</v>
      </c>
      <c r="AM22" s="18">
        <f>_xll.BDH("XOM US Equity","CF_DISPOSAL_OF_FIXED_PROD_ASSETS","FQ3 2017","FQ3 2017","Currency=USD","Period=FQ","BEST_FPERIOD_OVERRIDE=FQ","FILING_STATUS=OR","SCALING_FORMAT=MLN","Sort=A","Dates=H","DateFormat=P","Fill=—","Direction=H","UseDPDF=Y")</f>
        <v>854</v>
      </c>
      <c r="AN22" s="18">
        <f>_xll.BDH("XOM US Equity","CF_DISPOSAL_OF_FIXED_PROD_ASSETS","FQ4 2017","FQ4 2017","Currency=USD","Period=FQ","BEST_FPERIOD_OVERRIDE=FQ","FILING_STATUS=OR","SCALING_FORMAT=MLN","Sort=A","Dates=H","DateFormat=P","Fill=—","Direction=H","UseDPDF=Y")</f>
        <v>1408</v>
      </c>
      <c r="AO22" s="18">
        <f>_xll.BDH("XOM US Equity","CF_DISPOSAL_OF_FIXED_PROD_ASSETS","FQ1 2018","FQ1 2018","Currency=USD","Period=FQ","BEST_FPERIOD_OVERRIDE=FQ","FILING_STATUS=OR","SCALING_FORMAT=MLN","Sort=A","Dates=H","DateFormat=P","Fill=—","Direction=H","UseDPDF=Y")</f>
        <v>1441</v>
      </c>
      <c r="AP22" s="18">
        <f>_xll.BDH("XOM US Equity","CF_DISPOSAL_OF_FIXED_PROD_ASSETS","FQ2 2018","FQ2 2018","Currency=USD","Period=FQ","BEST_FPERIOD_OVERRIDE=FQ","FILING_STATUS=OR","SCALING_FORMAT=MLN","Sort=A","Dates=H","DateFormat=P","Fill=—","Direction=H","UseDPDF=Y")</f>
        <v>307</v>
      </c>
    </row>
    <row r="23" spans="1:42" x14ac:dyDescent="0.25">
      <c r="A23" s="11" t="s">
        <v>390</v>
      </c>
      <c r="B23" s="11" t="s">
        <v>391</v>
      </c>
      <c r="C23" s="18" t="str">
        <f>_xll.BDH("XOM US Equity","CF_DISPOSAL_OF_INTANGIBLE_ASSETS","FQ3 2008","FQ3 2008","Currency=USD","Period=FQ","BEST_FPERIOD_OVERRIDE=FQ","FILING_STATUS=OR","SCALING_FORMAT=MLN","Sort=A","Dates=H","DateFormat=P","Fill=—","Direction=H","UseDPDF=Y")</f>
        <v>—</v>
      </c>
      <c r="D23" s="18" t="str">
        <f>_xll.BDH("XOM US Equity","CF_DISPOSAL_OF_INTANGIBLE_ASSETS","FQ4 2008","FQ4 2008","Currency=USD","Period=FQ","BEST_FPERIOD_OVERRIDE=FQ","FILING_STATUS=OR","SCALING_FORMAT=MLN","Sort=A","Dates=H","DateFormat=P","Fill=—","Direction=H","UseDPDF=Y")</f>
        <v>—</v>
      </c>
      <c r="E23" s="18">
        <f>_xll.BDH("XOM US Equity","CF_DISPOSAL_OF_INTANGIBLE_ASSETS","FQ1 2009","FQ1 2009","Currency=USD","Period=FQ","BEST_FPERIOD_OVERRIDE=FQ","FILING_STATUS=OR","SCALING_FORMAT=MLN","Sort=A","Dates=H","DateFormat=P","Fill=—","Direction=H","UseDPDF=Y")</f>
        <v>0</v>
      </c>
      <c r="F23" s="18">
        <f>_xll.BDH("XOM US Equity","CF_DISPOSAL_OF_INTANGIBLE_ASSETS","FQ2 2009","FQ2 2009","Currency=USD","Period=FQ","BEST_FPERIOD_OVERRIDE=FQ","FILING_STATUS=OR","SCALING_FORMAT=MLN","Sort=A","Dates=H","DateFormat=P","Fill=—","Direction=H","UseDPDF=Y")</f>
        <v>0</v>
      </c>
      <c r="G23" s="18">
        <f>_xll.BDH("XOM US Equity","CF_DISPOSAL_OF_INTANGIBLE_ASSETS","FQ3 2009","FQ3 2009","Currency=USD","Period=FQ","BEST_FPERIOD_OVERRIDE=FQ","FILING_STATUS=OR","SCALING_FORMAT=MLN","Sort=A","Dates=H","DateFormat=P","Fill=—","Direction=H","UseDPDF=Y")</f>
        <v>0</v>
      </c>
      <c r="H23" s="18">
        <f>_xll.BDH("XOM US Equity","CF_DISPOSAL_OF_INTANGIBLE_ASSETS","FQ4 2009","FQ4 2009","Currency=USD","Period=FQ","BEST_FPERIOD_OVERRIDE=FQ","FILING_STATUS=OR","SCALING_FORMAT=MLN","Sort=A","Dates=H","DateFormat=P","Fill=—","Direction=H","UseDPDF=Y")</f>
        <v>0</v>
      </c>
      <c r="I23" s="18">
        <f>_xll.BDH("XOM US Equity","CF_DISPOSAL_OF_INTANGIBLE_ASSETS","FQ1 2010","FQ1 2010","Currency=USD","Period=FQ","BEST_FPERIOD_OVERRIDE=FQ","FILING_STATUS=OR","SCALING_FORMAT=MLN","Sort=A","Dates=H","DateFormat=P","Fill=—","Direction=H","UseDPDF=Y")</f>
        <v>0</v>
      </c>
      <c r="J23" s="18">
        <f>_xll.BDH("XOM US Equity","CF_DISPOSAL_OF_INTANGIBLE_ASSETS","FQ2 2010","FQ2 2010","Currency=USD","Period=FQ","BEST_FPERIOD_OVERRIDE=FQ","FILING_STATUS=OR","SCALING_FORMAT=MLN","Sort=A","Dates=H","DateFormat=P","Fill=—","Direction=H","UseDPDF=Y")</f>
        <v>0</v>
      </c>
      <c r="K23" s="18">
        <f>_xll.BDH("XOM US Equity","CF_DISPOSAL_OF_INTANGIBLE_ASSETS","FQ3 2010","FQ3 2010","Currency=USD","Period=FQ","BEST_FPERIOD_OVERRIDE=FQ","FILING_STATUS=OR","SCALING_FORMAT=MLN","Sort=A","Dates=H","DateFormat=P","Fill=—","Direction=H","UseDPDF=Y")</f>
        <v>0</v>
      </c>
      <c r="L23" s="18">
        <f>_xll.BDH("XOM US Equity","CF_DISPOSAL_OF_INTANGIBLE_ASSETS","FQ4 2010","FQ4 2010","Currency=USD","Period=FQ","BEST_FPERIOD_OVERRIDE=FQ","FILING_STATUS=OR","SCALING_FORMAT=MLN","Sort=A","Dates=H","DateFormat=P","Fill=—","Direction=H","UseDPDF=Y")</f>
        <v>0</v>
      </c>
      <c r="M23" s="18">
        <f>_xll.BDH("XOM US Equity","CF_DISPOSAL_OF_INTANGIBLE_ASSETS","FQ1 2011","FQ1 2011","Currency=USD","Period=FQ","BEST_FPERIOD_OVERRIDE=FQ","FILING_STATUS=OR","SCALING_FORMAT=MLN","Sort=A","Dates=H","DateFormat=P","Fill=—","Direction=H","UseDPDF=Y")</f>
        <v>0</v>
      </c>
      <c r="N23" s="18">
        <f>_xll.BDH("XOM US Equity","CF_DISPOSAL_OF_INTANGIBLE_ASSETS","FQ2 2011","FQ2 2011","Currency=USD","Period=FQ","BEST_FPERIOD_OVERRIDE=FQ","FILING_STATUS=OR","SCALING_FORMAT=MLN","Sort=A","Dates=H","DateFormat=P","Fill=—","Direction=H","UseDPDF=Y")</f>
        <v>0</v>
      </c>
      <c r="O23" s="18">
        <f>_xll.BDH("XOM US Equity","CF_DISPOSAL_OF_INTANGIBLE_ASSETS","FQ3 2011","FQ3 2011","Currency=USD","Period=FQ","BEST_FPERIOD_OVERRIDE=FQ","FILING_STATUS=OR","SCALING_FORMAT=MLN","Sort=A","Dates=H","DateFormat=P","Fill=—","Direction=H","UseDPDF=Y")</f>
        <v>0</v>
      </c>
      <c r="P23" s="18">
        <f>_xll.BDH("XOM US Equity","CF_DISPOSAL_OF_INTANGIBLE_ASSETS","FQ4 2011","FQ4 2011","Currency=USD","Period=FQ","BEST_FPERIOD_OVERRIDE=FQ","FILING_STATUS=OR","SCALING_FORMAT=MLN","Sort=A","Dates=H","DateFormat=P","Fill=—","Direction=H","UseDPDF=Y")</f>
        <v>0</v>
      </c>
      <c r="Q23" s="18">
        <f>_xll.BDH("XOM US Equity","CF_DISPOSAL_OF_INTANGIBLE_ASSETS","FQ1 2012","FQ1 2012","Currency=USD","Period=FQ","BEST_FPERIOD_OVERRIDE=FQ","FILING_STATUS=OR","SCALING_FORMAT=MLN","Sort=A","Dates=H","DateFormat=P","Fill=—","Direction=H","UseDPDF=Y")</f>
        <v>0</v>
      </c>
      <c r="R23" s="18">
        <f>_xll.BDH("XOM US Equity","CF_DISPOSAL_OF_INTANGIBLE_ASSETS","FQ2 2012","FQ2 2012","Currency=USD","Period=FQ","BEST_FPERIOD_OVERRIDE=FQ","FILING_STATUS=OR","SCALING_FORMAT=MLN","Sort=A","Dates=H","DateFormat=P","Fill=—","Direction=H","UseDPDF=Y")</f>
        <v>0</v>
      </c>
      <c r="S23" s="18">
        <f>_xll.BDH("XOM US Equity","CF_DISPOSAL_OF_INTANGIBLE_ASSETS","FQ3 2012","FQ3 2012","Currency=USD","Period=FQ","BEST_FPERIOD_OVERRIDE=FQ","FILING_STATUS=OR","SCALING_FORMAT=MLN","Sort=A","Dates=H","DateFormat=P","Fill=—","Direction=H","UseDPDF=Y")</f>
        <v>0</v>
      </c>
      <c r="T23" s="18">
        <f>_xll.BDH("XOM US Equity","CF_DISPOSAL_OF_INTANGIBLE_ASSETS","FQ4 2012","FQ4 2012","Currency=USD","Period=FQ","BEST_FPERIOD_OVERRIDE=FQ","FILING_STATUS=OR","SCALING_FORMAT=MLN","Sort=A","Dates=H","DateFormat=P","Fill=—","Direction=H","UseDPDF=Y")</f>
        <v>0</v>
      </c>
      <c r="U23" s="18">
        <f>_xll.BDH("XOM US Equity","CF_DISPOSAL_OF_INTANGIBLE_ASSETS","FQ1 2013","FQ1 2013","Currency=USD","Period=FQ","BEST_FPERIOD_OVERRIDE=FQ","FILING_STATUS=OR","SCALING_FORMAT=MLN","Sort=A","Dates=H","DateFormat=P","Fill=—","Direction=H","UseDPDF=Y")</f>
        <v>0</v>
      </c>
      <c r="V23" s="18">
        <f>_xll.BDH("XOM US Equity","CF_DISPOSAL_OF_INTANGIBLE_ASSETS","FQ2 2013","FQ2 2013","Currency=USD","Period=FQ","BEST_FPERIOD_OVERRIDE=FQ","FILING_STATUS=OR","SCALING_FORMAT=MLN","Sort=A","Dates=H","DateFormat=P","Fill=—","Direction=H","UseDPDF=Y")</f>
        <v>0</v>
      </c>
      <c r="W23" s="18">
        <f>_xll.BDH("XOM US Equity","CF_DISPOSAL_OF_INTANGIBLE_ASSETS","FQ3 2013","FQ3 2013","Currency=USD","Period=FQ","BEST_FPERIOD_OVERRIDE=FQ","FILING_STATUS=OR","SCALING_FORMAT=MLN","Sort=A","Dates=H","DateFormat=P","Fill=—","Direction=H","UseDPDF=Y")</f>
        <v>0</v>
      </c>
      <c r="X23" s="18">
        <f>_xll.BDH("XOM US Equity","CF_DISPOSAL_OF_INTANGIBLE_ASSETS","FQ4 2013","FQ4 2013","Currency=USD","Period=FQ","BEST_FPERIOD_OVERRIDE=FQ","FILING_STATUS=OR","SCALING_FORMAT=MLN","Sort=A","Dates=H","DateFormat=P","Fill=—","Direction=H","UseDPDF=Y")</f>
        <v>0</v>
      </c>
      <c r="Y23" s="18">
        <f>_xll.BDH("XOM US Equity","CF_DISPOSAL_OF_INTANGIBLE_ASSETS","FQ1 2014","FQ1 2014","Currency=USD","Period=FQ","BEST_FPERIOD_OVERRIDE=FQ","FILING_STATUS=OR","SCALING_FORMAT=MLN","Sort=A","Dates=H","DateFormat=P","Fill=—","Direction=H","UseDPDF=Y")</f>
        <v>0</v>
      </c>
      <c r="Z23" s="18">
        <f>_xll.BDH("XOM US Equity","CF_DISPOSAL_OF_INTANGIBLE_ASSETS","FQ2 2014","FQ2 2014","Currency=USD","Period=FQ","BEST_FPERIOD_OVERRIDE=FQ","FILING_STATUS=OR","SCALING_FORMAT=MLN","Sort=A","Dates=H","DateFormat=P","Fill=—","Direction=H","UseDPDF=Y")</f>
        <v>0</v>
      </c>
      <c r="AA23" s="18">
        <f>_xll.BDH("XOM US Equity","CF_DISPOSAL_OF_INTANGIBLE_ASSETS","FQ3 2014","FQ3 2014","Currency=USD","Period=FQ","BEST_FPERIOD_OVERRIDE=FQ","FILING_STATUS=OR","SCALING_FORMAT=MLN","Sort=A","Dates=H","DateFormat=P","Fill=—","Direction=H","UseDPDF=Y")</f>
        <v>0</v>
      </c>
      <c r="AB23" s="18">
        <f>_xll.BDH("XOM US Equity","CF_DISPOSAL_OF_INTANGIBLE_ASSETS","FQ4 2014","FQ4 2014","Currency=USD","Period=FQ","BEST_FPERIOD_OVERRIDE=FQ","FILING_STATUS=OR","SCALING_FORMAT=MLN","Sort=A","Dates=H","DateFormat=P","Fill=—","Direction=H","UseDPDF=Y")</f>
        <v>0</v>
      </c>
      <c r="AC23" s="18">
        <f>_xll.BDH("XOM US Equity","CF_DISPOSAL_OF_INTANGIBLE_ASSETS","FQ1 2015","FQ1 2015","Currency=USD","Period=FQ","BEST_FPERIOD_OVERRIDE=FQ","FILING_STATUS=OR","SCALING_FORMAT=MLN","Sort=A","Dates=H","DateFormat=P","Fill=—","Direction=H","UseDPDF=Y")</f>
        <v>0</v>
      </c>
      <c r="AD23" s="18">
        <f>_xll.BDH("XOM US Equity","CF_DISPOSAL_OF_INTANGIBLE_ASSETS","FQ2 2015","FQ2 2015","Currency=USD","Period=FQ","BEST_FPERIOD_OVERRIDE=FQ","FILING_STATUS=OR","SCALING_FORMAT=MLN","Sort=A","Dates=H","DateFormat=P","Fill=—","Direction=H","UseDPDF=Y")</f>
        <v>0</v>
      </c>
      <c r="AE23" s="18">
        <f>_xll.BDH("XOM US Equity","CF_DISPOSAL_OF_INTANGIBLE_ASSETS","FQ3 2015","FQ3 2015","Currency=USD","Period=FQ","BEST_FPERIOD_OVERRIDE=FQ","FILING_STATUS=OR","SCALING_FORMAT=MLN","Sort=A","Dates=H","DateFormat=P","Fill=—","Direction=H","UseDPDF=Y")</f>
        <v>0</v>
      </c>
      <c r="AF23" s="18">
        <f>_xll.BDH("XOM US Equity","CF_DISPOSAL_OF_INTANGIBLE_ASSETS","FQ4 2015","FQ4 2015","Currency=USD","Period=FQ","BEST_FPERIOD_OVERRIDE=FQ","FILING_STATUS=OR","SCALING_FORMAT=MLN","Sort=A","Dates=H","DateFormat=P","Fill=—","Direction=H","UseDPDF=Y")</f>
        <v>0</v>
      </c>
      <c r="AG23" s="18">
        <f>_xll.BDH("XOM US Equity","CF_DISPOSAL_OF_INTANGIBLE_ASSETS","FQ1 2016","FQ1 2016","Currency=USD","Period=FQ","BEST_FPERIOD_OVERRIDE=FQ","FILING_STATUS=OR","SCALING_FORMAT=MLN","Sort=A","Dates=H","DateFormat=P","Fill=—","Direction=H","UseDPDF=Y")</f>
        <v>0</v>
      </c>
      <c r="AH23" s="18">
        <f>_xll.BDH("XOM US Equity","CF_DISPOSAL_OF_INTANGIBLE_ASSETS","FQ2 2016","FQ2 2016","Currency=USD","Period=FQ","BEST_FPERIOD_OVERRIDE=FQ","FILING_STATUS=OR","SCALING_FORMAT=MLN","Sort=A","Dates=H","DateFormat=P","Fill=—","Direction=H","UseDPDF=Y")</f>
        <v>0</v>
      </c>
      <c r="AI23" s="18">
        <f>_xll.BDH("XOM US Equity","CF_DISPOSAL_OF_INTANGIBLE_ASSETS","FQ3 2016","FQ3 2016","Currency=USD","Period=FQ","BEST_FPERIOD_OVERRIDE=FQ","FILING_STATUS=OR","SCALING_FORMAT=MLN","Sort=A","Dates=H","DateFormat=P","Fill=—","Direction=H","UseDPDF=Y")</f>
        <v>0</v>
      </c>
      <c r="AJ23" s="18">
        <f>_xll.BDH("XOM US Equity","CF_DISPOSAL_OF_INTANGIBLE_ASSETS","FQ4 2016","FQ4 2016","Currency=USD","Period=FQ","BEST_FPERIOD_OVERRIDE=FQ","FILING_STATUS=OR","SCALING_FORMAT=MLN","Sort=A","Dates=H","DateFormat=P","Fill=—","Direction=H","UseDPDF=Y")</f>
        <v>0</v>
      </c>
      <c r="AK23" s="18">
        <f>_xll.BDH("XOM US Equity","CF_DISPOSAL_OF_INTANGIBLE_ASSETS","FQ1 2017","FQ1 2017","Currency=USD","Period=FQ","BEST_FPERIOD_OVERRIDE=FQ","FILING_STATUS=OR","SCALING_FORMAT=MLN","Sort=A","Dates=H","DateFormat=P","Fill=—","Direction=H","UseDPDF=Y")</f>
        <v>0</v>
      </c>
      <c r="AL23" s="18">
        <f>_xll.BDH("XOM US Equity","CF_DISPOSAL_OF_INTANGIBLE_ASSETS","FQ2 2017","FQ2 2017","Currency=USD","Period=FQ","BEST_FPERIOD_OVERRIDE=FQ","FILING_STATUS=OR","SCALING_FORMAT=MLN","Sort=A","Dates=H","DateFormat=P","Fill=—","Direction=H","UseDPDF=Y")</f>
        <v>0</v>
      </c>
      <c r="AM23" s="18">
        <f>_xll.BDH("XOM US Equity","CF_DISPOSAL_OF_INTANGIBLE_ASSETS","FQ3 2017","FQ3 2017","Currency=USD","Period=FQ","BEST_FPERIOD_OVERRIDE=FQ","FILING_STATUS=OR","SCALING_FORMAT=MLN","Sort=A","Dates=H","DateFormat=P","Fill=—","Direction=H","UseDPDF=Y")</f>
        <v>0</v>
      </c>
      <c r="AN23" s="18">
        <f>_xll.BDH("XOM US Equity","CF_DISPOSAL_OF_INTANGIBLE_ASSETS","FQ4 2017","FQ4 2017","Currency=USD","Period=FQ","BEST_FPERIOD_OVERRIDE=FQ","FILING_STATUS=OR","SCALING_FORMAT=MLN","Sort=A","Dates=H","DateFormat=P","Fill=—","Direction=H","UseDPDF=Y")</f>
        <v>0</v>
      </c>
      <c r="AO23" s="18">
        <f>_xll.BDH("XOM US Equity","CF_DISPOSAL_OF_INTANGIBLE_ASSETS","FQ1 2018","FQ1 2018","Currency=USD","Period=FQ","BEST_FPERIOD_OVERRIDE=FQ","FILING_STATUS=OR","SCALING_FORMAT=MLN","Sort=A","Dates=H","DateFormat=P","Fill=—","Direction=H","UseDPDF=Y")</f>
        <v>0</v>
      </c>
      <c r="AP23" s="18">
        <f>_xll.BDH("XOM US Equity","CF_DISPOSAL_OF_INTANGIBLE_ASSETS","FQ2 2018","FQ2 2018","Currency=USD","Period=FQ","BEST_FPERIOD_OVERRIDE=FQ","FILING_STATUS=OR","SCALING_FORMAT=MLN","Sort=A","Dates=H","DateFormat=P","Fill=—","Direction=H","UseDPDF=Y")</f>
        <v>0</v>
      </c>
    </row>
    <row r="24" spans="1:42" x14ac:dyDescent="0.25">
      <c r="A24" s="10" t="s">
        <v>392</v>
      </c>
      <c r="B24" s="10" t="s">
        <v>393</v>
      </c>
      <c r="C24" s="13">
        <f>_xll.BDH("XOM US Equity","ACQUIS_FXD_&amp;_INTANG_DETAILED","FQ3 2008","FQ3 2008","Currency=USD","Period=FQ","BEST_FPERIOD_OVERRIDE=FQ","FILING_STATUS=OR","SCALING_FORMAT=MLN","Sort=A","Dates=H","DateFormat=P","Fill=—","Direction=H","UseDPDF=Y")</f>
        <v>-5142</v>
      </c>
      <c r="D24" s="13">
        <f>_xll.BDH("XOM US Equity","ACQUIS_FXD_&amp;_INTANG_DETAILED","FQ4 2008","FQ4 2008","Currency=USD","Period=FQ","BEST_FPERIOD_OVERRIDE=FQ","FILING_STATUS=OR","SCALING_FORMAT=MLN","Sort=A","Dates=H","DateFormat=P","Fill=—","Direction=H","UseDPDF=Y")</f>
        <v>-5325</v>
      </c>
      <c r="E24" s="13">
        <f>_xll.BDH("XOM US Equity","ACQUIS_FXD_&amp;_INTANG_DETAILED","FQ1 2009","FQ1 2009","Currency=USD","Period=FQ","BEST_FPERIOD_OVERRIDE=FQ","FILING_STATUS=OR","SCALING_FORMAT=MLN","Sort=A","Dates=H","DateFormat=P","Fill=—","Direction=H","UseDPDF=Y")</f>
        <v>-4673</v>
      </c>
      <c r="F24" s="13">
        <f>_xll.BDH("XOM US Equity","ACQUIS_FXD_&amp;_INTANG_DETAILED","FQ2 2009","FQ2 2009","Currency=USD","Period=FQ","BEST_FPERIOD_OVERRIDE=FQ","FILING_STATUS=OR","SCALING_FORMAT=MLN","Sort=A","Dates=H","DateFormat=P","Fill=—","Direction=H","UseDPDF=Y")</f>
        <v>-5565</v>
      </c>
      <c r="G24" s="13">
        <f>_xll.BDH("XOM US Equity","ACQUIS_FXD_&amp;_INTANG_DETAILED","FQ3 2009","FQ3 2009","Currency=USD","Period=FQ","BEST_FPERIOD_OVERRIDE=FQ","FILING_STATUS=OR","SCALING_FORMAT=MLN","Sort=A","Dates=H","DateFormat=P","Fill=—","Direction=H","UseDPDF=Y")</f>
        <v>-5490</v>
      </c>
      <c r="H24" s="13">
        <f>_xll.BDH("XOM US Equity","ACQUIS_FXD_&amp;_INTANG_DETAILED","FQ4 2009","FQ4 2009","Currency=USD","Period=FQ","BEST_FPERIOD_OVERRIDE=FQ","FILING_STATUS=OR","SCALING_FORMAT=MLN","Sort=A","Dates=H","DateFormat=P","Fill=—","Direction=H","UseDPDF=Y")</f>
        <v>-6763</v>
      </c>
      <c r="I24" s="13">
        <f>_xll.BDH("XOM US Equity","ACQUIS_FXD_&amp;_INTANG_DETAILED","FQ1 2010","FQ1 2010","Currency=USD","Period=FQ","BEST_FPERIOD_OVERRIDE=FQ","FILING_STATUS=OR","SCALING_FORMAT=MLN","Sort=A","Dates=H","DateFormat=P","Fill=—","Direction=H","UseDPDF=Y")</f>
        <v>-5756</v>
      </c>
      <c r="J24" s="13">
        <f>_xll.BDH("XOM US Equity","ACQUIS_FXD_&amp;_INTANG_DETAILED","FQ2 2010","FQ2 2010","Currency=USD","Period=FQ","BEST_FPERIOD_OVERRIDE=FQ","FILING_STATUS=OR","SCALING_FORMAT=MLN","Sort=A","Dates=H","DateFormat=P","Fill=—","Direction=H","UseDPDF=Y")</f>
        <v>-5644</v>
      </c>
      <c r="K24" s="13">
        <f>_xll.BDH("XOM US Equity","ACQUIS_FXD_&amp;_INTANG_DETAILED","FQ3 2010","FQ3 2010","Currency=USD","Period=FQ","BEST_FPERIOD_OVERRIDE=FQ","FILING_STATUS=OR","SCALING_FORMAT=MLN","Sort=A","Dates=H","DateFormat=P","Fill=—","Direction=H","UseDPDF=Y")</f>
        <v>-7801</v>
      </c>
      <c r="L24" s="13">
        <f>_xll.BDH("XOM US Equity","ACQUIS_FXD_&amp;_INTANG_DETAILED","FQ4 2010","FQ4 2010","Currency=USD","Period=FQ","BEST_FPERIOD_OVERRIDE=FQ","FILING_STATUS=OR","SCALING_FORMAT=MLN","Sort=A","Dates=H","DateFormat=P","Fill=—","Direction=H","UseDPDF=Y")</f>
        <v>-7670</v>
      </c>
      <c r="M24" s="13">
        <f>_xll.BDH("XOM US Equity","ACQUIS_FXD_&amp;_INTANG_DETAILED","FQ1 2011","FQ1 2011","Currency=USD","Period=FQ","BEST_FPERIOD_OVERRIDE=FQ","FILING_STATUS=OR","SCALING_FORMAT=MLN","Sort=A","Dates=H","DateFormat=P","Fill=—","Direction=H","UseDPDF=Y")</f>
        <v>-7051</v>
      </c>
      <c r="N24" s="13">
        <f>_xll.BDH("XOM US Equity","ACQUIS_FXD_&amp;_INTANG_DETAILED","FQ2 2011","FQ2 2011","Currency=USD","Period=FQ","BEST_FPERIOD_OVERRIDE=FQ","FILING_STATUS=OR","SCALING_FORMAT=MLN","Sort=A","Dates=H","DateFormat=P","Fill=—","Direction=H","UseDPDF=Y")</f>
        <v>-7812</v>
      </c>
      <c r="O24" s="13">
        <f>_xll.BDH("XOM US Equity","ACQUIS_FXD_&amp;_INTANG_DETAILED","FQ3 2011","FQ3 2011","Currency=USD","Period=FQ","BEST_FPERIOD_OVERRIDE=FQ","FILING_STATUS=OR","SCALING_FORMAT=MLN","Sort=A","Dates=H","DateFormat=P","Fill=—","Direction=H","UseDPDF=Y")</f>
        <v>-7478</v>
      </c>
      <c r="P24" s="13">
        <f>_xll.BDH("XOM US Equity","ACQUIS_FXD_&amp;_INTANG_DETAILED","FQ4 2011","FQ4 2011","Currency=USD","Period=FQ","BEST_FPERIOD_OVERRIDE=FQ","FILING_STATUS=OR","SCALING_FORMAT=MLN","Sort=A","Dates=H","DateFormat=P","Fill=—","Direction=H","UseDPDF=Y")</f>
        <v>-8634</v>
      </c>
      <c r="Q24" s="13">
        <f>_xll.BDH("XOM US Equity","ACQUIS_FXD_&amp;_INTANG_DETAILED","FQ1 2012","FQ1 2012","Currency=USD","Period=FQ","BEST_FPERIOD_OVERRIDE=FQ","FILING_STATUS=OR","SCALING_FORMAT=MLN","Sort=A","Dates=H","DateFormat=P","Fill=—","Direction=H","UseDPDF=Y")</f>
        <v>-7843</v>
      </c>
      <c r="R24" s="13">
        <f>_xll.BDH("XOM US Equity","ACQUIS_FXD_&amp;_INTANG_DETAILED","FQ2 2012","FQ2 2012","Currency=USD","Period=FQ","BEST_FPERIOD_OVERRIDE=FQ","FILING_STATUS=OR","SCALING_FORMAT=MLN","Sort=A","Dates=H","DateFormat=P","Fill=—","Direction=H","UseDPDF=Y")</f>
        <v>-8345</v>
      </c>
      <c r="S24" s="13">
        <f>_xll.BDH("XOM US Equity","ACQUIS_FXD_&amp;_INTANG_DETAILED","FQ3 2012","FQ3 2012","Currency=USD","Period=FQ","BEST_FPERIOD_OVERRIDE=FQ","FILING_STATUS=OR","SCALING_FORMAT=MLN","Sort=A","Dates=H","DateFormat=P","Fill=—","Direction=H","UseDPDF=Y")</f>
        <v>-8026</v>
      </c>
      <c r="T24" s="13">
        <f>_xll.BDH("XOM US Equity","ACQUIS_FXD_&amp;_INTANG_DETAILED","FQ4 2012","FQ4 2012","Currency=USD","Period=FQ","BEST_FPERIOD_OVERRIDE=FQ","FILING_STATUS=OR","SCALING_FORMAT=MLN","Sort=A","Dates=H","DateFormat=P","Fill=—","Direction=H","UseDPDF=Y")</f>
        <v>-10057</v>
      </c>
      <c r="U24" s="13">
        <f>_xll.BDH("XOM US Equity","ACQUIS_FXD_&amp;_INTANG_DETAILED","FQ1 2013","FQ1 2013","Currency=USD","Period=FQ","BEST_FPERIOD_OVERRIDE=FQ","FILING_STATUS=OR","SCALING_FORMAT=MLN","Sort=A","Dates=H","DateFormat=P","Fill=—","Direction=H","UseDPDF=Y")</f>
        <v>-7494</v>
      </c>
      <c r="V24" s="13">
        <f>_xll.BDH("XOM US Equity","ACQUIS_FXD_&amp;_INTANG_DETAILED","FQ2 2013","FQ2 2013","Currency=USD","Period=FQ","BEST_FPERIOD_OVERRIDE=FQ","FILING_STATUS=OR","SCALING_FORMAT=MLN","Sort=A","Dates=H","DateFormat=P","Fill=—","Direction=H","UseDPDF=Y")</f>
        <v>-8651</v>
      </c>
      <c r="W24" s="13">
        <f>_xll.BDH("XOM US Equity","ACQUIS_FXD_&amp;_INTANG_DETAILED","FQ3 2013","FQ3 2013","Currency=USD","Period=FQ","BEST_FPERIOD_OVERRIDE=FQ","FILING_STATUS=OR","SCALING_FORMAT=MLN","Sort=A","Dates=H","DateFormat=P","Fill=—","Direction=H","UseDPDF=Y")</f>
        <v>-9098</v>
      </c>
      <c r="X24" s="13">
        <f>_xll.BDH("XOM US Equity","ACQUIS_FXD_&amp;_INTANG_DETAILED","FQ4 2013","FQ4 2013","Currency=USD","Period=FQ","BEST_FPERIOD_OVERRIDE=FQ","FILING_STATUS=OR","SCALING_FORMAT=MLN","Sort=A","Dates=H","DateFormat=P","Fill=—","Direction=H","UseDPDF=Y")</f>
        <v>-8426</v>
      </c>
      <c r="Y24" s="13">
        <f>_xll.BDH("XOM US Equity","ACQUIS_FXD_&amp;_INTANG_DETAILED","FQ1 2014","FQ1 2014","Currency=USD","Period=FQ","BEST_FPERIOD_OVERRIDE=FQ","FILING_STATUS=OR","SCALING_FORMAT=MLN","Sort=A","Dates=H","DateFormat=P","Fill=—","Direction=H","UseDPDF=Y")</f>
        <v>-7328</v>
      </c>
      <c r="Z24" s="13">
        <f>_xll.BDH("XOM US Equity","ACQUIS_FXD_&amp;_INTANG_DETAILED","FQ2 2014","FQ2 2014","Currency=USD","Period=FQ","BEST_FPERIOD_OVERRIDE=FQ","FILING_STATUS=OR","SCALING_FORMAT=MLN","Sort=A","Dates=H","DateFormat=P","Fill=—","Direction=H","UseDPDF=Y")</f>
        <v>-8542</v>
      </c>
      <c r="AA24" s="13">
        <f>_xll.BDH("XOM US Equity","ACQUIS_FXD_&amp;_INTANG_DETAILED","FQ3 2014","FQ3 2014","Currency=USD","Period=FQ","BEST_FPERIOD_OVERRIDE=FQ","FILING_STATUS=OR","SCALING_FORMAT=MLN","Sort=A","Dates=H","DateFormat=P","Fill=—","Direction=H","UseDPDF=Y")</f>
        <v>-8198</v>
      </c>
      <c r="AB24" s="13">
        <f>_xll.BDH("XOM US Equity","ACQUIS_FXD_&amp;_INTANG_DETAILED","FQ4 2014","FQ4 2014","Currency=USD","Period=FQ","BEST_FPERIOD_OVERRIDE=FQ","FILING_STATUS=OR","SCALING_FORMAT=MLN","Sort=A","Dates=H","DateFormat=P","Fill=—","Direction=H","UseDPDF=Y")</f>
        <v>-8884</v>
      </c>
      <c r="AC24" s="13">
        <f>_xll.BDH("XOM US Equity","ACQUIS_FXD_&amp;_INTANG_DETAILED","FQ1 2015","FQ1 2015","Currency=USD","Period=FQ","BEST_FPERIOD_OVERRIDE=FQ","FILING_STATUS=OR","SCALING_FORMAT=MLN","Sort=A","Dates=H","DateFormat=P","Fill=—","Direction=H","UseDPDF=Y")</f>
        <v>-6844</v>
      </c>
      <c r="AD24" s="13">
        <f>_xll.BDH("XOM US Equity","ACQUIS_FXD_&amp;_INTANG_DETAILED","FQ2 2015","FQ2 2015","Currency=USD","Period=FQ","BEST_FPERIOD_OVERRIDE=FQ","FILING_STATUS=OR","SCALING_FORMAT=MLN","Sort=A","Dates=H","DateFormat=P","Fill=—","Direction=H","UseDPDF=Y")</f>
        <v>-7109</v>
      </c>
      <c r="AE24" s="13">
        <f>_xll.BDH("XOM US Equity","ACQUIS_FXD_&amp;_INTANG_DETAILED","FQ3 2015","FQ3 2015","Currency=USD","Period=FQ","BEST_FPERIOD_OVERRIDE=FQ","FILING_STATUS=OR","SCALING_FORMAT=MLN","Sort=A","Dates=H","DateFormat=P","Fill=—","Direction=H","UseDPDF=Y")</f>
        <v>-6401</v>
      </c>
      <c r="AF24" s="13">
        <f>_xll.BDH("XOM US Equity","ACQUIS_FXD_&amp;_INTANG_DETAILED","FQ4 2015","FQ4 2015","Currency=USD","Period=FQ","BEST_FPERIOD_OVERRIDE=FQ","FILING_STATUS=OR","SCALING_FORMAT=MLN","Sort=A","Dates=H","DateFormat=P","Fill=—","Direction=H","UseDPDF=Y")</f>
        <v>-6136</v>
      </c>
      <c r="AG24" s="13">
        <f>_xll.BDH("XOM US Equity","ACQUIS_FXD_&amp;_INTANG_DETAILED","FQ1 2016","FQ1 2016","Currency=USD","Period=FQ","BEST_FPERIOD_OVERRIDE=FQ","FILING_STATUS=OR","SCALING_FORMAT=MLN","Sort=A","Dates=H","DateFormat=P","Fill=—","Direction=H","UseDPDF=Y")</f>
        <v>-4601</v>
      </c>
      <c r="AH24" s="13">
        <f>_xll.BDH("XOM US Equity","ACQUIS_FXD_&amp;_INTANG_DETAILED","FQ2 2016","FQ2 2016","Currency=USD","Period=FQ","BEST_FPERIOD_OVERRIDE=FQ","FILING_STATUS=OR","SCALING_FORMAT=MLN","Sort=A","Dates=H","DateFormat=P","Fill=—","Direction=H","UseDPDF=Y")</f>
        <v>-4271</v>
      </c>
      <c r="AI24" s="13">
        <f>_xll.BDH("XOM US Equity","ACQUIS_FXD_&amp;_INTANG_DETAILED","FQ3 2016","FQ3 2016","Currency=USD","Period=FQ","BEST_FPERIOD_OVERRIDE=FQ","FILING_STATUS=OR","SCALING_FORMAT=MLN","Sort=A","Dates=H","DateFormat=P","Fill=—","Direction=H","UseDPDF=Y")</f>
        <v>-3404</v>
      </c>
      <c r="AJ24" s="13">
        <f>_xll.BDH("XOM US Equity","ACQUIS_FXD_&amp;_INTANG_DETAILED","FQ4 2016","FQ4 2016","Currency=USD","Period=FQ","BEST_FPERIOD_OVERRIDE=FQ","FILING_STATUS=OR","SCALING_FORMAT=MLN","Sort=A","Dates=H","DateFormat=P","Fill=—","Direction=H","UseDPDF=Y")</f>
        <v>-3887</v>
      </c>
      <c r="AK24" s="13">
        <f>_xll.BDH("XOM US Equity","ACQUIS_FXD_&amp;_INTANG_DETAILED","FQ1 2017","FQ1 2017","Currency=USD","Period=FQ","BEST_FPERIOD_OVERRIDE=FQ","FILING_STATUS=OR","SCALING_FORMAT=MLN","Sort=A","Dates=H","DateFormat=P","Fill=—","Direction=H","UseDPDF=Y")</f>
        <v>-2890</v>
      </c>
      <c r="AL24" s="13">
        <f>_xll.BDH("XOM US Equity","ACQUIS_FXD_&amp;_INTANG_DETAILED","FQ2 2017","FQ2 2017","Currency=USD","Period=FQ","BEST_FPERIOD_OVERRIDE=FQ","FILING_STATUS=OR","SCALING_FORMAT=MLN","Sort=A","Dates=H","DateFormat=P","Fill=—","Direction=H","UseDPDF=Y")</f>
        <v>-3098</v>
      </c>
      <c r="AM24" s="13">
        <f>_xll.BDH("XOM US Equity","ACQUIS_FXD_&amp;_INTANG_DETAILED","FQ3 2017","FQ3 2017","Currency=USD","Period=FQ","BEST_FPERIOD_OVERRIDE=FQ","FILING_STATUS=OR","SCALING_FORMAT=MLN","Sort=A","Dates=H","DateFormat=P","Fill=—","Direction=H","UseDPDF=Y")</f>
        <v>-4913</v>
      </c>
      <c r="AN24" s="13">
        <f>_xll.BDH("XOM US Equity","ACQUIS_FXD_&amp;_INTANG_DETAILED","FQ4 2017","FQ4 2017","Currency=USD","Period=FQ","BEST_FPERIOD_OVERRIDE=FQ","FILING_STATUS=OR","SCALING_FORMAT=MLN","Sort=A","Dates=H","DateFormat=P","Fill=—","Direction=H","UseDPDF=Y")</f>
        <v>-4501</v>
      </c>
      <c r="AO24" s="13">
        <f>_xll.BDH("XOM US Equity","ACQUIS_FXD_&amp;_INTANG_DETAILED","FQ1 2018","FQ1 2018","Currency=USD","Period=FQ","BEST_FPERIOD_OVERRIDE=FQ","FILING_STATUS=OR","SCALING_FORMAT=MLN","Sort=A","Dates=H","DateFormat=P","Fill=—","Direction=H","UseDPDF=Y")</f>
        <v>-3349</v>
      </c>
      <c r="AP24" s="13">
        <f>_xll.BDH("XOM US Equity","ACQUIS_FXD_&amp;_INTANG_DETAILED","FQ2 2018","FQ2 2018","Currency=USD","Period=FQ","BEST_FPERIOD_OVERRIDE=FQ","FILING_STATUS=OR","SCALING_FORMAT=MLN","Sort=A","Dates=H","DateFormat=P","Fill=—","Direction=H","UseDPDF=Y")</f>
        <v>-4927</v>
      </c>
    </row>
    <row r="25" spans="1:42" x14ac:dyDescent="0.25">
      <c r="A25" s="11" t="s">
        <v>394</v>
      </c>
      <c r="B25" s="11" t="s">
        <v>395</v>
      </c>
      <c r="C25" s="18" t="str">
        <f>_xll.BDH("XOM US Equity","CF_PURCHASE_OF_FIXED_PROD_ASSETS","FQ3 2008","FQ3 2008","Currency=USD","Period=FQ","BEST_FPERIOD_OVERRIDE=FQ","FILING_STATUS=OR","SCALING_FORMAT=MLN","Sort=A","Dates=H","DateFormat=P","Fill=—","Direction=H","UseDPDF=Y")</f>
        <v>—</v>
      </c>
      <c r="D25" s="18" t="str">
        <f>_xll.BDH("XOM US Equity","CF_PURCHASE_OF_FIXED_PROD_ASSETS","FQ4 2008","FQ4 2008","Currency=USD","Period=FQ","BEST_FPERIOD_OVERRIDE=FQ","FILING_STATUS=OR","SCALING_FORMAT=MLN","Sort=A","Dates=H","DateFormat=P","Fill=—","Direction=H","UseDPDF=Y")</f>
        <v>—</v>
      </c>
      <c r="E25" s="18">
        <f>_xll.BDH("XOM US Equity","CF_PURCHASE_OF_FIXED_PROD_ASSETS","FQ1 2009","FQ1 2009","Currency=USD","Period=FQ","BEST_FPERIOD_OVERRIDE=FQ","FILING_STATUS=OR","SCALING_FORMAT=MLN","Sort=A","Dates=H","DateFormat=P","Fill=—","Direction=H","UseDPDF=Y")</f>
        <v>-4673</v>
      </c>
      <c r="F25" s="18">
        <f>_xll.BDH("XOM US Equity","CF_PURCHASE_OF_FIXED_PROD_ASSETS","FQ2 2009","FQ2 2009","Currency=USD","Period=FQ","BEST_FPERIOD_OVERRIDE=FQ","FILING_STATUS=OR","SCALING_FORMAT=MLN","Sort=A","Dates=H","DateFormat=P","Fill=—","Direction=H","UseDPDF=Y")</f>
        <v>-5565</v>
      </c>
      <c r="G25" s="18">
        <f>_xll.BDH("XOM US Equity","CF_PURCHASE_OF_FIXED_PROD_ASSETS","FQ3 2009","FQ3 2009","Currency=USD","Period=FQ","BEST_FPERIOD_OVERRIDE=FQ","FILING_STATUS=OR","SCALING_FORMAT=MLN","Sort=A","Dates=H","DateFormat=P","Fill=—","Direction=H","UseDPDF=Y")</f>
        <v>-5490</v>
      </c>
      <c r="H25" s="18">
        <f>_xll.BDH("XOM US Equity","CF_PURCHASE_OF_FIXED_PROD_ASSETS","FQ4 2009","FQ4 2009","Currency=USD","Period=FQ","BEST_FPERIOD_OVERRIDE=FQ","FILING_STATUS=OR","SCALING_FORMAT=MLN","Sort=A","Dates=H","DateFormat=P","Fill=—","Direction=H","UseDPDF=Y")</f>
        <v>-6763</v>
      </c>
      <c r="I25" s="18">
        <f>_xll.BDH("XOM US Equity","CF_PURCHASE_OF_FIXED_PROD_ASSETS","FQ1 2010","FQ1 2010","Currency=USD","Period=FQ","BEST_FPERIOD_OVERRIDE=FQ","FILING_STATUS=OR","SCALING_FORMAT=MLN","Sort=A","Dates=H","DateFormat=P","Fill=—","Direction=H","UseDPDF=Y")</f>
        <v>-5756</v>
      </c>
      <c r="J25" s="18">
        <f>_xll.BDH("XOM US Equity","CF_PURCHASE_OF_FIXED_PROD_ASSETS","FQ2 2010","FQ2 2010","Currency=USD","Period=FQ","BEST_FPERIOD_OVERRIDE=FQ","FILING_STATUS=OR","SCALING_FORMAT=MLN","Sort=A","Dates=H","DateFormat=P","Fill=—","Direction=H","UseDPDF=Y")</f>
        <v>-5644</v>
      </c>
      <c r="K25" s="18">
        <f>_xll.BDH("XOM US Equity","CF_PURCHASE_OF_FIXED_PROD_ASSETS","FQ3 2010","FQ3 2010","Currency=USD","Period=FQ","BEST_FPERIOD_OVERRIDE=FQ","FILING_STATUS=OR","SCALING_FORMAT=MLN","Sort=A","Dates=H","DateFormat=P","Fill=—","Direction=H","UseDPDF=Y")</f>
        <v>-7801</v>
      </c>
      <c r="L25" s="18">
        <f>_xll.BDH("XOM US Equity","CF_PURCHASE_OF_FIXED_PROD_ASSETS","FQ4 2010","FQ4 2010","Currency=USD","Period=FQ","BEST_FPERIOD_OVERRIDE=FQ","FILING_STATUS=OR","SCALING_FORMAT=MLN","Sort=A","Dates=H","DateFormat=P","Fill=—","Direction=H","UseDPDF=Y")</f>
        <v>-7670</v>
      </c>
      <c r="M25" s="18">
        <f>_xll.BDH("XOM US Equity","CF_PURCHASE_OF_FIXED_PROD_ASSETS","FQ1 2011","FQ1 2011","Currency=USD","Period=FQ","BEST_FPERIOD_OVERRIDE=FQ","FILING_STATUS=OR","SCALING_FORMAT=MLN","Sort=A","Dates=H","DateFormat=P","Fill=—","Direction=H","UseDPDF=Y")</f>
        <v>-7051</v>
      </c>
      <c r="N25" s="18">
        <f>_xll.BDH("XOM US Equity","CF_PURCHASE_OF_FIXED_PROD_ASSETS","FQ2 2011","FQ2 2011","Currency=USD","Period=FQ","BEST_FPERIOD_OVERRIDE=FQ","FILING_STATUS=OR","SCALING_FORMAT=MLN","Sort=A","Dates=H","DateFormat=P","Fill=—","Direction=H","UseDPDF=Y")</f>
        <v>-7812</v>
      </c>
      <c r="O25" s="18">
        <f>_xll.BDH("XOM US Equity","CF_PURCHASE_OF_FIXED_PROD_ASSETS","FQ3 2011","FQ3 2011","Currency=USD","Period=FQ","BEST_FPERIOD_OVERRIDE=FQ","FILING_STATUS=OR","SCALING_FORMAT=MLN","Sort=A","Dates=H","DateFormat=P","Fill=—","Direction=H","UseDPDF=Y")</f>
        <v>-7478</v>
      </c>
      <c r="P25" s="18">
        <f>_xll.BDH("XOM US Equity","CF_PURCHASE_OF_FIXED_PROD_ASSETS","FQ4 2011","FQ4 2011","Currency=USD","Period=FQ","BEST_FPERIOD_OVERRIDE=FQ","FILING_STATUS=OR","SCALING_FORMAT=MLN","Sort=A","Dates=H","DateFormat=P","Fill=—","Direction=H","UseDPDF=Y")</f>
        <v>-8634</v>
      </c>
      <c r="Q25" s="18">
        <f>_xll.BDH("XOM US Equity","CF_PURCHASE_OF_FIXED_PROD_ASSETS","FQ1 2012","FQ1 2012","Currency=USD","Period=FQ","BEST_FPERIOD_OVERRIDE=FQ","FILING_STATUS=OR","SCALING_FORMAT=MLN","Sort=A","Dates=H","DateFormat=P","Fill=—","Direction=H","UseDPDF=Y")</f>
        <v>-7843</v>
      </c>
      <c r="R25" s="18">
        <f>_xll.BDH("XOM US Equity","CF_PURCHASE_OF_FIXED_PROD_ASSETS","FQ2 2012","FQ2 2012","Currency=USD","Period=FQ","BEST_FPERIOD_OVERRIDE=FQ","FILING_STATUS=OR","SCALING_FORMAT=MLN","Sort=A","Dates=H","DateFormat=P","Fill=—","Direction=H","UseDPDF=Y")</f>
        <v>-8345</v>
      </c>
      <c r="S25" s="18">
        <f>_xll.BDH("XOM US Equity","CF_PURCHASE_OF_FIXED_PROD_ASSETS","FQ3 2012","FQ3 2012","Currency=USD","Period=FQ","BEST_FPERIOD_OVERRIDE=FQ","FILING_STATUS=OR","SCALING_FORMAT=MLN","Sort=A","Dates=H","DateFormat=P","Fill=—","Direction=H","UseDPDF=Y")</f>
        <v>-8026</v>
      </c>
      <c r="T25" s="18">
        <f>_xll.BDH("XOM US Equity","CF_PURCHASE_OF_FIXED_PROD_ASSETS","FQ4 2012","FQ4 2012","Currency=USD","Period=FQ","BEST_FPERIOD_OVERRIDE=FQ","FILING_STATUS=OR","SCALING_FORMAT=MLN","Sort=A","Dates=H","DateFormat=P","Fill=—","Direction=H","UseDPDF=Y")</f>
        <v>-10057</v>
      </c>
      <c r="U25" s="18">
        <f>_xll.BDH("XOM US Equity","CF_PURCHASE_OF_FIXED_PROD_ASSETS","FQ1 2013","FQ1 2013","Currency=USD","Period=FQ","BEST_FPERIOD_OVERRIDE=FQ","FILING_STATUS=OR","SCALING_FORMAT=MLN","Sort=A","Dates=H","DateFormat=P","Fill=—","Direction=H","UseDPDF=Y")</f>
        <v>-7494</v>
      </c>
      <c r="V25" s="18">
        <f>_xll.BDH("XOM US Equity","CF_PURCHASE_OF_FIXED_PROD_ASSETS","FQ2 2013","FQ2 2013","Currency=USD","Period=FQ","BEST_FPERIOD_OVERRIDE=FQ","FILING_STATUS=OR","SCALING_FORMAT=MLN","Sort=A","Dates=H","DateFormat=P","Fill=—","Direction=H","UseDPDF=Y")</f>
        <v>-8651</v>
      </c>
      <c r="W25" s="18">
        <f>_xll.BDH("XOM US Equity","CF_PURCHASE_OF_FIXED_PROD_ASSETS","FQ3 2013","FQ3 2013","Currency=USD","Period=FQ","BEST_FPERIOD_OVERRIDE=FQ","FILING_STATUS=OR","SCALING_FORMAT=MLN","Sort=A","Dates=H","DateFormat=P","Fill=—","Direction=H","UseDPDF=Y")</f>
        <v>-9098</v>
      </c>
      <c r="X25" s="18">
        <f>_xll.BDH("XOM US Equity","CF_PURCHASE_OF_FIXED_PROD_ASSETS","FQ4 2013","FQ4 2013","Currency=USD","Period=FQ","BEST_FPERIOD_OVERRIDE=FQ","FILING_STATUS=OR","SCALING_FORMAT=MLN","Sort=A","Dates=H","DateFormat=P","Fill=—","Direction=H","UseDPDF=Y")</f>
        <v>-8426</v>
      </c>
      <c r="Y25" s="18">
        <f>_xll.BDH("XOM US Equity","CF_PURCHASE_OF_FIXED_PROD_ASSETS","FQ1 2014","FQ1 2014","Currency=USD","Period=FQ","BEST_FPERIOD_OVERRIDE=FQ","FILING_STATUS=OR","SCALING_FORMAT=MLN","Sort=A","Dates=H","DateFormat=P","Fill=—","Direction=H","UseDPDF=Y")</f>
        <v>-7328</v>
      </c>
      <c r="Z25" s="18">
        <f>_xll.BDH("XOM US Equity","CF_PURCHASE_OF_FIXED_PROD_ASSETS","FQ2 2014","FQ2 2014","Currency=USD","Period=FQ","BEST_FPERIOD_OVERRIDE=FQ","FILING_STATUS=OR","SCALING_FORMAT=MLN","Sort=A","Dates=H","DateFormat=P","Fill=—","Direction=H","UseDPDF=Y")</f>
        <v>-8542</v>
      </c>
      <c r="AA25" s="18">
        <f>_xll.BDH("XOM US Equity","CF_PURCHASE_OF_FIXED_PROD_ASSETS","FQ3 2014","FQ3 2014","Currency=USD","Period=FQ","BEST_FPERIOD_OVERRIDE=FQ","FILING_STATUS=OR","SCALING_FORMAT=MLN","Sort=A","Dates=H","DateFormat=P","Fill=—","Direction=H","UseDPDF=Y")</f>
        <v>-8198</v>
      </c>
      <c r="AB25" s="18">
        <f>_xll.BDH("XOM US Equity","CF_PURCHASE_OF_FIXED_PROD_ASSETS","FQ4 2014","FQ4 2014","Currency=USD","Period=FQ","BEST_FPERIOD_OVERRIDE=FQ","FILING_STATUS=OR","SCALING_FORMAT=MLN","Sort=A","Dates=H","DateFormat=P","Fill=—","Direction=H","UseDPDF=Y")</f>
        <v>-8884</v>
      </c>
      <c r="AC25" s="18">
        <f>_xll.BDH("XOM US Equity","CF_PURCHASE_OF_FIXED_PROD_ASSETS","FQ1 2015","FQ1 2015","Currency=USD","Period=FQ","BEST_FPERIOD_OVERRIDE=FQ","FILING_STATUS=OR","SCALING_FORMAT=MLN","Sort=A","Dates=H","DateFormat=P","Fill=—","Direction=H","UseDPDF=Y")</f>
        <v>-6844</v>
      </c>
      <c r="AD25" s="18">
        <f>_xll.BDH("XOM US Equity","CF_PURCHASE_OF_FIXED_PROD_ASSETS","FQ2 2015","FQ2 2015","Currency=USD","Period=FQ","BEST_FPERIOD_OVERRIDE=FQ","FILING_STATUS=OR","SCALING_FORMAT=MLN","Sort=A","Dates=H","DateFormat=P","Fill=—","Direction=H","UseDPDF=Y")</f>
        <v>-7109</v>
      </c>
      <c r="AE25" s="18">
        <f>_xll.BDH("XOM US Equity","CF_PURCHASE_OF_FIXED_PROD_ASSETS","FQ3 2015","FQ3 2015","Currency=USD","Period=FQ","BEST_FPERIOD_OVERRIDE=FQ","FILING_STATUS=OR","SCALING_FORMAT=MLN","Sort=A","Dates=H","DateFormat=P","Fill=—","Direction=H","UseDPDF=Y")</f>
        <v>-6401</v>
      </c>
      <c r="AF25" s="18">
        <f>_xll.BDH("XOM US Equity","CF_PURCHASE_OF_FIXED_PROD_ASSETS","FQ4 2015","FQ4 2015","Currency=USD","Period=FQ","BEST_FPERIOD_OVERRIDE=FQ","FILING_STATUS=OR","SCALING_FORMAT=MLN","Sort=A","Dates=H","DateFormat=P","Fill=—","Direction=H","UseDPDF=Y")</f>
        <v>-6136</v>
      </c>
      <c r="AG25" s="18">
        <f>_xll.BDH("XOM US Equity","CF_PURCHASE_OF_FIXED_PROD_ASSETS","FQ1 2016","FQ1 2016","Currency=USD","Period=FQ","BEST_FPERIOD_OVERRIDE=FQ","FILING_STATUS=OR","SCALING_FORMAT=MLN","Sort=A","Dates=H","DateFormat=P","Fill=—","Direction=H","UseDPDF=Y")</f>
        <v>-4601</v>
      </c>
      <c r="AH25" s="18">
        <f>_xll.BDH("XOM US Equity","CF_PURCHASE_OF_FIXED_PROD_ASSETS","FQ2 2016","FQ2 2016","Currency=USD","Period=FQ","BEST_FPERIOD_OVERRIDE=FQ","FILING_STATUS=OR","SCALING_FORMAT=MLN","Sort=A","Dates=H","DateFormat=P","Fill=—","Direction=H","UseDPDF=Y")</f>
        <v>-4271</v>
      </c>
      <c r="AI25" s="18">
        <f>_xll.BDH("XOM US Equity","CF_PURCHASE_OF_FIXED_PROD_ASSETS","FQ3 2016","FQ3 2016","Currency=USD","Period=FQ","BEST_FPERIOD_OVERRIDE=FQ","FILING_STATUS=OR","SCALING_FORMAT=MLN","Sort=A","Dates=H","DateFormat=P","Fill=—","Direction=H","UseDPDF=Y")</f>
        <v>-3404</v>
      </c>
      <c r="AJ25" s="18">
        <f>_xll.BDH("XOM US Equity","CF_PURCHASE_OF_FIXED_PROD_ASSETS","FQ4 2016","FQ4 2016","Currency=USD","Period=FQ","BEST_FPERIOD_OVERRIDE=FQ","FILING_STATUS=OR","SCALING_FORMAT=MLN","Sort=A","Dates=H","DateFormat=P","Fill=—","Direction=H","UseDPDF=Y")</f>
        <v>-3887</v>
      </c>
      <c r="AK25" s="18">
        <f>_xll.BDH("XOM US Equity","CF_PURCHASE_OF_FIXED_PROD_ASSETS","FQ1 2017","FQ1 2017","Currency=USD","Period=FQ","BEST_FPERIOD_OVERRIDE=FQ","FILING_STATUS=OR","SCALING_FORMAT=MLN","Sort=A","Dates=H","DateFormat=P","Fill=—","Direction=H","UseDPDF=Y")</f>
        <v>-2890</v>
      </c>
      <c r="AL25" s="18">
        <f>_xll.BDH("XOM US Equity","CF_PURCHASE_OF_FIXED_PROD_ASSETS","FQ2 2017","FQ2 2017","Currency=USD","Period=FQ","BEST_FPERIOD_OVERRIDE=FQ","FILING_STATUS=OR","SCALING_FORMAT=MLN","Sort=A","Dates=H","DateFormat=P","Fill=—","Direction=H","UseDPDF=Y")</f>
        <v>-3098</v>
      </c>
      <c r="AM25" s="18">
        <f>_xll.BDH("XOM US Equity","CF_PURCHASE_OF_FIXED_PROD_ASSETS","FQ3 2017","FQ3 2017","Currency=USD","Period=FQ","BEST_FPERIOD_OVERRIDE=FQ","FILING_STATUS=OR","SCALING_FORMAT=MLN","Sort=A","Dates=H","DateFormat=P","Fill=—","Direction=H","UseDPDF=Y")</f>
        <v>-4913</v>
      </c>
      <c r="AN25" s="18">
        <f>_xll.BDH("XOM US Equity","CF_PURCHASE_OF_FIXED_PROD_ASSETS","FQ4 2017","FQ4 2017","Currency=USD","Period=FQ","BEST_FPERIOD_OVERRIDE=FQ","FILING_STATUS=OR","SCALING_FORMAT=MLN","Sort=A","Dates=H","DateFormat=P","Fill=—","Direction=H","UseDPDF=Y")</f>
        <v>-4501</v>
      </c>
      <c r="AO25" s="18">
        <f>_xll.BDH("XOM US Equity","CF_PURCHASE_OF_FIXED_PROD_ASSETS","FQ1 2018","FQ1 2018","Currency=USD","Period=FQ","BEST_FPERIOD_OVERRIDE=FQ","FILING_STATUS=OR","SCALING_FORMAT=MLN","Sort=A","Dates=H","DateFormat=P","Fill=—","Direction=H","UseDPDF=Y")</f>
        <v>-3349</v>
      </c>
      <c r="AP25" s="18">
        <f>_xll.BDH("XOM US Equity","CF_PURCHASE_OF_FIXED_PROD_ASSETS","FQ2 2018","FQ2 2018","Currency=USD","Period=FQ","BEST_FPERIOD_OVERRIDE=FQ","FILING_STATUS=OR","SCALING_FORMAT=MLN","Sort=A","Dates=H","DateFormat=P","Fill=—","Direction=H","UseDPDF=Y")</f>
        <v>-4927</v>
      </c>
    </row>
    <row r="26" spans="1:42" x14ac:dyDescent="0.25">
      <c r="A26" s="11" t="s">
        <v>396</v>
      </c>
      <c r="B26" s="11" t="s">
        <v>397</v>
      </c>
      <c r="C26" s="18" t="str">
        <f>_xll.BDH("XOM US Equity","CF_ACQUISITION_OF_INTANG_ASSETS","FQ3 2008","FQ3 2008","Currency=USD","Period=FQ","BEST_FPERIOD_OVERRIDE=FQ","FILING_STATUS=OR","SCALING_FORMAT=MLN","Sort=A","Dates=H","DateFormat=P","Fill=—","Direction=H","UseDPDF=Y")</f>
        <v>—</v>
      </c>
      <c r="D26" s="18" t="str">
        <f>_xll.BDH("XOM US Equity","CF_ACQUISITION_OF_INTANG_ASSETS","FQ4 2008","FQ4 2008","Currency=USD","Period=FQ","BEST_FPERIOD_OVERRIDE=FQ","FILING_STATUS=OR","SCALING_FORMAT=MLN","Sort=A","Dates=H","DateFormat=P","Fill=—","Direction=H","UseDPDF=Y")</f>
        <v>—</v>
      </c>
      <c r="E26" s="18">
        <f>_xll.BDH("XOM US Equity","CF_ACQUISITION_OF_INTANG_ASSETS","FQ1 2009","FQ1 2009","Currency=USD","Period=FQ","BEST_FPERIOD_OVERRIDE=FQ","FILING_STATUS=OR","SCALING_FORMAT=MLN","Sort=A","Dates=H","DateFormat=P","Fill=—","Direction=H","UseDPDF=Y")</f>
        <v>0</v>
      </c>
      <c r="F26" s="18">
        <f>_xll.BDH("XOM US Equity","CF_ACQUISITION_OF_INTANG_ASSETS","FQ2 2009","FQ2 2009","Currency=USD","Period=FQ","BEST_FPERIOD_OVERRIDE=FQ","FILING_STATUS=OR","SCALING_FORMAT=MLN","Sort=A","Dates=H","DateFormat=P","Fill=—","Direction=H","UseDPDF=Y")</f>
        <v>0</v>
      </c>
      <c r="G26" s="18">
        <f>_xll.BDH("XOM US Equity","CF_ACQUISITION_OF_INTANG_ASSETS","FQ3 2009","FQ3 2009","Currency=USD","Period=FQ","BEST_FPERIOD_OVERRIDE=FQ","FILING_STATUS=OR","SCALING_FORMAT=MLN","Sort=A","Dates=H","DateFormat=P","Fill=—","Direction=H","UseDPDF=Y")</f>
        <v>0</v>
      </c>
      <c r="H26" s="18">
        <f>_xll.BDH("XOM US Equity","CF_ACQUISITION_OF_INTANG_ASSETS","FQ4 2009","FQ4 2009","Currency=USD","Period=FQ","BEST_FPERIOD_OVERRIDE=FQ","FILING_STATUS=OR","SCALING_FORMAT=MLN","Sort=A","Dates=H","DateFormat=P","Fill=—","Direction=H","UseDPDF=Y")</f>
        <v>0</v>
      </c>
      <c r="I26" s="18">
        <f>_xll.BDH("XOM US Equity","CF_ACQUISITION_OF_INTANG_ASSETS","FQ1 2010","FQ1 2010","Currency=USD","Period=FQ","BEST_FPERIOD_OVERRIDE=FQ","FILING_STATUS=OR","SCALING_FORMAT=MLN","Sort=A","Dates=H","DateFormat=P","Fill=—","Direction=H","UseDPDF=Y")</f>
        <v>0</v>
      </c>
      <c r="J26" s="18">
        <f>_xll.BDH("XOM US Equity","CF_ACQUISITION_OF_INTANG_ASSETS","FQ2 2010","FQ2 2010","Currency=USD","Period=FQ","BEST_FPERIOD_OVERRIDE=FQ","FILING_STATUS=OR","SCALING_FORMAT=MLN","Sort=A","Dates=H","DateFormat=P","Fill=—","Direction=H","UseDPDF=Y")</f>
        <v>0</v>
      </c>
      <c r="K26" s="18">
        <f>_xll.BDH("XOM US Equity","CF_ACQUISITION_OF_INTANG_ASSETS","FQ3 2010","FQ3 2010","Currency=USD","Period=FQ","BEST_FPERIOD_OVERRIDE=FQ","FILING_STATUS=OR","SCALING_FORMAT=MLN","Sort=A","Dates=H","DateFormat=P","Fill=—","Direction=H","UseDPDF=Y")</f>
        <v>0</v>
      </c>
      <c r="L26" s="18">
        <f>_xll.BDH("XOM US Equity","CF_ACQUISITION_OF_INTANG_ASSETS","FQ4 2010","FQ4 2010","Currency=USD","Period=FQ","BEST_FPERIOD_OVERRIDE=FQ","FILING_STATUS=OR","SCALING_FORMAT=MLN","Sort=A","Dates=H","DateFormat=P","Fill=—","Direction=H","UseDPDF=Y")</f>
        <v>0</v>
      </c>
      <c r="M26" s="18">
        <f>_xll.BDH("XOM US Equity","CF_ACQUISITION_OF_INTANG_ASSETS","FQ1 2011","FQ1 2011","Currency=USD","Period=FQ","BEST_FPERIOD_OVERRIDE=FQ","FILING_STATUS=OR","SCALING_FORMAT=MLN","Sort=A","Dates=H","DateFormat=P","Fill=—","Direction=H","UseDPDF=Y")</f>
        <v>0</v>
      </c>
      <c r="N26" s="18">
        <f>_xll.BDH("XOM US Equity","CF_ACQUISITION_OF_INTANG_ASSETS","FQ2 2011","FQ2 2011","Currency=USD","Period=FQ","BEST_FPERIOD_OVERRIDE=FQ","FILING_STATUS=OR","SCALING_FORMAT=MLN","Sort=A","Dates=H","DateFormat=P","Fill=—","Direction=H","UseDPDF=Y")</f>
        <v>0</v>
      </c>
      <c r="O26" s="18">
        <f>_xll.BDH("XOM US Equity","CF_ACQUISITION_OF_INTANG_ASSETS","FQ3 2011","FQ3 2011","Currency=USD","Period=FQ","BEST_FPERIOD_OVERRIDE=FQ","FILING_STATUS=OR","SCALING_FORMAT=MLN","Sort=A","Dates=H","DateFormat=P","Fill=—","Direction=H","UseDPDF=Y")</f>
        <v>0</v>
      </c>
      <c r="P26" s="18">
        <f>_xll.BDH("XOM US Equity","CF_ACQUISITION_OF_INTANG_ASSETS","FQ4 2011","FQ4 2011","Currency=USD","Period=FQ","BEST_FPERIOD_OVERRIDE=FQ","FILING_STATUS=OR","SCALING_FORMAT=MLN","Sort=A","Dates=H","DateFormat=P","Fill=—","Direction=H","UseDPDF=Y")</f>
        <v>0</v>
      </c>
      <c r="Q26" s="18">
        <f>_xll.BDH("XOM US Equity","CF_ACQUISITION_OF_INTANG_ASSETS","FQ1 2012","FQ1 2012","Currency=USD","Period=FQ","BEST_FPERIOD_OVERRIDE=FQ","FILING_STATUS=OR","SCALING_FORMAT=MLN","Sort=A","Dates=H","DateFormat=P","Fill=—","Direction=H","UseDPDF=Y")</f>
        <v>0</v>
      </c>
      <c r="R26" s="18">
        <f>_xll.BDH("XOM US Equity","CF_ACQUISITION_OF_INTANG_ASSETS","FQ2 2012","FQ2 2012","Currency=USD","Period=FQ","BEST_FPERIOD_OVERRIDE=FQ","FILING_STATUS=OR","SCALING_FORMAT=MLN","Sort=A","Dates=H","DateFormat=P","Fill=—","Direction=H","UseDPDF=Y")</f>
        <v>0</v>
      </c>
      <c r="S26" s="18">
        <f>_xll.BDH("XOM US Equity","CF_ACQUISITION_OF_INTANG_ASSETS","FQ3 2012","FQ3 2012","Currency=USD","Period=FQ","BEST_FPERIOD_OVERRIDE=FQ","FILING_STATUS=OR","SCALING_FORMAT=MLN","Sort=A","Dates=H","DateFormat=P","Fill=—","Direction=H","UseDPDF=Y")</f>
        <v>0</v>
      </c>
      <c r="T26" s="18">
        <f>_xll.BDH("XOM US Equity","CF_ACQUISITION_OF_INTANG_ASSETS","FQ4 2012","FQ4 2012","Currency=USD","Period=FQ","BEST_FPERIOD_OVERRIDE=FQ","FILING_STATUS=OR","SCALING_FORMAT=MLN","Sort=A","Dates=H","DateFormat=P","Fill=—","Direction=H","UseDPDF=Y")</f>
        <v>0</v>
      </c>
      <c r="U26" s="18">
        <f>_xll.BDH("XOM US Equity","CF_ACQUISITION_OF_INTANG_ASSETS","FQ1 2013","FQ1 2013","Currency=USD","Period=FQ","BEST_FPERIOD_OVERRIDE=FQ","FILING_STATUS=OR","SCALING_FORMAT=MLN","Sort=A","Dates=H","DateFormat=P","Fill=—","Direction=H","UseDPDF=Y")</f>
        <v>0</v>
      </c>
      <c r="V26" s="18">
        <f>_xll.BDH("XOM US Equity","CF_ACQUISITION_OF_INTANG_ASSETS","FQ2 2013","FQ2 2013","Currency=USD","Period=FQ","BEST_FPERIOD_OVERRIDE=FQ","FILING_STATUS=OR","SCALING_FORMAT=MLN","Sort=A","Dates=H","DateFormat=P","Fill=—","Direction=H","UseDPDF=Y")</f>
        <v>0</v>
      </c>
      <c r="W26" s="18">
        <f>_xll.BDH("XOM US Equity","CF_ACQUISITION_OF_INTANG_ASSETS","FQ3 2013","FQ3 2013","Currency=USD","Period=FQ","BEST_FPERIOD_OVERRIDE=FQ","FILING_STATUS=OR","SCALING_FORMAT=MLN","Sort=A","Dates=H","DateFormat=P","Fill=—","Direction=H","UseDPDF=Y")</f>
        <v>0</v>
      </c>
      <c r="X26" s="18">
        <f>_xll.BDH("XOM US Equity","CF_ACQUISITION_OF_INTANG_ASSETS","FQ4 2013","FQ4 2013","Currency=USD","Period=FQ","BEST_FPERIOD_OVERRIDE=FQ","FILING_STATUS=OR","SCALING_FORMAT=MLN","Sort=A","Dates=H","DateFormat=P","Fill=—","Direction=H","UseDPDF=Y")</f>
        <v>0</v>
      </c>
      <c r="Y26" s="18">
        <f>_xll.BDH("XOM US Equity","CF_ACQUISITION_OF_INTANG_ASSETS","FQ1 2014","FQ1 2014","Currency=USD","Period=FQ","BEST_FPERIOD_OVERRIDE=FQ","FILING_STATUS=OR","SCALING_FORMAT=MLN","Sort=A","Dates=H","DateFormat=P","Fill=—","Direction=H","UseDPDF=Y")</f>
        <v>0</v>
      </c>
      <c r="Z26" s="18">
        <f>_xll.BDH("XOM US Equity","CF_ACQUISITION_OF_INTANG_ASSETS","FQ2 2014","FQ2 2014","Currency=USD","Period=FQ","BEST_FPERIOD_OVERRIDE=FQ","FILING_STATUS=OR","SCALING_FORMAT=MLN","Sort=A","Dates=H","DateFormat=P","Fill=—","Direction=H","UseDPDF=Y")</f>
        <v>0</v>
      </c>
      <c r="AA26" s="18">
        <f>_xll.BDH("XOM US Equity","CF_ACQUISITION_OF_INTANG_ASSETS","FQ3 2014","FQ3 2014","Currency=USD","Period=FQ","BEST_FPERIOD_OVERRIDE=FQ","FILING_STATUS=OR","SCALING_FORMAT=MLN","Sort=A","Dates=H","DateFormat=P","Fill=—","Direction=H","UseDPDF=Y")</f>
        <v>0</v>
      </c>
      <c r="AB26" s="18">
        <f>_xll.BDH("XOM US Equity","CF_ACQUISITION_OF_INTANG_ASSETS","FQ4 2014","FQ4 2014","Currency=USD","Period=FQ","BEST_FPERIOD_OVERRIDE=FQ","FILING_STATUS=OR","SCALING_FORMAT=MLN","Sort=A","Dates=H","DateFormat=P","Fill=—","Direction=H","UseDPDF=Y")</f>
        <v>0</v>
      </c>
      <c r="AC26" s="18">
        <f>_xll.BDH("XOM US Equity","CF_ACQUISITION_OF_INTANG_ASSETS","FQ1 2015","FQ1 2015","Currency=USD","Period=FQ","BEST_FPERIOD_OVERRIDE=FQ","FILING_STATUS=OR","SCALING_FORMAT=MLN","Sort=A","Dates=H","DateFormat=P","Fill=—","Direction=H","UseDPDF=Y")</f>
        <v>0</v>
      </c>
      <c r="AD26" s="18">
        <f>_xll.BDH("XOM US Equity","CF_ACQUISITION_OF_INTANG_ASSETS","FQ2 2015","FQ2 2015","Currency=USD","Period=FQ","BEST_FPERIOD_OVERRIDE=FQ","FILING_STATUS=OR","SCALING_FORMAT=MLN","Sort=A","Dates=H","DateFormat=P","Fill=—","Direction=H","UseDPDF=Y")</f>
        <v>0</v>
      </c>
      <c r="AE26" s="18">
        <f>_xll.BDH("XOM US Equity","CF_ACQUISITION_OF_INTANG_ASSETS","FQ3 2015","FQ3 2015","Currency=USD","Period=FQ","BEST_FPERIOD_OVERRIDE=FQ","FILING_STATUS=OR","SCALING_FORMAT=MLN","Sort=A","Dates=H","DateFormat=P","Fill=—","Direction=H","UseDPDF=Y")</f>
        <v>0</v>
      </c>
      <c r="AF26" s="18">
        <f>_xll.BDH("XOM US Equity","CF_ACQUISITION_OF_INTANG_ASSETS","FQ4 2015","FQ4 2015","Currency=USD","Period=FQ","BEST_FPERIOD_OVERRIDE=FQ","FILING_STATUS=OR","SCALING_FORMAT=MLN","Sort=A","Dates=H","DateFormat=P","Fill=—","Direction=H","UseDPDF=Y")</f>
        <v>0</v>
      </c>
      <c r="AG26" s="18">
        <f>_xll.BDH("XOM US Equity","CF_ACQUISITION_OF_INTANG_ASSETS","FQ1 2016","FQ1 2016","Currency=USD","Period=FQ","BEST_FPERIOD_OVERRIDE=FQ","FILING_STATUS=OR","SCALING_FORMAT=MLN","Sort=A","Dates=H","DateFormat=P","Fill=—","Direction=H","UseDPDF=Y")</f>
        <v>0</v>
      </c>
      <c r="AH26" s="18">
        <f>_xll.BDH("XOM US Equity","CF_ACQUISITION_OF_INTANG_ASSETS","FQ2 2016","FQ2 2016","Currency=USD","Period=FQ","BEST_FPERIOD_OVERRIDE=FQ","FILING_STATUS=OR","SCALING_FORMAT=MLN","Sort=A","Dates=H","DateFormat=P","Fill=—","Direction=H","UseDPDF=Y")</f>
        <v>0</v>
      </c>
      <c r="AI26" s="18">
        <f>_xll.BDH("XOM US Equity","CF_ACQUISITION_OF_INTANG_ASSETS","FQ3 2016","FQ3 2016","Currency=USD","Period=FQ","BEST_FPERIOD_OVERRIDE=FQ","FILING_STATUS=OR","SCALING_FORMAT=MLN","Sort=A","Dates=H","DateFormat=P","Fill=—","Direction=H","UseDPDF=Y")</f>
        <v>0</v>
      </c>
      <c r="AJ26" s="18">
        <f>_xll.BDH("XOM US Equity","CF_ACQUISITION_OF_INTANG_ASSETS","FQ4 2016","FQ4 2016","Currency=USD","Period=FQ","BEST_FPERIOD_OVERRIDE=FQ","FILING_STATUS=OR","SCALING_FORMAT=MLN","Sort=A","Dates=H","DateFormat=P","Fill=—","Direction=H","UseDPDF=Y")</f>
        <v>0</v>
      </c>
      <c r="AK26" s="18">
        <f>_xll.BDH("XOM US Equity","CF_ACQUISITION_OF_INTANG_ASSETS","FQ1 2017","FQ1 2017","Currency=USD","Period=FQ","BEST_FPERIOD_OVERRIDE=FQ","FILING_STATUS=OR","SCALING_FORMAT=MLN","Sort=A","Dates=H","DateFormat=P","Fill=—","Direction=H","UseDPDF=Y")</f>
        <v>0</v>
      </c>
      <c r="AL26" s="18">
        <f>_xll.BDH("XOM US Equity","CF_ACQUISITION_OF_INTANG_ASSETS","FQ2 2017","FQ2 2017","Currency=USD","Period=FQ","BEST_FPERIOD_OVERRIDE=FQ","FILING_STATUS=OR","SCALING_FORMAT=MLN","Sort=A","Dates=H","DateFormat=P","Fill=—","Direction=H","UseDPDF=Y")</f>
        <v>0</v>
      </c>
      <c r="AM26" s="18">
        <f>_xll.BDH("XOM US Equity","CF_ACQUISITION_OF_INTANG_ASSETS","FQ3 2017","FQ3 2017","Currency=USD","Period=FQ","BEST_FPERIOD_OVERRIDE=FQ","FILING_STATUS=OR","SCALING_FORMAT=MLN","Sort=A","Dates=H","DateFormat=P","Fill=—","Direction=H","UseDPDF=Y")</f>
        <v>0</v>
      </c>
      <c r="AN26" s="18">
        <f>_xll.BDH("XOM US Equity","CF_ACQUISITION_OF_INTANG_ASSETS","FQ4 2017","FQ4 2017","Currency=USD","Period=FQ","BEST_FPERIOD_OVERRIDE=FQ","FILING_STATUS=OR","SCALING_FORMAT=MLN","Sort=A","Dates=H","DateFormat=P","Fill=—","Direction=H","UseDPDF=Y")</f>
        <v>0</v>
      </c>
      <c r="AO26" s="18">
        <f>_xll.BDH("XOM US Equity","CF_ACQUISITION_OF_INTANG_ASSETS","FQ1 2018","FQ1 2018","Currency=USD","Period=FQ","BEST_FPERIOD_OVERRIDE=FQ","FILING_STATUS=OR","SCALING_FORMAT=MLN","Sort=A","Dates=H","DateFormat=P","Fill=—","Direction=H","UseDPDF=Y")</f>
        <v>0</v>
      </c>
      <c r="AP26" s="18">
        <f>_xll.BDH("XOM US Equity","CF_ACQUISITION_OF_INTANG_ASSETS","FQ2 2018","FQ2 2018","Currency=USD","Period=FQ","BEST_FPERIOD_OVERRIDE=FQ","FILING_STATUS=OR","SCALING_FORMAT=MLN","Sort=A","Dates=H","DateFormat=P","Fill=—","Direction=H","UseDPDF=Y")</f>
        <v>0</v>
      </c>
    </row>
    <row r="27" spans="1:42" x14ac:dyDescent="0.25">
      <c r="A27" s="10" t="s">
        <v>398</v>
      </c>
      <c r="B27" s="10" t="s">
        <v>399</v>
      </c>
      <c r="C27" s="13">
        <f>_xll.BDH("XOM US Equity","NET_CHG_IN_LT_INVEST_DETAILED","FQ3 2008","FQ3 2008","Currency=USD","Period=FQ","BEST_FPERIOD_OVERRIDE=FQ","FILING_STATUS=OR","SCALING_FORMAT=MLN","Sort=A","Dates=H","DateFormat=P","Fill=—","Direction=H","UseDPDF=Y")</f>
        <v>0</v>
      </c>
      <c r="D27" s="13">
        <f>_xll.BDH("XOM US Equity","NET_CHG_IN_LT_INVEST_DETAILED","FQ4 2008","FQ4 2008","Currency=USD","Period=FQ","BEST_FPERIOD_OVERRIDE=FQ","FILING_STATUS=OR","SCALING_FORMAT=MLN","Sort=A","Dates=H","DateFormat=P","Fill=—","Direction=H","UseDPDF=Y")</f>
        <v>-245</v>
      </c>
      <c r="E27" s="13">
        <f>_xll.BDH("XOM US Equity","NET_CHG_IN_LT_INVEST_DETAILED","FQ1 2009","FQ1 2009","Currency=USD","Period=FQ","BEST_FPERIOD_OVERRIDE=FQ","FILING_STATUS=OR","SCALING_FORMAT=MLN","Sort=A","Dates=H","DateFormat=P","Fill=—","Direction=H","UseDPDF=Y")</f>
        <v>0</v>
      </c>
      <c r="F27" s="13">
        <f>_xll.BDH("XOM US Equity","NET_CHG_IN_LT_INVEST_DETAILED","FQ2 2009","FQ2 2009","Currency=USD","Period=FQ","BEST_FPERIOD_OVERRIDE=FQ","FILING_STATUS=OR","SCALING_FORMAT=MLN","Sort=A","Dates=H","DateFormat=P","Fill=—","Direction=H","UseDPDF=Y")</f>
        <v>0</v>
      </c>
      <c r="G27" s="13">
        <f>_xll.BDH("XOM US Equity","NET_CHG_IN_LT_INVEST_DETAILED","FQ3 2009","FQ3 2009","Currency=USD","Period=FQ","BEST_FPERIOD_OVERRIDE=FQ","FILING_STATUS=OR","SCALING_FORMAT=MLN","Sort=A","Dates=H","DateFormat=P","Fill=—","Direction=H","UseDPDF=Y")</f>
        <v>0</v>
      </c>
      <c r="H27" s="13">
        <f>_xll.BDH("XOM US Equity","NET_CHG_IN_LT_INVEST_DETAILED","FQ4 2009","FQ4 2009","Currency=USD","Period=FQ","BEST_FPERIOD_OVERRIDE=FQ","FILING_STATUS=OR","SCALING_FORMAT=MLN","Sort=A","Dates=H","DateFormat=P","Fill=—","Direction=H","UseDPDF=Y")</f>
        <v>555</v>
      </c>
      <c r="I27" s="13">
        <f>_xll.BDH("XOM US Equity","NET_CHG_IN_LT_INVEST_DETAILED","FQ1 2010","FQ1 2010","Currency=USD","Period=FQ","BEST_FPERIOD_OVERRIDE=FQ","FILING_STATUS=OR","SCALING_FORMAT=MLN","Sort=A","Dates=H","DateFormat=P","Fill=—","Direction=H","UseDPDF=Y")</f>
        <v>0</v>
      </c>
      <c r="J27" s="13">
        <f>_xll.BDH("XOM US Equity","NET_CHG_IN_LT_INVEST_DETAILED","FQ2 2010","FQ2 2010","Currency=USD","Period=FQ","BEST_FPERIOD_OVERRIDE=FQ","FILING_STATUS=OR","SCALING_FORMAT=MLN","Sort=A","Dates=H","DateFormat=P","Fill=—","Direction=H","UseDPDF=Y")</f>
        <v>0</v>
      </c>
      <c r="K27" s="13">
        <f>_xll.BDH("XOM US Equity","NET_CHG_IN_LT_INVEST_DETAILED","FQ3 2010","FQ3 2010","Currency=USD","Period=FQ","BEST_FPERIOD_OVERRIDE=FQ","FILING_STATUS=OR","SCALING_FORMAT=MLN","Sort=A","Dates=H","DateFormat=P","Fill=—","Direction=H","UseDPDF=Y")</f>
        <v>0</v>
      </c>
      <c r="L27" s="13">
        <f>_xll.BDH("XOM US Equity","NET_CHG_IN_LT_INVEST_DETAILED","FQ4 2010","FQ4 2010","Currency=USD","Period=FQ","BEST_FPERIOD_OVERRIDE=FQ","FILING_STATUS=OR","SCALING_FORMAT=MLN","Sort=A","Dates=H","DateFormat=P","Fill=—","Direction=H","UseDPDF=Y")</f>
        <v>140</v>
      </c>
      <c r="M27" s="13">
        <f>_xll.BDH("XOM US Equity","NET_CHG_IN_LT_INVEST_DETAILED","FQ1 2011","FQ1 2011","Currency=USD","Period=FQ","BEST_FPERIOD_OVERRIDE=FQ","FILING_STATUS=OR","SCALING_FORMAT=MLN","Sort=A","Dates=H","DateFormat=P","Fill=—","Direction=H","UseDPDF=Y")</f>
        <v>0</v>
      </c>
      <c r="N27" s="13">
        <f>_xll.BDH("XOM US Equity","NET_CHG_IN_LT_INVEST_DETAILED","FQ2 2011","FQ2 2011","Currency=USD","Period=FQ","BEST_FPERIOD_OVERRIDE=FQ","FILING_STATUS=OR","SCALING_FORMAT=MLN","Sort=A","Dates=H","DateFormat=P","Fill=—","Direction=H","UseDPDF=Y")</f>
        <v>-1754</v>
      </c>
      <c r="O27" s="13">
        <f>_xll.BDH("XOM US Equity","NET_CHG_IN_LT_INVEST_DETAILED","FQ3 2011","FQ3 2011","Currency=USD","Period=FQ","BEST_FPERIOD_OVERRIDE=FQ","FILING_STATUS=OR","SCALING_FORMAT=MLN","Sort=A","Dates=H","DateFormat=P","Fill=—","Direction=H","UseDPDF=Y")</f>
        <v>1674</v>
      </c>
      <c r="P27" s="13">
        <f>_xll.BDH("XOM US Equity","NET_CHG_IN_LT_INVEST_DETAILED","FQ4 2011","FQ4 2011","Currency=USD","Period=FQ","BEST_FPERIOD_OVERRIDE=FQ","FILING_STATUS=OR","SCALING_FORMAT=MLN","Sort=A","Dates=H","DateFormat=P","Fill=—","Direction=H","UseDPDF=Y")</f>
        <v>0</v>
      </c>
      <c r="Q27" s="13">
        <f>_xll.BDH("XOM US Equity","NET_CHG_IN_LT_INVEST_DETAILED","FQ1 2012","FQ1 2012","Currency=USD","Period=FQ","BEST_FPERIOD_OVERRIDE=FQ","FILING_STATUS=OR","SCALING_FORMAT=MLN","Sort=A","Dates=H","DateFormat=P","Fill=—","Direction=H","UseDPDF=Y")</f>
        <v>0</v>
      </c>
      <c r="R27" s="13">
        <f>_xll.BDH("XOM US Equity","NET_CHG_IN_LT_INVEST_DETAILED","FQ2 2012","FQ2 2012","Currency=USD","Period=FQ","BEST_FPERIOD_OVERRIDE=FQ","FILING_STATUS=OR","SCALING_FORMAT=MLN","Sort=A","Dates=H","DateFormat=P","Fill=—","Direction=H","UseDPDF=Y")</f>
        <v>0</v>
      </c>
      <c r="S27" s="13">
        <f>_xll.BDH("XOM US Equity","NET_CHG_IN_LT_INVEST_DETAILED","FQ3 2012","FQ3 2012","Currency=USD","Period=FQ","BEST_FPERIOD_OVERRIDE=FQ","FILING_STATUS=OR","SCALING_FORMAT=MLN","Sort=A","Dates=H","DateFormat=P","Fill=—","Direction=H","UseDPDF=Y")</f>
        <v>0</v>
      </c>
      <c r="T27" s="13">
        <f>_xll.BDH("XOM US Equity","NET_CHG_IN_LT_INVEST_DETAILED","FQ4 2012","FQ4 2012","Currency=USD","Period=FQ","BEST_FPERIOD_OVERRIDE=FQ","FILING_STATUS=OR","SCALING_FORMAT=MLN","Sort=A","Dates=H","DateFormat=P","Fill=—","Direction=H","UseDPDF=Y")</f>
        <v>0</v>
      </c>
      <c r="U27" s="13">
        <f>_xll.BDH("XOM US Equity","NET_CHG_IN_LT_INVEST_DETAILED","FQ1 2013","FQ1 2013","Currency=USD","Period=FQ","BEST_FPERIOD_OVERRIDE=FQ","FILING_STATUS=OR","SCALING_FORMAT=MLN","Sort=A","Dates=H","DateFormat=P","Fill=—","Direction=H","UseDPDF=Y")</f>
        <v>0</v>
      </c>
      <c r="V27" s="13">
        <f>_xll.BDH("XOM US Equity","NET_CHG_IN_LT_INVEST_DETAILED","FQ2 2013","FQ2 2013","Currency=USD","Period=FQ","BEST_FPERIOD_OVERRIDE=FQ","FILING_STATUS=OR","SCALING_FORMAT=MLN","Sort=A","Dates=H","DateFormat=P","Fill=—","Direction=H","UseDPDF=Y")</f>
        <v>0</v>
      </c>
      <c r="W27" s="13">
        <f>_xll.BDH("XOM US Equity","NET_CHG_IN_LT_INVEST_DETAILED","FQ3 2013","FQ3 2013","Currency=USD","Period=FQ","BEST_FPERIOD_OVERRIDE=FQ","FILING_STATUS=OR","SCALING_FORMAT=MLN","Sort=A","Dates=H","DateFormat=P","Fill=—","Direction=H","UseDPDF=Y")</f>
        <v>0</v>
      </c>
      <c r="X27" s="13">
        <f>_xll.BDH("XOM US Equity","NET_CHG_IN_LT_INVEST_DETAILED","FQ4 2013","FQ4 2013","Currency=USD","Period=FQ","BEST_FPERIOD_OVERRIDE=FQ","FILING_STATUS=OR","SCALING_FORMAT=MLN","Sort=A","Dates=H","DateFormat=P","Fill=—","Direction=H","UseDPDF=Y")</f>
        <v>0</v>
      </c>
      <c r="Y27" s="13">
        <f>_xll.BDH("XOM US Equity","NET_CHG_IN_LT_INVEST_DETAILED","FQ1 2014","FQ1 2014","Currency=USD","Period=FQ","BEST_FPERIOD_OVERRIDE=FQ","FILING_STATUS=OR","SCALING_FORMAT=MLN","Sort=A","Dates=H","DateFormat=P","Fill=—","Direction=H","UseDPDF=Y")</f>
        <v>0</v>
      </c>
      <c r="Z27" s="13">
        <f>_xll.BDH("XOM US Equity","NET_CHG_IN_LT_INVEST_DETAILED","FQ2 2014","FQ2 2014","Currency=USD","Period=FQ","BEST_FPERIOD_OVERRIDE=FQ","FILING_STATUS=OR","SCALING_FORMAT=MLN","Sort=A","Dates=H","DateFormat=P","Fill=—","Direction=H","UseDPDF=Y")</f>
        <v>0</v>
      </c>
      <c r="AA27" s="13">
        <f>_xll.BDH("XOM US Equity","NET_CHG_IN_LT_INVEST_DETAILED","FQ3 2014","FQ3 2014","Currency=USD","Period=FQ","BEST_FPERIOD_OVERRIDE=FQ","FILING_STATUS=OR","SCALING_FORMAT=MLN","Sort=A","Dates=H","DateFormat=P","Fill=—","Direction=H","UseDPDF=Y")</f>
        <v>0</v>
      </c>
      <c r="AB27" s="13">
        <f>_xll.BDH("XOM US Equity","NET_CHG_IN_LT_INVEST_DETAILED","FQ4 2014","FQ4 2014","Currency=USD","Period=FQ","BEST_FPERIOD_OVERRIDE=FQ","FILING_STATUS=OR","SCALING_FORMAT=MLN","Sort=A","Dates=H","DateFormat=P","Fill=—","Direction=H","UseDPDF=Y")</f>
        <v>0</v>
      </c>
      <c r="AC27" s="13">
        <f>_xll.BDH("XOM US Equity","NET_CHG_IN_LT_INVEST_DETAILED","FQ1 2015","FQ1 2015","Currency=USD","Period=FQ","BEST_FPERIOD_OVERRIDE=FQ","FILING_STATUS=OR","SCALING_FORMAT=MLN","Sort=A","Dates=H","DateFormat=P","Fill=—","Direction=H","UseDPDF=Y")</f>
        <v>0</v>
      </c>
      <c r="AD27" s="13">
        <f>_xll.BDH("XOM US Equity","NET_CHG_IN_LT_INVEST_DETAILED","FQ2 2015","FQ2 2015","Currency=USD","Period=FQ","BEST_FPERIOD_OVERRIDE=FQ","FILING_STATUS=OR","SCALING_FORMAT=MLN","Sort=A","Dates=H","DateFormat=P","Fill=—","Direction=H","UseDPDF=Y")</f>
        <v>0</v>
      </c>
      <c r="AE27" s="13">
        <f>_xll.BDH("XOM US Equity","NET_CHG_IN_LT_INVEST_DETAILED","FQ3 2015","FQ3 2015","Currency=USD","Period=FQ","BEST_FPERIOD_OVERRIDE=FQ","FILING_STATUS=OR","SCALING_FORMAT=MLN","Sort=A","Dates=H","DateFormat=P","Fill=—","Direction=H","UseDPDF=Y")</f>
        <v>0</v>
      </c>
      <c r="AF27" s="13">
        <f>_xll.BDH("XOM US Equity","NET_CHG_IN_LT_INVEST_DETAILED","FQ4 2015","FQ4 2015","Currency=USD","Period=FQ","BEST_FPERIOD_OVERRIDE=FQ","FILING_STATUS=OR","SCALING_FORMAT=MLN","Sort=A","Dates=H","DateFormat=P","Fill=—","Direction=H","UseDPDF=Y")</f>
        <v>0</v>
      </c>
      <c r="AG27" s="13">
        <f>_xll.BDH("XOM US Equity","NET_CHG_IN_LT_INVEST_DETAILED","FQ1 2016","FQ1 2016","Currency=USD","Period=FQ","BEST_FPERIOD_OVERRIDE=FQ","FILING_STATUS=OR","SCALING_FORMAT=MLN","Sort=A","Dates=H","DateFormat=P","Fill=—","Direction=H","UseDPDF=Y")</f>
        <v>0</v>
      </c>
      <c r="AH27" s="13">
        <f>_xll.BDH("XOM US Equity","NET_CHG_IN_LT_INVEST_DETAILED","FQ2 2016","FQ2 2016","Currency=USD","Period=FQ","BEST_FPERIOD_OVERRIDE=FQ","FILING_STATUS=OR","SCALING_FORMAT=MLN","Sort=A","Dates=H","DateFormat=P","Fill=—","Direction=H","UseDPDF=Y")</f>
        <v>0</v>
      </c>
      <c r="AI27" s="13">
        <f>_xll.BDH("XOM US Equity","NET_CHG_IN_LT_INVEST_DETAILED","FQ3 2016","FQ3 2016","Currency=USD","Period=FQ","BEST_FPERIOD_OVERRIDE=FQ","FILING_STATUS=OR","SCALING_FORMAT=MLN","Sort=A","Dates=H","DateFormat=P","Fill=—","Direction=H","UseDPDF=Y")</f>
        <v>0</v>
      </c>
      <c r="AJ27" s="13">
        <f>_xll.BDH("XOM US Equity","NET_CHG_IN_LT_INVEST_DETAILED","FQ4 2016","FQ4 2016","Currency=USD","Period=FQ","BEST_FPERIOD_OVERRIDE=FQ","FILING_STATUS=OR","SCALING_FORMAT=MLN","Sort=A","Dates=H","DateFormat=P","Fill=—","Direction=H","UseDPDF=Y")</f>
        <v>0</v>
      </c>
      <c r="AK27" s="13">
        <f>_xll.BDH("XOM US Equity","NET_CHG_IN_LT_INVEST_DETAILED","FQ1 2017","FQ1 2017","Currency=USD","Period=FQ","BEST_FPERIOD_OVERRIDE=FQ","FILING_STATUS=OR","SCALING_FORMAT=MLN","Sort=A","Dates=H","DateFormat=P","Fill=—","Direction=H","UseDPDF=Y")</f>
        <v>0</v>
      </c>
      <c r="AL27" s="13">
        <f>_xll.BDH("XOM US Equity","NET_CHG_IN_LT_INVEST_DETAILED","FQ2 2017","FQ2 2017","Currency=USD","Period=FQ","BEST_FPERIOD_OVERRIDE=FQ","FILING_STATUS=OR","SCALING_FORMAT=MLN","Sort=A","Dates=H","DateFormat=P","Fill=—","Direction=H","UseDPDF=Y")</f>
        <v>0</v>
      </c>
      <c r="AM27" s="13">
        <f>_xll.BDH("XOM US Equity","NET_CHG_IN_LT_INVEST_DETAILED","FQ3 2017","FQ3 2017","Currency=USD","Period=FQ","BEST_FPERIOD_OVERRIDE=FQ","FILING_STATUS=OR","SCALING_FORMAT=MLN","Sort=A","Dates=H","DateFormat=P","Fill=—","Direction=H","UseDPDF=Y")</f>
        <v>0</v>
      </c>
      <c r="AN27" s="13">
        <f>_xll.BDH("XOM US Equity","NET_CHG_IN_LT_INVEST_DETAILED","FQ4 2017","FQ4 2017","Currency=USD","Period=FQ","BEST_FPERIOD_OVERRIDE=FQ","FILING_STATUS=OR","SCALING_FORMAT=MLN","Sort=A","Dates=H","DateFormat=P","Fill=—","Direction=H","UseDPDF=Y")</f>
        <v>0</v>
      </c>
      <c r="AO27" s="13">
        <f>_xll.BDH("XOM US Equity","NET_CHG_IN_LT_INVEST_DETAILED","FQ1 2018","FQ1 2018","Currency=USD","Period=FQ","BEST_FPERIOD_OVERRIDE=FQ","FILING_STATUS=OR","SCALING_FORMAT=MLN","Sort=A","Dates=H","DateFormat=P","Fill=—","Direction=H","UseDPDF=Y")</f>
        <v>0</v>
      </c>
      <c r="AP27" s="13">
        <f>_xll.BDH("XOM US Equity","NET_CHG_IN_LT_INVEST_DETAILED","FQ2 2018","FQ2 2018","Currency=USD","Period=FQ","BEST_FPERIOD_OVERRIDE=FQ","FILING_STATUS=OR","SCALING_FORMAT=MLN","Sort=A","Dates=H","DateFormat=P","Fill=—","Direction=H","UseDPDF=Y")</f>
        <v>0</v>
      </c>
    </row>
    <row r="28" spans="1:42" x14ac:dyDescent="0.25">
      <c r="A28" s="10" t="s">
        <v>400</v>
      </c>
      <c r="B28" s="10" t="s">
        <v>401</v>
      </c>
      <c r="C28" s="13">
        <f>_xll.BDH("XOM US Equity","CF_DECR_INVEST","FQ3 2008","FQ3 2008","Currency=USD","Period=FQ","BEST_FPERIOD_OVERRIDE=FQ","FILING_STATUS=OR","SCALING_FORMAT=MLN","Sort=A","Dates=H","DateFormat=P","Fill=—","Direction=H","UseDPDF=Y")</f>
        <v>0</v>
      </c>
      <c r="D28" s="13">
        <f>_xll.BDH("XOM US Equity","CF_DECR_INVEST","FQ4 2008","FQ4 2008","Currency=USD","Period=FQ","BEST_FPERIOD_OVERRIDE=FQ","FILING_STATUS=OR","SCALING_FORMAT=MLN","Sort=A","Dates=H","DateFormat=P","Fill=—","Direction=H","UseDPDF=Y")</f>
        <v>1868</v>
      </c>
      <c r="E28" s="13">
        <f>_xll.BDH("XOM US Equity","CF_DECR_INVEST","FQ1 2009","FQ1 2009","Currency=USD","Period=FQ","BEST_FPERIOD_OVERRIDE=FQ","FILING_STATUS=OR","SCALING_FORMAT=MLN","Sort=A","Dates=H","DateFormat=P","Fill=—","Direction=H","UseDPDF=Y")</f>
        <v>0</v>
      </c>
      <c r="F28" s="13">
        <f>_xll.BDH("XOM US Equity","CF_DECR_INVEST","FQ2 2009","FQ2 2009","Currency=USD","Period=FQ","BEST_FPERIOD_OVERRIDE=FQ","FILING_STATUS=OR","SCALING_FORMAT=MLN","Sort=A","Dates=H","DateFormat=P","Fill=—","Direction=H","UseDPDF=Y")</f>
        <v>0</v>
      </c>
      <c r="G28" s="13">
        <f>_xll.BDH("XOM US Equity","CF_DECR_INVEST","FQ3 2009","FQ3 2009","Currency=USD","Period=FQ","BEST_FPERIOD_OVERRIDE=FQ","FILING_STATUS=OR","SCALING_FORMAT=MLN","Sort=A","Dates=H","DateFormat=P","Fill=—","Direction=H","UseDPDF=Y")</f>
        <v>0</v>
      </c>
      <c r="H28" s="13">
        <f>_xll.BDH("XOM US Equity","CF_DECR_INVEST","FQ4 2009","FQ4 2009","Currency=USD","Period=FQ","BEST_FPERIOD_OVERRIDE=FQ","FILING_STATUS=OR","SCALING_FORMAT=MLN","Sort=A","Dates=H","DateFormat=P","Fill=—","Direction=H","UseDPDF=Y")</f>
        <v>571</v>
      </c>
      <c r="I28" s="13">
        <f>_xll.BDH("XOM US Equity","CF_DECR_INVEST","FQ1 2010","FQ1 2010","Currency=USD","Period=FQ","BEST_FPERIOD_OVERRIDE=FQ","FILING_STATUS=OR","SCALING_FORMAT=MLN","Sort=A","Dates=H","DateFormat=P","Fill=—","Direction=H","UseDPDF=Y")</f>
        <v>0</v>
      </c>
      <c r="J28" s="13">
        <f>_xll.BDH("XOM US Equity","CF_DECR_INVEST","FQ2 2010","FQ2 2010","Currency=USD","Period=FQ","BEST_FPERIOD_OVERRIDE=FQ","FILING_STATUS=OR","SCALING_FORMAT=MLN","Sort=A","Dates=H","DateFormat=P","Fill=—","Direction=H","UseDPDF=Y")</f>
        <v>0</v>
      </c>
      <c r="K28" s="13">
        <f>_xll.BDH("XOM US Equity","CF_DECR_INVEST","FQ3 2010","FQ3 2010","Currency=USD","Period=FQ","BEST_FPERIOD_OVERRIDE=FQ","FILING_STATUS=OR","SCALING_FORMAT=MLN","Sort=A","Dates=H","DateFormat=P","Fill=—","Direction=H","UseDPDF=Y")</f>
        <v>0</v>
      </c>
      <c r="L28" s="13">
        <f>_xll.BDH("XOM US Equity","CF_DECR_INVEST","FQ4 2010","FQ4 2010","Currency=USD","Period=FQ","BEST_FPERIOD_OVERRIDE=FQ","FILING_STATUS=OR","SCALING_FORMAT=MLN","Sort=A","Dates=H","DateFormat=P","Fill=—","Direction=H","UseDPDF=Y")</f>
        <v>155</v>
      </c>
      <c r="M28" s="13">
        <f>_xll.BDH("XOM US Equity","CF_DECR_INVEST","FQ1 2011","FQ1 2011","Currency=USD","Period=FQ","BEST_FPERIOD_OVERRIDE=FQ","FILING_STATUS=OR","SCALING_FORMAT=MLN","Sort=A","Dates=H","DateFormat=P","Fill=—","Direction=H","UseDPDF=Y")</f>
        <v>0</v>
      </c>
      <c r="N28" s="13" t="str">
        <f>_xll.BDH("XOM US Equity","CF_DECR_INVEST","FQ2 2011","FQ2 2011","Currency=USD","Period=FQ","BEST_FPERIOD_OVERRIDE=FQ","FILING_STATUS=OR","SCALING_FORMAT=MLN","Sort=A","Dates=H","DateFormat=P","Fill=—","Direction=H","UseDPDF=Y")</f>
        <v>—</v>
      </c>
      <c r="O28" s="13">
        <f>_xll.BDH("XOM US Equity","CF_DECR_INVEST","FQ3 2011","FQ3 2011","Currency=USD","Period=FQ","BEST_FPERIOD_OVERRIDE=FQ","FILING_STATUS=OR","SCALING_FORMAT=MLN","Sort=A","Dates=H","DateFormat=P","Fill=—","Direction=H","UseDPDF=Y")</f>
        <v>1674</v>
      </c>
      <c r="P28" s="13">
        <f>_xll.BDH("XOM US Equity","CF_DECR_INVEST","FQ4 2011","FQ4 2011","Currency=USD","Period=FQ","BEST_FPERIOD_OVERRIDE=FQ","FILING_STATUS=OR","SCALING_FORMAT=MLN","Sort=A","Dates=H","DateFormat=P","Fill=—","Direction=H","UseDPDF=Y")</f>
        <v>0</v>
      </c>
      <c r="Q28" s="13">
        <f>_xll.BDH("XOM US Equity","CF_DECR_INVEST","FQ1 2012","FQ1 2012","Currency=USD","Period=FQ","BEST_FPERIOD_OVERRIDE=FQ","FILING_STATUS=OR","SCALING_FORMAT=MLN","Sort=A","Dates=H","DateFormat=P","Fill=—","Direction=H","UseDPDF=Y")</f>
        <v>0</v>
      </c>
      <c r="R28" s="13">
        <f>_xll.BDH("XOM US Equity","CF_DECR_INVEST","FQ2 2012","FQ2 2012","Currency=USD","Period=FQ","BEST_FPERIOD_OVERRIDE=FQ","FILING_STATUS=OR","SCALING_FORMAT=MLN","Sort=A","Dates=H","DateFormat=P","Fill=—","Direction=H","UseDPDF=Y")</f>
        <v>0</v>
      </c>
      <c r="S28" s="13">
        <f>_xll.BDH("XOM US Equity","CF_DECR_INVEST","FQ3 2012","FQ3 2012","Currency=USD","Period=FQ","BEST_FPERIOD_OVERRIDE=FQ","FILING_STATUS=OR","SCALING_FORMAT=MLN","Sort=A","Dates=H","DateFormat=P","Fill=—","Direction=H","UseDPDF=Y")</f>
        <v>0</v>
      </c>
      <c r="T28" s="13">
        <f>_xll.BDH("XOM US Equity","CF_DECR_INVEST","FQ4 2012","FQ4 2012","Currency=USD","Period=FQ","BEST_FPERIOD_OVERRIDE=FQ","FILING_STATUS=OR","SCALING_FORMAT=MLN","Sort=A","Dates=H","DateFormat=P","Fill=—","Direction=H","UseDPDF=Y")</f>
        <v>0</v>
      </c>
      <c r="U28" s="13">
        <f>_xll.BDH("XOM US Equity","CF_DECR_INVEST","FQ1 2013","FQ1 2013","Currency=USD","Period=FQ","BEST_FPERIOD_OVERRIDE=FQ","FILING_STATUS=OR","SCALING_FORMAT=MLN","Sort=A","Dates=H","DateFormat=P","Fill=—","Direction=H","UseDPDF=Y")</f>
        <v>0</v>
      </c>
      <c r="V28" s="13">
        <f>_xll.BDH("XOM US Equity","CF_DECR_INVEST","FQ2 2013","FQ2 2013","Currency=USD","Period=FQ","BEST_FPERIOD_OVERRIDE=FQ","FILING_STATUS=OR","SCALING_FORMAT=MLN","Sort=A","Dates=H","DateFormat=P","Fill=—","Direction=H","UseDPDF=Y")</f>
        <v>0</v>
      </c>
      <c r="W28" s="13">
        <f>_xll.BDH("XOM US Equity","CF_DECR_INVEST","FQ3 2013","FQ3 2013","Currency=USD","Period=FQ","BEST_FPERIOD_OVERRIDE=FQ","FILING_STATUS=OR","SCALING_FORMAT=MLN","Sort=A","Dates=H","DateFormat=P","Fill=—","Direction=H","UseDPDF=Y")</f>
        <v>0</v>
      </c>
      <c r="X28" s="13">
        <f>_xll.BDH("XOM US Equity","CF_DECR_INVEST","FQ4 2013","FQ4 2013","Currency=USD","Period=FQ","BEST_FPERIOD_OVERRIDE=FQ","FILING_STATUS=OR","SCALING_FORMAT=MLN","Sort=A","Dates=H","DateFormat=P","Fill=—","Direction=H","UseDPDF=Y")</f>
        <v>0</v>
      </c>
      <c r="Y28" s="13">
        <f>_xll.BDH("XOM US Equity","CF_DECR_INVEST","FQ1 2014","FQ1 2014","Currency=USD","Period=FQ","BEST_FPERIOD_OVERRIDE=FQ","FILING_STATUS=OR","SCALING_FORMAT=MLN","Sort=A","Dates=H","DateFormat=P","Fill=—","Direction=H","UseDPDF=Y")</f>
        <v>0</v>
      </c>
      <c r="Z28" s="13">
        <f>_xll.BDH("XOM US Equity","CF_DECR_INVEST","FQ2 2014","FQ2 2014","Currency=USD","Period=FQ","BEST_FPERIOD_OVERRIDE=FQ","FILING_STATUS=OR","SCALING_FORMAT=MLN","Sort=A","Dates=H","DateFormat=P","Fill=—","Direction=H","UseDPDF=Y")</f>
        <v>0</v>
      </c>
      <c r="AA28" s="13">
        <f>_xll.BDH("XOM US Equity","CF_DECR_INVEST","FQ3 2014","FQ3 2014","Currency=USD","Period=FQ","BEST_FPERIOD_OVERRIDE=FQ","FILING_STATUS=OR","SCALING_FORMAT=MLN","Sort=A","Dates=H","DateFormat=P","Fill=—","Direction=H","UseDPDF=Y")</f>
        <v>0</v>
      </c>
      <c r="AB28" s="13">
        <f>_xll.BDH("XOM US Equity","CF_DECR_INVEST","FQ4 2014","FQ4 2014","Currency=USD","Period=FQ","BEST_FPERIOD_OVERRIDE=FQ","FILING_STATUS=OR","SCALING_FORMAT=MLN","Sort=A","Dates=H","DateFormat=P","Fill=—","Direction=H","UseDPDF=Y")</f>
        <v>0</v>
      </c>
      <c r="AC28" s="13">
        <f>_xll.BDH("XOM US Equity","CF_DECR_INVEST","FQ1 2015","FQ1 2015","Currency=USD","Period=FQ","BEST_FPERIOD_OVERRIDE=FQ","FILING_STATUS=OR","SCALING_FORMAT=MLN","Sort=A","Dates=H","DateFormat=P","Fill=—","Direction=H","UseDPDF=Y")</f>
        <v>0</v>
      </c>
      <c r="AD28" s="13">
        <f>_xll.BDH("XOM US Equity","CF_DECR_INVEST","FQ2 2015","FQ2 2015","Currency=USD","Period=FQ","BEST_FPERIOD_OVERRIDE=FQ","FILING_STATUS=OR","SCALING_FORMAT=MLN","Sort=A","Dates=H","DateFormat=P","Fill=—","Direction=H","UseDPDF=Y")</f>
        <v>0</v>
      </c>
      <c r="AE28" s="13">
        <f>_xll.BDH("XOM US Equity","CF_DECR_INVEST","FQ3 2015","FQ3 2015","Currency=USD","Period=FQ","BEST_FPERIOD_OVERRIDE=FQ","FILING_STATUS=OR","SCALING_FORMAT=MLN","Sort=A","Dates=H","DateFormat=P","Fill=—","Direction=H","UseDPDF=Y")</f>
        <v>0</v>
      </c>
      <c r="AF28" s="13">
        <f>_xll.BDH("XOM US Equity","CF_DECR_INVEST","FQ4 2015","FQ4 2015","Currency=USD","Period=FQ","BEST_FPERIOD_OVERRIDE=FQ","FILING_STATUS=OR","SCALING_FORMAT=MLN","Sort=A","Dates=H","DateFormat=P","Fill=—","Direction=H","UseDPDF=Y")</f>
        <v>0</v>
      </c>
      <c r="AG28" s="13">
        <f>_xll.BDH("XOM US Equity","CF_DECR_INVEST","FQ1 2016","FQ1 2016","Currency=USD","Period=FQ","BEST_FPERIOD_OVERRIDE=FQ","FILING_STATUS=OR","SCALING_FORMAT=MLN","Sort=A","Dates=H","DateFormat=P","Fill=—","Direction=H","UseDPDF=Y")</f>
        <v>0</v>
      </c>
      <c r="AH28" s="13">
        <f>_xll.BDH("XOM US Equity","CF_DECR_INVEST","FQ2 2016","FQ2 2016","Currency=USD","Period=FQ","BEST_FPERIOD_OVERRIDE=FQ","FILING_STATUS=OR","SCALING_FORMAT=MLN","Sort=A","Dates=H","DateFormat=P","Fill=—","Direction=H","UseDPDF=Y")</f>
        <v>0</v>
      </c>
      <c r="AI28" s="13">
        <f>_xll.BDH("XOM US Equity","CF_DECR_INVEST","FQ3 2016","FQ3 2016","Currency=USD","Period=FQ","BEST_FPERIOD_OVERRIDE=FQ","FILING_STATUS=OR","SCALING_FORMAT=MLN","Sort=A","Dates=H","DateFormat=P","Fill=—","Direction=H","UseDPDF=Y")</f>
        <v>0</v>
      </c>
      <c r="AJ28" s="13">
        <f>_xll.BDH("XOM US Equity","CF_DECR_INVEST","FQ4 2016","FQ4 2016","Currency=USD","Period=FQ","BEST_FPERIOD_OVERRIDE=FQ","FILING_STATUS=OR","SCALING_FORMAT=MLN","Sort=A","Dates=H","DateFormat=P","Fill=—","Direction=H","UseDPDF=Y")</f>
        <v>0</v>
      </c>
      <c r="AK28" s="13">
        <f>_xll.BDH("XOM US Equity","CF_DECR_INVEST","FQ1 2017","FQ1 2017","Currency=USD","Period=FQ","BEST_FPERIOD_OVERRIDE=FQ","FILING_STATUS=OR","SCALING_FORMAT=MLN","Sort=A","Dates=H","DateFormat=P","Fill=—","Direction=H","UseDPDF=Y")</f>
        <v>0</v>
      </c>
      <c r="AL28" s="13">
        <f>_xll.BDH("XOM US Equity","CF_DECR_INVEST","FQ2 2017","FQ2 2017","Currency=USD","Period=FQ","BEST_FPERIOD_OVERRIDE=FQ","FILING_STATUS=OR","SCALING_FORMAT=MLN","Sort=A","Dates=H","DateFormat=P","Fill=—","Direction=H","UseDPDF=Y")</f>
        <v>0</v>
      </c>
      <c r="AM28" s="13">
        <f>_xll.BDH("XOM US Equity","CF_DECR_INVEST","FQ3 2017","FQ3 2017","Currency=USD","Period=FQ","BEST_FPERIOD_OVERRIDE=FQ","FILING_STATUS=OR","SCALING_FORMAT=MLN","Sort=A","Dates=H","DateFormat=P","Fill=—","Direction=H","UseDPDF=Y")</f>
        <v>0</v>
      </c>
      <c r="AN28" s="13">
        <f>_xll.BDH("XOM US Equity","CF_DECR_INVEST","FQ4 2017","FQ4 2017","Currency=USD","Period=FQ","BEST_FPERIOD_OVERRIDE=FQ","FILING_STATUS=OR","SCALING_FORMAT=MLN","Sort=A","Dates=H","DateFormat=P","Fill=—","Direction=H","UseDPDF=Y")</f>
        <v>0</v>
      </c>
      <c r="AO28" s="13">
        <f>_xll.BDH("XOM US Equity","CF_DECR_INVEST","FQ1 2018","FQ1 2018","Currency=USD","Period=FQ","BEST_FPERIOD_OVERRIDE=FQ","FILING_STATUS=OR","SCALING_FORMAT=MLN","Sort=A","Dates=H","DateFormat=P","Fill=—","Direction=H","UseDPDF=Y")</f>
        <v>0</v>
      </c>
      <c r="AP28" s="13">
        <f>_xll.BDH("XOM US Equity","CF_DECR_INVEST","FQ2 2018","FQ2 2018","Currency=USD","Period=FQ","BEST_FPERIOD_OVERRIDE=FQ","FILING_STATUS=OR","SCALING_FORMAT=MLN","Sort=A","Dates=H","DateFormat=P","Fill=—","Direction=H","UseDPDF=Y")</f>
        <v>0</v>
      </c>
    </row>
    <row r="29" spans="1:42" x14ac:dyDescent="0.25">
      <c r="A29" s="10" t="s">
        <v>402</v>
      </c>
      <c r="B29" s="10" t="s">
        <v>403</v>
      </c>
      <c r="C29" s="13">
        <f>_xll.BDH("XOM US Equity","CF_INCR_INVEST","FQ3 2008","FQ3 2008","Currency=USD","Period=FQ","BEST_FPERIOD_OVERRIDE=FQ","FILING_STATUS=OR","SCALING_FORMAT=MLN","Sort=A","Dates=H","DateFormat=P","Fill=—","Direction=H","UseDPDF=Y")</f>
        <v>0</v>
      </c>
      <c r="D29" s="13">
        <f>_xll.BDH("XOM US Equity","CF_INCR_INVEST","FQ4 2008","FQ4 2008","Currency=USD","Period=FQ","BEST_FPERIOD_OVERRIDE=FQ","FILING_STATUS=OR","SCALING_FORMAT=MLN","Sort=A","Dates=H","DateFormat=P","Fill=—","Direction=H","UseDPDF=Y")</f>
        <v>-2113</v>
      </c>
      <c r="E29" s="13">
        <f>_xll.BDH("XOM US Equity","CF_INCR_INVEST","FQ1 2009","FQ1 2009","Currency=USD","Period=FQ","BEST_FPERIOD_OVERRIDE=FQ","FILING_STATUS=OR","SCALING_FORMAT=MLN","Sort=A","Dates=H","DateFormat=P","Fill=—","Direction=H","UseDPDF=Y")</f>
        <v>0</v>
      </c>
      <c r="F29" s="13">
        <f>_xll.BDH("XOM US Equity","CF_INCR_INVEST","FQ2 2009","FQ2 2009","Currency=USD","Period=FQ","BEST_FPERIOD_OVERRIDE=FQ","FILING_STATUS=OR","SCALING_FORMAT=MLN","Sort=A","Dates=H","DateFormat=P","Fill=—","Direction=H","UseDPDF=Y")</f>
        <v>0</v>
      </c>
      <c r="G29" s="13">
        <f>_xll.BDH("XOM US Equity","CF_INCR_INVEST","FQ3 2009","FQ3 2009","Currency=USD","Period=FQ","BEST_FPERIOD_OVERRIDE=FQ","FILING_STATUS=OR","SCALING_FORMAT=MLN","Sort=A","Dates=H","DateFormat=P","Fill=—","Direction=H","UseDPDF=Y")</f>
        <v>0</v>
      </c>
      <c r="H29" s="13">
        <f>_xll.BDH("XOM US Equity","CF_INCR_INVEST","FQ4 2009","FQ4 2009","Currency=USD","Period=FQ","BEST_FPERIOD_OVERRIDE=FQ","FILING_STATUS=OR","SCALING_FORMAT=MLN","Sort=A","Dates=H","DateFormat=P","Fill=—","Direction=H","UseDPDF=Y")</f>
        <v>-16</v>
      </c>
      <c r="I29" s="13">
        <f>_xll.BDH("XOM US Equity","CF_INCR_INVEST","FQ1 2010","FQ1 2010","Currency=USD","Period=FQ","BEST_FPERIOD_OVERRIDE=FQ","FILING_STATUS=OR","SCALING_FORMAT=MLN","Sort=A","Dates=H","DateFormat=P","Fill=—","Direction=H","UseDPDF=Y")</f>
        <v>0</v>
      </c>
      <c r="J29" s="13">
        <f>_xll.BDH("XOM US Equity","CF_INCR_INVEST","FQ2 2010","FQ2 2010","Currency=USD","Period=FQ","BEST_FPERIOD_OVERRIDE=FQ","FILING_STATUS=OR","SCALING_FORMAT=MLN","Sort=A","Dates=H","DateFormat=P","Fill=—","Direction=H","UseDPDF=Y")</f>
        <v>0</v>
      </c>
      <c r="K29" s="13">
        <f>_xll.BDH("XOM US Equity","CF_INCR_INVEST","FQ3 2010","FQ3 2010","Currency=USD","Period=FQ","BEST_FPERIOD_OVERRIDE=FQ","FILING_STATUS=OR","SCALING_FORMAT=MLN","Sort=A","Dates=H","DateFormat=P","Fill=—","Direction=H","UseDPDF=Y")</f>
        <v>0</v>
      </c>
      <c r="L29" s="13">
        <f>_xll.BDH("XOM US Equity","CF_INCR_INVEST","FQ4 2010","FQ4 2010","Currency=USD","Period=FQ","BEST_FPERIOD_OVERRIDE=FQ","FILING_STATUS=OR","SCALING_FORMAT=MLN","Sort=A","Dates=H","DateFormat=P","Fill=—","Direction=H","UseDPDF=Y")</f>
        <v>-15</v>
      </c>
      <c r="M29" s="13">
        <f>_xll.BDH("XOM US Equity","CF_INCR_INVEST","FQ1 2011","FQ1 2011","Currency=USD","Period=FQ","BEST_FPERIOD_OVERRIDE=FQ","FILING_STATUS=OR","SCALING_FORMAT=MLN","Sort=A","Dates=H","DateFormat=P","Fill=—","Direction=H","UseDPDF=Y")</f>
        <v>0</v>
      </c>
      <c r="N29" s="13">
        <f>_xll.BDH("XOM US Equity","CF_INCR_INVEST","FQ2 2011","FQ2 2011","Currency=USD","Period=FQ","BEST_FPERIOD_OVERRIDE=FQ","FILING_STATUS=OR","SCALING_FORMAT=MLN","Sort=A","Dates=H","DateFormat=P","Fill=—","Direction=H","UseDPDF=Y")</f>
        <v>-1754</v>
      </c>
      <c r="O29" s="13">
        <f>_xll.BDH("XOM US Equity","CF_INCR_INVEST","FQ3 2011","FQ3 2011","Currency=USD","Period=FQ","BEST_FPERIOD_OVERRIDE=FQ","FILING_STATUS=OR","SCALING_FORMAT=MLN","Sort=A","Dates=H","DateFormat=P","Fill=—","Direction=H","UseDPDF=Y")</f>
        <v>0</v>
      </c>
      <c r="P29" s="13">
        <f>_xll.BDH("XOM US Equity","CF_INCR_INVEST","FQ4 2011","FQ4 2011","Currency=USD","Period=FQ","BEST_FPERIOD_OVERRIDE=FQ","FILING_STATUS=OR","SCALING_FORMAT=MLN","Sort=A","Dates=H","DateFormat=P","Fill=—","Direction=H","UseDPDF=Y")</f>
        <v>0</v>
      </c>
      <c r="Q29" s="13">
        <f>_xll.BDH("XOM US Equity","CF_INCR_INVEST","FQ1 2012","FQ1 2012","Currency=USD","Period=FQ","BEST_FPERIOD_OVERRIDE=FQ","FILING_STATUS=OR","SCALING_FORMAT=MLN","Sort=A","Dates=H","DateFormat=P","Fill=—","Direction=H","UseDPDF=Y")</f>
        <v>0</v>
      </c>
      <c r="R29" s="13" t="str">
        <f>_xll.BDH("XOM US Equity","CF_INCR_INVEST","FQ2 2012","FQ2 2012","Currency=USD","Period=FQ","BEST_FPERIOD_OVERRIDE=FQ","FILING_STATUS=OR","SCALING_FORMAT=MLN","Sort=A","Dates=H","DateFormat=P","Fill=—","Direction=H","UseDPDF=Y")</f>
        <v>—</v>
      </c>
      <c r="S29" s="13">
        <f>_xll.BDH("XOM US Equity","CF_INCR_INVEST","FQ3 2012","FQ3 2012","Currency=USD","Period=FQ","BEST_FPERIOD_OVERRIDE=FQ","FILING_STATUS=OR","SCALING_FORMAT=MLN","Sort=A","Dates=H","DateFormat=P","Fill=—","Direction=H","UseDPDF=Y")</f>
        <v>0</v>
      </c>
      <c r="T29" s="13">
        <f>_xll.BDH("XOM US Equity","CF_INCR_INVEST","FQ4 2012","FQ4 2012","Currency=USD","Period=FQ","BEST_FPERIOD_OVERRIDE=FQ","FILING_STATUS=OR","SCALING_FORMAT=MLN","Sort=A","Dates=H","DateFormat=P","Fill=—","Direction=H","UseDPDF=Y")</f>
        <v>0</v>
      </c>
      <c r="U29" s="13">
        <f>_xll.BDH("XOM US Equity","CF_INCR_INVEST","FQ1 2013","FQ1 2013","Currency=USD","Period=FQ","BEST_FPERIOD_OVERRIDE=FQ","FILING_STATUS=OR","SCALING_FORMAT=MLN","Sort=A","Dates=H","DateFormat=P","Fill=—","Direction=H","UseDPDF=Y")</f>
        <v>0</v>
      </c>
      <c r="V29" s="13">
        <f>_xll.BDH("XOM US Equity","CF_INCR_INVEST","FQ2 2013","FQ2 2013","Currency=USD","Period=FQ","BEST_FPERIOD_OVERRIDE=FQ","FILING_STATUS=OR","SCALING_FORMAT=MLN","Sort=A","Dates=H","DateFormat=P","Fill=—","Direction=H","UseDPDF=Y")</f>
        <v>0</v>
      </c>
      <c r="W29" s="13">
        <f>_xll.BDH("XOM US Equity","CF_INCR_INVEST","FQ3 2013","FQ3 2013","Currency=USD","Period=FQ","BEST_FPERIOD_OVERRIDE=FQ","FILING_STATUS=OR","SCALING_FORMAT=MLN","Sort=A","Dates=H","DateFormat=P","Fill=—","Direction=H","UseDPDF=Y")</f>
        <v>0</v>
      </c>
      <c r="X29" s="13">
        <f>_xll.BDH("XOM US Equity","CF_INCR_INVEST","FQ4 2013","FQ4 2013","Currency=USD","Period=FQ","BEST_FPERIOD_OVERRIDE=FQ","FILING_STATUS=OR","SCALING_FORMAT=MLN","Sort=A","Dates=H","DateFormat=P","Fill=—","Direction=H","UseDPDF=Y")</f>
        <v>0</v>
      </c>
      <c r="Y29" s="13">
        <f>_xll.BDH("XOM US Equity","CF_INCR_INVEST","FQ1 2014","FQ1 2014","Currency=USD","Period=FQ","BEST_FPERIOD_OVERRIDE=FQ","FILING_STATUS=OR","SCALING_FORMAT=MLN","Sort=A","Dates=H","DateFormat=P","Fill=—","Direction=H","UseDPDF=Y")</f>
        <v>0</v>
      </c>
      <c r="Z29" s="13">
        <f>_xll.BDH("XOM US Equity","CF_INCR_INVEST","FQ2 2014","FQ2 2014","Currency=USD","Period=FQ","BEST_FPERIOD_OVERRIDE=FQ","FILING_STATUS=OR","SCALING_FORMAT=MLN","Sort=A","Dates=H","DateFormat=P","Fill=—","Direction=H","UseDPDF=Y")</f>
        <v>0</v>
      </c>
      <c r="AA29" s="13">
        <f>_xll.BDH("XOM US Equity","CF_INCR_INVEST","FQ3 2014","FQ3 2014","Currency=USD","Period=FQ","BEST_FPERIOD_OVERRIDE=FQ","FILING_STATUS=OR","SCALING_FORMAT=MLN","Sort=A","Dates=H","DateFormat=P","Fill=—","Direction=H","UseDPDF=Y")</f>
        <v>0</v>
      </c>
      <c r="AB29" s="13">
        <f>_xll.BDH("XOM US Equity","CF_INCR_INVEST","FQ4 2014","FQ4 2014","Currency=USD","Period=FQ","BEST_FPERIOD_OVERRIDE=FQ","FILING_STATUS=OR","SCALING_FORMAT=MLN","Sort=A","Dates=H","DateFormat=P","Fill=—","Direction=H","UseDPDF=Y")</f>
        <v>0</v>
      </c>
      <c r="AC29" s="13">
        <f>_xll.BDH("XOM US Equity","CF_INCR_INVEST","FQ1 2015","FQ1 2015","Currency=USD","Period=FQ","BEST_FPERIOD_OVERRIDE=FQ","FILING_STATUS=OR","SCALING_FORMAT=MLN","Sort=A","Dates=H","DateFormat=P","Fill=—","Direction=H","UseDPDF=Y")</f>
        <v>0</v>
      </c>
      <c r="AD29" s="13">
        <f>_xll.BDH("XOM US Equity","CF_INCR_INVEST","FQ2 2015","FQ2 2015","Currency=USD","Period=FQ","BEST_FPERIOD_OVERRIDE=FQ","FILING_STATUS=OR","SCALING_FORMAT=MLN","Sort=A","Dates=H","DateFormat=P","Fill=—","Direction=H","UseDPDF=Y")</f>
        <v>0</v>
      </c>
      <c r="AE29" s="13">
        <f>_xll.BDH("XOM US Equity","CF_INCR_INVEST","FQ3 2015","FQ3 2015","Currency=USD","Period=FQ","BEST_FPERIOD_OVERRIDE=FQ","FILING_STATUS=OR","SCALING_FORMAT=MLN","Sort=A","Dates=H","DateFormat=P","Fill=—","Direction=H","UseDPDF=Y")</f>
        <v>0</v>
      </c>
      <c r="AF29" s="13">
        <f>_xll.BDH("XOM US Equity","CF_INCR_INVEST","FQ4 2015","FQ4 2015","Currency=USD","Period=FQ","BEST_FPERIOD_OVERRIDE=FQ","FILING_STATUS=OR","SCALING_FORMAT=MLN","Sort=A","Dates=H","DateFormat=P","Fill=—","Direction=H","UseDPDF=Y")</f>
        <v>0</v>
      </c>
      <c r="AG29" s="13">
        <f>_xll.BDH("XOM US Equity","CF_INCR_INVEST","FQ1 2016","FQ1 2016","Currency=USD","Period=FQ","BEST_FPERIOD_OVERRIDE=FQ","FILING_STATUS=OR","SCALING_FORMAT=MLN","Sort=A","Dates=H","DateFormat=P","Fill=—","Direction=H","UseDPDF=Y")</f>
        <v>0</v>
      </c>
      <c r="AH29" s="13">
        <f>_xll.BDH("XOM US Equity","CF_INCR_INVEST","FQ2 2016","FQ2 2016","Currency=USD","Period=FQ","BEST_FPERIOD_OVERRIDE=FQ","FILING_STATUS=OR","SCALING_FORMAT=MLN","Sort=A","Dates=H","DateFormat=P","Fill=—","Direction=H","UseDPDF=Y")</f>
        <v>0</v>
      </c>
      <c r="AI29" s="13">
        <f>_xll.BDH("XOM US Equity","CF_INCR_INVEST","FQ3 2016","FQ3 2016","Currency=USD","Period=FQ","BEST_FPERIOD_OVERRIDE=FQ","FILING_STATUS=OR","SCALING_FORMAT=MLN","Sort=A","Dates=H","DateFormat=P","Fill=—","Direction=H","UseDPDF=Y")</f>
        <v>0</v>
      </c>
      <c r="AJ29" s="13">
        <f>_xll.BDH("XOM US Equity","CF_INCR_INVEST","FQ4 2016","FQ4 2016","Currency=USD","Period=FQ","BEST_FPERIOD_OVERRIDE=FQ","FILING_STATUS=OR","SCALING_FORMAT=MLN","Sort=A","Dates=H","DateFormat=P","Fill=—","Direction=H","UseDPDF=Y")</f>
        <v>0</v>
      </c>
      <c r="AK29" s="13">
        <f>_xll.BDH("XOM US Equity","CF_INCR_INVEST","FQ1 2017","FQ1 2017","Currency=USD","Period=FQ","BEST_FPERIOD_OVERRIDE=FQ","FILING_STATUS=OR","SCALING_FORMAT=MLN","Sort=A","Dates=H","DateFormat=P","Fill=—","Direction=H","UseDPDF=Y")</f>
        <v>0</v>
      </c>
      <c r="AL29" s="13">
        <f>_xll.BDH("XOM US Equity","CF_INCR_INVEST","FQ2 2017","FQ2 2017","Currency=USD","Period=FQ","BEST_FPERIOD_OVERRIDE=FQ","FILING_STATUS=OR","SCALING_FORMAT=MLN","Sort=A","Dates=H","DateFormat=P","Fill=—","Direction=H","UseDPDF=Y")</f>
        <v>0</v>
      </c>
      <c r="AM29" s="13">
        <f>_xll.BDH("XOM US Equity","CF_INCR_INVEST","FQ3 2017","FQ3 2017","Currency=USD","Period=FQ","BEST_FPERIOD_OVERRIDE=FQ","FILING_STATUS=OR","SCALING_FORMAT=MLN","Sort=A","Dates=H","DateFormat=P","Fill=—","Direction=H","UseDPDF=Y")</f>
        <v>0</v>
      </c>
      <c r="AN29" s="13">
        <f>_xll.BDH("XOM US Equity","CF_INCR_INVEST","FQ4 2017","FQ4 2017","Currency=USD","Period=FQ","BEST_FPERIOD_OVERRIDE=FQ","FILING_STATUS=OR","SCALING_FORMAT=MLN","Sort=A","Dates=H","DateFormat=P","Fill=—","Direction=H","UseDPDF=Y")</f>
        <v>0</v>
      </c>
      <c r="AO29" s="13">
        <f>_xll.BDH("XOM US Equity","CF_INCR_INVEST","FQ1 2018","FQ1 2018","Currency=USD","Period=FQ","BEST_FPERIOD_OVERRIDE=FQ","FILING_STATUS=OR","SCALING_FORMAT=MLN","Sort=A","Dates=H","DateFormat=P","Fill=—","Direction=H","UseDPDF=Y")</f>
        <v>0</v>
      </c>
      <c r="AP29" s="13">
        <f>_xll.BDH("XOM US Equity","CF_INCR_INVEST","FQ2 2018","FQ2 2018","Currency=USD","Period=FQ","BEST_FPERIOD_OVERRIDE=FQ","FILING_STATUS=OR","SCALING_FORMAT=MLN","Sort=A","Dates=H","DateFormat=P","Fill=—","Direction=H","UseDPDF=Y")</f>
        <v>0</v>
      </c>
    </row>
    <row r="30" spans="1:42" x14ac:dyDescent="0.25">
      <c r="A30" s="10" t="s">
        <v>404</v>
      </c>
      <c r="B30" s="10" t="s">
        <v>405</v>
      </c>
      <c r="C30" s="13" t="str">
        <f>_xll.BDH("XOM US Equity","CF_NT_CSH_RCVD_PD_FOR_ACQUIS_DIV","FQ3 2008","FQ3 2008","Currency=USD","Period=FQ","BEST_FPERIOD_OVERRIDE=FQ","FILING_STATUS=OR","SCALING_FORMAT=MLN","Sort=A","Dates=H","DateFormat=P","Fill=—","Direction=H","UseDPDF=Y")</f>
        <v>—</v>
      </c>
      <c r="D30" s="13" t="str">
        <f>_xll.BDH("XOM US Equity","CF_NT_CSH_RCVD_PD_FOR_ACQUIS_DIV","FQ4 2008","FQ4 2008","Currency=USD","Period=FQ","BEST_FPERIOD_OVERRIDE=FQ","FILING_STATUS=OR","SCALING_FORMAT=MLN","Sort=A","Dates=H","DateFormat=P","Fill=—","Direction=H","UseDPDF=Y")</f>
        <v>—</v>
      </c>
      <c r="E30" s="13">
        <f>_xll.BDH("XOM US Equity","CF_NT_CSH_RCVD_PD_FOR_ACQUIS_DIV","FQ1 2009","FQ1 2009","Currency=USD","Period=FQ","BEST_FPERIOD_OVERRIDE=FQ","FILING_STATUS=OR","SCALING_FORMAT=MLN","Sort=A","Dates=H","DateFormat=P","Fill=—","Direction=H","UseDPDF=Y")</f>
        <v>0</v>
      </c>
      <c r="F30" s="13">
        <f>_xll.BDH("XOM US Equity","CF_NT_CSH_RCVD_PD_FOR_ACQUIS_DIV","FQ2 2009","FQ2 2009","Currency=USD","Period=FQ","BEST_FPERIOD_OVERRIDE=FQ","FILING_STATUS=OR","SCALING_FORMAT=MLN","Sort=A","Dates=H","DateFormat=P","Fill=—","Direction=H","UseDPDF=Y")</f>
        <v>0</v>
      </c>
      <c r="G30" s="13">
        <f>_xll.BDH("XOM US Equity","CF_NT_CSH_RCVD_PD_FOR_ACQUIS_DIV","FQ3 2009","FQ3 2009","Currency=USD","Period=FQ","BEST_FPERIOD_OVERRIDE=FQ","FILING_STATUS=OR","SCALING_FORMAT=MLN","Sort=A","Dates=H","DateFormat=P","Fill=—","Direction=H","UseDPDF=Y")</f>
        <v>0</v>
      </c>
      <c r="H30" s="13">
        <f>_xll.BDH("XOM US Equity","CF_NT_CSH_RCVD_PD_FOR_ACQUIS_DIV","FQ4 2009","FQ4 2009","Currency=USD","Period=FQ","BEST_FPERIOD_OVERRIDE=FQ","FILING_STATUS=OR","SCALING_FORMAT=MLN","Sort=A","Dates=H","DateFormat=P","Fill=—","Direction=H","UseDPDF=Y")</f>
        <v>0</v>
      </c>
      <c r="I30" s="13">
        <f>_xll.BDH("XOM US Equity","CF_NT_CSH_RCVD_PD_FOR_ACQUIS_DIV","FQ1 2010","FQ1 2010","Currency=USD","Period=FQ","BEST_FPERIOD_OVERRIDE=FQ","FILING_STATUS=OR","SCALING_FORMAT=MLN","Sort=A","Dates=H","DateFormat=P","Fill=—","Direction=H","UseDPDF=Y")</f>
        <v>0</v>
      </c>
      <c r="J30" s="13">
        <f>_xll.BDH("XOM US Equity","CF_NT_CSH_RCVD_PD_FOR_ACQUIS_DIV","FQ2 2010","FQ2 2010","Currency=USD","Period=FQ","BEST_FPERIOD_OVERRIDE=FQ","FILING_STATUS=OR","SCALING_FORMAT=MLN","Sort=A","Dates=H","DateFormat=P","Fill=—","Direction=H","UseDPDF=Y")</f>
        <v>0</v>
      </c>
      <c r="K30" s="13">
        <f>_xll.BDH("XOM US Equity","CF_NT_CSH_RCVD_PD_FOR_ACQUIS_DIV","FQ3 2010","FQ3 2010","Currency=USD","Period=FQ","BEST_FPERIOD_OVERRIDE=FQ","FILING_STATUS=OR","SCALING_FORMAT=MLN","Sort=A","Dates=H","DateFormat=P","Fill=—","Direction=H","UseDPDF=Y")</f>
        <v>0</v>
      </c>
      <c r="L30" s="13">
        <f>_xll.BDH("XOM US Equity","CF_NT_CSH_RCVD_PD_FOR_ACQUIS_DIV","FQ4 2010","FQ4 2010","Currency=USD","Period=FQ","BEST_FPERIOD_OVERRIDE=FQ","FILING_STATUS=OR","SCALING_FORMAT=MLN","Sort=A","Dates=H","DateFormat=P","Fill=—","Direction=H","UseDPDF=Y")</f>
        <v>0</v>
      </c>
      <c r="M30" s="13">
        <f>_xll.BDH("XOM US Equity","CF_NT_CSH_RCVD_PD_FOR_ACQUIS_DIV","FQ1 2011","FQ1 2011","Currency=USD","Period=FQ","BEST_FPERIOD_OVERRIDE=FQ","FILING_STATUS=OR","SCALING_FORMAT=MLN","Sort=A","Dates=H","DateFormat=P","Fill=—","Direction=H","UseDPDF=Y")</f>
        <v>0</v>
      </c>
      <c r="N30" s="13">
        <f>_xll.BDH("XOM US Equity","CF_NT_CSH_RCVD_PD_FOR_ACQUIS_DIV","FQ2 2011","FQ2 2011","Currency=USD","Period=FQ","BEST_FPERIOD_OVERRIDE=FQ","FILING_STATUS=OR","SCALING_FORMAT=MLN","Sort=A","Dates=H","DateFormat=P","Fill=—","Direction=H","UseDPDF=Y")</f>
        <v>0</v>
      </c>
      <c r="O30" s="13">
        <f>_xll.BDH("XOM US Equity","CF_NT_CSH_RCVD_PD_FOR_ACQUIS_DIV","FQ3 2011","FQ3 2011","Currency=USD","Period=FQ","BEST_FPERIOD_OVERRIDE=FQ","FILING_STATUS=OR","SCALING_FORMAT=MLN","Sort=A","Dates=H","DateFormat=P","Fill=—","Direction=H","UseDPDF=Y")</f>
        <v>0</v>
      </c>
      <c r="P30" s="13">
        <f>_xll.BDH("XOM US Equity","CF_NT_CSH_RCVD_PD_FOR_ACQUIS_DIV","FQ4 2011","FQ4 2011","Currency=USD","Period=FQ","BEST_FPERIOD_OVERRIDE=FQ","FILING_STATUS=OR","SCALING_FORMAT=MLN","Sort=A","Dates=H","DateFormat=P","Fill=—","Direction=H","UseDPDF=Y")</f>
        <v>0</v>
      </c>
      <c r="Q30" s="13">
        <f>_xll.BDH("XOM US Equity","CF_NT_CSH_RCVD_PD_FOR_ACQUIS_DIV","FQ1 2012","FQ1 2012","Currency=USD","Period=FQ","BEST_FPERIOD_OVERRIDE=FQ","FILING_STATUS=OR","SCALING_FORMAT=MLN","Sort=A","Dates=H","DateFormat=P","Fill=—","Direction=H","UseDPDF=Y")</f>
        <v>0</v>
      </c>
      <c r="R30" s="13">
        <f>_xll.BDH("XOM US Equity","CF_NT_CSH_RCVD_PD_FOR_ACQUIS_DIV","FQ2 2012","FQ2 2012","Currency=USD","Period=FQ","BEST_FPERIOD_OVERRIDE=FQ","FILING_STATUS=OR","SCALING_FORMAT=MLN","Sort=A","Dates=H","DateFormat=P","Fill=—","Direction=H","UseDPDF=Y")</f>
        <v>0</v>
      </c>
      <c r="S30" s="13">
        <f>_xll.BDH("XOM US Equity","CF_NT_CSH_RCVD_PD_FOR_ACQUIS_DIV","FQ3 2012","FQ3 2012","Currency=USD","Period=FQ","BEST_FPERIOD_OVERRIDE=FQ","FILING_STATUS=OR","SCALING_FORMAT=MLN","Sort=A","Dates=H","DateFormat=P","Fill=—","Direction=H","UseDPDF=Y")</f>
        <v>0</v>
      </c>
      <c r="T30" s="13">
        <f>_xll.BDH("XOM US Equity","CF_NT_CSH_RCVD_PD_FOR_ACQUIS_DIV","FQ4 2012","FQ4 2012","Currency=USD","Period=FQ","BEST_FPERIOD_OVERRIDE=FQ","FILING_STATUS=OR","SCALING_FORMAT=MLN","Sort=A","Dates=H","DateFormat=P","Fill=—","Direction=H","UseDPDF=Y")</f>
        <v>0</v>
      </c>
      <c r="U30" s="13">
        <f>_xll.BDH("XOM US Equity","CF_NT_CSH_RCVD_PD_FOR_ACQUIS_DIV","FQ1 2013","FQ1 2013","Currency=USD","Period=FQ","BEST_FPERIOD_OVERRIDE=FQ","FILING_STATUS=OR","SCALING_FORMAT=MLN","Sort=A","Dates=H","DateFormat=P","Fill=—","Direction=H","UseDPDF=Y")</f>
        <v>0</v>
      </c>
      <c r="V30" s="13">
        <f>_xll.BDH("XOM US Equity","CF_NT_CSH_RCVD_PD_FOR_ACQUIS_DIV","FQ2 2013","FQ2 2013","Currency=USD","Period=FQ","BEST_FPERIOD_OVERRIDE=FQ","FILING_STATUS=OR","SCALING_FORMAT=MLN","Sort=A","Dates=H","DateFormat=P","Fill=—","Direction=H","UseDPDF=Y")</f>
        <v>0</v>
      </c>
      <c r="W30" s="13">
        <f>_xll.BDH("XOM US Equity","CF_NT_CSH_RCVD_PD_FOR_ACQUIS_DIV","FQ3 2013","FQ3 2013","Currency=USD","Period=FQ","BEST_FPERIOD_OVERRIDE=FQ","FILING_STATUS=OR","SCALING_FORMAT=MLN","Sort=A","Dates=H","DateFormat=P","Fill=—","Direction=H","UseDPDF=Y")</f>
        <v>0</v>
      </c>
      <c r="X30" s="13">
        <f>_xll.BDH("XOM US Equity","CF_NT_CSH_RCVD_PD_FOR_ACQUIS_DIV","FQ4 2013","FQ4 2013","Currency=USD","Period=FQ","BEST_FPERIOD_OVERRIDE=FQ","FILING_STATUS=OR","SCALING_FORMAT=MLN","Sort=A","Dates=H","DateFormat=P","Fill=—","Direction=H","UseDPDF=Y")</f>
        <v>0</v>
      </c>
      <c r="Y30" s="13">
        <f>_xll.BDH("XOM US Equity","CF_NT_CSH_RCVD_PD_FOR_ACQUIS_DIV","FQ1 2014","FQ1 2014","Currency=USD","Period=FQ","BEST_FPERIOD_OVERRIDE=FQ","FILING_STATUS=OR","SCALING_FORMAT=MLN","Sort=A","Dates=H","DateFormat=P","Fill=—","Direction=H","UseDPDF=Y")</f>
        <v>0</v>
      </c>
      <c r="Z30" s="13">
        <f>_xll.BDH("XOM US Equity","CF_NT_CSH_RCVD_PD_FOR_ACQUIS_DIV","FQ2 2014","FQ2 2014","Currency=USD","Period=FQ","BEST_FPERIOD_OVERRIDE=FQ","FILING_STATUS=OR","SCALING_FORMAT=MLN","Sort=A","Dates=H","DateFormat=P","Fill=—","Direction=H","UseDPDF=Y")</f>
        <v>0</v>
      </c>
      <c r="AA30" s="13">
        <f>_xll.BDH("XOM US Equity","CF_NT_CSH_RCVD_PD_FOR_ACQUIS_DIV","FQ3 2014","FQ3 2014","Currency=USD","Period=FQ","BEST_FPERIOD_OVERRIDE=FQ","FILING_STATUS=OR","SCALING_FORMAT=MLN","Sort=A","Dates=H","DateFormat=P","Fill=—","Direction=H","UseDPDF=Y")</f>
        <v>0</v>
      </c>
      <c r="AB30" s="13">
        <f>_xll.BDH("XOM US Equity","CF_NT_CSH_RCVD_PD_FOR_ACQUIS_DIV","FQ4 2014","FQ4 2014","Currency=USD","Period=FQ","BEST_FPERIOD_OVERRIDE=FQ","FILING_STATUS=OR","SCALING_FORMAT=MLN","Sort=A","Dates=H","DateFormat=P","Fill=—","Direction=H","UseDPDF=Y")</f>
        <v>0</v>
      </c>
      <c r="AC30" s="13">
        <f>_xll.BDH("XOM US Equity","CF_NT_CSH_RCVD_PD_FOR_ACQUIS_DIV","FQ1 2015","FQ1 2015","Currency=USD","Period=FQ","BEST_FPERIOD_OVERRIDE=FQ","FILING_STATUS=OR","SCALING_FORMAT=MLN","Sort=A","Dates=H","DateFormat=P","Fill=—","Direction=H","UseDPDF=Y")</f>
        <v>0</v>
      </c>
      <c r="AD30" s="13">
        <f>_xll.BDH("XOM US Equity","CF_NT_CSH_RCVD_PD_FOR_ACQUIS_DIV","FQ2 2015","FQ2 2015","Currency=USD","Period=FQ","BEST_FPERIOD_OVERRIDE=FQ","FILING_STATUS=OR","SCALING_FORMAT=MLN","Sort=A","Dates=H","DateFormat=P","Fill=—","Direction=H","UseDPDF=Y")</f>
        <v>0</v>
      </c>
      <c r="AE30" s="13">
        <f>_xll.BDH("XOM US Equity","CF_NT_CSH_RCVD_PD_FOR_ACQUIS_DIV","FQ3 2015","FQ3 2015","Currency=USD","Period=FQ","BEST_FPERIOD_OVERRIDE=FQ","FILING_STATUS=OR","SCALING_FORMAT=MLN","Sort=A","Dates=H","DateFormat=P","Fill=—","Direction=H","UseDPDF=Y")</f>
        <v>0</v>
      </c>
      <c r="AF30" s="13">
        <f>_xll.BDH("XOM US Equity","CF_NT_CSH_RCVD_PD_FOR_ACQUIS_DIV","FQ4 2015","FQ4 2015","Currency=USD","Period=FQ","BEST_FPERIOD_OVERRIDE=FQ","FILING_STATUS=OR","SCALING_FORMAT=MLN","Sort=A","Dates=H","DateFormat=P","Fill=—","Direction=H","UseDPDF=Y")</f>
        <v>0</v>
      </c>
      <c r="AG30" s="13">
        <f>_xll.BDH("XOM US Equity","CF_NT_CSH_RCVD_PD_FOR_ACQUIS_DIV","FQ1 2016","FQ1 2016","Currency=USD","Period=FQ","BEST_FPERIOD_OVERRIDE=FQ","FILING_STATUS=OR","SCALING_FORMAT=MLN","Sort=A","Dates=H","DateFormat=P","Fill=—","Direction=H","UseDPDF=Y")</f>
        <v>0</v>
      </c>
      <c r="AH30" s="13">
        <f>_xll.BDH("XOM US Equity","CF_NT_CSH_RCVD_PD_FOR_ACQUIS_DIV","FQ2 2016","FQ2 2016","Currency=USD","Period=FQ","BEST_FPERIOD_OVERRIDE=FQ","FILING_STATUS=OR","SCALING_FORMAT=MLN","Sort=A","Dates=H","DateFormat=P","Fill=—","Direction=H","UseDPDF=Y")</f>
        <v>0</v>
      </c>
      <c r="AI30" s="13">
        <f>_xll.BDH("XOM US Equity","CF_NT_CSH_RCVD_PD_FOR_ACQUIS_DIV","FQ3 2016","FQ3 2016","Currency=USD","Period=FQ","BEST_FPERIOD_OVERRIDE=FQ","FILING_STATUS=OR","SCALING_FORMAT=MLN","Sort=A","Dates=H","DateFormat=P","Fill=—","Direction=H","UseDPDF=Y")</f>
        <v>0</v>
      </c>
      <c r="AJ30" s="13">
        <f>_xll.BDH("XOM US Equity","CF_NT_CSH_RCVD_PD_FOR_ACQUIS_DIV","FQ4 2016","FQ4 2016","Currency=USD","Period=FQ","BEST_FPERIOD_OVERRIDE=FQ","FILING_STATUS=OR","SCALING_FORMAT=MLN","Sort=A","Dates=H","DateFormat=P","Fill=—","Direction=H","UseDPDF=Y")</f>
        <v>0</v>
      </c>
      <c r="AK30" s="13">
        <f>_xll.BDH("XOM US Equity","CF_NT_CSH_RCVD_PD_FOR_ACQUIS_DIV","FQ1 2017","FQ1 2017","Currency=USD","Period=FQ","BEST_FPERIOD_OVERRIDE=FQ","FILING_STATUS=OR","SCALING_FORMAT=MLN","Sort=A","Dates=H","DateFormat=P","Fill=—","Direction=H","UseDPDF=Y")</f>
        <v>0</v>
      </c>
      <c r="AL30" s="13">
        <f>_xll.BDH("XOM US Equity","CF_NT_CSH_RCVD_PD_FOR_ACQUIS_DIV","FQ2 2017","FQ2 2017","Currency=USD","Period=FQ","BEST_FPERIOD_OVERRIDE=FQ","FILING_STATUS=OR","SCALING_FORMAT=MLN","Sort=A","Dates=H","DateFormat=P","Fill=—","Direction=H","UseDPDF=Y")</f>
        <v>0</v>
      </c>
      <c r="AM30" s="13">
        <f>_xll.BDH("XOM US Equity","CF_NT_CSH_RCVD_PD_FOR_ACQUIS_DIV","FQ3 2017","FQ3 2017","Currency=USD","Period=FQ","BEST_FPERIOD_OVERRIDE=FQ","FILING_STATUS=OR","SCALING_FORMAT=MLN","Sort=A","Dates=H","DateFormat=P","Fill=—","Direction=H","UseDPDF=Y")</f>
        <v>0</v>
      </c>
      <c r="AN30" s="13">
        <f>_xll.BDH("XOM US Equity","CF_NT_CSH_RCVD_PD_FOR_ACQUIS_DIV","FQ4 2017","FQ4 2017","Currency=USD","Period=FQ","BEST_FPERIOD_OVERRIDE=FQ","FILING_STATUS=OR","SCALING_FORMAT=MLN","Sort=A","Dates=H","DateFormat=P","Fill=—","Direction=H","UseDPDF=Y")</f>
        <v>0</v>
      </c>
      <c r="AO30" s="13">
        <f>_xll.BDH("XOM US Equity","CF_NT_CSH_RCVD_PD_FOR_ACQUIS_DIV","FQ1 2018","FQ1 2018","Currency=USD","Period=FQ","BEST_FPERIOD_OVERRIDE=FQ","FILING_STATUS=OR","SCALING_FORMAT=MLN","Sort=A","Dates=H","DateFormat=P","Fill=—","Direction=H","UseDPDF=Y")</f>
        <v>0</v>
      </c>
      <c r="AP30" s="13">
        <f>_xll.BDH("XOM US Equity","CF_NT_CSH_RCVD_PD_FOR_ACQUIS_DIV","FQ2 2018","FQ2 2018","Currency=USD","Period=FQ","BEST_FPERIOD_OVERRIDE=FQ","FILING_STATUS=OR","SCALING_FORMAT=MLN","Sort=A","Dates=H","DateFormat=P","Fill=—","Direction=H","UseDPDF=Y")</f>
        <v>0</v>
      </c>
    </row>
    <row r="31" spans="1:42" x14ac:dyDescent="0.25">
      <c r="A31" s="10" t="s">
        <v>406</v>
      </c>
      <c r="B31" s="10" t="s">
        <v>407</v>
      </c>
      <c r="C31" s="13" t="str">
        <f>_xll.BDH("XOM US Equity","CF_CASH_FOR_DIVESTITURES","FQ3 2008","FQ3 2008","Currency=USD","Period=FQ","BEST_FPERIOD_OVERRIDE=FQ","FILING_STATUS=OR","SCALING_FORMAT=MLN","Sort=A","Dates=H","DateFormat=P","Fill=—","Direction=H","UseDPDF=Y")</f>
        <v>—</v>
      </c>
      <c r="D31" s="13" t="str">
        <f>_xll.BDH("XOM US Equity","CF_CASH_FOR_DIVESTITURES","FQ4 2008","FQ4 2008","Currency=USD","Period=FQ","BEST_FPERIOD_OVERRIDE=FQ","FILING_STATUS=OR","SCALING_FORMAT=MLN","Sort=A","Dates=H","DateFormat=P","Fill=—","Direction=H","UseDPDF=Y")</f>
        <v>—</v>
      </c>
      <c r="E31" s="13">
        <f>_xll.BDH("XOM US Equity","CF_CASH_FOR_DIVESTITURES","FQ1 2009","FQ1 2009","Currency=USD","Period=FQ","BEST_FPERIOD_OVERRIDE=FQ","FILING_STATUS=OR","SCALING_FORMAT=MLN","Sort=A","Dates=H","DateFormat=P","Fill=—","Direction=H","UseDPDF=Y")</f>
        <v>0</v>
      </c>
      <c r="F31" s="13">
        <f>_xll.BDH("XOM US Equity","CF_CASH_FOR_DIVESTITURES","FQ2 2009","FQ2 2009","Currency=USD","Period=FQ","BEST_FPERIOD_OVERRIDE=FQ","FILING_STATUS=OR","SCALING_FORMAT=MLN","Sort=A","Dates=H","DateFormat=P","Fill=—","Direction=H","UseDPDF=Y")</f>
        <v>0</v>
      </c>
      <c r="G31" s="13">
        <f>_xll.BDH("XOM US Equity","CF_CASH_FOR_DIVESTITURES","FQ3 2009","FQ3 2009","Currency=USD","Period=FQ","BEST_FPERIOD_OVERRIDE=FQ","FILING_STATUS=OR","SCALING_FORMAT=MLN","Sort=A","Dates=H","DateFormat=P","Fill=—","Direction=H","UseDPDF=Y")</f>
        <v>0</v>
      </c>
      <c r="H31" s="13">
        <f>_xll.BDH("XOM US Equity","CF_CASH_FOR_DIVESTITURES","FQ4 2009","FQ4 2009","Currency=USD","Period=FQ","BEST_FPERIOD_OVERRIDE=FQ","FILING_STATUS=OR","SCALING_FORMAT=MLN","Sort=A","Dates=H","DateFormat=P","Fill=—","Direction=H","UseDPDF=Y")</f>
        <v>0</v>
      </c>
      <c r="I31" s="13">
        <f>_xll.BDH("XOM US Equity","CF_CASH_FOR_DIVESTITURES","FQ1 2010","FQ1 2010","Currency=USD","Period=FQ","BEST_FPERIOD_OVERRIDE=FQ","FILING_STATUS=OR","SCALING_FORMAT=MLN","Sort=A","Dates=H","DateFormat=P","Fill=—","Direction=H","UseDPDF=Y")</f>
        <v>0</v>
      </c>
      <c r="J31" s="13">
        <f>_xll.BDH("XOM US Equity","CF_CASH_FOR_DIVESTITURES","FQ2 2010","FQ2 2010","Currency=USD","Period=FQ","BEST_FPERIOD_OVERRIDE=FQ","FILING_STATUS=OR","SCALING_FORMAT=MLN","Sort=A","Dates=H","DateFormat=P","Fill=—","Direction=H","UseDPDF=Y")</f>
        <v>0</v>
      </c>
      <c r="K31" s="13">
        <f>_xll.BDH("XOM US Equity","CF_CASH_FOR_DIVESTITURES","FQ3 2010","FQ3 2010","Currency=USD","Period=FQ","BEST_FPERIOD_OVERRIDE=FQ","FILING_STATUS=OR","SCALING_FORMAT=MLN","Sort=A","Dates=H","DateFormat=P","Fill=—","Direction=H","UseDPDF=Y")</f>
        <v>0</v>
      </c>
      <c r="L31" s="13">
        <f>_xll.BDH("XOM US Equity","CF_CASH_FOR_DIVESTITURES","FQ4 2010","FQ4 2010","Currency=USD","Period=FQ","BEST_FPERIOD_OVERRIDE=FQ","FILING_STATUS=OR","SCALING_FORMAT=MLN","Sort=A","Dates=H","DateFormat=P","Fill=—","Direction=H","UseDPDF=Y")</f>
        <v>0</v>
      </c>
      <c r="M31" s="13">
        <f>_xll.BDH("XOM US Equity","CF_CASH_FOR_DIVESTITURES","FQ1 2011","FQ1 2011","Currency=USD","Period=FQ","BEST_FPERIOD_OVERRIDE=FQ","FILING_STATUS=OR","SCALING_FORMAT=MLN","Sort=A","Dates=H","DateFormat=P","Fill=—","Direction=H","UseDPDF=Y")</f>
        <v>0</v>
      </c>
      <c r="N31" s="13">
        <f>_xll.BDH("XOM US Equity","CF_CASH_FOR_DIVESTITURES","FQ2 2011","FQ2 2011","Currency=USD","Period=FQ","BEST_FPERIOD_OVERRIDE=FQ","FILING_STATUS=OR","SCALING_FORMAT=MLN","Sort=A","Dates=H","DateFormat=P","Fill=—","Direction=H","UseDPDF=Y")</f>
        <v>0</v>
      </c>
      <c r="O31" s="13">
        <f>_xll.BDH("XOM US Equity","CF_CASH_FOR_DIVESTITURES","FQ3 2011","FQ3 2011","Currency=USD","Period=FQ","BEST_FPERIOD_OVERRIDE=FQ","FILING_STATUS=OR","SCALING_FORMAT=MLN","Sort=A","Dates=H","DateFormat=P","Fill=—","Direction=H","UseDPDF=Y")</f>
        <v>0</v>
      </c>
      <c r="P31" s="13">
        <f>_xll.BDH("XOM US Equity","CF_CASH_FOR_DIVESTITURES","FQ4 2011","FQ4 2011","Currency=USD","Period=FQ","BEST_FPERIOD_OVERRIDE=FQ","FILING_STATUS=OR","SCALING_FORMAT=MLN","Sort=A","Dates=H","DateFormat=P","Fill=—","Direction=H","UseDPDF=Y")</f>
        <v>0</v>
      </c>
      <c r="Q31" s="13">
        <f>_xll.BDH("XOM US Equity","CF_CASH_FOR_DIVESTITURES","FQ1 2012","FQ1 2012","Currency=USD","Period=FQ","BEST_FPERIOD_OVERRIDE=FQ","FILING_STATUS=OR","SCALING_FORMAT=MLN","Sort=A","Dates=H","DateFormat=P","Fill=—","Direction=H","UseDPDF=Y")</f>
        <v>0</v>
      </c>
      <c r="R31" s="13">
        <f>_xll.BDH("XOM US Equity","CF_CASH_FOR_DIVESTITURES","FQ2 2012","FQ2 2012","Currency=USD","Period=FQ","BEST_FPERIOD_OVERRIDE=FQ","FILING_STATUS=OR","SCALING_FORMAT=MLN","Sort=A","Dates=H","DateFormat=P","Fill=—","Direction=H","UseDPDF=Y")</f>
        <v>0</v>
      </c>
      <c r="S31" s="13">
        <f>_xll.BDH("XOM US Equity","CF_CASH_FOR_DIVESTITURES","FQ3 2012","FQ3 2012","Currency=USD","Period=FQ","BEST_FPERIOD_OVERRIDE=FQ","FILING_STATUS=OR","SCALING_FORMAT=MLN","Sort=A","Dates=H","DateFormat=P","Fill=—","Direction=H","UseDPDF=Y")</f>
        <v>0</v>
      </c>
      <c r="T31" s="13">
        <f>_xll.BDH("XOM US Equity","CF_CASH_FOR_DIVESTITURES","FQ4 2012","FQ4 2012","Currency=USD","Period=FQ","BEST_FPERIOD_OVERRIDE=FQ","FILING_STATUS=OR","SCALING_FORMAT=MLN","Sort=A","Dates=H","DateFormat=P","Fill=—","Direction=H","UseDPDF=Y")</f>
        <v>0</v>
      </c>
      <c r="U31" s="13">
        <f>_xll.BDH("XOM US Equity","CF_CASH_FOR_DIVESTITURES","FQ1 2013","FQ1 2013","Currency=USD","Period=FQ","BEST_FPERIOD_OVERRIDE=FQ","FILING_STATUS=OR","SCALING_FORMAT=MLN","Sort=A","Dates=H","DateFormat=P","Fill=—","Direction=H","UseDPDF=Y")</f>
        <v>0</v>
      </c>
      <c r="V31" s="13">
        <f>_xll.BDH("XOM US Equity","CF_CASH_FOR_DIVESTITURES","FQ2 2013","FQ2 2013","Currency=USD","Period=FQ","BEST_FPERIOD_OVERRIDE=FQ","FILING_STATUS=OR","SCALING_FORMAT=MLN","Sort=A","Dates=H","DateFormat=P","Fill=—","Direction=H","UseDPDF=Y")</f>
        <v>0</v>
      </c>
      <c r="W31" s="13">
        <f>_xll.BDH("XOM US Equity","CF_CASH_FOR_DIVESTITURES","FQ3 2013","FQ3 2013","Currency=USD","Period=FQ","BEST_FPERIOD_OVERRIDE=FQ","FILING_STATUS=OR","SCALING_FORMAT=MLN","Sort=A","Dates=H","DateFormat=P","Fill=—","Direction=H","UseDPDF=Y")</f>
        <v>0</v>
      </c>
      <c r="X31" s="13">
        <f>_xll.BDH("XOM US Equity","CF_CASH_FOR_DIVESTITURES","FQ4 2013","FQ4 2013","Currency=USD","Period=FQ","BEST_FPERIOD_OVERRIDE=FQ","FILING_STATUS=OR","SCALING_FORMAT=MLN","Sort=A","Dates=H","DateFormat=P","Fill=—","Direction=H","UseDPDF=Y")</f>
        <v>0</v>
      </c>
      <c r="Y31" s="13">
        <f>_xll.BDH("XOM US Equity","CF_CASH_FOR_DIVESTITURES","FQ1 2014","FQ1 2014","Currency=USD","Period=FQ","BEST_FPERIOD_OVERRIDE=FQ","FILING_STATUS=OR","SCALING_FORMAT=MLN","Sort=A","Dates=H","DateFormat=P","Fill=—","Direction=H","UseDPDF=Y")</f>
        <v>0</v>
      </c>
      <c r="Z31" s="13">
        <f>_xll.BDH("XOM US Equity","CF_CASH_FOR_DIVESTITURES","FQ2 2014","FQ2 2014","Currency=USD","Period=FQ","BEST_FPERIOD_OVERRIDE=FQ","FILING_STATUS=OR","SCALING_FORMAT=MLN","Sort=A","Dates=H","DateFormat=P","Fill=—","Direction=H","UseDPDF=Y")</f>
        <v>0</v>
      </c>
      <c r="AA31" s="13">
        <f>_xll.BDH("XOM US Equity","CF_CASH_FOR_DIVESTITURES","FQ3 2014","FQ3 2014","Currency=USD","Period=FQ","BEST_FPERIOD_OVERRIDE=FQ","FILING_STATUS=OR","SCALING_FORMAT=MLN","Sort=A","Dates=H","DateFormat=P","Fill=—","Direction=H","UseDPDF=Y")</f>
        <v>0</v>
      </c>
      <c r="AB31" s="13">
        <f>_xll.BDH("XOM US Equity","CF_CASH_FOR_DIVESTITURES","FQ4 2014","FQ4 2014","Currency=USD","Period=FQ","BEST_FPERIOD_OVERRIDE=FQ","FILING_STATUS=OR","SCALING_FORMAT=MLN","Sort=A","Dates=H","DateFormat=P","Fill=—","Direction=H","UseDPDF=Y")</f>
        <v>0</v>
      </c>
      <c r="AC31" s="13">
        <f>_xll.BDH("XOM US Equity","CF_CASH_FOR_DIVESTITURES","FQ1 2015","FQ1 2015","Currency=USD","Period=FQ","BEST_FPERIOD_OVERRIDE=FQ","FILING_STATUS=OR","SCALING_FORMAT=MLN","Sort=A","Dates=H","DateFormat=P","Fill=—","Direction=H","UseDPDF=Y")</f>
        <v>0</v>
      </c>
      <c r="AD31" s="13">
        <f>_xll.BDH("XOM US Equity","CF_CASH_FOR_DIVESTITURES","FQ2 2015","FQ2 2015","Currency=USD","Period=FQ","BEST_FPERIOD_OVERRIDE=FQ","FILING_STATUS=OR","SCALING_FORMAT=MLN","Sort=A","Dates=H","DateFormat=P","Fill=—","Direction=H","UseDPDF=Y")</f>
        <v>0</v>
      </c>
      <c r="AE31" s="13">
        <f>_xll.BDH("XOM US Equity","CF_CASH_FOR_DIVESTITURES","FQ3 2015","FQ3 2015","Currency=USD","Period=FQ","BEST_FPERIOD_OVERRIDE=FQ","FILING_STATUS=OR","SCALING_FORMAT=MLN","Sort=A","Dates=H","DateFormat=P","Fill=—","Direction=H","UseDPDF=Y")</f>
        <v>0</v>
      </c>
      <c r="AF31" s="13">
        <f>_xll.BDH("XOM US Equity","CF_CASH_FOR_DIVESTITURES","FQ4 2015","FQ4 2015","Currency=USD","Period=FQ","BEST_FPERIOD_OVERRIDE=FQ","FILING_STATUS=OR","SCALING_FORMAT=MLN","Sort=A","Dates=H","DateFormat=P","Fill=—","Direction=H","UseDPDF=Y")</f>
        <v>0</v>
      </c>
      <c r="AG31" s="13">
        <f>_xll.BDH("XOM US Equity","CF_CASH_FOR_DIVESTITURES","FQ1 2016","FQ1 2016","Currency=USD","Period=FQ","BEST_FPERIOD_OVERRIDE=FQ","FILING_STATUS=OR","SCALING_FORMAT=MLN","Sort=A","Dates=H","DateFormat=P","Fill=—","Direction=H","UseDPDF=Y")</f>
        <v>0</v>
      </c>
      <c r="AH31" s="13">
        <f>_xll.BDH("XOM US Equity","CF_CASH_FOR_DIVESTITURES","FQ2 2016","FQ2 2016","Currency=USD","Period=FQ","BEST_FPERIOD_OVERRIDE=FQ","FILING_STATUS=OR","SCALING_FORMAT=MLN","Sort=A","Dates=H","DateFormat=P","Fill=—","Direction=H","UseDPDF=Y")</f>
        <v>0</v>
      </c>
      <c r="AI31" s="13">
        <f>_xll.BDH("XOM US Equity","CF_CASH_FOR_DIVESTITURES","FQ3 2016","FQ3 2016","Currency=USD","Period=FQ","BEST_FPERIOD_OVERRIDE=FQ","FILING_STATUS=OR","SCALING_FORMAT=MLN","Sort=A","Dates=H","DateFormat=P","Fill=—","Direction=H","UseDPDF=Y")</f>
        <v>0</v>
      </c>
      <c r="AJ31" s="13">
        <f>_xll.BDH("XOM US Equity","CF_CASH_FOR_DIVESTITURES","FQ4 2016","FQ4 2016","Currency=USD","Period=FQ","BEST_FPERIOD_OVERRIDE=FQ","FILING_STATUS=OR","SCALING_FORMAT=MLN","Sort=A","Dates=H","DateFormat=P","Fill=—","Direction=H","UseDPDF=Y")</f>
        <v>0</v>
      </c>
      <c r="AK31" s="13">
        <f>_xll.BDH("XOM US Equity","CF_CASH_FOR_DIVESTITURES","FQ1 2017","FQ1 2017","Currency=USD","Period=FQ","BEST_FPERIOD_OVERRIDE=FQ","FILING_STATUS=OR","SCALING_FORMAT=MLN","Sort=A","Dates=H","DateFormat=P","Fill=—","Direction=H","UseDPDF=Y")</f>
        <v>0</v>
      </c>
      <c r="AL31" s="13">
        <f>_xll.BDH("XOM US Equity","CF_CASH_FOR_DIVESTITURES","FQ2 2017","FQ2 2017","Currency=USD","Period=FQ","BEST_FPERIOD_OVERRIDE=FQ","FILING_STATUS=OR","SCALING_FORMAT=MLN","Sort=A","Dates=H","DateFormat=P","Fill=—","Direction=H","UseDPDF=Y")</f>
        <v>0</v>
      </c>
      <c r="AM31" s="13">
        <f>_xll.BDH("XOM US Equity","CF_CASH_FOR_DIVESTITURES","FQ3 2017","FQ3 2017","Currency=USD","Period=FQ","BEST_FPERIOD_OVERRIDE=FQ","FILING_STATUS=OR","SCALING_FORMAT=MLN","Sort=A","Dates=H","DateFormat=P","Fill=—","Direction=H","UseDPDF=Y")</f>
        <v>0</v>
      </c>
      <c r="AN31" s="13">
        <f>_xll.BDH("XOM US Equity","CF_CASH_FOR_DIVESTITURES","FQ4 2017","FQ4 2017","Currency=USD","Period=FQ","BEST_FPERIOD_OVERRIDE=FQ","FILING_STATUS=OR","SCALING_FORMAT=MLN","Sort=A","Dates=H","DateFormat=P","Fill=—","Direction=H","UseDPDF=Y")</f>
        <v>0</v>
      </c>
      <c r="AO31" s="13">
        <f>_xll.BDH("XOM US Equity","CF_CASH_FOR_DIVESTITURES","FQ1 2018","FQ1 2018","Currency=USD","Period=FQ","BEST_FPERIOD_OVERRIDE=FQ","FILING_STATUS=OR","SCALING_FORMAT=MLN","Sort=A","Dates=H","DateFormat=P","Fill=—","Direction=H","UseDPDF=Y")</f>
        <v>0</v>
      </c>
      <c r="AP31" s="13">
        <f>_xll.BDH("XOM US Equity","CF_CASH_FOR_DIVESTITURES","FQ2 2018","FQ2 2018","Currency=USD","Period=FQ","BEST_FPERIOD_OVERRIDE=FQ","FILING_STATUS=OR","SCALING_FORMAT=MLN","Sort=A","Dates=H","DateFormat=P","Fill=—","Direction=H","UseDPDF=Y")</f>
        <v>0</v>
      </c>
    </row>
    <row r="32" spans="1:42" x14ac:dyDescent="0.25">
      <c r="A32" s="10" t="s">
        <v>408</v>
      </c>
      <c r="B32" s="10" t="s">
        <v>409</v>
      </c>
      <c r="C32" s="13" t="str">
        <f>_xll.BDH("XOM US Equity","CF_CASH_FOR_ACQUIS_SUBSIDIARIES","FQ3 2008","FQ3 2008","Currency=USD","Period=FQ","BEST_FPERIOD_OVERRIDE=FQ","FILING_STATUS=OR","SCALING_FORMAT=MLN","Sort=A","Dates=H","DateFormat=P","Fill=—","Direction=H","UseDPDF=Y")</f>
        <v>—</v>
      </c>
      <c r="D32" s="13" t="str">
        <f>_xll.BDH("XOM US Equity","CF_CASH_FOR_ACQUIS_SUBSIDIARIES","FQ4 2008","FQ4 2008","Currency=USD","Period=FQ","BEST_FPERIOD_OVERRIDE=FQ","FILING_STATUS=OR","SCALING_FORMAT=MLN","Sort=A","Dates=H","DateFormat=P","Fill=—","Direction=H","UseDPDF=Y")</f>
        <v>—</v>
      </c>
      <c r="E32" s="13">
        <f>_xll.BDH("XOM US Equity","CF_CASH_FOR_ACQUIS_SUBSIDIARIES","FQ1 2009","FQ1 2009","Currency=USD","Period=FQ","BEST_FPERIOD_OVERRIDE=FQ","FILING_STATUS=OR","SCALING_FORMAT=MLN","Sort=A","Dates=H","DateFormat=P","Fill=—","Direction=H","UseDPDF=Y")</f>
        <v>0</v>
      </c>
      <c r="F32" s="13">
        <f>_xll.BDH("XOM US Equity","CF_CASH_FOR_ACQUIS_SUBSIDIARIES","FQ2 2009","FQ2 2009","Currency=USD","Period=FQ","BEST_FPERIOD_OVERRIDE=FQ","FILING_STATUS=OR","SCALING_FORMAT=MLN","Sort=A","Dates=H","DateFormat=P","Fill=—","Direction=H","UseDPDF=Y")</f>
        <v>0</v>
      </c>
      <c r="G32" s="13">
        <f>_xll.BDH("XOM US Equity","CF_CASH_FOR_ACQUIS_SUBSIDIARIES","FQ3 2009","FQ3 2009","Currency=USD","Period=FQ","BEST_FPERIOD_OVERRIDE=FQ","FILING_STATUS=OR","SCALING_FORMAT=MLN","Sort=A","Dates=H","DateFormat=P","Fill=—","Direction=H","UseDPDF=Y")</f>
        <v>0</v>
      </c>
      <c r="H32" s="13">
        <f>_xll.BDH("XOM US Equity","CF_CASH_FOR_ACQUIS_SUBSIDIARIES","FQ4 2009","FQ4 2009","Currency=USD","Period=FQ","BEST_FPERIOD_OVERRIDE=FQ","FILING_STATUS=OR","SCALING_FORMAT=MLN","Sort=A","Dates=H","DateFormat=P","Fill=—","Direction=H","UseDPDF=Y")</f>
        <v>0</v>
      </c>
      <c r="I32" s="13">
        <f>_xll.BDH("XOM US Equity","CF_CASH_FOR_ACQUIS_SUBSIDIARIES","FQ1 2010","FQ1 2010","Currency=USD","Period=FQ","BEST_FPERIOD_OVERRIDE=FQ","FILING_STATUS=OR","SCALING_FORMAT=MLN","Sort=A","Dates=H","DateFormat=P","Fill=—","Direction=H","UseDPDF=Y")</f>
        <v>0</v>
      </c>
      <c r="J32" s="13">
        <f>_xll.BDH("XOM US Equity","CF_CASH_FOR_ACQUIS_SUBSIDIARIES","FQ2 2010","FQ2 2010","Currency=USD","Period=FQ","BEST_FPERIOD_OVERRIDE=FQ","FILING_STATUS=OR","SCALING_FORMAT=MLN","Sort=A","Dates=H","DateFormat=P","Fill=—","Direction=H","UseDPDF=Y")</f>
        <v>0</v>
      </c>
      <c r="K32" s="13">
        <f>_xll.BDH("XOM US Equity","CF_CASH_FOR_ACQUIS_SUBSIDIARIES","FQ3 2010","FQ3 2010","Currency=USD","Period=FQ","BEST_FPERIOD_OVERRIDE=FQ","FILING_STATUS=OR","SCALING_FORMAT=MLN","Sort=A","Dates=H","DateFormat=P","Fill=—","Direction=H","UseDPDF=Y")</f>
        <v>0</v>
      </c>
      <c r="L32" s="13">
        <f>_xll.BDH("XOM US Equity","CF_CASH_FOR_ACQUIS_SUBSIDIARIES","FQ4 2010","FQ4 2010","Currency=USD","Period=FQ","BEST_FPERIOD_OVERRIDE=FQ","FILING_STATUS=OR","SCALING_FORMAT=MLN","Sort=A","Dates=H","DateFormat=P","Fill=—","Direction=H","UseDPDF=Y")</f>
        <v>0</v>
      </c>
      <c r="M32" s="13">
        <f>_xll.BDH("XOM US Equity","CF_CASH_FOR_ACQUIS_SUBSIDIARIES","FQ1 2011","FQ1 2011","Currency=USD","Period=FQ","BEST_FPERIOD_OVERRIDE=FQ","FILING_STATUS=OR","SCALING_FORMAT=MLN","Sort=A","Dates=H","DateFormat=P","Fill=—","Direction=H","UseDPDF=Y")</f>
        <v>0</v>
      </c>
      <c r="N32" s="13">
        <f>_xll.BDH("XOM US Equity","CF_CASH_FOR_ACQUIS_SUBSIDIARIES","FQ2 2011","FQ2 2011","Currency=USD","Period=FQ","BEST_FPERIOD_OVERRIDE=FQ","FILING_STATUS=OR","SCALING_FORMAT=MLN","Sort=A","Dates=H","DateFormat=P","Fill=—","Direction=H","UseDPDF=Y")</f>
        <v>0</v>
      </c>
      <c r="O32" s="13">
        <f>_xll.BDH("XOM US Equity","CF_CASH_FOR_ACQUIS_SUBSIDIARIES","FQ3 2011","FQ3 2011","Currency=USD","Period=FQ","BEST_FPERIOD_OVERRIDE=FQ","FILING_STATUS=OR","SCALING_FORMAT=MLN","Sort=A","Dates=H","DateFormat=P","Fill=—","Direction=H","UseDPDF=Y")</f>
        <v>0</v>
      </c>
      <c r="P32" s="13">
        <f>_xll.BDH("XOM US Equity","CF_CASH_FOR_ACQUIS_SUBSIDIARIES","FQ4 2011","FQ4 2011","Currency=USD","Period=FQ","BEST_FPERIOD_OVERRIDE=FQ","FILING_STATUS=OR","SCALING_FORMAT=MLN","Sort=A","Dates=H","DateFormat=P","Fill=—","Direction=H","UseDPDF=Y")</f>
        <v>0</v>
      </c>
      <c r="Q32" s="13">
        <f>_xll.BDH("XOM US Equity","CF_CASH_FOR_ACQUIS_SUBSIDIARIES","FQ1 2012","FQ1 2012","Currency=USD","Period=FQ","BEST_FPERIOD_OVERRIDE=FQ","FILING_STATUS=OR","SCALING_FORMAT=MLN","Sort=A","Dates=H","DateFormat=P","Fill=—","Direction=H","UseDPDF=Y")</f>
        <v>0</v>
      </c>
      <c r="R32" s="13">
        <f>_xll.BDH("XOM US Equity","CF_CASH_FOR_ACQUIS_SUBSIDIARIES","FQ2 2012","FQ2 2012","Currency=USD","Period=FQ","BEST_FPERIOD_OVERRIDE=FQ","FILING_STATUS=OR","SCALING_FORMAT=MLN","Sort=A","Dates=H","DateFormat=P","Fill=—","Direction=H","UseDPDF=Y")</f>
        <v>0</v>
      </c>
      <c r="S32" s="13">
        <f>_xll.BDH("XOM US Equity","CF_CASH_FOR_ACQUIS_SUBSIDIARIES","FQ3 2012","FQ3 2012","Currency=USD","Period=FQ","BEST_FPERIOD_OVERRIDE=FQ","FILING_STATUS=OR","SCALING_FORMAT=MLN","Sort=A","Dates=H","DateFormat=P","Fill=—","Direction=H","UseDPDF=Y")</f>
        <v>0</v>
      </c>
      <c r="T32" s="13">
        <f>_xll.BDH("XOM US Equity","CF_CASH_FOR_ACQUIS_SUBSIDIARIES","FQ4 2012","FQ4 2012","Currency=USD","Period=FQ","BEST_FPERIOD_OVERRIDE=FQ","FILING_STATUS=OR","SCALING_FORMAT=MLN","Sort=A","Dates=H","DateFormat=P","Fill=—","Direction=H","UseDPDF=Y")</f>
        <v>0</v>
      </c>
      <c r="U32" s="13">
        <f>_xll.BDH("XOM US Equity","CF_CASH_FOR_ACQUIS_SUBSIDIARIES","FQ1 2013","FQ1 2013","Currency=USD","Period=FQ","BEST_FPERIOD_OVERRIDE=FQ","FILING_STATUS=OR","SCALING_FORMAT=MLN","Sort=A","Dates=H","DateFormat=P","Fill=—","Direction=H","UseDPDF=Y")</f>
        <v>0</v>
      </c>
      <c r="V32" s="13">
        <f>_xll.BDH("XOM US Equity","CF_CASH_FOR_ACQUIS_SUBSIDIARIES","FQ2 2013","FQ2 2013","Currency=USD","Period=FQ","BEST_FPERIOD_OVERRIDE=FQ","FILING_STATUS=OR","SCALING_FORMAT=MLN","Sort=A","Dates=H","DateFormat=P","Fill=—","Direction=H","UseDPDF=Y")</f>
        <v>0</v>
      </c>
      <c r="W32" s="13">
        <f>_xll.BDH("XOM US Equity","CF_CASH_FOR_ACQUIS_SUBSIDIARIES","FQ3 2013","FQ3 2013","Currency=USD","Period=FQ","BEST_FPERIOD_OVERRIDE=FQ","FILING_STATUS=OR","SCALING_FORMAT=MLN","Sort=A","Dates=H","DateFormat=P","Fill=—","Direction=H","UseDPDF=Y")</f>
        <v>0</v>
      </c>
      <c r="X32" s="13">
        <f>_xll.BDH("XOM US Equity","CF_CASH_FOR_ACQUIS_SUBSIDIARIES","FQ4 2013","FQ4 2013","Currency=USD","Period=FQ","BEST_FPERIOD_OVERRIDE=FQ","FILING_STATUS=OR","SCALING_FORMAT=MLN","Sort=A","Dates=H","DateFormat=P","Fill=—","Direction=H","UseDPDF=Y")</f>
        <v>0</v>
      </c>
      <c r="Y32" s="13">
        <f>_xll.BDH("XOM US Equity","CF_CASH_FOR_ACQUIS_SUBSIDIARIES","FQ1 2014","FQ1 2014","Currency=USD","Period=FQ","BEST_FPERIOD_OVERRIDE=FQ","FILING_STATUS=OR","SCALING_FORMAT=MLN","Sort=A","Dates=H","DateFormat=P","Fill=—","Direction=H","UseDPDF=Y")</f>
        <v>0</v>
      </c>
      <c r="Z32" s="13">
        <f>_xll.BDH("XOM US Equity","CF_CASH_FOR_ACQUIS_SUBSIDIARIES","FQ2 2014","FQ2 2014","Currency=USD","Period=FQ","BEST_FPERIOD_OVERRIDE=FQ","FILING_STATUS=OR","SCALING_FORMAT=MLN","Sort=A","Dates=H","DateFormat=P","Fill=—","Direction=H","UseDPDF=Y")</f>
        <v>0</v>
      </c>
      <c r="AA32" s="13">
        <f>_xll.BDH("XOM US Equity","CF_CASH_FOR_ACQUIS_SUBSIDIARIES","FQ3 2014","FQ3 2014","Currency=USD","Period=FQ","BEST_FPERIOD_OVERRIDE=FQ","FILING_STATUS=OR","SCALING_FORMAT=MLN","Sort=A","Dates=H","DateFormat=P","Fill=—","Direction=H","UseDPDF=Y")</f>
        <v>0</v>
      </c>
      <c r="AB32" s="13">
        <f>_xll.BDH("XOM US Equity","CF_CASH_FOR_ACQUIS_SUBSIDIARIES","FQ4 2014","FQ4 2014","Currency=USD","Period=FQ","BEST_FPERIOD_OVERRIDE=FQ","FILING_STATUS=OR","SCALING_FORMAT=MLN","Sort=A","Dates=H","DateFormat=P","Fill=—","Direction=H","UseDPDF=Y")</f>
        <v>0</v>
      </c>
      <c r="AC32" s="13">
        <f>_xll.BDH("XOM US Equity","CF_CASH_FOR_ACQUIS_SUBSIDIARIES","FQ1 2015","FQ1 2015","Currency=USD","Period=FQ","BEST_FPERIOD_OVERRIDE=FQ","FILING_STATUS=OR","SCALING_FORMAT=MLN","Sort=A","Dates=H","DateFormat=P","Fill=—","Direction=H","UseDPDF=Y")</f>
        <v>0</v>
      </c>
      <c r="AD32" s="13">
        <f>_xll.BDH("XOM US Equity","CF_CASH_FOR_ACQUIS_SUBSIDIARIES","FQ2 2015","FQ2 2015","Currency=USD","Period=FQ","BEST_FPERIOD_OVERRIDE=FQ","FILING_STATUS=OR","SCALING_FORMAT=MLN","Sort=A","Dates=H","DateFormat=P","Fill=—","Direction=H","UseDPDF=Y")</f>
        <v>0</v>
      </c>
      <c r="AE32" s="13">
        <f>_xll.BDH("XOM US Equity","CF_CASH_FOR_ACQUIS_SUBSIDIARIES","FQ3 2015","FQ3 2015","Currency=USD","Period=FQ","BEST_FPERIOD_OVERRIDE=FQ","FILING_STATUS=OR","SCALING_FORMAT=MLN","Sort=A","Dates=H","DateFormat=P","Fill=—","Direction=H","UseDPDF=Y")</f>
        <v>0</v>
      </c>
      <c r="AF32" s="13">
        <f>_xll.BDH("XOM US Equity","CF_CASH_FOR_ACQUIS_SUBSIDIARIES","FQ4 2015","FQ4 2015","Currency=USD","Period=FQ","BEST_FPERIOD_OVERRIDE=FQ","FILING_STATUS=OR","SCALING_FORMAT=MLN","Sort=A","Dates=H","DateFormat=P","Fill=—","Direction=H","UseDPDF=Y")</f>
        <v>0</v>
      </c>
      <c r="AG32" s="13">
        <f>_xll.BDH("XOM US Equity","CF_CASH_FOR_ACQUIS_SUBSIDIARIES","FQ1 2016","FQ1 2016","Currency=USD","Period=FQ","BEST_FPERIOD_OVERRIDE=FQ","FILING_STATUS=OR","SCALING_FORMAT=MLN","Sort=A","Dates=H","DateFormat=P","Fill=—","Direction=H","UseDPDF=Y")</f>
        <v>0</v>
      </c>
      <c r="AH32" s="13">
        <f>_xll.BDH("XOM US Equity","CF_CASH_FOR_ACQUIS_SUBSIDIARIES","FQ2 2016","FQ2 2016","Currency=USD","Period=FQ","BEST_FPERIOD_OVERRIDE=FQ","FILING_STATUS=OR","SCALING_FORMAT=MLN","Sort=A","Dates=H","DateFormat=P","Fill=—","Direction=H","UseDPDF=Y")</f>
        <v>0</v>
      </c>
      <c r="AI32" s="13">
        <f>_xll.BDH("XOM US Equity","CF_CASH_FOR_ACQUIS_SUBSIDIARIES","FQ3 2016","FQ3 2016","Currency=USD","Period=FQ","BEST_FPERIOD_OVERRIDE=FQ","FILING_STATUS=OR","SCALING_FORMAT=MLN","Sort=A","Dates=H","DateFormat=P","Fill=—","Direction=H","UseDPDF=Y")</f>
        <v>0</v>
      </c>
      <c r="AJ32" s="13">
        <f>_xll.BDH("XOM US Equity","CF_CASH_FOR_ACQUIS_SUBSIDIARIES","FQ4 2016","FQ4 2016","Currency=USD","Period=FQ","BEST_FPERIOD_OVERRIDE=FQ","FILING_STATUS=OR","SCALING_FORMAT=MLN","Sort=A","Dates=H","DateFormat=P","Fill=—","Direction=H","UseDPDF=Y")</f>
        <v>0</v>
      </c>
      <c r="AK32" s="13">
        <f>_xll.BDH("XOM US Equity","CF_CASH_FOR_ACQUIS_SUBSIDIARIES","FQ1 2017","FQ1 2017","Currency=USD","Period=FQ","BEST_FPERIOD_OVERRIDE=FQ","FILING_STATUS=OR","SCALING_FORMAT=MLN","Sort=A","Dates=H","DateFormat=P","Fill=—","Direction=H","UseDPDF=Y")</f>
        <v>0</v>
      </c>
      <c r="AL32" s="13">
        <f>_xll.BDH("XOM US Equity","CF_CASH_FOR_ACQUIS_SUBSIDIARIES","FQ2 2017","FQ2 2017","Currency=USD","Period=FQ","BEST_FPERIOD_OVERRIDE=FQ","FILING_STATUS=OR","SCALING_FORMAT=MLN","Sort=A","Dates=H","DateFormat=P","Fill=—","Direction=H","UseDPDF=Y")</f>
        <v>0</v>
      </c>
      <c r="AM32" s="13">
        <f>_xll.BDH("XOM US Equity","CF_CASH_FOR_ACQUIS_SUBSIDIARIES","FQ3 2017","FQ3 2017","Currency=USD","Period=FQ","BEST_FPERIOD_OVERRIDE=FQ","FILING_STATUS=OR","SCALING_FORMAT=MLN","Sort=A","Dates=H","DateFormat=P","Fill=—","Direction=H","UseDPDF=Y")</f>
        <v>0</v>
      </c>
      <c r="AN32" s="13">
        <f>_xll.BDH("XOM US Equity","CF_CASH_FOR_ACQUIS_SUBSIDIARIES","FQ4 2017","FQ4 2017","Currency=USD","Period=FQ","BEST_FPERIOD_OVERRIDE=FQ","FILING_STATUS=OR","SCALING_FORMAT=MLN","Sort=A","Dates=H","DateFormat=P","Fill=—","Direction=H","UseDPDF=Y")</f>
        <v>0</v>
      </c>
      <c r="AO32" s="13">
        <f>_xll.BDH("XOM US Equity","CF_CASH_FOR_ACQUIS_SUBSIDIARIES","FQ1 2018","FQ1 2018","Currency=USD","Period=FQ","BEST_FPERIOD_OVERRIDE=FQ","FILING_STATUS=OR","SCALING_FORMAT=MLN","Sort=A","Dates=H","DateFormat=P","Fill=—","Direction=H","UseDPDF=Y")</f>
        <v>0</v>
      </c>
      <c r="AP32" s="13">
        <f>_xll.BDH("XOM US Equity","CF_CASH_FOR_ACQUIS_SUBSIDIARIES","FQ2 2018","FQ2 2018","Currency=USD","Period=FQ","BEST_FPERIOD_OVERRIDE=FQ","FILING_STATUS=OR","SCALING_FORMAT=MLN","Sort=A","Dates=H","DateFormat=P","Fill=—","Direction=H","UseDPDF=Y")</f>
        <v>0</v>
      </c>
    </row>
    <row r="33" spans="1:42" x14ac:dyDescent="0.25">
      <c r="A33" s="10" t="s">
        <v>410</v>
      </c>
      <c r="B33" s="10" t="s">
        <v>411</v>
      </c>
      <c r="C33" s="13" t="str">
        <f>_xll.BDH("XOM US Equity","CF_CASH_FOR_JOINT_VENTURES_ASSOC","FQ3 2008","FQ3 2008","Currency=USD","Period=FQ","BEST_FPERIOD_OVERRIDE=FQ","FILING_STATUS=OR","SCALING_FORMAT=MLN","Sort=A","Dates=H","DateFormat=P","Fill=—","Direction=H","UseDPDF=Y")</f>
        <v>—</v>
      </c>
      <c r="D33" s="13" t="str">
        <f>_xll.BDH("XOM US Equity","CF_CASH_FOR_JOINT_VENTURES_ASSOC","FQ4 2008","FQ4 2008","Currency=USD","Period=FQ","BEST_FPERIOD_OVERRIDE=FQ","FILING_STATUS=OR","SCALING_FORMAT=MLN","Sort=A","Dates=H","DateFormat=P","Fill=—","Direction=H","UseDPDF=Y")</f>
        <v>—</v>
      </c>
      <c r="E33" s="13">
        <f>_xll.BDH("XOM US Equity","CF_CASH_FOR_JOINT_VENTURES_ASSOC","FQ1 2009","FQ1 2009","Currency=USD","Period=FQ","BEST_FPERIOD_OVERRIDE=FQ","FILING_STATUS=OR","SCALING_FORMAT=MLN","Sort=A","Dates=H","DateFormat=P","Fill=—","Direction=H","UseDPDF=Y")</f>
        <v>0</v>
      </c>
      <c r="F33" s="13">
        <f>_xll.BDH("XOM US Equity","CF_CASH_FOR_JOINT_VENTURES_ASSOC","FQ2 2009","FQ2 2009","Currency=USD","Period=FQ","BEST_FPERIOD_OVERRIDE=FQ","FILING_STATUS=OR","SCALING_FORMAT=MLN","Sort=A","Dates=H","DateFormat=P","Fill=—","Direction=H","UseDPDF=Y")</f>
        <v>0</v>
      </c>
      <c r="G33" s="13">
        <f>_xll.BDH("XOM US Equity","CF_CASH_FOR_JOINT_VENTURES_ASSOC","FQ3 2009","FQ3 2009","Currency=USD","Period=FQ","BEST_FPERIOD_OVERRIDE=FQ","FILING_STATUS=OR","SCALING_FORMAT=MLN","Sort=A","Dates=H","DateFormat=P","Fill=—","Direction=H","UseDPDF=Y")</f>
        <v>0</v>
      </c>
      <c r="H33" s="13">
        <f>_xll.BDH("XOM US Equity","CF_CASH_FOR_JOINT_VENTURES_ASSOC","FQ4 2009","FQ4 2009","Currency=USD","Period=FQ","BEST_FPERIOD_OVERRIDE=FQ","FILING_STATUS=OR","SCALING_FORMAT=MLN","Sort=A","Dates=H","DateFormat=P","Fill=—","Direction=H","UseDPDF=Y")</f>
        <v>0</v>
      </c>
      <c r="I33" s="13">
        <f>_xll.BDH("XOM US Equity","CF_CASH_FOR_JOINT_VENTURES_ASSOC","FQ1 2010","FQ1 2010","Currency=USD","Period=FQ","BEST_FPERIOD_OVERRIDE=FQ","FILING_STATUS=OR","SCALING_FORMAT=MLN","Sort=A","Dates=H","DateFormat=P","Fill=—","Direction=H","UseDPDF=Y")</f>
        <v>0</v>
      </c>
      <c r="J33" s="13">
        <f>_xll.BDH("XOM US Equity","CF_CASH_FOR_JOINT_VENTURES_ASSOC","FQ2 2010","FQ2 2010","Currency=USD","Period=FQ","BEST_FPERIOD_OVERRIDE=FQ","FILING_STATUS=OR","SCALING_FORMAT=MLN","Sort=A","Dates=H","DateFormat=P","Fill=—","Direction=H","UseDPDF=Y")</f>
        <v>0</v>
      </c>
      <c r="K33" s="13">
        <f>_xll.BDH("XOM US Equity","CF_CASH_FOR_JOINT_VENTURES_ASSOC","FQ3 2010","FQ3 2010","Currency=USD","Period=FQ","BEST_FPERIOD_OVERRIDE=FQ","FILING_STATUS=OR","SCALING_FORMAT=MLN","Sort=A","Dates=H","DateFormat=P","Fill=—","Direction=H","UseDPDF=Y")</f>
        <v>0</v>
      </c>
      <c r="L33" s="13">
        <f>_xll.BDH("XOM US Equity","CF_CASH_FOR_JOINT_VENTURES_ASSOC","FQ4 2010","FQ4 2010","Currency=USD","Period=FQ","BEST_FPERIOD_OVERRIDE=FQ","FILING_STATUS=OR","SCALING_FORMAT=MLN","Sort=A","Dates=H","DateFormat=P","Fill=—","Direction=H","UseDPDF=Y")</f>
        <v>0</v>
      </c>
      <c r="M33" s="13">
        <f>_xll.BDH("XOM US Equity","CF_CASH_FOR_JOINT_VENTURES_ASSOC","FQ1 2011","FQ1 2011","Currency=USD","Period=FQ","BEST_FPERIOD_OVERRIDE=FQ","FILING_STATUS=OR","SCALING_FORMAT=MLN","Sort=A","Dates=H","DateFormat=P","Fill=—","Direction=H","UseDPDF=Y")</f>
        <v>0</v>
      </c>
      <c r="N33" s="13">
        <f>_xll.BDH("XOM US Equity","CF_CASH_FOR_JOINT_VENTURES_ASSOC","FQ2 2011","FQ2 2011","Currency=USD","Period=FQ","BEST_FPERIOD_OVERRIDE=FQ","FILING_STATUS=OR","SCALING_FORMAT=MLN","Sort=A","Dates=H","DateFormat=P","Fill=—","Direction=H","UseDPDF=Y")</f>
        <v>0</v>
      </c>
      <c r="O33" s="13">
        <f>_xll.BDH("XOM US Equity","CF_CASH_FOR_JOINT_VENTURES_ASSOC","FQ3 2011","FQ3 2011","Currency=USD","Period=FQ","BEST_FPERIOD_OVERRIDE=FQ","FILING_STATUS=OR","SCALING_FORMAT=MLN","Sort=A","Dates=H","DateFormat=P","Fill=—","Direction=H","UseDPDF=Y")</f>
        <v>0</v>
      </c>
      <c r="P33" s="13">
        <f>_xll.BDH("XOM US Equity","CF_CASH_FOR_JOINT_VENTURES_ASSOC","FQ4 2011","FQ4 2011","Currency=USD","Period=FQ","BEST_FPERIOD_OVERRIDE=FQ","FILING_STATUS=OR","SCALING_FORMAT=MLN","Sort=A","Dates=H","DateFormat=P","Fill=—","Direction=H","UseDPDF=Y")</f>
        <v>0</v>
      </c>
      <c r="Q33" s="13">
        <f>_xll.BDH("XOM US Equity","CF_CASH_FOR_JOINT_VENTURES_ASSOC","FQ1 2012","FQ1 2012","Currency=USD","Period=FQ","BEST_FPERIOD_OVERRIDE=FQ","FILING_STATUS=OR","SCALING_FORMAT=MLN","Sort=A","Dates=H","DateFormat=P","Fill=—","Direction=H","UseDPDF=Y")</f>
        <v>0</v>
      </c>
      <c r="R33" s="13">
        <f>_xll.BDH("XOM US Equity","CF_CASH_FOR_JOINT_VENTURES_ASSOC","FQ2 2012","FQ2 2012","Currency=USD","Period=FQ","BEST_FPERIOD_OVERRIDE=FQ","FILING_STATUS=OR","SCALING_FORMAT=MLN","Sort=A","Dates=H","DateFormat=P","Fill=—","Direction=H","UseDPDF=Y")</f>
        <v>0</v>
      </c>
      <c r="S33" s="13">
        <f>_xll.BDH("XOM US Equity","CF_CASH_FOR_JOINT_VENTURES_ASSOC","FQ3 2012","FQ3 2012","Currency=USD","Period=FQ","BEST_FPERIOD_OVERRIDE=FQ","FILING_STATUS=OR","SCALING_FORMAT=MLN","Sort=A","Dates=H","DateFormat=P","Fill=—","Direction=H","UseDPDF=Y")</f>
        <v>0</v>
      </c>
      <c r="T33" s="13">
        <f>_xll.BDH("XOM US Equity","CF_CASH_FOR_JOINT_VENTURES_ASSOC","FQ4 2012","FQ4 2012","Currency=USD","Period=FQ","BEST_FPERIOD_OVERRIDE=FQ","FILING_STATUS=OR","SCALING_FORMAT=MLN","Sort=A","Dates=H","DateFormat=P","Fill=—","Direction=H","UseDPDF=Y")</f>
        <v>0</v>
      </c>
      <c r="U33" s="13">
        <f>_xll.BDH("XOM US Equity","CF_CASH_FOR_JOINT_VENTURES_ASSOC","FQ1 2013","FQ1 2013","Currency=USD","Period=FQ","BEST_FPERIOD_OVERRIDE=FQ","FILING_STATUS=OR","SCALING_FORMAT=MLN","Sort=A","Dates=H","DateFormat=P","Fill=—","Direction=H","UseDPDF=Y")</f>
        <v>0</v>
      </c>
      <c r="V33" s="13">
        <f>_xll.BDH("XOM US Equity","CF_CASH_FOR_JOINT_VENTURES_ASSOC","FQ2 2013","FQ2 2013","Currency=USD","Period=FQ","BEST_FPERIOD_OVERRIDE=FQ","FILING_STATUS=OR","SCALING_FORMAT=MLN","Sort=A","Dates=H","DateFormat=P","Fill=—","Direction=H","UseDPDF=Y")</f>
        <v>0</v>
      </c>
      <c r="W33" s="13">
        <f>_xll.BDH("XOM US Equity","CF_CASH_FOR_JOINT_VENTURES_ASSOC","FQ3 2013","FQ3 2013","Currency=USD","Period=FQ","BEST_FPERIOD_OVERRIDE=FQ","FILING_STATUS=OR","SCALING_FORMAT=MLN","Sort=A","Dates=H","DateFormat=P","Fill=—","Direction=H","UseDPDF=Y")</f>
        <v>0</v>
      </c>
      <c r="X33" s="13">
        <f>_xll.BDH("XOM US Equity","CF_CASH_FOR_JOINT_VENTURES_ASSOC","FQ4 2013","FQ4 2013","Currency=USD","Period=FQ","BEST_FPERIOD_OVERRIDE=FQ","FILING_STATUS=OR","SCALING_FORMAT=MLN","Sort=A","Dates=H","DateFormat=P","Fill=—","Direction=H","UseDPDF=Y")</f>
        <v>0</v>
      </c>
      <c r="Y33" s="13">
        <f>_xll.BDH("XOM US Equity","CF_CASH_FOR_JOINT_VENTURES_ASSOC","FQ1 2014","FQ1 2014","Currency=USD","Period=FQ","BEST_FPERIOD_OVERRIDE=FQ","FILING_STATUS=OR","SCALING_FORMAT=MLN","Sort=A","Dates=H","DateFormat=P","Fill=—","Direction=H","UseDPDF=Y")</f>
        <v>0</v>
      </c>
      <c r="Z33" s="13">
        <f>_xll.BDH("XOM US Equity","CF_CASH_FOR_JOINT_VENTURES_ASSOC","FQ2 2014","FQ2 2014","Currency=USD","Period=FQ","BEST_FPERIOD_OVERRIDE=FQ","FILING_STATUS=OR","SCALING_FORMAT=MLN","Sort=A","Dates=H","DateFormat=P","Fill=—","Direction=H","UseDPDF=Y")</f>
        <v>0</v>
      </c>
      <c r="AA33" s="13">
        <f>_xll.BDH("XOM US Equity","CF_CASH_FOR_JOINT_VENTURES_ASSOC","FQ3 2014","FQ3 2014","Currency=USD","Period=FQ","BEST_FPERIOD_OVERRIDE=FQ","FILING_STATUS=OR","SCALING_FORMAT=MLN","Sort=A","Dates=H","DateFormat=P","Fill=—","Direction=H","UseDPDF=Y")</f>
        <v>0</v>
      </c>
      <c r="AB33" s="13">
        <f>_xll.BDH("XOM US Equity","CF_CASH_FOR_JOINT_VENTURES_ASSOC","FQ4 2014","FQ4 2014","Currency=USD","Period=FQ","BEST_FPERIOD_OVERRIDE=FQ","FILING_STATUS=OR","SCALING_FORMAT=MLN","Sort=A","Dates=H","DateFormat=P","Fill=—","Direction=H","UseDPDF=Y")</f>
        <v>0</v>
      </c>
      <c r="AC33" s="13">
        <f>_xll.BDH("XOM US Equity","CF_CASH_FOR_JOINT_VENTURES_ASSOC","FQ1 2015","FQ1 2015","Currency=USD","Period=FQ","BEST_FPERIOD_OVERRIDE=FQ","FILING_STATUS=OR","SCALING_FORMAT=MLN","Sort=A","Dates=H","DateFormat=P","Fill=—","Direction=H","UseDPDF=Y")</f>
        <v>0</v>
      </c>
      <c r="AD33" s="13">
        <f>_xll.BDH("XOM US Equity","CF_CASH_FOR_JOINT_VENTURES_ASSOC","FQ2 2015","FQ2 2015","Currency=USD","Period=FQ","BEST_FPERIOD_OVERRIDE=FQ","FILING_STATUS=OR","SCALING_FORMAT=MLN","Sort=A","Dates=H","DateFormat=P","Fill=—","Direction=H","UseDPDF=Y")</f>
        <v>0</v>
      </c>
      <c r="AE33" s="13">
        <f>_xll.BDH("XOM US Equity","CF_CASH_FOR_JOINT_VENTURES_ASSOC","FQ3 2015","FQ3 2015","Currency=USD","Period=FQ","BEST_FPERIOD_OVERRIDE=FQ","FILING_STATUS=OR","SCALING_FORMAT=MLN","Sort=A","Dates=H","DateFormat=P","Fill=—","Direction=H","UseDPDF=Y")</f>
        <v>0</v>
      </c>
      <c r="AF33" s="13">
        <f>_xll.BDH("XOM US Equity","CF_CASH_FOR_JOINT_VENTURES_ASSOC","FQ4 2015","FQ4 2015","Currency=USD","Period=FQ","BEST_FPERIOD_OVERRIDE=FQ","FILING_STATUS=OR","SCALING_FORMAT=MLN","Sort=A","Dates=H","DateFormat=P","Fill=—","Direction=H","UseDPDF=Y")</f>
        <v>0</v>
      </c>
      <c r="AG33" s="13">
        <f>_xll.BDH("XOM US Equity","CF_CASH_FOR_JOINT_VENTURES_ASSOC","FQ1 2016","FQ1 2016","Currency=USD","Period=FQ","BEST_FPERIOD_OVERRIDE=FQ","FILING_STATUS=OR","SCALING_FORMAT=MLN","Sort=A","Dates=H","DateFormat=P","Fill=—","Direction=H","UseDPDF=Y")</f>
        <v>0</v>
      </c>
      <c r="AH33" s="13">
        <f>_xll.BDH("XOM US Equity","CF_CASH_FOR_JOINT_VENTURES_ASSOC","FQ2 2016","FQ2 2016","Currency=USD","Period=FQ","BEST_FPERIOD_OVERRIDE=FQ","FILING_STATUS=OR","SCALING_FORMAT=MLN","Sort=A","Dates=H","DateFormat=P","Fill=—","Direction=H","UseDPDF=Y")</f>
        <v>0</v>
      </c>
      <c r="AI33" s="13">
        <f>_xll.BDH("XOM US Equity","CF_CASH_FOR_JOINT_VENTURES_ASSOC","FQ3 2016","FQ3 2016","Currency=USD","Period=FQ","BEST_FPERIOD_OVERRIDE=FQ","FILING_STATUS=OR","SCALING_FORMAT=MLN","Sort=A","Dates=H","DateFormat=P","Fill=—","Direction=H","UseDPDF=Y")</f>
        <v>0</v>
      </c>
      <c r="AJ33" s="13">
        <f>_xll.BDH("XOM US Equity","CF_CASH_FOR_JOINT_VENTURES_ASSOC","FQ4 2016","FQ4 2016","Currency=USD","Period=FQ","BEST_FPERIOD_OVERRIDE=FQ","FILING_STATUS=OR","SCALING_FORMAT=MLN","Sort=A","Dates=H","DateFormat=P","Fill=—","Direction=H","UseDPDF=Y")</f>
        <v>0</v>
      </c>
      <c r="AK33" s="13">
        <f>_xll.BDH("XOM US Equity","CF_CASH_FOR_JOINT_VENTURES_ASSOC","FQ1 2017","FQ1 2017","Currency=USD","Period=FQ","BEST_FPERIOD_OVERRIDE=FQ","FILING_STATUS=OR","SCALING_FORMAT=MLN","Sort=A","Dates=H","DateFormat=P","Fill=—","Direction=H","UseDPDF=Y")</f>
        <v>0</v>
      </c>
      <c r="AL33" s="13">
        <f>_xll.BDH("XOM US Equity","CF_CASH_FOR_JOINT_VENTURES_ASSOC","FQ2 2017","FQ2 2017","Currency=USD","Period=FQ","BEST_FPERIOD_OVERRIDE=FQ","FILING_STATUS=OR","SCALING_FORMAT=MLN","Sort=A","Dates=H","DateFormat=P","Fill=—","Direction=H","UseDPDF=Y")</f>
        <v>0</v>
      </c>
      <c r="AM33" s="13">
        <f>_xll.BDH("XOM US Equity","CF_CASH_FOR_JOINT_VENTURES_ASSOC","FQ3 2017","FQ3 2017","Currency=USD","Period=FQ","BEST_FPERIOD_OVERRIDE=FQ","FILING_STATUS=OR","SCALING_FORMAT=MLN","Sort=A","Dates=H","DateFormat=P","Fill=—","Direction=H","UseDPDF=Y")</f>
        <v>0</v>
      </c>
      <c r="AN33" s="13">
        <f>_xll.BDH("XOM US Equity","CF_CASH_FOR_JOINT_VENTURES_ASSOC","FQ4 2017","FQ4 2017","Currency=USD","Period=FQ","BEST_FPERIOD_OVERRIDE=FQ","FILING_STATUS=OR","SCALING_FORMAT=MLN","Sort=A","Dates=H","DateFormat=P","Fill=—","Direction=H","UseDPDF=Y")</f>
        <v>0</v>
      </c>
      <c r="AO33" s="13">
        <f>_xll.BDH("XOM US Equity","CF_CASH_FOR_JOINT_VENTURES_ASSOC","FQ1 2018","FQ1 2018","Currency=USD","Period=FQ","BEST_FPERIOD_OVERRIDE=FQ","FILING_STATUS=OR","SCALING_FORMAT=MLN","Sort=A","Dates=H","DateFormat=P","Fill=—","Direction=H","UseDPDF=Y")</f>
        <v>0</v>
      </c>
      <c r="AP33" s="13">
        <f>_xll.BDH("XOM US Equity","CF_CASH_FOR_JOINT_VENTURES_ASSOC","FQ2 2018","FQ2 2018","Currency=USD","Period=FQ","BEST_FPERIOD_OVERRIDE=FQ","FILING_STATUS=OR","SCALING_FORMAT=MLN","Sort=A","Dates=H","DateFormat=P","Fill=—","Direction=H","UseDPDF=Y")</f>
        <v>0</v>
      </c>
    </row>
    <row r="34" spans="1:42" x14ac:dyDescent="0.25">
      <c r="A34" s="10" t="s">
        <v>412</v>
      </c>
      <c r="B34" s="10" t="s">
        <v>413</v>
      </c>
      <c r="C34" s="13">
        <f>_xll.BDH("XOM US Equity","OTHER_INVESTING_ACT_DETAILED","FQ3 2008","FQ3 2008","Currency=USD","Period=FQ","BEST_FPERIOD_OVERRIDE=FQ","FILING_STATUS=OR","SCALING_FORMAT=MLN","Sort=A","Dates=H","DateFormat=P","Fill=—","Direction=H","UseDPDF=Y")</f>
        <v>-1592</v>
      </c>
      <c r="D34" s="13">
        <f>_xll.BDH("XOM US Equity","OTHER_INVESTING_ACT_DETAILED","FQ4 2008","FQ4 2008","Currency=USD","Period=FQ","BEST_FPERIOD_OVERRIDE=FQ","FILING_STATUS=OR","SCALING_FORMAT=MLN","Sort=A","Dates=H","DateFormat=P","Fill=—","Direction=H","UseDPDF=Y")</f>
        <v>1160</v>
      </c>
      <c r="E34" s="13">
        <f>_xll.BDH("XOM US Equity","OTHER_INVESTING_ACT_DETAILED","FQ1 2009","FQ1 2009","Currency=USD","Period=FQ","BEST_FPERIOD_OVERRIDE=FQ","FILING_STATUS=OR","SCALING_FORMAT=MLN","Sort=A","Dates=H","DateFormat=P","Fill=—","Direction=H","UseDPDF=Y")</f>
        <v>-208</v>
      </c>
      <c r="F34" s="13">
        <f>_xll.BDH("XOM US Equity","OTHER_INVESTING_ACT_DETAILED","FQ2 2009","FQ2 2009","Currency=USD","Period=FQ","BEST_FPERIOD_OVERRIDE=FQ","FILING_STATUS=OR","SCALING_FORMAT=MLN","Sort=A","Dates=H","DateFormat=P","Fill=—","Direction=H","UseDPDF=Y")</f>
        <v>-178</v>
      </c>
      <c r="G34" s="13">
        <f>_xll.BDH("XOM US Equity","OTHER_INVESTING_ACT_DETAILED","FQ3 2009","FQ3 2009","Currency=USD","Period=FQ","BEST_FPERIOD_OVERRIDE=FQ","FILING_STATUS=OR","SCALING_FORMAT=MLN","Sort=A","Dates=H","DateFormat=P","Fill=—","Direction=H","UseDPDF=Y")</f>
        <v>-966</v>
      </c>
      <c r="H34" s="13">
        <f>_xll.BDH("XOM US Equity","OTHER_INVESTING_ACT_DETAILED","FQ4 2009","FQ4 2009","Currency=USD","Period=FQ","BEST_FPERIOD_OVERRIDE=FQ","FILING_STATUS=OR","SCALING_FORMAT=MLN","Sort=A","Dates=H","DateFormat=P","Fill=—","Direction=H","UseDPDF=Y")</f>
        <v>-676</v>
      </c>
      <c r="I34" s="13">
        <f>_xll.BDH("XOM US Equity","OTHER_INVESTING_ACT_DETAILED","FQ1 2010","FQ1 2010","Currency=USD","Period=FQ","BEST_FPERIOD_OVERRIDE=FQ","FILING_STATUS=OR","SCALING_FORMAT=MLN","Sort=A","Dates=H","DateFormat=P","Fill=—","Direction=H","UseDPDF=Y")</f>
        <v>165</v>
      </c>
      <c r="J34" s="13">
        <f>_xll.BDH("XOM US Equity","OTHER_INVESTING_ACT_DETAILED","FQ2 2010","FQ2 2010","Currency=USD","Period=FQ","BEST_FPERIOD_OVERRIDE=FQ","FILING_STATUS=OR","SCALING_FORMAT=MLN","Sort=A","Dates=H","DateFormat=P","Fill=—","Direction=H","UseDPDF=Y")</f>
        <v>138</v>
      </c>
      <c r="K34" s="13">
        <f>_xll.BDH("XOM US Equity","OTHER_INVESTING_ACT_DETAILED","FQ3 2010","FQ3 2010","Currency=USD","Period=FQ","BEST_FPERIOD_OVERRIDE=FQ","FILING_STATUS=OR","SCALING_FORMAT=MLN","Sort=A","Dates=H","DateFormat=P","Fill=—","Direction=H","UseDPDF=Y")</f>
        <v>167</v>
      </c>
      <c r="L34" s="13">
        <f>_xll.BDH("XOM US Equity","OTHER_INVESTING_ACT_DETAILED","FQ4 2010","FQ4 2010","Currency=USD","Period=FQ","BEST_FPERIOD_OVERRIDE=FQ","FILING_STATUS=OR","SCALING_FORMAT=MLN","Sort=A","Dates=H","DateFormat=P","Fill=—","Direction=H","UseDPDF=Y")</f>
        <v>-1204</v>
      </c>
      <c r="M34" s="13">
        <f>_xll.BDH("XOM US Equity","OTHER_INVESTING_ACT_DETAILED","FQ1 2011","FQ1 2011","Currency=USD","Period=FQ","BEST_FPERIOD_OVERRIDE=FQ","FILING_STATUS=OR","SCALING_FORMAT=MLN","Sort=A","Dates=H","DateFormat=P","Fill=—","Direction=H","UseDPDF=Y")</f>
        <v>357</v>
      </c>
      <c r="N34" s="13">
        <f>_xll.BDH("XOM US Equity","OTHER_INVESTING_ACT_DETAILED","FQ2 2011","FQ2 2011","Currency=USD","Period=FQ","BEST_FPERIOD_OVERRIDE=FQ","FILING_STATUS=OR","SCALING_FORMAT=MLN","Sort=A","Dates=H","DateFormat=P","Fill=—","Direction=H","UseDPDF=Y")</f>
        <v>-2435</v>
      </c>
      <c r="O34" s="13">
        <f>_xll.BDH("XOM US Equity","OTHER_INVESTING_ACT_DETAILED","FQ3 2011","FQ3 2011","Currency=USD","Period=FQ","BEST_FPERIOD_OVERRIDE=FQ","FILING_STATUS=OR","SCALING_FORMAT=MLN","Sort=A","Dates=H","DateFormat=P","Fill=—","Direction=H","UseDPDF=Y")</f>
        <v>100</v>
      </c>
      <c r="P34" s="13">
        <f>_xll.BDH("XOM US Equity","OTHER_INVESTING_ACT_DETAILED","FQ4 2011","FQ4 2011","Currency=USD","Period=FQ","BEST_FPERIOD_OVERRIDE=FQ","FILING_STATUS=OR","SCALING_FORMAT=MLN","Sort=A","Dates=H","DateFormat=P","Fill=—","Direction=H","UseDPDF=Y")</f>
        <v>-265</v>
      </c>
      <c r="Q34" s="13">
        <f>_xll.BDH("XOM US Equity","OTHER_INVESTING_ACT_DETAILED","FQ1 2012","FQ1 2012","Currency=USD","Period=FQ","BEST_FPERIOD_OVERRIDE=FQ","FILING_STATUS=OR","SCALING_FORMAT=MLN","Sort=A","Dates=H","DateFormat=P","Fill=—","Direction=H","UseDPDF=Y")</f>
        <v>-21</v>
      </c>
      <c r="R34" s="13">
        <f>_xll.BDH("XOM US Equity","OTHER_INVESTING_ACT_DETAILED","FQ2 2012","FQ2 2012","Currency=USD","Period=FQ","BEST_FPERIOD_OVERRIDE=FQ","FILING_STATUS=OR","SCALING_FORMAT=MLN","Sort=A","Dates=H","DateFormat=P","Fill=—","Direction=H","UseDPDF=Y")</f>
        <v>859</v>
      </c>
      <c r="S34" s="13">
        <f>_xll.BDH("XOM US Equity","OTHER_INVESTING_ACT_DETAILED","FQ3 2012","FQ3 2012","Currency=USD","Period=FQ","BEST_FPERIOD_OVERRIDE=FQ","FILING_STATUS=OR","SCALING_FORMAT=MLN","Sort=A","Dates=H","DateFormat=P","Fill=—","Direction=H","UseDPDF=Y")</f>
        <v>-73</v>
      </c>
      <c r="T34" s="13">
        <f>_xll.BDH("XOM US Equity","OTHER_INVESTING_ACT_DETAILED","FQ4 2012","FQ4 2012","Currency=USD","Period=FQ","BEST_FPERIOD_OVERRIDE=FQ","FILING_STATUS=OR","SCALING_FORMAT=MLN","Sort=A","Dates=H","DateFormat=P","Fill=—","Direction=H","UseDPDF=Y")</f>
        <v>250</v>
      </c>
      <c r="U34" s="13">
        <f>_xll.BDH("XOM US Equity","OTHER_INVESTING_ACT_DETAILED","FQ1 2013","FQ1 2013","Currency=USD","Period=FQ","BEST_FPERIOD_OVERRIDE=FQ","FILING_STATUS=OR","SCALING_FORMAT=MLN","Sort=A","Dates=H","DateFormat=P","Fill=—","Direction=H","UseDPDF=Y")</f>
        <v>-2920</v>
      </c>
      <c r="V34" s="13">
        <f>_xll.BDH("XOM US Equity","OTHER_INVESTING_ACT_DETAILED","FQ2 2013","FQ2 2013","Currency=USD","Period=FQ","BEST_FPERIOD_OVERRIDE=FQ","FILING_STATUS=OR","SCALING_FORMAT=MLN","Sort=A","Dates=H","DateFormat=P","Fill=—","Direction=H","UseDPDF=Y")</f>
        <v>-147</v>
      </c>
      <c r="W34" s="13">
        <f>_xll.BDH("XOM US Equity","OTHER_INVESTING_ACT_DETAILED","FQ3 2013","FQ3 2013","Currency=USD","Period=FQ","BEST_FPERIOD_OVERRIDE=FQ","FILING_STATUS=OR","SCALING_FORMAT=MLN","Sort=A","Dates=H","DateFormat=P","Fill=—","Direction=H","UseDPDF=Y")</f>
        <v>-50</v>
      </c>
      <c r="X34" s="13">
        <f>_xll.BDH("XOM US Equity","OTHER_INVESTING_ACT_DETAILED","FQ4 2013","FQ4 2013","Currency=USD","Period=FQ","BEST_FPERIOD_OVERRIDE=FQ","FILING_STATUS=OR","SCALING_FORMAT=MLN","Sort=A","Dates=H","DateFormat=P","Fill=—","Direction=H","UseDPDF=Y")</f>
        <v>-122</v>
      </c>
      <c r="Y34" s="13">
        <f>_xll.BDH("XOM US Equity","OTHER_INVESTING_ACT_DETAILED","FQ1 2014","FQ1 2014","Currency=USD","Period=FQ","BEST_FPERIOD_OVERRIDE=FQ","FILING_STATUS=OR","SCALING_FORMAT=MLN","Sort=A","Dates=H","DateFormat=P","Fill=—","Direction=H","UseDPDF=Y")</f>
        <v>-89</v>
      </c>
      <c r="Z34" s="13">
        <f>_xll.BDH("XOM US Equity","OTHER_INVESTING_ACT_DETAILED","FQ2 2014","FQ2 2014","Currency=USD","Period=FQ","BEST_FPERIOD_OVERRIDE=FQ","FILING_STATUS=OR","SCALING_FORMAT=MLN","Sort=A","Dates=H","DateFormat=P","Fill=—","Direction=H","UseDPDF=Y")</f>
        <v>1809</v>
      </c>
      <c r="AA34" s="13">
        <f>_xll.BDH("XOM US Equity","OTHER_INVESTING_ACT_DETAILED","FQ3 2014","FQ3 2014","Currency=USD","Period=FQ","BEST_FPERIOD_OVERRIDE=FQ","FILING_STATUS=OR","SCALING_FORMAT=MLN","Sort=A","Dates=H","DateFormat=P","Fill=—","Direction=H","UseDPDF=Y")</f>
        <v>426</v>
      </c>
      <c r="AB34" s="13">
        <f>_xll.BDH("XOM US Equity","OTHER_INVESTING_ACT_DETAILED","FQ4 2014","FQ4 2014","Currency=USD","Period=FQ","BEST_FPERIOD_OVERRIDE=FQ","FILING_STATUS=OR","SCALING_FORMAT=MLN","Sort=A","Dates=H","DateFormat=P","Fill=—","Direction=H","UseDPDF=Y")</f>
        <v>-204</v>
      </c>
      <c r="AC34" s="13">
        <f>_xll.BDH("XOM US Equity","OTHER_INVESTING_ACT_DETAILED","FQ1 2015","FQ1 2015","Currency=USD","Period=FQ","BEST_FPERIOD_OVERRIDE=FQ","FILING_STATUS=OR","SCALING_FORMAT=MLN","Sort=A","Dates=H","DateFormat=P","Fill=—","Direction=H","UseDPDF=Y")</f>
        <v>8</v>
      </c>
      <c r="AD34" s="13">
        <f>_xll.BDH("XOM US Equity","OTHER_INVESTING_ACT_DETAILED","FQ2 2015","FQ2 2015","Currency=USD","Period=FQ","BEST_FPERIOD_OVERRIDE=FQ","FILING_STATUS=OR","SCALING_FORMAT=MLN","Sort=A","Dates=H","DateFormat=P","Fill=—","Direction=H","UseDPDF=Y")</f>
        <v>-11</v>
      </c>
      <c r="AE34" s="13">
        <f>_xll.BDH("XOM US Equity","OTHER_INVESTING_ACT_DETAILED","FQ3 2015","FQ3 2015","Currency=USD","Period=FQ","BEST_FPERIOD_OVERRIDE=FQ","FILING_STATUS=OR","SCALING_FORMAT=MLN","Sort=A","Dates=H","DateFormat=P","Fill=—","Direction=H","UseDPDF=Y")</f>
        <v>253</v>
      </c>
      <c r="AF34" s="13">
        <f>_xll.BDH("XOM US Equity","OTHER_INVESTING_ACT_DETAILED","FQ4 2015","FQ4 2015","Currency=USD","Period=FQ","BEST_FPERIOD_OVERRIDE=FQ","FILING_STATUS=OR","SCALING_FORMAT=MLN","Sort=A","Dates=H","DateFormat=P","Fill=—","Direction=H","UseDPDF=Y")</f>
        <v>27</v>
      </c>
      <c r="AG34" s="13">
        <f>_xll.BDH("XOM US Equity","OTHER_INVESTING_ACT_DETAILED","FQ1 2016","FQ1 2016","Currency=USD","Period=FQ","BEST_FPERIOD_OVERRIDE=FQ","FILING_STATUS=OR","SCALING_FORMAT=MLN","Sort=A","Dates=H","DateFormat=P","Fill=—","Direction=H","UseDPDF=Y")</f>
        <v>75</v>
      </c>
      <c r="AH34" s="13">
        <f>_xll.BDH("XOM US Equity","OTHER_INVESTING_ACT_DETAILED","FQ2 2016","FQ2 2016","Currency=USD","Period=FQ","BEST_FPERIOD_OVERRIDE=FQ","FILING_STATUS=OR","SCALING_FORMAT=MLN","Sort=A","Dates=H","DateFormat=P","Fill=—","Direction=H","UseDPDF=Y")</f>
        <v>95</v>
      </c>
      <c r="AI34" s="13">
        <f>_xll.BDH("XOM US Equity","OTHER_INVESTING_ACT_DETAILED","FQ3 2016","FQ3 2016","Currency=USD","Period=FQ","BEST_FPERIOD_OVERRIDE=FQ","FILING_STATUS=OR","SCALING_FORMAT=MLN","Sort=A","Dates=H","DateFormat=P","Fill=—","Direction=H","UseDPDF=Y")</f>
        <v>-807</v>
      </c>
      <c r="AJ34" s="13">
        <f>_xll.BDH("XOM US Equity","OTHER_INVESTING_ACT_DETAILED","FQ4 2016","FQ4 2016","Currency=USD","Period=FQ","BEST_FPERIOD_OVERRIDE=FQ","FILING_STATUS=OR","SCALING_FORMAT=MLN","Sort=A","Dates=H","DateFormat=P","Fill=—","Direction=H","UseDPDF=Y")</f>
        <v>122</v>
      </c>
      <c r="AK34" s="13">
        <f>_xll.BDH("XOM US Equity","OTHER_INVESTING_ACT_DETAILED","FQ1 2017","FQ1 2017","Currency=USD","Period=FQ","BEST_FPERIOD_OVERRIDE=FQ","FILING_STATUS=OR","SCALING_FORMAT=MLN","Sort=A","Dates=H","DateFormat=P","Fill=—","Direction=H","UseDPDF=Y")</f>
        <v>-1558</v>
      </c>
      <c r="AL34" s="13">
        <f>_xll.BDH("XOM US Equity","OTHER_INVESTING_ACT_DETAILED","FQ2 2017","FQ2 2017","Currency=USD","Period=FQ","BEST_FPERIOD_OVERRIDE=FQ","FILING_STATUS=OR","SCALING_FORMAT=MLN","Sort=A","Dates=H","DateFormat=P","Fill=—","Direction=H","UseDPDF=Y")</f>
        <v>66</v>
      </c>
      <c r="AM34" s="13">
        <f>_xll.BDH("XOM US Equity","OTHER_INVESTING_ACT_DETAILED","FQ3 2017","FQ3 2017","Currency=USD","Period=FQ","BEST_FPERIOD_OVERRIDE=FQ","FILING_STATUS=OR","SCALING_FORMAT=MLN","Sort=A","Dates=H","DateFormat=P","Fill=—","Direction=H","UseDPDF=Y")</f>
        <v>1504</v>
      </c>
      <c r="AN34" s="13">
        <f>_xll.BDH("XOM US Equity","OTHER_INVESTING_ACT_DETAILED","FQ4 2017","FQ4 2017","Currency=USD","Period=FQ","BEST_FPERIOD_OVERRIDE=FQ","FILING_STATUS=OR","SCALING_FORMAT=MLN","Sort=A","Dates=H","DateFormat=P","Fill=—","Direction=H","UseDPDF=Y")</f>
        <v>-3443</v>
      </c>
      <c r="AO34" s="13">
        <f>_xll.BDH("XOM US Equity","OTHER_INVESTING_ACT_DETAILED","FQ1 2018","FQ1 2018","Currency=USD","Period=FQ","BEST_FPERIOD_OVERRIDE=FQ","FILING_STATUS=OR","SCALING_FORMAT=MLN","Sort=A","Dates=H","DateFormat=P","Fill=—","Direction=H","UseDPDF=Y")</f>
        <v>49</v>
      </c>
      <c r="AP34" s="13">
        <f>_xll.BDH("XOM US Equity","OTHER_INVESTING_ACT_DETAILED","FQ2 2018","FQ2 2018","Currency=USD","Period=FQ","BEST_FPERIOD_OVERRIDE=FQ","FILING_STATUS=OR","SCALING_FORMAT=MLN","Sort=A","Dates=H","DateFormat=P","Fill=—","Direction=H","UseDPDF=Y")</f>
        <v>-476</v>
      </c>
    </row>
    <row r="35" spans="1:42" x14ac:dyDescent="0.25">
      <c r="A35" s="10" t="s">
        <v>380</v>
      </c>
      <c r="B35" s="10" t="s">
        <v>414</v>
      </c>
      <c r="C35" s="13" t="str">
        <f>_xll.BDH("XOM US Equity","CF_NET_CASH_DISCONTINUED_OPS_INV","FQ3 2008","FQ3 2008","Currency=USD","Period=FQ","BEST_FPERIOD_OVERRIDE=FQ","FILING_STATUS=OR","SCALING_FORMAT=MLN","Sort=A","Dates=H","DateFormat=P","Fill=—","Direction=H","UseDPDF=Y")</f>
        <v>—</v>
      </c>
      <c r="D35" s="13" t="str">
        <f>_xll.BDH("XOM US Equity","CF_NET_CASH_DISCONTINUED_OPS_INV","FQ4 2008","FQ4 2008","Currency=USD","Period=FQ","BEST_FPERIOD_OVERRIDE=FQ","FILING_STATUS=OR","SCALING_FORMAT=MLN","Sort=A","Dates=H","DateFormat=P","Fill=—","Direction=H","UseDPDF=Y")</f>
        <v>—</v>
      </c>
      <c r="E35" s="13">
        <f>_xll.BDH("XOM US Equity","CF_NET_CASH_DISCONTINUED_OPS_INV","FQ1 2009","FQ1 2009","Currency=USD","Period=FQ","BEST_FPERIOD_OVERRIDE=FQ","FILING_STATUS=OR","SCALING_FORMAT=MLN","Sort=A","Dates=H","DateFormat=P","Fill=—","Direction=H","UseDPDF=Y")</f>
        <v>0</v>
      </c>
      <c r="F35" s="13">
        <f>_xll.BDH("XOM US Equity","CF_NET_CASH_DISCONTINUED_OPS_INV","FQ2 2009","FQ2 2009","Currency=USD","Period=FQ","BEST_FPERIOD_OVERRIDE=FQ","FILING_STATUS=OR","SCALING_FORMAT=MLN","Sort=A","Dates=H","DateFormat=P","Fill=—","Direction=H","UseDPDF=Y")</f>
        <v>0</v>
      </c>
      <c r="G35" s="13">
        <f>_xll.BDH("XOM US Equity","CF_NET_CASH_DISCONTINUED_OPS_INV","FQ3 2009","FQ3 2009","Currency=USD","Period=FQ","BEST_FPERIOD_OVERRIDE=FQ","FILING_STATUS=OR","SCALING_FORMAT=MLN","Sort=A","Dates=H","DateFormat=P","Fill=—","Direction=H","UseDPDF=Y")</f>
        <v>0</v>
      </c>
      <c r="H35" s="13">
        <f>_xll.BDH("XOM US Equity","CF_NET_CASH_DISCONTINUED_OPS_INV","FQ4 2009","FQ4 2009","Currency=USD","Period=FQ","BEST_FPERIOD_OVERRIDE=FQ","FILING_STATUS=OR","SCALING_FORMAT=MLN","Sort=A","Dates=H","DateFormat=P","Fill=—","Direction=H","UseDPDF=Y")</f>
        <v>0</v>
      </c>
      <c r="I35" s="13">
        <f>_xll.BDH("XOM US Equity","CF_NET_CASH_DISCONTINUED_OPS_INV","FQ1 2010","FQ1 2010","Currency=USD","Period=FQ","BEST_FPERIOD_OVERRIDE=FQ","FILING_STATUS=OR","SCALING_FORMAT=MLN","Sort=A","Dates=H","DateFormat=P","Fill=—","Direction=H","UseDPDF=Y")</f>
        <v>0</v>
      </c>
      <c r="J35" s="13">
        <f>_xll.BDH("XOM US Equity","CF_NET_CASH_DISCONTINUED_OPS_INV","FQ2 2010","FQ2 2010","Currency=USD","Period=FQ","BEST_FPERIOD_OVERRIDE=FQ","FILING_STATUS=OR","SCALING_FORMAT=MLN","Sort=A","Dates=H","DateFormat=P","Fill=—","Direction=H","UseDPDF=Y")</f>
        <v>0</v>
      </c>
      <c r="K35" s="13">
        <f>_xll.BDH("XOM US Equity","CF_NET_CASH_DISCONTINUED_OPS_INV","FQ3 2010","FQ3 2010","Currency=USD","Period=FQ","BEST_FPERIOD_OVERRIDE=FQ","FILING_STATUS=OR","SCALING_FORMAT=MLN","Sort=A","Dates=H","DateFormat=P","Fill=—","Direction=H","UseDPDF=Y")</f>
        <v>0</v>
      </c>
      <c r="L35" s="13">
        <f>_xll.BDH("XOM US Equity","CF_NET_CASH_DISCONTINUED_OPS_INV","FQ4 2010","FQ4 2010","Currency=USD","Period=FQ","BEST_FPERIOD_OVERRIDE=FQ","FILING_STATUS=OR","SCALING_FORMAT=MLN","Sort=A","Dates=H","DateFormat=P","Fill=—","Direction=H","UseDPDF=Y")</f>
        <v>0</v>
      </c>
      <c r="M35" s="13">
        <f>_xll.BDH("XOM US Equity","CF_NET_CASH_DISCONTINUED_OPS_INV","FQ1 2011","FQ1 2011","Currency=USD","Period=FQ","BEST_FPERIOD_OVERRIDE=FQ","FILING_STATUS=OR","SCALING_FORMAT=MLN","Sort=A","Dates=H","DateFormat=P","Fill=—","Direction=H","UseDPDF=Y")</f>
        <v>0</v>
      </c>
      <c r="N35" s="13">
        <f>_xll.BDH("XOM US Equity","CF_NET_CASH_DISCONTINUED_OPS_INV","FQ2 2011","FQ2 2011","Currency=USD","Period=FQ","BEST_FPERIOD_OVERRIDE=FQ","FILING_STATUS=OR","SCALING_FORMAT=MLN","Sort=A","Dates=H","DateFormat=P","Fill=—","Direction=H","UseDPDF=Y")</f>
        <v>0</v>
      </c>
      <c r="O35" s="13">
        <f>_xll.BDH("XOM US Equity","CF_NET_CASH_DISCONTINUED_OPS_INV","FQ3 2011","FQ3 2011","Currency=USD","Period=FQ","BEST_FPERIOD_OVERRIDE=FQ","FILING_STATUS=OR","SCALING_FORMAT=MLN","Sort=A","Dates=H","DateFormat=P","Fill=—","Direction=H","UseDPDF=Y")</f>
        <v>0</v>
      </c>
      <c r="P35" s="13">
        <f>_xll.BDH("XOM US Equity","CF_NET_CASH_DISCONTINUED_OPS_INV","FQ4 2011","FQ4 2011","Currency=USD","Period=FQ","BEST_FPERIOD_OVERRIDE=FQ","FILING_STATUS=OR","SCALING_FORMAT=MLN","Sort=A","Dates=H","DateFormat=P","Fill=—","Direction=H","UseDPDF=Y")</f>
        <v>0</v>
      </c>
      <c r="Q35" s="13">
        <f>_xll.BDH("XOM US Equity","CF_NET_CASH_DISCONTINUED_OPS_INV","FQ1 2012","FQ1 2012","Currency=USD","Period=FQ","BEST_FPERIOD_OVERRIDE=FQ","FILING_STATUS=OR","SCALING_FORMAT=MLN","Sort=A","Dates=H","DateFormat=P","Fill=—","Direction=H","UseDPDF=Y")</f>
        <v>0</v>
      </c>
      <c r="R35" s="13">
        <f>_xll.BDH("XOM US Equity","CF_NET_CASH_DISCONTINUED_OPS_INV","FQ2 2012","FQ2 2012","Currency=USD","Period=FQ","BEST_FPERIOD_OVERRIDE=FQ","FILING_STATUS=OR","SCALING_FORMAT=MLN","Sort=A","Dates=H","DateFormat=P","Fill=—","Direction=H","UseDPDF=Y")</f>
        <v>0</v>
      </c>
      <c r="S35" s="13">
        <f>_xll.BDH("XOM US Equity","CF_NET_CASH_DISCONTINUED_OPS_INV","FQ3 2012","FQ3 2012","Currency=USD","Period=FQ","BEST_FPERIOD_OVERRIDE=FQ","FILING_STATUS=OR","SCALING_FORMAT=MLN","Sort=A","Dates=H","DateFormat=P","Fill=—","Direction=H","UseDPDF=Y")</f>
        <v>0</v>
      </c>
      <c r="T35" s="13">
        <f>_xll.BDH("XOM US Equity","CF_NET_CASH_DISCONTINUED_OPS_INV","FQ4 2012","FQ4 2012","Currency=USD","Period=FQ","BEST_FPERIOD_OVERRIDE=FQ","FILING_STATUS=OR","SCALING_FORMAT=MLN","Sort=A","Dates=H","DateFormat=P","Fill=—","Direction=H","UseDPDF=Y")</f>
        <v>0</v>
      </c>
      <c r="U35" s="13">
        <f>_xll.BDH("XOM US Equity","CF_NET_CASH_DISCONTINUED_OPS_INV","FQ1 2013","FQ1 2013","Currency=USD","Period=FQ","BEST_FPERIOD_OVERRIDE=FQ","FILING_STATUS=OR","SCALING_FORMAT=MLN","Sort=A","Dates=H","DateFormat=P","Fill=—","Direction=H","UseDPDF=Y")</f>
        <v>0</v>
      </c>
      <c r="V35" s="13">
        <f>_xll.BDH("XOM US Equity","CF_NET_CASH_DISCONTINUED_OPS_INV","FQ2 2013","FQ2 2013","Currency=USD","Period=FQ","BEST_FPERIOD_OVERRIDE=FQ","FILING_STATUS=OR","SCALING_FORMAT=MLN","Sort=A","Dates=H","DateFormat=P","Fill=—","Direction=H","UseDPDF=Y")</f>
        <v>0</v>
      </c>
      <c r="W35" s="13">
        <f>_xll.BDH("XOM US Equity","CF_NET_CASH_DISCONTINUED_OPS_INV","FQ3 2013","FQ3 2013","Currency=USD","Period=FQ","BEST_FPERIOD_OVERRIDE=FQ","FILING_STATUS=OR","SCALING_FORMAT=MLN","Sort=A","Dates=H","DateFormat=P","Fill=—","Direction=H","UseDPDF=Y")</f>
        <v>0</v>
      </c>
      <c r="X35" s="13">
        <f>_xll.BDH("XOM US Equity","CF_NET_CASH_DISCONTINUED_OPS_INV","FQ4 2013","FQ4 2013","Currency=USD","Period=FQ","BEST_FPERIOD_OVERRIDE=FQ","FILING_STATUS=OR","SCALING_FORMAT=MLN","Sort=A","Dates=H","DateFormat=P","Fill=—","Direction=H","UseDPDF=Y")</f>
        <v>0</v>
      </c>
      <c r="Y35" s="13">
        <f>_xll.BDH("XOM US Equity","CF_NET_CASH_DISCONTINUED_OPS_INV","FQ1 2014","FQ1 2014","Currency=USD","Period=FQ","BEST_FPERIOD_OVERRIDE=FQ","FILING_STATUS=OR","SCALING_FORMAT=MLN","Sort=A","Dates=H","DateFormat=P","Fill=—","Direction=H","UseDPDF=Y")</f>
        <v>0</v>
      </c>
      <c r="Z35" s="13">
        <f>_xll.BDH("XOM US Equity","CF_NET_CASH_DISCONTINUED_OPS_INV","FQ2 2014","FQ2 2014","Currency=USD","Period=FQ","BEST_FPERIOD_OVERRIDE=FQ","FILING_STATUS=OR","SCALING_FORMAT=MLN","Sort=A","Dates=H","DateFormat=P","Fill=—","Direction=H","UseDPDF=Y")</f>
        <v>0</v>
      </c>
      <c r="AA35" s="13">
        <f>_xll.BDH("XOM US Equity","CF_NET_CASH_DISCONTINUED_OPS_INV","FQ3 2014","FQ3 2014","Currency=USD","Period=FQ","BEST_FPERIOD_OVERRIDE=FQ","FILING_STATUS=OR","SCALING_FORMAT=MLN","Sort=A","Dates=H","DateFormat=P","Fill=—","Direction=H","UseDPDF=Y")</f>
        <v>0</v>
      </c>
      <c r="AB35" s="13">
        <f>_xll.BDH("XOM US Equity","CF_NET_CASH_DISCONTINUED_OPS_INV","FQ4 2014","FQ4 2014","Currency=USD","Period=FQ","BEST_FPERIOD_OVERRIDE=FQ","FILING_STATUS=OR","SCALING_FORMAT=MLN","Sort=A","Dates=H","DateFormat=P","Fill=—","Direction=H","UseDPDF=Y")</f>
        <v>0</v>
      </c>
      <c r="AC35" s="13">
        <f>_xll.BDH("XOM US Equity","CF_NET_CASH_DISCONTINUED_OPS_INV","FQ1 2015","FQ1 2015","Currency=USD","Period=FQ","BEST_FPERIOD_OVERRIDE=FQ","FILING_STATUS=OR","SCALING_FORMAT=MLN","Sort=A","Dates=H","DateFormat=P","Fill=—","Direction=H","UseDPDF=Y")</f>
        <v>0</v>
      </c>
      <c r="AD35" s="13">
        <f>_xll.BDH("XOM US Equity","CF_NET_CASH_DISCONTINUED_OPS_INV","FQ2 2015","FQ2 2015","Currency=USD","Period=FQ","BEST_FPERIOD_OVERRIDE=FQ","FILING_STATUS=OR","SCALING_FORMAT=MLN","Sort=A","Dates=H","DateFormat=P","Fill=—","Direction=H","UseDPDF=Y")</f>
        <v>0</v>
      </c>
      <c r="AE35" s="13">
        <f>_xll.BDH("XOM US Equity","CF_NET_CASH_DISCONTINUED_OPS_INV","FQ3 2015","FQ3 2015","Currency=USD","Period=FQ","BEST_FPERIOD_OVERRIDE=FQ","FILING_STATUS=OR","SCALING_FORMAT=MLN","Sort=A","Dates=H","DateFormat=P","Fill=—","Direction=H","UseDPDF=Y")</f>
        <v>0</v>
      </c>
      <c r="AF35" s="13">
        <f>_xll.BDH("XOM US Equity","CF_NET_CASH_DISCONTINUED_OPS_INV","FQ4 2015","FQ4 2015","Currency=USD","Period=FQ","BEST_FPERIOD_OVERRIDE=FQ","FILING_STATUS=OR","SCALING_FORMAT=MLN","Sort=A","Dates=H","DateFormat=P","Fill=—","Direction=H","UseDPDF=Y")</f>
        <v>0</v>
      </c>
      <c r="AG35" s="13">
        <f>_xll.BDH("XOM US Equity","CF_NET_CASH_DISCONTINUED_OPS_INV","FQ1 2016","FQ1 2016","Currency=USD","Period=FQ","BEST_FPERIOD_OVERRIDE=FQ","FILING_STATUS=OR","SCALING_FORMAT=MLN","Sort=A","Dates=H","DateFormat=P","Fill=—","Direction=H","UseDPDF=Y")</f>
        <v>0</v>
      </c>
      <c r="AH35" s="13">
        <f>_xll.BDH("XOM US Equity","CF_NET_CASH_DISCONTINUED_OPS_INV","FQ2 2016","FQ2 2016","Currency=USD","Period=FQ","BEST_FPERIOD_OVERRIDE=FQ","FILING_STATUS=OR","SCALING_FORMAT=MLN","Sort=A","Dates=H","DateFormat=P","Fill=—","Direction=H","UseDPDF=Y")</f>
        <v>0</v>
      </c>
      <c r="AI35" s="13">
        <f>_xll.BDH("XOM US Equity","CF_NET_CASH_DISCONTINUED_OPS_INV","FQ3 2016","FQ3 2016","Currency=USD","Period=FQ","BEST_FPERIOD_OVERRIDE=FQ","FILING_STATUS=OR","SCALING_FORMAT=MLN","Sort=A","Dates=H","DateFormat=P","Fill=—","Direction=H","UseDPDF=Y")</f>
        <v>0</v>
      </c>
      <c r="AJ35" s="13">
        <f>_xll.BDH("XOM US Equity","CF_NET_CASH_DISCONTINUED_OPS_INV","FQ4 2016","FQ4 2016","Currency=USD","Period=FQ","BEST_FPERIOD_OVERRIDE=FQ","FILING_STATUS=OR","SCALING_FORMAT=MLN","Sort=A","Dates=H","DateFormat=P","Fill=—","Direction=H","UseDPDF=Y")</f>
        <v>0</v>
      </c>
      <c r="AK35" s="13">
        <f>_xll.BDH("XOM US Equity","CF_NET_CASH_DISCONTINUED_OPS_INV","FQ1 2017","FQ1 2017","Currency=USD","Period=FQ","BEST_FPERIOD_OVERRIDE=FQ","FILING_STATUS=OR","SCALING_FORMAT=MLN","Sort=A","Dates=H","DateFormat=P","Fill=—","Direction=H","UseDPDF=Y")</f>
        <v>0</v>
      </c>
      <c r="AL35" s="13">
        <f>_xll.BDH("XOM US Equity","CF_NET_CASH_DISCONTINUED_OPS_INV","FQ2 2017","FQ2 2017","Currency=USD","Period=FQ","BEST_FPERIOD_OVERRIDE=FQ","FILING_STATUS=OR","SCALING_FORMAT=MLN","Sort=A","Dates=H","DateFormat=P","Fill=—","Direction=H","UseDPDF=Y")</f>
        <v>0</v>
      </c>
      <c r="AM35" s="13">
        <f>_xll.BDH("XOM US Equity","CF_NET_CASH_DISCONTINUED_OPS_INV","FQ3 2017","FQ3 2017","Currency=USD","Period=FQ","BEST_FPERIOD_OVERRIDE=FQ","FILING_STATUS=OR","SCALING_FORMAT=MLN","Sort=A","Dates=H","DateFormat=P","Fill=—","Direction=H","UseDPDF=Y")</f>
        <v>0</v>
      </c>
      <c r="AN35" s="13">
        <f>_xll.BDH("XOM US Equity","CF_NET_CASH_DISCONTINUED_OPS_INV","FQ4 2017","FQ4 2017","Currency=USD","Period=FQ","BEST_FPERIOD_OVERRIDE=FQ","FILING_STATUS=OR","SCALING_FORMAT=MLN","Sort=A","Dates=H","DateFormat=P","Fill=—","Direction=H","UseDPDF=Y")</f>
        <v>0</v>
      </c>
      <c r="AO35" s="13">
        <f>_xll.BDH("XOM US Equity","CF_NET_CASH_DISCONTINUED_OPS_INV","FQ1 2018","FQ1 2018","Currency=USD","Period=FQ","BEST_FPERIOD_OVERRIDE=FQ","FILING_STATUS=OR","SCALING_FORMAT=MLN","Sort=A","Dates=H","DateFormat=P","Fill=—","Direction=H","UseDPDF=Y")</f>
        <v>0</v>
      </c>
      <c r="AP35" s="13">
        <f>_xll.BDH("XOM US Equity","CF_NET_CASH_DISCONTINUED_OPS_INV","FQ2 2018","FQ2 2018","Currency=USD","Period=FQ","BEST_FPERIOD_OVERRIDE=FQ","FILING_STATUS=OR","SCALING_FORMAT=MLN","Sort=A","Dates=H","DateFormat=P","Fill=—","Direction=H","UseDPDF=Y")</f>
        <v>0</v>
      </c>
    </row>
    <row r="36" spans="1:42" x14ac:dyDescent="0.25">
      <c r="A36" s="6" t="s">
        <v>383</v>
      </c>
      <c r="B36" s="6" t="s">
        <v>415</v>
      </c>
      <c r="C36" s="16">
        <f>_xll.BDH("XOM US Equity","CF_CASH_FROM_INV_ACT","FQ3 2008","FQ3 2008","Currency=USD","Period=FQ","BEST_FPERIOD_OVERRIDE=FQ","FILING_STATUS=OR","SCALING_FORMAT=MLN","Sort=A","Dates=H","DateFormat=P","Fill=—","Direction=H","UseDPDF=Y")</f>
        <v>-4104</v>
      </c>
      <c r="D36" s="16">
        <f>_xll.BDH("XOM US Equity","CF_CASH_FROM_INV_ACT","FQ4 2008","FQ4 2008","Currency=USD","Period=FQ","BEST_FPERIOD_OVERRIDE=FQ","FILING_STATUS=OR","SCALING_FORMAT=MLN","Sort=A","Dates=H","DateFormat=P","Fill=—","Direction=H","UseDPDF=Y")</f>
        <v>-2627</v>
      </c>
      <c r="E36" s="16">
        <f>_xll.BDH("XOM US Equity","CF_CASH_FROM_INV_ACT","FQ1 2009","FQ1 2009","Currency=USD","Period=FQ","BEST_FPERIOD_OVERRIDE=FQ","FILING_STATUS=OR","SCALING_FORMAT=MLN","Sort=A","Dates=H","DateFormat=P","Fill=—","Direction=H","UseDPDF=Y")</f>
        <v>-4740</v>
      </c>
      <c r="F36" s="16">
        <f>_xll.BDH("XOM US Equity","CF_CASH_FROM_INV_ACT","FQ2 2009","FQ2 2009","Currency=USD","Period=FQ","BEST_FPERIOD_OVERRIDE=FQ","FILING_STATUS=OR","SCALING_FORMAT=MLN","Sort=A","Dates=H","DateFormat=P","Fill=—","Direction=H","UseDPDF=Y")</f>
        <v>-4973</v>
      </c>
      <c r="G36" s="16">
        <f>_xll.BDH("XOM US Equity","CF_CASH_FROM_INV_ACT","FQ3 2009","FQ3 2009","Currency=USD","Period=FQ","BEST_FPERIOD_OVERRIDE=FQ","FILING_STATUS=OR","SCALING_FORMAT=MLN","Sort=A","Dates=H","DateFormat=P","Fill=—","Direction=H","UseDPDF=Y")</f>
        <v>-6284</v>
      </c>
      <c r="H36" s="16">
        <f>_xll.BDH("XOM US Equity","CF_CASH_FROM_INV_ACT","FQ4 2009","FQ4 2009","Currency=USD","Period=FQ","BEST_FPERIOD_OVERRIDE=FQ","FILING_STATUS=OR","SCALING_FORMAT=MLN","Sort=A","Dates=H","DateFormat=P","Fill=—","Direction=H","UseDPDF=Y")</f>
        <v>-6422</v>
      </c>
      <c r="I36" s="16">
        <f>_xll.BDH("XOM US Equity","CF_CASH_FROM_INV_ACT","FQ1 2010","FQ1 2010","Currency=USD","Period=FQ","BEST_FPERIOD_OVERRIDE=FQ","FILING_STATUS=OR","SCALING_FORMAT=MLN","Sort=A","Dates=H","DateFormat=P","Fill=—","Direction=H","UseDPDF=Y")</f>
        <v>-5167</v>
      </c>
      <c r="J36" s="16">
        <f>_xll.BDH("XOM US Equity","CF_CASH_FROM_INV_ACT","FQ2 2010","FQ2 2010","Currency=USD","Period=FQ","BEST_FPERIOD_OVERRIDE=FQ","FILING_STATUS=OR","SCALING_FORMAT=MLN","Sort=A","Dates=H","DateFormat=P","Fill=—","Direction=H","UseDPDF=Y")</f>
        <v>-5078</v>
      </c>
      <c r="K36" s="16">
        <f>_xll.BDH("XOM US Equity","CF_CASH_FROM_INV_ACT","FQ3 2010","FQ3 2010","Currency=USD","Period=FQ","BEST_FPERIOD_OVERRIDE=FQ","FILING_STATUS=OR","SCALING_FORMAT=MLN","Sort=A","Dates=H","DateFormat=P","Fill=—","Direction=H","UseDPDF=Y")</f>
        <v>-6879</v>
      </c>
      <c r="L36" s="16">
        <f>_xll.BDH("XOM US Equity","CF_CASH_FROM_INV_ACT","FQ4 2010","FQ4 2010","Currency=USD","Period=FQ","BEST_FPERIOD_OVERRIDE=FQ","FILING_STATUS=OR","SCALING_FORMAT=MLN","Sort=A","Dates=H","DateFormat=P","Fill=—","Direction=H","UseDPDF=Y")</f>
        <v>-7080</v>
      </c>
      <c r="M36" s="16">
        <f>_xll.BDH("XOM US Equity","CF_CASH_FROM_INV_ACT","FQ1 2011","FQ1 2011","Currency=USD","Period=FQ","BEST_FPERIOD_OVERRIDE=FQ","FILING_STATUS=OR","SCALING_FORMAT=MLN","Sort=A","Dates=H","DateFormat=P","Fill=—","Direction=H","UseDPDF=Y")</f>
        <v>-5353</v>
      </c>
      <c r="N36" s="16">
        <f>_xll.BDH("XOM US Equity","CF_CASH_FROM_INV_ACT","FQ2 2011","FQ2 2011","Currency=USD","Period=FQ","BEST_FPERIOD_OVERRIDE=FQ","FILING_STATUS=OR","SCALING_FORMAT=MLN","Sort=A","Dates=H","DateFormat=P","Fill=—","Direction=H","UseDPDF=Y")</f>
        <v>-10504</v>
      </c>
      <c r="O36" s="16">
        <f>_xll.BDH("XOM US Equity","CF_CASH_FROM_INV_ACT","FQ3 2011","FQ3 2011","Currency=USD","Period=FQ","BEST_FPERIOD_OVERRIDE=FQ","FILING_STATUS=OR","SCALING_FORMAT=MLN","Sort=A","Dates=H","DateFormat=P","Fill=—","Direction=H","UseDPDF=Y")</f>
        <v>-4296</v>
      </c>
      <c r="P36" s="16">
        <f>_xll.BDH("XOM US Equity","CF_CASH_FROM_INV_ACT","FQ4 2011","FQ4 2011","Currency=USD","Period=FQ","BEST_FPERIOD_OVERRIDE=FQ","FILING_STATUS=OR","SCALING_FORMAT=MLN","Sort=A","Dates=H","DateFormat=P","Fill=—","Direction=H","UseDPDF=Y")</f>
        <v>-2012</v>
      </c>
      <c r="Q36" s="16">
        <f>_xll.BDH("XOM US Equity","CF_CASH_FROM_INV_ACT","FQ1 2012","FQ1 2012","Currency=USD","Period=FQ","BEST_FPERIOD_OVERRIDE=FQ","FILING_STATUS=OR","SCALING_FORMAT=MLN","Sort=A","Dates=H","DateFormat=P","Fill=—","Direction=H","UseDPDF=Y")</f>
        <v>-5351</v>
      </c>
      <c r="R36" s="16">
        <f>_xll.BDH("XOM US Equity","CF_CASH_FROM_INV_ACT","FQ2 2012","FQ2 2012","Currency=USD","Period=FQ","BEST_FPERIOD_OVERRIDE=FQ","FILING_STATUS=OR","SCALING_FORMAT=MLN","Sort=A","Dates=H","DateFormat=P","Fill=—","Direction=H","UseDPDF=Y")</f>
        <v>-3756</v>
      </c>
      <c r="S36" s="16">
        <f>_xll.BDH("XOM US Equity","CF_CASH_FROM_INV_ACT","FQ3 2012","FQ3 2012","Currency=USD","Period=FQ","BEST_FPERIOD_OVERRIDE=FQ","FILING_STATUS=OR","SCALING_FORMAT=MLN","Sort=A","Dates=H","DateFormat=P","Fill=—","Direction=H","UseDPDF=Y")</f>
        <v>-7492</v>
      </c>
      <c r="T36" s="16">
        <f>_xll.BDH("XOM US Equity","CF_CASH_FROM_INV_ACT","FQ4 2012","FQ4 2012","Currency=USD","Period=FQ","BEST_FPERIOD_OVERRIDE=FQ","FILING_STATUS=OR","SCALING_FORMAT=MLN","Sort=A","Dates=H","DateFormat=P","Fill=—","Direction=H","UseDPDF=Y")</f>
        <v>-9002</v>
      </c>
      <c r="U36" s="16">
        <f>_xll.BDH("XOM US Equity","CF_CASH_FROM_INV_ACT","FQ1 2013","FQ1 2013","Currency=USD","Period=FQ","BEST_FPERIOD_OVERRIDE=FQ","FILING_STATUS=OR","SCALING_FORMAT=MLN","Sort=A","Dates=H","DateFormat=P","Fill=—","Direction=H","UseDPDF=Y")</f>
        <v>-10054</v>
      </c>
      <c r="V36" s="16">
        <f>_xll.BDH("XOM US Equity","CF_CASH_FROM_INV_ACT","FQ2 2013","FQ2 2013","Currency=USD","Period=FQ","BEST_FPERIOD_OVERRIDE=FQ","FILING_STATUS=OR","SCALING_FORMAT=MLN","Sort=A","Dates=H","DateFormat=P","Fill=—","Direction=H","UseDPDF=Y")</f>
        <v>-8493</v>
      </c>
      <c r="W36" s="16">
        <f>_xll.BDH("XOM US Equity","CF_CASH_FROM_INV_ACT","FQ3 2013","FQ3 2013","Currency=USD","Period=FQ","BEST_FPERIOD_OVERRIDE=FQ","FILING_STATUS=OR","SCALING_FORMAT=MLN","Sort=A","Dates=H","DateFormat=P","Fill=—","Direction=H","UseDPDF=Y")</f>
        <v>-8942</v>
      </c>
      <c r="X36" s="16">
        <f>_xll.BDH("XOM US Equity","CF_CASH_FROM_INV_ACT","FQ4 2013","FQ4 2013","Currency=USD","Period=FQ","BEST_FPERIOD_OVERRIDE=FQ","FILING_STATUS=OR","SCALING_FORMAT=MLN","Sort=A","Dates=H","DateFormat=P","Fill=—","Direction=H","UseDPDF=Y")</f>
        <v>-6712</v>
      </c>
      <c r="Y36" s="16">
        <f>_xll.BDH("XOM US Equity","CF_CASH_FROM_INV_ACT","FQ1 2014","FQ1 2014","Currency=USD","Period=FQ","BEST_FPERIOD_OVERRIDE=FQ","FILING_STATUS=OR","SCALING_FORMAT=MLN","Sort=A","Dates=H","DateFormat=P","Fill=—","Direction=H","UseDPDF=Y")</f>
        <v>-6306</v>
      </c>
      <c r="Z36" s="16">
        <f>_xll.BDH("XOM US Equity","CF_CASH_FROM_INV_ACT","FQ2 2014","FQ2 2014","Currency=USD","Period=FQ","BEST_FPERIOD_OVERRIDE=FQ","FILING_STATUS=OR","SCALING_FORMAT=MLN","Sort=A","Dates=H","DateFormat=P","Fill=—","Direction=H","UseDPDF=Y")</f>
        <v>-4177</v>
      </c>
      <c r="AA36" s="16">
        <f>_xll.BDH("XOM US Equity","CF_CASH_FROM_INV_ACT","FQ3 2014","FQ3 2014","Currency=USD","Period=FQ","BEST_FPERIOD_OVERRIDE=FQ","FILING_STATUS=OR","SCALING_FORMAT=MLN","Sort=A","Dates=H","DateFormat=P","Fill=—","Direction=H","UseDPDF=Y")</f>
        <v>-7645</v>
      </c>
      <c r="AB36" s="16">
        <f>_xll.BDH("XOM US Equity","CF_CASH_FROM_INV_ACT","FQ4 2014","FQ4 2014","Currency=USD","Period=FQ","BEST_FPERIOD_OVERRIDE=FQ","FILING_STATUS=OR","SCALING_FORMAT=MLN","Sort=A","Dates=H","DateFormat=P","Fill=—","Direction=H","UseDPDF=Y")</f>
        <v>-8847</v>
      </c>
      <c r="AC36" s="16">
        <f>_xll.BDH("XOM US Equity","CF_CASH_FROM_INV_ACT","FQ1 2015","FQ1 2015","Currency=USD","Period=FQ","BEST_FPERIOD_OVERRIDE=FQ","FILING_STATUS=OR","SCALING_FORMAT=MLN","Sort=A","Dates=H","DateFormat=P","Fill=—","Direction=H","UseDPDF=Y")</f>
        <v>-6352</v>
      </c>
      <c r="AD36" s="16">
        <f>_xll.BDH("XOM US Equity","CF_CASH_FROM_INV_ACT","FQ2 2015","FQ2 2015","Currency=USD","Period=FQ","BEST_FPERIOD_OVERRIDE=FQ","FILING_STATUS=OR","SCALING_FORMAT=MLN","Sort=A","Dates=H","DateFormat=P","Fill=—","Direction=H","UseDPDF=Y")</f>
        <v>-6491</v>
      </c>
      <c r="AE36" s="16">
        <f>_xll.BDH("XOM US Equity","CF_CASH_FROM_INV_ACT","FQ3 2015","FQ3 2015","Currency=USD","Period=FQ","BEST_FPERIOD_OVERRIDE=FQ","FILING_STATUS=OR","SCALING_FORMAT=MLN","Sort=A","Dates=H","DateFormat=P","Fill=—","Direction=H","UseDPDF=Y")</f>
        <v>-5657</v>
      </c>
      <c r="AF36" s="16">
        <f>_xll.BDH("XOM US Equity","CF_CASH_FROM_INV_ACT","FQ4 2015","FQ4 2015","Currency=USD","Period=FQ","BEST_FPERIOD_OVERRIDE=FQ","FILING_STATUS=OR","SCALING_FORMAT=MLN","Sort=A","Dates=H","DateFormat=P","Fill=—","Direction=H","UseDPDF=Y")</f>
        <v>-5324</v>
      </c>
      <c r="AG36" s="16">
        <f>_xll.BDH("XOM US Equity","CF_CASH_FROM_INV_ACT","FQ1 2016","FQ1 2016","Currency=USD","Period=FQ","BEST_FPERIOD_OVERRIDE=FQ","FILING_STATUS=OR","SCALING_FORMAT=MLN","Sort=A","Dates=H","DateFormat=P","Fill=—","Direction=H","UseDPDF=Y")</f>
        <v>-4349</v>
      </c>
      <c r="AH36" s="16">
        <f>_xll.BDH("XOM US Equity","CF_CASH_FROM_INV_ACT","FQ2 2016","FQ2 2016","Currency=USD","Period=FQ","BEST_FPERIOD_OVERRIDE=FQ","FILING_STATUS=OR","SCALING_FORMAT=MLN","Sort=A","Dates=H","DateFormat=P","Fill=—","Direction=H","UseDPDF=Y")</f>
        <v>-3147</v>
      </c>
      <c r="AI36" s="16">
        <f>_xll.BDH("XOM US Equity","CF_CASH_FROM_INV_ACT","FQ3 2016","FQ3 2016","Currency=USD","Period=FQ","BEST_FPERIOD_OVERRIDE=FQ","FILING_STATUS=OR","SCALING_FORMAT=MLN","Sort=A","Dates=H","DateFormat=P","Fill=—","Direction=H","UseDPDF=Y")</f>
        <v>-3235</v>
      </c>
      <c r="AJ36" s="16">
        <f>_xll.BDH("XOM US Equity","CF_CASH_FROM_INV_ACT","FQ4 2016","FQ4 2016","Currency=USD","Period=FQ","BEST_FPERIOD_OVERRIDE=FQ","FILING_STATUS=OR","SCALING_FORMAT=MLN","Sort=A","Dates=H","DateFormat=P","Fill=—","Direction=H","UseDPDF=Y")</f>
        <v>-1672</v>
      </c>
      <c r="AK36" s="16">
        <f>_xll.BDH("XOM US Equity","CF_CASH_FROM_INV_ACT","FQ1 2017","FQ1 2017","Currency=USD","Period=FQ","BEST_FPERIOD_OVERRIDE=FQ","FILING_STATUS=OR","SCALING_FORMAT=MLN","Sort=A","Dates=H","DateFormat=P","Fill=—","Direction=H","UseDPDF=Y")</f>
        <v>-3761</v>
      </c>
      <c r="AL36" s="16">
        <f>_xll.BDH("XOM US Equity","CF_CASH_FROM_INV_ACT","FQ2 2017","FQ2 2017","Currency=USD","Period=FQ","BEST_FPERIOD_OVERRIDE=FQ","FILING_STATUS=OR","SCALING_FORMAT=MLN","Sort=A","Dates=H","DateFormat=P","Fill=—","Direction=H","UseDPDF=Y")</f>
        <v>-2878</v>
      </c>
      <c r="AM36" s="16">
        <f>_xll.BDH("XOM US Equity","CF_CASH_FROM_INV_ACT","FQ3 2017","FQ3 2017","Currency=USD","Period=FQ","BEST_FPERIOD_OVERRIDE=FQ","FILING_STATUS=OR","SCALING_FORMAT=MLN","Sort=A","Dates=H","DateFormat=P","Fill=—","Direction=H","UseDPDF=Y")</f>
        <v>-2555</v>
      </c>
      <c r="AN36" s="16">
        <f>_xll.BDH("XOM US Equity","CF_CASH_FROM_INV_ACT","FQ4 2017","FQ4 2017","Currency=USD","Period=FQ","BEST_FPERIOD_OVERRIDE=FQ","FILING_STATUS=OR","SCALING_FORMAT=MLN","Sort=A","Dates=H","DateFormat=P","Fill=—","Direction=H","UseDPDF=Y")</f>
        <v>-6536</v>
      </c>
      <c r="AO36" s="16">
        <f>_xll.BDH("XOM US Equity","CF_CASH_FROM_INV_ACT","FQ1 2018","FQ1 2018","Currency=USD","Period=FQ","BEST_FPERIOD_OVERRIDE=FQ","FILING_STATUS=OR","SCALING_FORMAT=MLN","Sort=A","Dates=H","DateFormat=P","Fill=—","Direction=H","UseDPDF=Y")</f>
        <v>-1859</v>
      </c>
      <c r="AP36" s="16">
        <f>_xll.BDH("XOM US Equity","CF_CASH_FROM_INV_ACT","FQ2 2018","FQ2 2018","Currency=USD","Period=FQ","BEST_FPERIOD_OVERRIDE=FQ","FILING_STATUS=OR","SCALING_FORMAT=MLN","Sort=A","Dates=H","DateFormat=P","Fill=—","Direction=H","UseDPDF=Y")</f>
        <v>-5096</v>
      </c>
    </row>
    <row r="37" spans="1:42" x14ac:dyDescent="0.25">
      <c r="A37" s="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s="6" t="s">
        <v>416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s="10" t="s">
        <v>417</v>
      </c>
      <c r="B39" s="10" t="s">
        <v>418</v>
      </c>
      <c r="C39" s="13">
        <f>_xll.BDH("XOM US Equity","CF_DVD_PAID","FQ3 2008","FQ3 2008","Currency=USD","Period=FQ","BEST_FPERIOD_OVERRIDE=FQ","FILING_STATUS=OR","SCALING_FORMAT=MLN","Sort=A","Dates=H","DateFormat=P","Fill=—","Direction=H","UseDPDF=Y")</f>
        <v>-2063</v>
      </c>
      <c r="D39" s="13">
        <f>_xll.BDH("XOM US Equity","CF_DVD_PAID","FQ4 2008","FQ4 2008","Currency=USD","Period=FQ","BEST_FPERIOD_OVERRIDE=FQ","FILING_STATUS=OR","SCALING_FORMAT=MLN","Sort=A","Dates=H","DateFormat=P","Fill=—","Direction=H","UseDPDF=Y")</f>
        <v>-2018</v>
      </c>
      <c r="E39" s="13">
        <f>_xll.BDH("XOM US Equity","CF_DVD_PAID","FQ1 2009","FQ1 2009","Currency=USD","Period=FQ","BEST_FPERIOD_OVERRIDE=FQ","FILING_STATUS=OR","SCALING_FORMAT=MLN","Sort=A","Dates=H","DateFormat=P","Fill=—","Direction=H","UseDPDF=Y")</f>
        <v>-1981</v>
      </c>
      <c r="F39" s="13">
        <f>_xll.BDH("XOM US Equity","CF_DVD_PAID","FQ2 2009","FQ2 2009","Currency=USD","Period=FQ","BEST_FPERIOD_OVERRIDE=FQ","FILING_STATUS=OR","SCALING_FORMAT=MLN","Sort=A","Dates=H","DateFormat=P","Fill=—","Direction=H","UseDPDF=Y")</f>
        <v>-2039</v>
      </c>
      <c r="G39" s="13">
        <f>_xll.BDH("XOM US Equity","CF_DVD_PAID","FQ3 2009","FQ3 2009","Currency=USD","Period=FQ","BEST_FPERIOD_OVERRIDE=FQ","FILING_STATUS=OR","SCALING_FORMAT=MLN","Sort=A","Dates=H","DateFormat=P","Fill=—","Direction=H","UseDPDF=Y")</f>
        <v>-2011</v>
      </c>
      <c r="H39" s="13">
        <f>_xll.BDH("XOM US Equity","CF_DVD_PAID","FQ4 2009","FQ4 2009","Currency=USD","Period=FQ","BEST_FPERIOD_OVERRIDE=FQ","FILING_STATUS=OR","SCALING_FORMAT=MLN","Sort=A","Dates=H","DateFormat=P","Fill=—","Direction=H","UseDPDF=Y")</f>
        <v>-1992</v>
      </c>
      <c r="I39" s="13">
        <f>_xll.BDH("XOM US Equity","CF_DVD_PAID","FQ1 2010","FQ1 2010","Currency=USD","Period=FQ","BEST_FPERIOD_OVERRIDE=FQ","FILING_STATUS=OR","SCALING_FORMAT=MLN","Sort=A","Dates=H","DateFormat=P","Fill=—","Direction=H","UseDPDF=Y")</f>
        <v>-1986</v>
      </c>
      <c r="J39" s="13">
        <f>_xll.BDH("XOM US Equity","CF_DVD_PAID","FQ2 2010","FQ2 2010","Currency=USD","Period=FQ","BEST_FPERIOD_OVERRIDE=FQ","FILING_STATUS=OR","SCALING_FORMAT=MLN","Sort=A","Dates=H","DateFormat=P","Fill=—","Direction=H","UseDPDF=Y")</f>
        <v>-2066</v>
      </c>
      <c r="K39" s="13">
        <f>_xll.BDH("XOM US Equity","CF_DVD_PAID","FQ3 2010","FQ3 2010","Currency=USD","Period=FQ","BEST_FPERIOD_OVERRIDE=FQ","FILING_STATUS=OR","SCALING_FORMAT=MLN","Sort=A","Dates=H","DateFormat=P","Fill=—","Direction=H","UseDPDF=Y")</f>
        <v>-2234</v>
      </c>
      <c r="L39" s="13">
        <f>_xll.BDH("XOM US Equity","CF_DVD_PAID","FQ4 2010","FQ4 2010","Currency=USD","Period=FQ","BEST_FPERIOD_OVERRIDE=FQ","FILING_STATUS=OR","SCALING_FORMAT=MLN","Sort=A","Dates=H","DateFormat=P","Fill=—","Direction=H","UseDPDF=Y")</f>
        <v>-2212</v>
      </c>
      <c r="M39" s="13">
        <f>_xll.BDH("XOM US Equity","CF_DVD_PAID","FQ1 2011","FQ1 2011","Currency=USD","Period=FQ","BEST_FPERIOD_OVERRIDE=FQ","FILING_STATUS=OR","SCALING_FORMAT=MLN","Sort=A","Dates=H","DateFormat=P","Fill=—","Direction=H","UseDPDF=Y")</f>
        <v>-2188</v>
      </c>
      <c r="N39" s="13">
        <f>_xll.BDH("XOM US Equity","CF_DVD_PAID","FQ2 2011","FQ2 2011","Currency=USD","Period=FQ","BEST_FPERIOD_OVERRIDE=FQ","FILING_STATUS=OR","SCALING_FORMAT=MLN","Sort=A","Dates=H","DateFormat=P","Fill=—","Direction=H","UseDPDF=Y")</f>
        <v>-2308</v>
      </c>
      <c r="O39" s="13">
        <f>_xll.BDH("XOM US Equity","CF_DVD_PAID","FQ3 2011","FQ3 2011","Currency=USD","Period=FQ","BEST_FPERIOD_OVERRIDE=FQ","FILING_STATUS=OR","SCALING_FORMAT=MLN","Sort=A","Dates=H","DateFormat=P","Fill=—","Direction=H","UseDPDF=Y")</f>
        <v>-2277</v>
      </c>
      <c r="P39" s="13">
        <f>_xll.BDH("XOM US Equity","CF_DVD_PAID","FQ4 2011","FQ4 2011","Currency=USD","Period=FQ","BEST_FPERIOD_OVERRIDE=FQ","FILING_STATUS=OR","SCALING_FORMAT=MLN","Sort=A","Dates=H","DateFormat=P","Fill=—","Direction=H","UseDPDF=Y")</f>
        <v>-2247</v>
      </c>
      <c r="Q39" s="13">
        <f>_xll.BDH("XOM US Equity","CF_DVD_PAID","FQ1 2012","FQ1 2012","Currency=USD","Period=FQ","BEST_FPERIOD_OVERRIDE=FQ","FILING_STATUS=OR","SCALING_FORMAT=MLN","Sort=A","Dates=H","DateFormat=P","Fill=—","Direction=H","UseDPDF=Y")</f>
        <v>-2221</v>
      </c>
      <c r="R39" s="13">
        <f>_xll.BDH("XOM US Equity","CF_DVD_PAID","FQ2 2012","FQ2 2012","Currency=USD","Period=FQ","BEST_FPERIOD_OVERRIDE=FQ","FILING_STATUS=OR","SCALING_FORMAT=MLN","Sort=A","Dates=H","DateFormat=P","Fill=—","Direction=H","UseDPDF=Y")</f>
        <v>-2657</v>
      </c>
      <c r="S39" s="13">
        <f>_xll.BDH("XOM US Equity","CF_DVD_PAID","FQ3 2012","FQ3 2012","Currency=USD","Period=FQ","BEST_FPERIOD_OVERRIDE=FQ","FILING_STATUS=OR","SCALING_FORMAT=MLN","Sort=A","Dates=H","DateFormat=P","Fill=—","Direction=H","UseDPDF=Y")</f>
        <v>-2622</v>
      </c>
      <c r="T39" s="13">
        <f>_xll.BDH("XOM US Equity","CF_DVD_PAID","FQ4 2012","FQ4 2012","Currency=USD","Period=FQ","BEST_FPERIOD_OVERRIDE=FQ","FILING_STATUS=OR","SCALING_FORMAT=MLN","Sort=A","Dates=H","DateFormat=P","Fill=—","Direction=H","UseDPDF=Y")</f>
        <v>-2592</v>
      </c>
      <c r="U39" s="13">
        <f>_xll.BDH("XOM US Equity","CF_DVD_PAID","FQ1 2013","FQ1 2013","Currency=USD","Period=FQ","BEST_FPERIOD_OVERRIDE=FQ","FILING_STATUS=OR","SCALING_FORMAT=MLN","Sort=A","Dates=H","DateFormat=P","Fill=—","Direction=H","UseDPDF=Y")</f>
        <v>-2561</v>
      </c>
      <c r="V39" s="13">
        <f>_xll.BDH("XOM US Equity","CF_DVD_PAID","FQ2 2013","FQ2 2013","Currency=USD","Period=FQ","BEST_FPERIOD_OVERRIDE=FQ","FILING_STATUS=OR","SCALING_FORMAT=MLN","Sort=A","Dates=H","DateFormat=P","Fill=—","Direction=H","UseDPDF=Y")</f>
        <v>-2794</v>
      </c>
      <c r="W39" s="13">
        <f>_xll.BDH("XOM US Equity","CF_DVD_PAID","FQ3 2013","FQ3 2013","Currency=USD","Period=FQ","BEST_FPERIOD_OVERRIDE=FQ","FILING_STATUS=OR","SCALING_FORMAT=MLN","Sort=A","Dates=H","DateFormat=P","Fill=—","Direction=H","UseDPDF=Y")</f>
        <v>-2770</v>
      </c>
      <c r="X39" s="13">
        <f>_xll.BDH("XOM US Equity","CF_DVD_PAID","FQ4 2013","FQ4 2013","Currency=USD","Period=FQ","BEST_FPERIOD_OVERRIDE=FQ","FILING_STATUS=OR","SCALING_FORMAT=MLN","Sort=A","Dates=H","DateFormat=P","Fill=—","Direction=H","UseDPDF=Y")</f>
        <v>-2750</v>
      </c>
      <c r="Y39" s="13">
        <f>_xll.BDH("XOM US Equity","CF_DVD_PAID","FQ1 2014","FQ1 2014","Currency=USD","Period=FQ","BEST_FPERIOD_OVERRIDE=FQ","FILING_STATUS=OR","SCALING_FORMAT=MLN","Sort=A","Dates=H","DateFormat=P","Fill=—","Direction=H","UseDPDF=Y")</f>
        <v>-2732</v>
      </c>
      <c r="Z39" s="13">
        <f>_xll.BDH("XOM US Equity","CF_DVD_PAID","FQ2 2014","FQ2 2014","Currency=USD","Period=FQ","BEST_FPERIOD_OVERRIDE=FQ","FILING_STATUS=OR","SCALING_FORMAT=MLN","Sort=A","Dates=H","DateFormat=P","Fill=—","Direction=H","UseDPDF=Y")</f>
        <v>-2966</v>
      </c>
      <c r="AA39" s="13">
        <f>_xll.BDH("XOM US Equity","CF_DVD_PAID","FQ3 2014","FQ3 2014","Currency=USD","Period=FQ","BEST_FPERIOD_OVERRIDE=FQ","FILING_STATUS=OR","SCALING_FORMAT=MLN","Sort=A","Dates=H","DateFormat=P","Fill=—","Direction=H","UseDPDF=Y")</f>
        <v>-2946</v>
      </c>
      <c r="AB39" s="13">
        <f>_xll.BDH("XOM US Equity","CF_DVD_PAID","FQ4 2014","FQ4 2014","Currency=USD","Period=FQ","BEST_FPERIOD_OVERRIDE=FQ","FILING_STATUS=OR","SCALING_FORMAT=MLN","Sort=A","Dates=H","DateFormat=P","Fill=—","Direction=H","UseDPDF=Y")</f>
        <v>-2924</v>
      </c>
      <c r="AC39" s="13">
        <f>_xll.BDH("XOM US Equity","CF_DVD_PAID","FQ1 2015","FQ1 2015","Currency=USD","Period=FQ","BEST_FPERIOD_OVERRIDE=FQ","FILING_STATUS=OR","SCALING_FORMAT=MLN","Sort=A","Dates=H","DateFormat=P","Fill=—","Direction=H","UseDPDF=Y")</f>
        <v>-2910</v>
      </c>
      <c r="AD39" s="13">
        <f>_xll.BDH("XOM US Equity","CF_DVD_PAID","FQ2 2015","FQ2 2015","Currency=USD","Period=FQ","BEST_FPERIOD_OVERRIDE=FQ","FILING_STATUS=OR","SCALING_FORMAT=MLN","Sort=A","Dates=H","DateFormat=P","Fill=—","Direction=H","UseDPDF=Y")</f>
        <v>-3066</v>
      </c>
      <c r="AE39" s="13">
        <f>_xll.BDH("XOM US Equity","CF_DVD_PAID","FQ3 2015","FQ3 2015","Currency=USD","Period=FQ","BEST_FPERIOD_OVERRIDE=FQ","FILING_STATUS=OR","SCALING_FORMAT=MLN","Sort=A","Dates=H","DateFormat=P","Fill=—","Direction=H","UseDPDF=Y")</f>
        <v>-3060</v>
      </c>
      <c r="AF39" s="13">
        <f>_xll.BDH("XOM US Equity","CF_DVD_PAID","FQ4 2015","FQ4 2015","Currency=USD","Period=FQ","BEST_FPERIOD_OVERRIDE=FQ","FILING_STATUS=OR","SCALING_FORMAT=MLN","Sort=A","Dates=H","DateFormat=P","Fill=—","Direction=H","UseDPDF=Y")</f>
        <v>-3054</v>
      </c>
      <c r="AG39" s="13">
        <f>_xll.BDH("XOM US Equity","CF_DVD_PAID","FQ1 2016","FQ1 2016","Currency=USD","Period=FQ","BEST_FPERIOD_OVERRIDE=FQ","FILING_STATUS=OR","SCALING_FORMAT=MLN","Sort=A","Dates=H","DateFormat=P","Fill=—","Direction=H","UseDPDF=Y")</f>
        <v>-3054</v>
      </c>
      <c r="AH39" s="13">
        <f>_xll.BDH("XOM US Equity","CF_DVD_PAID","FQ2 2016","FQ2 2016","Currency=USD","Period=FQ","BEST_FPERIOD_OVERRIDE=FQ","FILING_STATUS=OR","SCALING_FORMAT=MLN","Sort=A","Dates=H","DateFormat=P","Fill=—","Direction=H","UseDPDF=Y")</f>
        <v>-3133</v>
      </c>
      <c r="AI39" s="13">
        <f>_xll.BDH("XOM US Equity","CF_DVD_PAID","FQ3 2016","FQ3 2016","Currency=USD","Period=FQ","BEST_FPERIOD_OVERRIDE=FQ","FILING_STATUS=OR","SCALING_FORMAT=MLN","Sort=A","Dates=H","DateFormat=P","Fill=—","Direction=H","UseDPDF=Y")</f>
        <v>-3133</v>
      </c>
      <c r="AJ39" s="13">
        <f>_xll.BDH("XOM US Equity","CF_DVD_PAID","FQ4 2016","FQ4 2016","Currency=USD","Period=FQ","BEST_FPERIOD_OVERRIDE=FQ","FILING_STATUS=OR","SCALING_FORMAT=MLN","Sort=A","Dates=H","DateFormat=P","Fill=—","Direction=H","UseDPDF=Y")</f>
        <v>-3133</v>
      </c>
      <c r="AK39" s="13">
        <f>_xll.BDH("XOM US Equity","CF_DVD_PAID","FQ1 2017","FQ1 2017","Currency=USD","Period=FQ","BEST_FPERIOD_OVERRIDE=FQ","FILING_STATUS=OR","SCALING_FORMAT=MLN","Sort=A","Dates=H","DateFormat=P","Fill=—","Direction=H","UseDPDF=Y")</f>
        <v>-3134</v>
      </c>
      <c r="AL39" s="13">
        <f>_xll.BDH("XOM US Equity","CF_DVD_PAID","FQ2 2017","FQ2 2017","Currency=USD","Period=FQ","BEST_FPERIOD_OVERRIDE=FQ","FILING_STATUS=OR","SCALING_FORMAT=MLN","Sort=A","Dates=H","DateFormat=P","Fill=—","Direction=H","UseDPDF=Y")</f>
        <v>-3289</v>
      </c>
      <c r="AM39" s="13">
        <f>_xll.BDH("XOM US Equity","CF_DVD_PAID","FQ3 2017","FQ3 2017","Currency=USD","Period=FQ","BEST_FPERIOD_OVERRIDE=FQ","FILING_STATUS=OR","SCALING_FORMAT=MLN","Sort=A","Dates=H","DateFormat=P","Fill=—","Direction=H","UseDPDF=Y")</f>
        <v>-3289</v>
      </c>
      <c r="AN39" s="13">
        <f>_xll.BDH("XOM US Equity","CF_DVD_PAID","FQ4 2017","FQ4 2017","Currency=USD","Period=FQ","BEST_FPERIOD_OVERRIDE=FQ","FILING_STATUS=OR","SCALING_FORMAT=MLN","Sort=A","Dates=H","DateFormat=P","Fill=—","Direction=H","UseDPDF=Y")</f>
        <v>-3289</v>
      </c>
      <c r="AO39" s="13">
        <f>_xll.BDH("XOM US Equity","CF_DVD_PAID","FQ1 2018","FQ1 2018","Currency=USD","Period=FQ","BEST_FPERIOD_OVERRIDE=FQ","FILING_STATUS=OR","SCALING_FORMAT=MLN","Sort=A","Dates=H","DateFormat=P","Fill=—","Direction=H","UseDPDF=Y")</f>
        <v>-3291</v>
      </c>
      <c r="AP39" s="13">
        <f>_xll.BDH("XOM US Equity","CF_DVD_PAID","FQ2 2018","FQ2 2018","Currency=USD","Period=FQ","BEST_FPERIOD_OVERRIDE=FQ","FILING_STATUS=OR","SCALING_FORMAT=MLN","Sort=A","Dates=H","DateFormat=P","Fill=—","Direction=H","UseDPDF=Y")</f>
        <v>-3502</v>
      </c>
    </row>
    <row r="40" spans="1:42" x14ac:dyDescent="0.25">
      <c r="A40" s="10" t="s">
        <v>419</v>
      </c>
      <c r="B40" s="10" t="s">
        <v>420</v>
      </c>
      <c r="C40" s="13">
        <f>_xll.BDH("XOM US Equity","PROC_FR_REPAYMNTS_BOR_DETAILED","FQ3 2008","FQ3 2008","Currency=USD","Period=FQ","BEST_FPERIOD_OVERRIDE=FQ","FILING_STATUS=OR","SCALING_FORMAT=MLN","Sort=A","Dates=H","DateFormat=P","Fill=—","Direction=H","UseDPDF=Y")</f>
        <v>551</v>
      </c>
      <c r="D40" s="13">
        <f>_xll.BDH("XOM US Equity","PROC_FR_REPAYMNTS_BOR_DETAILED","FQ4 2008","FQ4 2008","Currency=USD","Period=FQ","BEST_FPERIOD_OVERRIDE=FQ","FILING_STATUS=OR","SCALING_FORMAT=MLN","Sort=A","Dates=H","DateFormat=P","Fill=—","Direction=H","UseDPDF=Y")</f>
        <v>-846</v>
      </c>
      <c r="E40" s="13">
        <f>_xll.BDH("XOM US Equity","PROC_FR_REPAYMNTS_BOR_DETAILED","FQ1 2009","FQ1 2009","Currency=USD","Period=FQ","BEST_FPERIOD_OVERRIDE=FQ","FILING_STATUS=OR","SCALING_FORMAT=MLN","Sort=A","Dates=H","DateFormat=P","Fill=—","Direction=H","UseDPDF=Y")</f>
        <v>-192</v>
      </c>
      <c r="F40" s="13">
        <f>_xll.BDH("XOM US Equity","PROC_FR_REPAYMNTS_BOR_DETAILED","FQ2 2009","FQ2 2009","Currency=USD","Period=FQ","BEST_FPERIOD_OVERRIDE=FQ","FILING_STATUS=OR","SCALING_FORMAT=MLN","Sort=A","Dates=H","DateFormat=P","Fill=—","Direction=H","UseDPDF=Y")</f>
        <v>-33</v>
      </c>
      <c r="G40" s="13">
        <f>_xll.BDH("XOM US Equity","PROC_FR_REPAYMNTS_BOR_DETAILED","FQ3 2009","FQ3 2009","Currency=USD","Period=FQ","BEST_FPERIOD_OVERRIDE=FQ","FILING_STATUS=OR","SCALING_FORMAT=MLN","Sort=A","Dates=H","DateFormat=P","Fill=—","Direction=H","UseDPDF=Y")</f>
        <v>188</v>
      </c>
      <c r="H40" s="13">
        <f>_xll.BDH("XOM US Equity","PROC_FR_REPAYMNTS_BOR_DETAILED","FQ4 2009","FQ4 2009","Currency=USD","Period=FQ","BEST_FPERIOD_OVERRIDE=FQ","FILING_STATUS=OR","SCALING_FORMAT=MLN","Sort=A","Dates=H","DateFormat=P","Fill=—","Direction=H","UseDPDF=Y")</f>
        <v>-116</v>
      </c>
      <c r="I40" s="13">
        <f>_xll.BDH("XOM US Equity","PROC_FR_REPAYMNTS_BOR_DETAILED","FQ1 2010","FQ1 2010","Currency=USD","Period=FQ","BEST_FPERIOD_OVERRIDE=FQ","FILING_STATUS=OR","SCALING_FORMAT=MLN","Sort=A","Dates=H","DateFormat=P","Fill=—","Direction=H","UseDPDF=Y")</f>
        <v>-97</v>
      </c>
      <c r="J40" s="13">
        <f>_xll.BDH("XOM US Equity","PROC_FR_REPAYMNTS_BOR_DETAILED","FQ2 2010","FQ2 2010","Currency=USD","Period=FQ","BEST_FPERIOD_OVERRIDE=FQ","FILING_STATUS=OR","SCALING_FORMAT=MLN","Sort=A","Dates=H","DateFormat=P","Fill=—","Direction=H","UseDPDF=Y")</f>
        <v>-583</v>
      </c>
      <c r="K40" s="13">
        <f>_xll.BDH("XOM US Equity","PROC_FR_REPAYMNTS_BOR_DETAILED","FQ3 2010","FQ3 2010","Currency=USD","Period=FQ","BEST_FPERIOD_OVERRIDE=FQ","FILING_STATUS=OR","SCALING_FORMAT=MLN","Sort=A","Dates=H","DateFormat=P","Fill=—","Direction=H","UseDPDF=Y")</f>
        <v>-2262</v>
      </c>
      <c r="L40" s="13">
        <f>_xll.BDH("XOM US Equity","PROC_FR_REPAYMNTS_BOR_DETAILED","FQ4 2010","FQ4 2010","Currency=USD","Period=FQ","BEST_FPERIOD_OVERRIDE=FQ","FILING_STATUS=OR","SCALING_FORMAT=MLN","Sort=A","Dates=H","DateFormat=P","Fill=—","Direction=H","UseDPDF=Y")</f>
        <v>-3268</v>
      </c>
      <c r="M40" s="13">
        <f>_xll.BDH("XOM US Equity","PROC_FR_REPAYMNTS_BOR_DETAILED","FQ1 2011","FQ1 2011","Currency=USD","Period=FQ","BEST_FPERIOD_OVERRIDE=FQ","FILING_STATUS=OR","SCALING_FORMAT=MLN","Sort=A","Dates=H","DateFormat=P","Fill=—","Direction=H","UseDPDF=Y")</f>
        <v>812</v>
      </c>
      <c r="N40" s="13">
        <f>_xll.BDH("XOM US Equity","PROC_FR_REPAYMNTS_BOR_DETAILED","FQ2 2011","FQ2 2011","Currency=USD","Period=FQ","BEST_FPERIOD_OVERRIDE=FQ","FILING_STATUS=OR","SCALING_FORMAT=MLN","Sort=A","Dates=H","DateFormat=P","Fill=—","Direction=H","UseDPDF=Y")</f>
        <v>576</v>
      </c>
      <c r="O40" s="13">
        <f>_xll.BDH("XOM US Equity","PROC_FR_REPAYMNTS_BOR_DETAILED","FQ3 2011","FQ3 2011","Currency=USD","Period=FQ","BEST_FPERIOD_OVERRIDE=FQ","FILING_STATUS=OR","SCALING_FORMAT=MLN","Sort=A","Dates=H","DateFormat=P","Fill=—","Direction=H","UseDPDF=Y")</f>
        <v>247</v>
      </c>
      <c r="P40" s="13">
        <f>_xll.BDH("XOM US Equity","PROC_FR_REPAYMNTS_BOR_DETAILED","FQ4 2011","FQ4 2011","Currency=USD","Period=FQ","BEST_FPERIOD_OVERRIDE=FQ","FILING_STATUS=OR","SCALING_FORMAT=MLN","Sort=A","Dates=H","DateFormat=P","Fill=—","Direction=H","UseDPDF=Y")</f>
        <v>322</v>
      </c>
      <c r="Q40" s="13">
        <f>_xll.BDH("XOM US Equity","PROC_FR_REPAYMNTS_BOR_DETAILED","FQ1 2012","FQ1 2012","Currency=USD","Period=FQ","BEST_FPERIOD_OVERRIDE=FQ","FILING_STATUS=OR","SCALING_FORMAT=MLN","Sort=A","Dates=H","DateFormat=P","Fill=—","Direction=H","UseDPDF=Y")</f>
        <v>-403</v>
      </c>
      <c r="R40" s="13">
        <f>_xll.BDH("XOM US Equity","PROC_FR_REPAYMNTS_BOR_DETAILED","FQ2 2012","FQ2 2012","Currency=USD","Period=FQ","BEST_FPERIOD_OVERRIDE=FQ","FILING_STATUS=OR","SCALING_FORMAT=MLN","Sort=A","Dates=H","DateFormat=P","Fill=—","Direction=H","UseDPDF=Y")</f>
        <v>567</v>
      </c>
      <c r="S40" s="13">
        <f>_xll.BDH("XOM US Equity","PROC_FR_REPAYMNTS_BOR_DETAILED","FQ3 2012","FQ3 2012","Currency=USD","Period=FQ","BEST_FPERIOD_OVERRIDE=FQ","FILING_STATUS=OR","SCALING_FORMAT=MLN","Sort=A","Dates=H","DateFormat=P","Fill=—","Direction=H","UseDPDF=Y")</f>
        <v>-3088</v>
      </c>
      <c r="T40" s="13">
        <f>_xll.BDH("XOM US Equity","PROC_FR_REPAYMNTS_BOR_DETAILED","FQ4 2012","FQ4 2012","Currency=USD","Period=FQ","BEST_FPERIOD_OVERRIDE=FQ","FILING_STATUS=OR","SCALING_FORMAT=MLN","Sort=A","Dates=H","DateFormat=P","Fill=—","Direction=H","UseDPDF=Y")</f>
        <v>16</v>
      </c>
      <c r="U40" s="13">
        <f>_xll.BDH("XOM US Equity","PROC_FR_REPAYMNTS_BOR_DETAILED","FQ1 2013","FQ1 2013","Currency=USD","Period=FQ","BEST_FPERIOD_OVERRIDE=FQ","FILING_STATUS=OR","SCALING_FORMAT=MLN","Sort=A","Dates=H","DateFormat=P","Fill=—","Direction=H","UseDPDF=Y")</f>
        <v>1592</v>
      </c>
      <c r="V40" s="13">
        <f>_xll.BDH("XOM US Equity","PROC_FR_REPAYMNTS_BOR_DETAILED","FQ2 2013","FQ2 2013","Currency=USD","Period=FQ","BEST_FPERIOD_OVERRIDE=FQ","FILING_STATUS=OR","SCALING_FORMAT=MLN","Sort=A","Dates=H","DateFormat=P","Fill=—","Direction=H","UseDPDF=Y")</f>
        <v>6176</v>
      </c>
      <c r="W40" s="13">
        <f>_xll.BDH("XOM US Equity","PROC_FR_REPAYMNTS_BOR_DETAILED","FQ3 2013","FQ3 2013","Currency=USD","Period=FQ","BEST_FPERIOD_OVERRIDE=FQ","FILING_STATUS=OR","SCALING_FORMAT=MLN","Sort=A","Dates=H","DateFormat=P","Fill=—","Direction=H","UseDPDF=Y")</f>
        <v>1921</v>
      </c>
      <c r="X40" s="13">
        <f>_xll.BDH("XOM US Equity","PROC_FR_REPAYMNTS_BOR_DETAILED","FQ4 2013","FQ4 2013","Currency=USD","Period=FQ","BEST_FPERIOD_OVERRIDE=FQ","FILING_STATUS=OR","SCALING_FORMAT=MLN","Sort=A","Dates=H","DateFormat=P","Fill=—","Direction=H","UseDPDF=Y")</f>
        <v>1915</v>
      </c>
      <c r="Y40" s="13">
        <f>_xll.BDH("XOM US Equity","PROC_FR_REPAYMNTS_BOR_DETAILED","FQ1 2014","FQ1 2014","Currency=USD","Period=FQ","BEST_FPERIOD_OVERRIDE=FQ","FILING_STATUS=OR","SCALING_FORMAT=MLN","Sort=A","Dates=H","DateFormat=P","Fill=—","Direction=H","UseDPDF=Y")</f>
        <v>-1168</v>
      </c>
      <c r="Z40" s="13">
        <f>_xll.BDH("XOM US Equity","PROC_FR_REPAYMNTS_BOR_DETAILED","FQ2 2014","FQ2 2014","Currency=USD","Period=FQ","BEST_FPERIOD_OVERRIDE=FQ","FILING_STATUS=OR","SCALING_FORMAT=MLN","Sort=A","Dates=H","DateFormat=P","Fill=—","Direction=H","UseDPDF=Y")</f>
        <v>432</v>
      </c>
      <c r="AA40" s="13">
        <f>_xll.BDH("XOM US Equity","PROC_FR_REPAYMNTS_BOR_DETAILED","FQ3 2014","FQ3 2014","Currency=USD","Period=FQ","BEST_FPERIOD_OVERRIDE=FQ","FILING_STATUS=OR","SCALING_FORMAT=MLN","Sort=A","Dates=H","DateFormat=P","Fill=—","Direction=H","UseDPDF=Y")</f>
        <v>312</v>
      </c>
      <c r="AB40" s="13">
        <f>_xll.BDH("XOM US Equity","PROC_FR_REPAYMNTS_BOR_DETAILED","FQ4 2014","FQ4 2014","Currency=USD","Period=FQ","BEST_FPERIOD_OVERRIDE=FQ","FILING_STATUS=OR","SCALING_FORMAT=MLN","Sort=A","Dates=H","DateFormat=P","Fill=—","Direction=H","UseDPDF=Y")</f>
        <v>7390</v>
      </c>
      <c r="AC40" s="13">
        <f>_xll.BDH("XOM US Equity","PROC_FR_REPAYMNTS_BOR_DETAILED","FQ1 2015","FQ1 2015","Currency=USD","Period=FQ","BEST_FPERIOD_OVERRIDE=FQ","FILING_STATUS=OR","SCALING_FORMAT=MLN","Sort=A","Dates=H","DateFormat=P","Fill=—","Direction=H","UseDPDF=Y")</f>
        <v>3877</v>
      </c>
      <c r="AD40" s="13">
        <f>_xll.BDH("XOM US Equity","PROC_FR_REPAYMNTS_BOR_DETAILED","FQ2 2015","FQ2 2015","Currency=USD","Period=FQ","BEST_FPERIOD_OVERRIDE=FQ","FILING_STATUS=OR","SCALING_FORMAT=MLN","Sort=A","Dates=H","DateFormat=P","Fill=—","Direction=H","UseDPDF=Y")</f>
        <v>923</v>
      </c>
      <c r="AE40" s="13">
        <f>_xll.BDH("XOM US Equity","PROC_FR_REPAYMNTS_BOR_DETAILED","FQ3 2015","FQ3 2015","Currency=USD","Period=FQ","BEST_FPERIOD_OVERRIDE=FQ","FILING_STATUS=OR","SCALING_FORMAT=MLN","Sort=A","Dates=H","DateFormat=P","Fill=—","Direction=H","UseDPDF=Y")</f>
        <v>198</v>
      </c>
      <c r="AF40" s="13">
        <f>_xll.BDH("XOM US Equity","PROC_FR_REPAYMNTS_BOR_DETAILED","FQ4 2015","FQ4 2015","Currency=USD","Period=FQ","BEST_FPERIOD_OVERRIDE=FQ","FILING_STATUS=OR","SCALING_FORMAT=MLN","Sort=A","Dates=H","DateFormat=P","Fill=—","Direction=H","UseDPDF=Y")</f>
        <v>4257</v>
      </c>
      <c r="AG40" s="13">
        <f>_xll.BDH("XOM US Equity","PROC_FR_REPAYMNTS_BOR_DETAILED","FQ1 2016","FQ1 2016","Currency=USD","Period=FQ","BEST_FPERIOD_OVERRIDE=FQ","FILING_STATUS=OR","SCALING_FORMAT=MLN","Sort=A","Dates=H","DateFormat=P","Fill=—","Direction=H","UseDPDF=Y")</f>
        <v>4341</v>
      </c>
      <c r="AH40" s="13">
        <f>_xll.BDH("XOM US Equity","PROC_FR_REPAYMNTS_BOR_DETAILED","FQ2 2016","FQ2 2016","Currency=USD","Period=FQ","BEST_FPERIOD_OVERRIDE=FQ","FILING_STATUS=OR","SCALING_FORMAT=MLN","Sort=A","Dates=H","DateFormat=P","Fill=—","Direction=H","UseDPDF=Y")</f>
        <v>1400</v>
      </c>
      <c r="AI40" s="13">
        <f>_xll.BDH("XOM US Equity","PROC_FR_REPAYMNTS_BOR_DETAILED","FQ3 2016","FQ3 2016","Currency=USD","Period=FQ","BEST_FPERIOD_OVERRIDE=FQ","FILING_STATUS=OR","SCALING_FORMAT=MLN","Sort=A","Dates=H","DateFormat=P","Fill=—","Direction=H","UseDPDF=Y")</f>
        <v>1875</v>
      </c>
      <c r="AJ40" s="13">
        <f>_xll.BDH("XOM US Equity","PROC_FR_REPAYMNTS_BOR_DETAILED","FQ4 2016","FQ4 2016","Currency=USD","Period=FQ","BEST_FPERIOD_OVERRIDE=FQ","FILING_STATUS=OR","SCALING_FORMAT=MLN","Sort=A","Dates=H","DateFormat=P","Fill=—","Direction=H","UseDPDF=Y")</f>
        <v>-3323</v>
      </c>
      <c r="AK40" s="13">
        <f>_xll.BDH("XOM US Equity","PROC_FR_REPAYMNTS_BOR_DETAILED","FQ1 2017","FQ1 2017","Currency=USD","Period=FQ","BEST_FPERIOD_OVERRIDE=FQ","FILING_STATUS=OR","SCALING_FORMAT=MLN","Sort=A","Dates=H","DateFormat=P","Fill=—","Direction=H","UseDPDF=Y")</f>
        <v>433</v>
      </c>
      <c r="AL40" s="13">
        <f>_xll.BDH("XOM US Equity","PROC_FR_REPAYMNTS_BOR_DETAILED","FQ2 2017","FQ2 2017","Currency=USD","Period=FQ","BEST_FPERIOD_OVERRIDE=FQ","FILING_STATUS=OR","SCALING_FORMAT=MLN","Sort=A","Dates=H","DateFormat=P","Fill=—","Direction=H","UseDPDF=Y")</f>
        <v>-1681</v>
      </c>
      <c r="AM40" s="13">
        <f>_xll.BDH("XOM US Equity","PROC_FR_REPAYMNTS_BOR_DETAILED","FQ3 2017","FQ3 2017","Currency=USD","Period=FQ","BEST_FPERIOD_OVERRIDE=FQ","FILING_STATUS=OR","SCALING_FORMAT=MLN","Sort=A","Dates=H","DateFormat=P","Fill=—","Direction=H","UseDPDF=Y")</f>
        <v>-1589</v>
      </c>
      <c r="AN40" s="13">
        <f>_xll.BDH("XOM US Equity","PROC_FR_REPAYMNTS_BOR_DETAILED","FQ4 2017","FQ4 2017","Currency=USD","Period=FQ","BEST_FPERIOD_OVERRIDE=FQ","FILING_STATUS=OR","SCALING_FORMAT=MLN","Sort=A","Dates=H","DateFormat=P","Fill=—","Direction=H","UseDPDF=Y")</f>
        <v>1789</v>
      </c>
      <c r="AO40" s="13">
        <f>_xll.BDH("XOM US Equity","PROC_FR_REPAYMNTS_BOR_DETAILED","FQ1 2018","FQ1 2018","Currency=USD","Period=FQ","BEST_FPERIOD_OVERRIDE=FQ","FILING_STATUS=OR","SCALING_FORMAT=MLN","Sort=A","Dates=H","DateFormat=P","Fill=—","Direction=H","UseDPDF=Y")</f>
        <v>-1922</v>
      </c>
      <c r="AP40" s="13">
        <f>_xll.BDH("XOM US Equity","PROC_FR_REPAYMNTS_BOR_DETAILED","FQ2 2018","FQ2 2018","Currency=USD","Period=FQ","BEST_FPERIOD_OVERRIDE=FQ","FILING_STATUS=OR","SCALING_FORMAT=MLN","Sort=A","Dates=H","DateFormat=P","Fill=—","Direction=H","UseDPDF=Y")</f>
        <v>568</v>
      </c>
    </row>
    <row r="41" spans="1:42" x14ac:dyDescent="0.25">
      <c r="A41" s="10" t="s">
        <v>421</v>
      </c>
      <c r="B41" s="10" t="s">
        <v>422</v>
      </c>
      <c r="C41" s="13" t="str">
        <f>_xll.BDH("XOM US Equity","CF_NET_CHG_IN_ST_DBT_&amp;_CPTL_LEAS","FQ3 2008","FQ3 2008","Currency=USD","Period=FQ","BEST_FPERIOD_OVERRIDE=FQ","FILING_STATUS=OR","SCALING_FORMAT=MLN","Sort=A","Dates=H","DateFormat=P","Fill=—","Direction=H","UseDPDF=Y")</f>
        <v>—</v>
      </c>
      <c r="D41" s="13" t="str">
        <f>_xll.BDH("XOM US Equity","CF_NET_CHG_IN_ST_DBT_&amp;_CPTL_LEAS","FQ4 2008","FQ4 2008","Currency=USD","Period=FQ","BEST_FPERIOD_OVERRIDE=FQ","FILING_STATUS=OR","SCALING_FORMAT=MLN","Sort=A","Dates=H","DateFormat=P","Fill=—","Direction=H","UseDPDF=Y")</f>
        <v>—</v>
      </c>
      <c r="E41" s="13">
        <f>_xll.BDH("XOM US Equity","CF_NET_CHG_IN_ST_DBT_&amp;_CPTL_LEAS","FQ1 2009","FQ1 2009","Currency=USD","Period=FQ","BEST_FPERIOD_OVERRIDE=FQ","FILING_STATUS=OR","SCALING_FORMAT=MLN","Sort=A","Dates=H","DateFormat=P","Fill=—","Direction=H","UseDPDF=Y")</f>
        <v>-203</v>
      </c>
      <c r="F41" s="13">
        <f>_xll.BDH("XOM US Equity","CF_NET_CHG_IN_ST_DBT_&amp;_CPTL_LEAS","FQ2 2009","FQ2 2009","Currency=USD","Period=FQ","BEST_FPERIOD_OVERRIDE=FQ","FILING_STATUS=OR","SCALING_FORMAT=MLN","Sort=A","Dates=H","DateFormat=P","Fill=—","Direction=H","UseDPDF=Y")</f>
        <v>-147</v>
      </c>
      <c r="G41" s="13">
        <f>_xll.BDH("XOM US Equity","CF_NET_CHG_IN_ST_DBT_&amp;_CPTL_LEAS","FQ3 2009","FQ3 2009","Currency=USD","Period=FQ","BEST_FPERIOD_OVERRIDE=FQ","FILING_STATUS=OR","SCALING_FORMAT=MLN","Sort=A","Dates=H","DateFormat=P","Fill=—","Direction=H","UseDPDF=Y")</f>
        <v>148</v>
      </c>
      <c r="H41" s="13">
        <f>_xll.BDH("XOM US Equity","CF_NET_CHG_IN_ST_DBT_&amp;_CPTL_LEAS","FQ4 2009","FQ4 2009","Currency=USD","Period=FQ","BEST_FPERIOD_OVERRIDE=FQ","FILING_STATUS=OR","SCALING_FORMAT=MLN","Sort=A","Dates=H","DateFormat=P","Fill=—","Direction=H","UseDPDF=Y")</f>
        <v>-108</v>
      </c>
      <c r="I41" s="13">
        <f>_xll.BDH("XOM US Equity","CF_NET_CHG_IN_ST_DBT_&amp;_CPTL_LEAS","FQ1 2010","FQ1 2010","Currency=USD","Period=FQ","BEST_FPERIOD_OVERRIDE=FQ","FILING_STATUS=OR","SCALING_FORMAT=MLN","Sort=A","Dates=H","DateFormat=P","Fill=—","Direction=H","UseDPDF=Y")</f>
        <v>-121</v>
      </c>
      <c r="J41" s="13">
        <f>_xll.BDH("XOM US Equity","CF_NET_CHG_IN_ST_DBT_&amp;_CPTL_LEAS","FQ2 2010","FQ2 2010","Currency=USD","Period=FQ","BEST_FPERIOD_OVERRIDE=FQ","FILING_STATUS=OR","SCALING_FORMAT=MLN","Sort=A","Dates=H","DateFormat=P","Fill=—","Direction=H","UseDPDF=Y")</f>
        <v>-576</v>
      </c>
      <c r="K41" s="13">
        <f>_xll.BDH("XOM US Equity","CF_NET_CHG_IN_ST_DBT_&amp;_CPTL_LEAS","FQ3 2010","FQ3 2010","Currency=USD","Period=FQ","BEST_FPERIOD_OVERRIDE=FQ","FILING_STATUS=OR","SCALING_FORMAT=MLN","Sort=A","Dates=H","DateFormat=P","Fill=—","Direction=H","UseDPDF=Y")</f>
        <v>-32</v>
      </c>
      <c r="L41" s="13">
        <f>_xll.BDH("XOM US Equity","CF_NET_CHG_IN_ST_DBT_&amp;_CPTL_LEAS","FQ4 2010","FQ4 2010","Currency=USD","Period=FQ","BEST_FPERIOD_OVERRIDE=FQ","FILING_STATUS=OR","SCALING_FORMAT=MLN","Sort=A","Dates=H","DateFormat=P","Fill=—","Direction=H","UseDPDF=Y")</f>
        <v>-400</v>
      </c>
      <c r="M41" s="13">
        <f>_xll.BDH("XOM US Equity","CF_NET_CHG_IN_ST_DBT_&amp;_CPTL_LEAS","FQ1 2011","FQ1 2011","Currency=USD","Period=FQ","BEST_FPERIOD_OVERRIDE=FQ","FILING_STATUS=OR","SCALING_FORMAT=MLN","Sort=A","Dates=H","DateFormat=P","Fill=—","Direction=H","UseDPDF=Y")</f>
        <v>743</v>
      </c>
      <c r="N41" s="13">
        <f>_xll.BDH("XOM US Equity","CF_NET_CHG_IN_ST_DBT_&amp;_CPTL_LEAS","FQ2 2011","FQ2 2011","Currency=USD","Period=FQ","BEST_FPERIOD_OVERRIDE=FQ","FILING_STATUS=OR","SCALING_FORMAT=MLN","Sort=A","Dates=H","DateFormat=P","Fill=—","Direction=H","UseDPDF=Y")</f>
        <v>439</v>
      </c>
      <c r="O41" s="13">
        <f>_xll.BDH("XOM US Equity","CF_NET_CHG_IN_ST_DBT_&amp;_CPTL_LEAS","FQ3 2011","FQ3 2011","Currency=USD","Period=FQ","BEST_FPERIOD_OVERRIDE=FQ","FILING_STATUS=OR","SCALING_FORMAT=MLN","Sort=A","Dates=H","DateFormat=P","Fill=—","Direction=H","UseDPDF=Y")</f>
        <v>232</v>
      </c>
      <c r="P41" s="13">
        <f>_xll.BDH("XOM US Equity","CF_NET_CHG_IN_ST_DBT_&amp;_CPTL_LEAS","FQ4 2011","FQ4 2011","Currency=USD","Period=FQ","BEST_FPERIOD_OVERRIDE=FQ","FILING_STATUS=OR","SCALING_FORMAT=MLN","Sort=A","Dates=H","DateFormat=P","Fill=—","Direction=H","UseDPDF=Y")</f>
        <v>107</v>
      </c>
      <c r="Q41" s="13">
        <f>_xll.BDH("XOM US Equity","CF_NET_CHG_IN_ST_DBT_&amp;_CPTL_LEAS","FQ1 2012","FQ1 2012","Currency=USD","Period=FQ","BEST_FPERIOD_OVERRIDE=FQ","FILING_STATUS=OR","SCALING_FORMAT=MLN","Sort=A","Dates=H","DateFormat=P","Fill=—","Direction=H","UseDPDF=Y")</f>
        <v>-527</v>
      </c>
      <c r="R41" s="13">
        <f>_xll.BDH("XOM US Equity","CF_NET_CHG_IN_ST_DBT_&amp;_CPTL_LEAS","FQ2 2012","FQ2 2012","Currency=USD","Period=FQ","BEST_FPERIOD_OVERRIDE=FQ","FILING_STATUS=OR","SCALING_FORMAT=MLN","Sort=A","Dates=H","DateFormat=P","Fill=—","Direction=H","UseDPDF=Y")</f>
        <v>313</v>
      </c>
      <c r="S41" s="13">
        <f>_xll.BDH("XOM US Equity","CF_NET_CHG_IN_ST_DBT_&amp;_CPTL_LEAS","FQ3 2012","FQ3 2012","Currency=USD","Period=FQ","BEST_FPERIOD_OVERRIDE=FQ","FILING_STATUS=OR","SCALING_FORMAT=MLN","Sort=A","Dates=H","DateFormat=P","Fill=—","Direction=H","UseDPDF=Y")</f>
        <v>-3292</v>
      </c>
      <c r="T41" s="13">
        <f>_xll.BDH("XOM US Equity","CF_NET_CHG_IN_ST_DBT_&amp;_CPTL_LEAS","FQ4 2012","FQ4 2012","Currency=USD","Period=FQ","BEST_FPERIOD_OVERRIDE=FQ","FILING_STATUS=OR","SCALING_FORMAT=MLN","Sort=A","Dates=H","DateFormat=P","Fill=—","Direction=H","UseDPDF=Y")</f>
        <v>-250</v>
      </c>
      <c r="U41" s="13">
        <f>_xll.BDH("XOM US Equity","CF_NET_CHG_IN_ST_DBT_&amp;_CPTL_LEAS","FQ1 2013","FQ1 2013","Currency=USD","Period=FQ","BEST_FPERIOD_OVERRIDE=FQ","FILING_STATUS=OR","SCALING_FORMAT=MLN","Sort=A","Dates=H","DateFormat=P","Fill=—","Direction=H","UseDPDF=Y")</f>
        <v>1587</v>
      </c>
      <c r="V41" s="13">
        <f>_xll.BDH("XOM US Equity","CF_NET_CHG_IN_ST_DBT_&amp;_CPTL_LEAS","FQ2 2013","FQ2 2013","Currency=USD","Period=FQ","BEST_FPERIOD_OVERRIDE=FQ","FILING_STATUS=OR","SCALING_FORMAT=MLN","Sort=A","Dates=H","DateFormat=P","Fill=—","Direction=H","UseDPDF=Y")</f>
        <v>5979</v>
      </c>
      <c r="W41" s="13">
        <f>_xll.BDH("XOM US Equity","CF_NET_CHG_IN_ST_DBT_&amp;_CPTL_LEAS","FQ3 2013","FQ3 2013","Currency=USD","Period=FQ","BEST_FPERIOD_OVERRIDE=FQ","FILING_STATUS=OR","SCALING_FORMAT=MLN","Sort=A","Dates=H","DateFormat=P","Fill=—","Direction=H","UseDPDF=Y")</f>
        <v>1917</v>
      </c>
      <c r="X41" s="13">
        <f>_xll.BDH("XOM US Equity","CF_NET_CHG_IN_ST_DBT_&amp;_CPTL_LEAS","FQ4 2013","FQ4 2013","Currency=USD","Period=FQ","BEST_FPERIOD_OVERRIDE=FQ","FILING_STATUS=OR","SCALING_FORMAT=MLN","Sort=A","Dates=H","DateFormat=P","Fill=—","Direction=H","UseDPDF=Y")</f>
        <v>1789</v>
      </c>
      <c r="Y41" s="13">
        <f>_xll.BDH("XOM US Equity","CF_NET_CHG_IN_ST_DBT_&amp;_CPTL_LEAS","FQ1 2014","FQ1 2014","Currency=USD","Period=FQ","BEST_FPERIOD_OVERRIDE=FQ","FILING_STATUS=OR","SCALING_FORMAT=MLN","Sort=A","Dates=H","DateFormat=P","Fill=—","Direction=H","UseDPDF=Y")</f>
        <v>-6668</v>
      </c>
      <c r="Z41" s="13">
        <f>_xll.BDH("XOM US Equity","CF_NET_CHG_IN_ST_DBT_&amp;_CPTL_LEAS","FQ2 2014","FQ2 2014","Currency=USD","Period=FQ","BEST_FPERIOD_OVERRIDE=FQ","FILING_STATUS=OR","SCALING_FORMAT=MLN","Sort=A","Dates=H","DateFormat=P","Fill=—","Direction=H","UseDPDF=Y")</f>
        <v>432</v>
      </c>
      <c r="AA41" s="13">
        <f>_xll.BDH("XOM US Equity","CF_NET_CHG_IN_ST_DBT_&amp;_CPTL_LEAS","FQ3 2014","FQ3 2014","Currency=USD","Period=FQ","BEST_FPERIOD_OVERRIDE=FQ","FILING_STATUS=OR","SCALING_FORMAT=MLN","Sort=A","Dates=H","DateFormat=P","Fill=—","Direction=H","UseDPDF=Y")</f>
        <v>309</v>
      </c>
      <c r="AB41" s="13">
        <f>_xll.BDH("XOM US Equity","CF_NET_CHG_IN_ST_DBT_&amp;_CPTL_LEAS","FQ4 2014","FQ4 2014","Currency=USD","Period=FQ","BEST_FPERIOD_OVERRIDE=FQ","FILING_STATUS=OR","SCALING_FORMAT=MLN","Sort=A","Dates=H","DateFormat=P","Fill=—","Direction=H","UseDPDF=Y")</f>
        <v>7231</v>
      </c>
      <c r="AC41" s="13">
        <f>_xll.BDH("XOM US Equity","CF_NET_CHG_IN_ST_DBT_&amp;_CPTL_LEAS","FQ1 2015","FQ1 2015","Currency=USD","Period=FQ","BEST_FPERIOD_OVERRIDE=FQ","FILING_STATUS=OR","SCALING_FORMAT=MLN","Sort=A","Dates=H","DateFormat=P","Fill=—","Direction=H","UseDPDF=Y")</f>
        <v>-4113</v>
      </c>
      <c r="AD41" s="13">
        <f>_xll.BDH("XOM US Equity","CF_NET_CHG_IN_ST_DBT_&amp;_CPTL_LEAS","FQ2 2015","FQ2 2015","Currency=USD","Period=FQ","BEST_FPERIOD_OVERRIDE=FQ","FILING_STATUS=OR","SCALING_FORMAT=MLN","Sort=A","Dates=H","DateFormat=P","Fill=—","Direction=H","UseDPDF=Y")</f>
        <v>926</v>
      </c>
      <c r="AE41" s="13">
        <f>_xll.BDH("XOM US Equity","CF_NET_CHG_IN_ST_DBT_&amp;_CPTL_LEAS","FQ3 2015","FQ3 2015","Currency=USD","Period=FQ","BEST_FPERIOD_OVERRIDE=FQ","FILING_STATUS=OR","SCALING_FORMAT=MLN","Sort=A","Dates=H","DateFormat=P","Fill=—","Direction=H","UseDPDF=Y")</f>
        <v>175</v>
      </c>
      <c r="AF41" s="13">
        <f>_xll.BDH("XOM US Equity","CF_NET_CHG_IN_ST_DBT_&amp;_CPTL_LEAS","FQ4 2015","FQ4 2015","Currency=USD","Period=FQ","BEST_FPERIOD_OVERRIDE=FQ","FILING_STATUS=OR","SCALING_FORMAT=MLN","Sort=A","Dates=H","DateFormat=P","Fill=—","Direction=H","UseDPDF=Y")</f>
        <v>4265</v>
      </c>
      <c r="AG41" s="13">
        <f>_xll.BDH("XOM US Equity","CF_NET_CHG_IN_ST_DBT_&amp;_CPTL_LEAS","FQ1 2016","FQ1 2016","Currency=USD","Period=FQ","BEST_FPERIOD_OVERRIDE=FQ","FILING_STATUS=OR","SCALING_FORMAT=MLN","Sort=A","Dates=H","DateFormat=P","Fill=—","Direction=H","UseDPDF=Y")</f>
        <v>-7622</v>
      </c>
      <c r="AH41" s="13">
        <f>_xll.BDH("XOM US Equity","CF_NET_CHG_IN_ST_DBT_&amp;_CPTL_LEAS","FQ2 2016","FQ2 2016","Currency=USD","Period=FQ","BEST_FPERIOD_OVERRIDE=FQ","FILING_STATUS=OR","SCALING_FORMAT=MLN","Sort=A","Dates=H","DateFormat=P","Fill=—","Direction=H","UseDPDF=Y")</f>
        <v>1399</v>
      </c>
      <c r="AI41" s="13">
        <f>_xll.BDH("XOM US Equity","CF_NET_CHG_IN_ST_DBT_&amp;_CPTL_LEAS","FQ3 2016","FQ3 2016","Currency=USD","Period=FQ","BEST_FPERIOD_OVERRIDE=FQ","FILING_STATUS=OR","SCALING_FORMAT=MLN","Sort=A","Dates=H","DateFormat=P","Fill=—","Direction=H","UseDPDF=Y")</f>
        <v>1875</v>
      </c>
      <c r="AJ41" s="13">
        <f>_xll.BDH("XOM US Equity","CF_NET_CHG_IN_ST_DBT_&amp;_CPTL_LEAS","FQ4 2016","FQ4 2016","Currency=USD","Period=FQ","BEST_FPERIOD_OVERRIDE=FQ","FILING_STATUS=OR","SCALING_FORMAT=MLN","Sort=A","Dates=H","DateFormat=P","Fill=—","Direction=H","UseDPDF=Y")</f>
        <v>-3425</v>
      </c>
      <c r="AK41" s="13">
        <f>_xll.BDH("XOM US Equity","CF_NET_CHG_IN_ST_DBT_&amp;_CPTL_LEAS","FQ1 2017","FQ1 2017","Currency=USD","Period=FQ","BEST_FPERIOD_OVERRIDE=FQ","FILING_STATUS=OR","SCALING_FORMAT=MLN","Sort=A","Dates=H","DateFormat=P","Fill=—","Direction=H","UseDPDF=Y")</f>
        <v>373</v>
      </c>
      <c r="AL41" s="13">
        <f>_xll.BDH("XOM US Equity","CF_NET_CHG_IN_ST_DBT_&amp;_CPTL_LEAS","FQ2 2017","FQ2 2017","Currency=USD","Period=FQ","BEST_FPERIOD_OVERRIDE=FQ","FILING_STATUS=OR","SCALING_FORMAT=MLN","Sort=A","Dates=H","DateFormat=P","Fill=—","Direction=H","UseDPDF=Y")</f>
        <v>-1681</v>
      </c>
      <c r="AM41" s="13">
        <f>_xll.BDH("XOM US Equity","CF_NET_CHG_IN_ST_DBT_&amp;_CPTL_LEAS","FQ3 2017","FQ3 2017","Currency=USD","Period=FQ","BEST_FPERIOD_OVERRIDE=FQ","FILING_STATUS=OR","SCALING_FORMAT=MLN","Sort=A","Dates=H","DateFormat=P","Fill=—","Direction=H","UseDPDF=Y")</f>
        <v>-1589</v>
      </c>
      <c r="AN41" s="13">
        <f>_xll.BDH("XOM US Equity","CF_NET_CHG_IN_ST_DBT_&amp;_CPTL_LEAS","FQ4 2017","FQ4 2017","Currency=USD","Period=FQ","BEST_FPERIOD_OVERRIDE=FQ","FILING_STATUS=OR","SCALING_FORMAT=MLN","Sort=A","Dates=H","DateFormat=P","Fill=—","Direction=H","UseDPDF=Y")</f>
        <v>1789</v>
      </c>
      <c r="AO41" s="13">
        <f>_xll.BDH("XOM US Equity","CF_NET_CHG_IN_ST_DBT_&amp;_CPTL_LEAS","FQ1 2018","FQ1 2018","Currency=USD","Period=FQ","BEST_FPERIOD_OVERRIDE=FQ","FILING_STATUS=OR","SCALING_FORMAT=MLN","Sort=A","Dates=H","DateFormat=P","Fill=—","Direction=H","UseDPDF=Y")</f>
        <v>-1922</v>
      </c>
      <c r="AP41" s="13">
        <f>_xll.BDH("XOM US Equity","CF_NET_CHG_IN_ST_DBT_&amp;_CPTL_LEAS","FQ2 2018","FQ2 2018","Currency=USD","Period=FQ","BEST_FPERIOD_OVERRIDE=FQ","FILING_STATUS=OR","SCALING_FORMAT=MLN","Sort=A","Dates=H","DateFormat=P","Fill=—","Direction=H","UseDPDF=Y")</f>
        <v>568</v>
      </c>
    </row>
    <row r="42" spans="1:42" x14ac:dyDescent="0.25">
      <c r="A42" s="10" t="s">
        <v>423</v>
      </c>
      <c r="B42" s="10" t="s">
        <v>424</v>
      </c>
      <c r="C42" s="13" t="str">
        <f>_xll.BDH("XOM US Equity","CF_PROC_LT_DEBT_&amp;_CAPITAL_LEASE","FQ3 2008","FQ3 2008","Currency=USD","Period=FQ","BEST_FPERIOD_OVERRIDE=FQ","FILING_STATUS=OR","SCALING_FORMAT=MLN","Sort=A","Dates=H","DateFormat=P","Fill=—","Direction=H","UseDPDF=Y")</f>
        <v>—</v>
      </c>
      <c r="D42" s="13" t="str">
        <f>_xll.BDH("XOM US Equity","CF_PROC_LT_DEBT_&amp;_CAPITAL_LEASE","FQ4 2008","FQ4 2008","Currency=USD","Period=FQ","BEST_FPERIOD_OVERRIDE=FQ","FILING_STATUS=OR","SCALING_FORMAT=MLN","Sort=A","Dates=H","DateFormat=P","Fill=—","Direction=H","UseDPDF=Y")</f>
        <v>—</v>
      </c>
      <c r="E42" s="13">
        <f>_xll.BDH("XOM US Equity","CF_PROC_LT_DEBT_&amp;_CAPITAL_LEASE","FQ1 2009","FQ1 2009","Currency=USD","Period=FQ","BEST_FPERIOD_OVERRIDE=FQ","FILING_STATUS=OR","SCALING_FORMAT=MLN","Sort=A","Dates=H","DateFormat=P","Fill=—","Direction=H","UseDPDF=Y")</f>
        <v>22</v>
      </c>
      <c r="F42" s="13">
        <f>_xll.BDH("XOM US Equity","CF_PROC_LT_DEBT_&amp;_CAPITAL_LEASE","FQ2 2009","FQ2 2009","Currency=USD","Period=FQ","BEST_FPERIOD_OVERRIDE=FQ","FILING_STATUS=OR","SCALING_FORMAT=MLN","Sort=A","Dates=H","DateFormat=P","Fill=—","Direction=H","UseDPDF=Y")</f>
        <v>123</v>
      </c>
      <c r="G42" s="13">
        <f>_xll.BDH("XOM US Equity","CF_PROC_LT_DEBT_&amp;_CAPITAL_LEASE","FQ3 2009","FQ3 2009","Currency=USD","Period=FQ","BEST_FPERIOD_OVERRIDE=FQ","FILING_STATUS=OR","SCALING_FORMAT=MLN","Sort=A","Dates=H","DateFormat=P","Fill=—","Direction=H","UseDPDF=Y")</f>
        <v>47</v>
      </c>
      <c r="H42" s="13">
        <f>_xll.BDH("XOM US Equity","CF_PROC_LT_DEBT_&amp;_CAPITAL_LEASE","FQ4 2009","FQ4 2009","Currency=USD","Period=FQ","BEST_FPERIOD_OVERRIDE=FQ","FILING_STATUS=OR","SCALING_FORMAT=MLN","Sort=A","Dates=H","DateFormat=P","Fill=—","Direction=H","UseDPDF=Y")</f>
        <v>33</v>
      </c>
      <c r="I42" s="13">
        <f>_xll.BDH("XOM US Equity","CF_PROC_LT_DEBT_&amp;_CAPITAL_LEASE","FQ1 2010","FQ1 2010","Currency=USD","Period=FQ","BEST_FPERIOD_OVERRIDE=FQ","FILING_STATUS=OR","SCALING_FORMAT=MLN","Sort=A","Dates=H","DateFormat=P","Fill=—","Direction=H","UseDPDF=Y")</f>
        <v>27</v>
      </c>
      <c r="J42" s="13">
        <f>_xll.BDH("XOM US Equity","CF_PROC_LT_DEBT_&amp;_CAPITAL_LEASE","FQ2 2010","FQ2 2010","Currency=USD","Period=FQ","BEST_FPERIOD_OVERRIDE=FQ","FILING_STATUS=OR","SCALING_FORMAT=MLN","Sort=A","Dates=H","DateFormat=P","Fill=—","Direction=H","UseDPDF=Y")</f>
        <v>6</v>
      </c>
      <c r="K42" s="13">
        <f>_xll.BDH("XOM US Equity","CF_PROC_LT_DEBT_&amp;_CAPITAL_LEASE","FQ3 2010","FQ3 2010","Currency=USD","Period=FQ","BEST_FPERIOD_OVERRIDE=FQ","FILING_STATUS=OR","SCALING_FORMAT=MLN","Sort=A","Dates=H","DateFormat=P","Fill=—","Direction=H","UseDPDF=Y")</f>
        <v>341</v>
      </c>
      <c r="L42" s="13">
        <f>_xll.BDH("XOM US Equity","CF_PROC_LT_DEBT_&amp;_CAPITAL_LEASE","FQ4 2010","FQ4 2010","Currency=USD","Period=FQ","BEST_FPERIOD_OVERRIDE=FQ","FILING_STATUS=OR","SCALING_FORMAT=MLN","Sort=A","Dates=H","DateFormat=P","Fill=—","Direction=H","UseDPDF=Y")</f>
        <v>769</v>
      </c>
      <c r="M42" s="13">
        <f>_xll.BDH("XOM US Equity","CF_PROC_LT_DEBT_&amp;_CAPITAL_LEASE","FQ1 2011","FQ1 2011","Currency=USD","Period=FQ","BEST_FPERIOD_OVERRIDE=FQ","FILING_STATUS=OR","SCALING_FORMAT=MLN","Sort=A","Dates=H","DateFormat=P","Fill=—","Direction=H","UseDPDF=Y")</f>
        <v>98</v>
      </c>
      <c r="N42" s="13">
        <f>_xll.BDH("XOM US Equity","CF_PROC_LT_DEBT_&amp;_CAPITAL_LEASE","FQ2 2011","FQ2 2011","Currency=USD","Period=FQ","BEST_FPERIOD_OVERRIDE=FQ","FILING_STATUS=OR","SCALING_FORMAT=MLN","Sort=A","Dates=H","DateFormat=P","Fill=—","Direction=H","UseDPDF=Y")</f>
        <v>151</v>
      </c>
      <c r="O42" s="13">
        <f>_xll.BDH("XOM US Equity","CF_PROC_LT_DEBT_&amp;_CAPITAL_LEASE","FQ3 2011","FQ3 2011","Currency=USD","Period=FQ","BEST_FPERIOD_OVERRIDE=FQ","FILING_STATUS=OR","SCALING_FORMAT=MLN","Sort=A","Dates=H","DateFormat=P","Fill=—","Direction=H","UseDPDF=Y")</f>
        <v>208</v>
      </c>
      <c r="P42" s="13">
        <f>_xll.BDH("XOM US Equity","CF_PROC_LT_DEBT_&amp;_CAPITAL_LEASE","FQ4 2011","FQ4 2011","Currency=USD","Period=FQ","BEST_FPERIOD_OVERRIDE=FQ","FILING_STATUS=OR","SCALING_FORMAT=MLN","Sort=A","Dates=H","DateFormat=P","Fill=—","Direction=H","UseDPDF=Y")</f>
        <v>245</v>
      </c>
      <c r="Q42" s="13">
        <f>_xll.BDH("XOM US Equity","CF_PROC_LT_DEBT_&amp;_CAPITAL_LEASE","FQ1 2012","FQ1 2012","Currency=USD","Period=FQ","BEST_FPERIOD_OVERRIDE=FQ","FILING_STATUS=OR","SCALING_FORMAT=MLN","Sort=A","Dates=H","DateFormat=P","Fill=—","Direction=H","UseDPDF=Y")</f>
        <v>129</v>
      </c>
      <c r="R42" s="13">
        <f>_xll.BDH("XOM US Equity","CF_PROC_LT_DEBT_&amp;_CAPITAL_LEASE","FQ2 2012","FQ2 2012","Currency=USD","Period=FQ","BEST_FPERIOD_OVERRIDE=FQ","FILING_STATUS=OR","SCALING_FORMAT=MLN","Sort=A","Dates=H","DateFormat=P","Fill=—","Direction=H","UseDPDF=Y")</f>
        <v>260</v>
      </c>
      <c r="S42" s="13">
        <f>_xll.BDH("XOM US Equity","CF_PROC_LT_DEBT_&amp;_CAPITAL_LEASE","FQ3 2012","FQ3 2012","Currency=USD","Period=FQ","BEST_FPERIOD_OVERRIDE=FQ","FILING_STATUS=OR","SCALING_FORMAT=MLN","Sort=A","Dates=H","DateFormat=P","Fill=—","Direction=H","UseDPDF=Y")</f>
        <v>208</v>
      </c>
      <c r="T42" s="13">
        <f>_xll.BDH("XOM US Equity","CF_PROC_LT_DEBT_&amp;_CAPITAL_LEASE","FQ4 2012","FQ4 2012","Currency=USD","Period=FQ","BEST_FPERIOD_OVERRIDE=FQ","FILING_STATUS=OR","SCALING_FORMAT=MLN","Sort=A","Dates=H","DateFormat=P","Fill=—","Direction=H","UseDPDF=Y")</f>
        <v>398</v>
      </c>
      <c r="U42" s="13">
        <f>_xll.BDH("XOM US Equity","CF_PROC_LT_DEBT_&amp;_CAPITAL_LEASE","FQ1 2013","FQ1 2013","Currency=USD","Period=FQ","BEST_FPERIOD_OVERRIDE=FQ","FILING_STATUS=OR","SCALING_FORMAT=MLN","Sort=A","Dates=H","DateFormat=P","Fill=—","Direction=H","UseDPDF=Y")</f>
        <v>5</v>
      </c>
      <c r="V42" s="13">
        <f>_xll.BDH("XOM US Equity","CF_PROC_LT_DEBT_&amp;_CAPITAL_LEASE","FQ2 2013","FQ2 2013","Currency=USD","Period=FQ","BEST_FPERIOD_OVERRIDE=FQ","FILING_STATUS=OR","SCALING_FORMAT=MLN","Sort=A","Dates=H","DateFormat=P","Fill=—","Direction=H","UseDPDF=Y")</f>
        <v>197</v>
      </c>
      <c r="W42" s="13">
        <f>_xll.BDH("XOM US Equity","CF_PROC_LT_DEBT_&amp;_CAPITAL_LEASE","FQ3 2013","FQ3 2013","Currency=USD","Period=FQ","BEST_FPERIOD_OVERRIDE=FQ","FILING_STATUS=OR","SCALING_FORMAT=MLN","Sort=A","Dates=H","DateFormat=P","Fill=—","Direction=H","UseDPDF=Y")</f>
        <v>4</v>
      </c>
      <c r="X42" s="13">
        <f>_xll.BDH("XOM US Equity","CF_PROC_LT_DEBT_&amp;_CAPITAL_LEASE","FQ4 2013","FQ4 2013","Currency=USD","Period=FQ","BEST_FPERIOD_OVERRIDE=FQ","FILING_STATUS=OR","SCALING_FORMAT=MLN","Sort=A","Dates=H","DateFormat=P","Fill=—","Direction=H","UseDPDF=Y")</f>
        <v>139</v>
      </c>
      <c r="Y42" s="13">
        <f>_xll.BDH("XOM US Equity","CF_PROC_LT_DEBT_&amp;_CAPITAL_LEASE","FQ1 2014","FQ1 2014","Currency=USD","Period=FQ","BEST_FPERIOD_OVERRIDE=FQ","FILING_STATUS=OR","SCALING_FORMAT=MLN","Sort=A","Dates=H","DateFormat=P","Fill=—","Direction=H","UseDPDF=Y")</f>
        <v>5500</v>
      </c>
      <c r="Z42" s="13">
        <f>_xll.BDH("XOM US Equity","CF_PROC_LT_DEBT_&amp;_CAPITAL_LEASE","FQ2 2014","FQ2 2014","Currency=USD","Period=FQ","BEST_FPERIOD_OVERRIDE=FQ","FILING_STATUS=OR","SCALING_FORMAT=MLN","Sort=A","Dates=H","DateFormat=P","Fill=—","Direction=H","UseDPDF=Y")</f>
        <v>0</v>
      </c>
      <c r="AA42" s="13">
        <f>_xll.BDH("XOM US Equity","CF_PROC_LT_DEBT_&amp;_CAPITAL_LEASE","FQ3 2014","FQ3 2014","Currency=USD","Period=FQ","BEST_FPERIOD_OVERRIDE=FQ","FILING_STATUS=OR","SCALING_FORMAT=MLN","Sort=A","Dates=H","DateFormat=P","Fill=—","Direction=H","UseDPDF=Y")</f>
        <v>3</v>
      </c>
      <c r="AB42" s="13">
        <f>_xll.BDH("XOM US Equity","CF_PROC_LT_DEBT_&amp;_CAPITAL_LEASE","FQ4 2014","FQ4 2014","Currency=USD","Period=FQ","BEST_FPERIOD_OVERRIDE=FQ","FILING_STATUS=OR","SCALING_FORMAT=MLN","Sort=A","Dates=H","DateFormat=P","Fill=—","Direction=H","UseDPDF=Y")</f>
        <v>228</v>
      </c>
      <c r="AC42" s="13">
        <f>_xll.BDH("XOM US Equity","CF_PROC_LT_DEBT_&amp;_CAPITAL_LEASE","FQ1 2015","FQ1 2015","Currency=USD","Period=FQ","BEST_FPERIOD_OVERRIDE=FQ","FILING_STATUS=OR","SCALING_FORMAT=MLN","Sort=A","Dates=H","DateFormat=P","Fill=—","Direction=H","UseDPDF=Y")</f>
        <v>8000</v>
      </c>
      <c r="AD42" s="13">
        <f>_xll.BDH("XOM US Equity","CF_PROC_LT_DEBT_&amp;_CAPITAL_LEASE","FQ2 2015","FQ2 2015","Currency=USD","Period=FQ","BEST_FPERIOD_OVERRIDE=FQ","FILING_STATUS=OR","SCALING_FORMAT=MLN","Sort=A","Dates=H","DateFormat=P","Fill=—","Direction=H","UseDPDF=Y")</f>
        <v>0</v>
      </c>
      <c r="AE42" s="13">
        <f>_xll.BDH("XOM US Equity","CF_PROC_LT_DEBT_&amp;_CAPITAL_LEASE","FQ3 2015","FQ3 2015","Currency=USD","Period=FQ","BEST_FPERIOD_OVERRIDE=FQ","FILING_STATUS=OR","SCALING_FORMAT=MLN","Sort=A","Dates=H","DateFormat=P","Fill=—","Direction=H","UseDPDF=Y")</f>
        <v>28</v>
      </c>
      <c r="AF42" s="13">
        <f>_xll.BDH("XOM US Equity","CF_PROC_LT_DEBT_&amp;_CAPITAL_LEASE","FQ4 2015","FQ4 2015","Currency=USD","Period=FQ","BEST_FPERIOD_OVERRIDE=FQ","FILING_STATUS=OR","SCALING_FORMAT=MLN","Sort=A","Dates=H","DateFormat=P","Fill=—","Direction=H","UseDPDF=Y")</f>
        <v>0</v>
      </c>
      <c r="AG42" s="13">
        <f>_xll.BDH("XOM US Equity","CF_PROC_LT_DEBT_&amp;_CAPITAL_LEASE","FQ1 2016","FQ1 2016","Currency=USD","Period=FQ","BEST_FPERIOD_OVERRIDE=FQ","FILING_STATUS=OR","SCALING_FORMAT=MLN","Sort=A","Dates=H","DateFormat=P","Fill=—","Direction=H","UseDPDF=Y")</f>
        <v>11963</v>
      </c>
      <c r="AH42" s="13">
        <f>_xll.BDH("XOM US Equity","CF_PROC_LT_DEBT_&amp;_CAPITAL_LEASE","FQ2 2016","FQ2 2016","Currency=USD","Period=FQ","BEST_FPERIOD_OVERRIDE=FQ","FILING_STATUS=OR","SCALING_FORMAT=MLN","Sort=A","Dates=H","DateFormat=P","Fill=—","Direction=H","UseDPDF=Y")</f>
        <v>1</v>
      </c>
      <c r="AI42" s="13">
        <f>_xll.BDH("XOM US Equity","CF_PROC_LT_DEBT_&amp;_CAPITAL_LEASE","FQ3 2016","FQ3 2016","Currency=USD","Period=FQ","BEST_FPERIOD_OVERRIDE=FQ","FILING_STATUS=OR","SCALING_FORMAT=MLN","Sort=A","Dates=H","DateFormat=P","Fill=—","Direction=H","UseDPDF=Y")</f>
        <v>0</v>
      </c>
      <c r="AJ42" s="13">
        <f>_xll.BDH("XOM US Equity","CF_PROC_LT_DEBT_&amp;_CAPITAL_LEASE","FQ4 2016","FQ4 2016","Currency=USD","Period=FQ","BEST_FPERIOD_OVERRIDE=FQ","FILING_STATUS=OR","SCALING_FORMAT=MLN","Sort=A","Dates=H","DateFormat=P","Fill=—","Direction=H","UseDPDF=Y")</f>
        <v>102</v>
      </c>
      <c r="AK42" s="13">
        <f>_xll.BDH("XOM US Equity","CF_PROC_LT_DEBT_&amp;_CAPITAL_LEASE","FQ1 2017","FQ1 2017","Currency=USD","Period=FQ","BEST_FPERIOD_OVERRIDE=FQ","FILING_STATUS=OR","SCALING_FORMAT=MLN","Sort=A","Dates=H","DateFormat=P","Fill=—","Direction=H","UseDPDF=Y")</f>
        <v>60</v>
      </c>
      <c r="AL42" s="13">
        <f>_xll.BDH("XOM US Equity","CF_PROC_LT_DEBT_&amp;_CAPITAL_LEASE","FQ2 2017","FQ2 2017","Currency=USD","Period=FQ","BEST_FPERIOD_OVERRIDE=FQ","FILING_STATUS=OR","SCALING_FORMAT=MLN","Sort=A","Dates=H","DateFormat=P","Fill=—","Direction=H","UseDPDF=Y")</f>
        <v>0</v>
      </c>
      <c r="AM42" s="13">
        <f>_xll.BDH("XOM US Equity","CF_PROC_LT_DEBT_&amp;_CAPITAL_LEASE","FQ3 2017","FQ3 2017","Currency=USD","Period=FQ","BEST_FPERIOD_OVERRIDE=FQ","FILING_STATUS=OR","SCALING_FORMAT=MLN","Sort=A","Dates=H","DateFormat=P","Fill=—","Direction=H","UseDPDF=Y")</f>
        <v>0</v>
      </c>
      <c r="AN42" s="13">
        <f>_xll.BDH("XOM US Equity","CF_PROC_LT_DEBT_&amp;_CAPITAL_LEASE","FQ4 2017","FQ4 2017","Currency=USD","Period=FQ","BEST_FPERIOD_OVERRIDE=FQ","FILING_STATUS=OR","SCALING_FORMAT=MLN","Sort=A","Dates=H","DateFormat=P","Fill=—","Direction=H","UseDPDF=Y")</f>
        <v>0</v>
      </c>
      <c r="AO42" s="13">
        <f>_xll.BDH("XOM US Equity","CF_PROC_LT_DEBT_&amp;_CAPITAL_LEASE","FQ1 2018","FQ1 2018","Currency=USD","Period=FQ","BEST_FPERIOD_OVERRIDE=FQ","FILING_STATUS=OR","SCALING_FORMAT=MLN","Sort=A","Dates=H","DateFormat=P","Fill=—","Direction=H","UseDPDF=Y")</f>
        <v>0</v>
      </c>
      <c r="AP42" s="13">
        <f>_xll.BDH("XOM US Equity","CF_PROC_LT_DEBT_&amp;_CAPITAL_LEASE","FQ2 2018","FQ2 2018","Currency=USD","Period=FQ","BEST_FPERIOD_OVERRIDE=FQ","FILING_STATUS=OR","SCALING_FORMAT=MLN","Sort=A","Dates=H","DateFormat=P","Fill=—","Direction=H","UseDPDF=Y")</f>
        <v>0</v>
      </c>
    </row>
    <row r="43" spans="1:42" x14ac:dyDescent="0.25">
      <c r="A43" s="10" t="s">
        <v>425</v>
      </c>
      <c r="B43" s="10" t="s">
        <v>426</v>
      </c>
      <c r="C43" s="13" t="str">
        <f>_xll.BDH("XOM US Equity","CF_PYMT_LT_DEBT_&amp;_CAPITAL_LEASE","FQ3 2008","FQ3 2008","Currency=USD","Period=FQ","BEST_FPERIOD_OVERRIDE=FQ","FILING_STATUS=OR","SCALING_FORMAT=MLN","Sort=A","Dates=H","DateFormat=P","Fill=—","Direction=H","UseDPDF=Y")</f>
        <v>—</v>
      </c>
      <c r="D43" s="13" t="str">
        <f>_xll.BDH("XOM US Equity","CF_PYMT_LT_DEBT_&amp;_CAPITAL_LEASE","FQ4 2008","FQ4 2008","Currency=USD","Period=FQ","BEST_FPERIOD_OVERRIDE=FQ","FILING_STATUS=OR","SCALING_FORMAT=MLN","Sort=A","Dates=H","DateFormat=P","Fill=—","Direction=H","UseDPDF=Y")</f>
        <v>—</v>
      </c>
      <c r="E43" s="13">
        <f>_xll.BDH("XOM US Equity","CF_PYMT_LT_DEBT_&amp;_CAPITAL_LEASE","FQ1 2009","FQ1 2009","Currency=USD","Period=FQ","BEST_FPERIOD_OVERRIDE=FQ","FILING_STATUS=OR","SCALING_FORMAT=MLN","Sort=A","Dates=H","DateFormat=P","Fill=—","Direction=H","UseDPDF=Y")</f>
        <v>-11</v>
      </c>
      <c r="F43" s="13">
        <f>_xll.BDH("XOM US Equity","CF_PYMT_LT_DEBT_&amp;_CAPITAL_LEASE","FQ2 2009","FQ2 2009","Currency=USD","Period=FQ","BEST_FPERIOD_OVERRIDE=FQ","FILING_STATUS=OR","SCALING_FORMAT=MLN","Sort=A","Dates=H","DateFormat=P","Fill=—","Direction=H","UseDPDF=Y")</f>
        <v>-9</v>
      </c>
      <c r="G43" s="13">
        <f>_xll.BDH("XOM US Equity","CF_PYMT_LT_DEBT_&amp;_CAPITAL_LEASE","FQ3 2009","FQ3 2009","Currency=USD","Period=FQ","BEST_FPERIOD_OVERRIDE=FQ","FILING_STATUS=OR","SCALING_FORMAT=MLN","Sort=A","Dates=H","DateFormat=P","Fill=—","Direction=H","UseDPDF=Y")</f>
        <v>-7</v>
      </c>
      <c r="H43" s="13">
        <f>_xll.BDH("XOM US Equity","CF_PYMT_LT_DEBT_&amp;_CAPITAL_LEASE","FQ4 2009","FQ4 2009","Currency=USD","Period=FQ","BEST_FPERIOD_OVERRIDE=FQ","FILING_STATUS=OR","SCALING_FORMAT=MLN","Sort=A","Dates=H","DateFormat=P","Fill=—","Direction=H","UseDPDF=Y")</f>
        <v>-41</v>
      </c>
      <c r="I43" s="13">
        <f>_xll.BDH("XOM US Equity","CF_PYMT_LT_DEBT_&amp;_CAPITAL_LEASE","FQ1 2010","FQ1 2010","Currency=USD","Period=FQ","BEST_FPERIOD_OVERRIDE=FQ","FILING_STATUS=OR","SCALING_FORMAT=MLN","Sort=A","Dates=H","DateFormat=P","Fill=—","Direction=H","UseDPDF=Y")</f>
        <v>-3</v>
      </c>
      <c r="J43" s="13">
        <f>_xll.BDH("XOM US Equity","CF_PYMT_LT_DEBT_&amp;_CAPITAL_LEASE","FQ2 2010","FQ2 2010","Currency=USD","Period=FQ","BEST_FPERIOD_OVERRIDE=FQ","FILING_STATUS=OR","SCALING_FORMAT=MLN","Sort=A","Dates=H","DateFormat=P","Fill=—","Direction=H","UseDPDF=Y")</f>
        <v>-13</v>
      </c>
      <c r="K43" s="13">
        <f>_xll.BDH("XOM US Equity","CF_PYMT_LT_DEBT_&amp;_CAPITAL_LEASE","FQ3 2010","FQ3 2010","Currency=USD","Period=FQ","BEST_FPERIOD_OVERRIDE=FQ","FILING_STATUS=OR","SCALING_FORMAT=MLN","Sort=A","Dates=H","DateFormat=P","Fill=—","Direction=H","UseDPDF=Y")</f>
        <v>-2571</v>
      </c>
      <c r="L43" s="13">
        <f>_xll.BDH("XOM US Equity","CF_PYMT_LT_DEBT_&amp;_CAPITAL_LEASE","FQ4 2010","FQ4 2010","Currency=USD","Period=FQ","BEST_FPERIOD_OVERRIDE=FQ","FILING_STATUS=OR","SCALING_FORMAT=MLN","Sort=A","Dates=H","DateFormat=P","Fill=—","Direction=H","UseDPDF=Y")</f>
        <v>-3637</v>
      </c>
      <c r="M43" s="13">
        <f>_xll.BDH("XOM US Equity","CF_PYMT_LT_DEBT_&amp;_CAPITAL_LEASE","FQ1 2011","FQ1 2011","Currency=USD","Period=FQ","BEST_FPERIOD_OVERRIDE=FQ","FILING_STATUS=OR","SCALING_FORMAT=MLN","Sort=A","Dates=H","DateFormat=P","Fill=—","Direction=H","UseDPDF=Y")</f>
        <v>-29</v>
      </c>
      <c r="N43" s="13">
        <f>_xll.BDH("XOM US Equity","CF_PYMT_LT_DEBT_&amp;_CAPITAL_LEASE","FQ2 2011","FQ2 2011","Currency=USD","Period=FQ","BEST_FPERIOD_OVERRIDE=FQ","FILING_STATUS=OR","SCALING_FORMAT=MLN","Sort=A","Dates=H","DateFormat=P","Fill=—","Direction=H","UseDPDF=Y")</f>
        <v>-14</v>
      </c>
      <c r="O43" s="13">
        <f>_xll.BDH("XOM US Equity","CF_PYMT_LT_DEBT_&amp;_CAPITAL_LEASE","FQ3 2011","FQ3 2011","Currency=USD","Period=FQ","BEST_FPERIOD_OVERRIDE=FQ","FILING_STATUS=OR","SCALING_FORMAT=MLN","Sort=A","Dates=H","DateFormat=P","Fill=—","Direction=H","UseDPDF=Y")</f>
        <v>-193</v>
      </c>
      <c r="P43" s="13">
        <f>_xll.BDH("XOM US Equity","CF_PYMT_LT_DEBT_&amp;_CAPITAL_LEASE","FQ4 2011","FQ4 2011","Currency=USD","Period=FQ","BEST_FPERIOD_OVERRIDE=FQ","FILING_STATUS=OR","SCALING_FORMAT=MLN","Sort=A","Dates=H","DateFormat=P","Fill=—","Direction=H","UseDPDF=Y")</f>
        <v>-30</v>
      </c>
      <c r="Q43" s="13">
        <f>_xll.BDH("XOM US Equity","CF_PYMT_LT_DEBT_&amp;_CAPITAL_LEASE","FQ1 2012","FQ1 2012","Currency=USD","Period=FQ","BEST_FPERIOD_OVERRIDE=FQ","FILING_STATUS=OR","SCALING_FORMAT=MLN","Sort=A","Dates=H","DateFormat=P","Fill=—","Direction=H","UseDPDF=Y")</f>
        <v>-5</v>
      </c>
      <c r="R43" s="13">
        <f>_xll.BDH("XOM US Equity","CF_PYMT_LT_DEBT_&amp;_CAPITAL_LEASE","FQ2 2012","FQ2 2012","Currency=USD","Period=FQ","BEST_FPERIOD_OVERRIDE=FQ","FILING_STATUS=OR","SCALING_FORMAT=MLN","Sort=A","Dates=H","DateFormat=P","Fill=—","Direction=H","UseDPDF=Y")</f>
        <v>-6</v>
      </c>
      <c r="S43" s="13">
        <f>_xll.BDH("XOM US Equity","CF_PYMT_LT_DEBT_&amp;_CAPITAL_LEASE","FQ3 2012","FQ3 2012","Currency=USD","Period=FQ","BEST_FPERIOD_OVERRIDE=FQ","FILING_STATUS=OR","SCALING_FORMAT=MLN","Sort=A","Dates=H","DateFormat=P","Fill=—","Direction=H","UseDPDF=Y")</f>
        <v>-4</v>
      </c>
      <c r="T43" s="13">
        <f>_xll.BDH("XOM US Equity","CF_PYMT_LT_DEBT_&amp;_CAPITAL_LEASE","FQ4 2012","FQ4 2012","Currency=USD","Period=FQ","BEST_FPERIOD_OVERRIDE=FQ","FILING_STATUS=OR","SCALING_FORMAT=MLN","Sort=A","Dates=H","DateFormat=P","Fill=—","Direction=H","UseDPDF=Y")</f>
        <v>-132</v>
      </c>
      <c r="U43" s="13">
        <f>_xll.BDH("XOM US Equity","CF_PYMT_LT_DEBT_&amp;_CAPITAL_LEASE","FQ1 2013","FQ1 2013","Currency=USD","Period=FQ","BEST_FPERIOD_OVERRIDE=FQ","FILING_STATUS=OR","SCALING_FORMAT=MLN","Sort=A","Dates=H","DateFormat=P","Fill=—","Direction=H","UseDPDF=Y")</f>
        <v>0</v>
      </c>
      <c r="V43" s="13">
        <f>_xll.BDH("XOM US Equity","CF_PYMT_LT_DEBT_&amp;_CAPITAL_LEASE","FQ2 2013","FQ2 2013","Currency=USD","Period=FQ","BEST_FPERIOD_OVERRIDE=FQ","FILING_STATUS=OR","SCALING_FORMAT=MLN","Sort=A","Dates=H","DateFormat=P","Fill=—","Direction=H","UseDPDF=Y")</f>
        <v>0</v>
      </c>
      <c r="W43" s="13">
        <f>_xll.BDH("XOM US Equity","CF_PYMT_LT_DEBT_&amp;_CAPITAL_LEASE","FQ3 2013","FQ3 2013","Currency=USD","Period=FQ","BEST_FPERIOD_OVERRIDE=FQ","FILING_STATUS=OR","SCALING_FORMAT=MLN","Sort=A","Dates=H","DateFormat=P","Fill=—","Direction=H","UseDPDF=Y")</f>
        <v>0</v>
      </c>
      <c r="X43" s="13">
        <f>_xll.BDH("XOM US Equity","CF_PYMT_LT_DEBT_&amp;_CAPITAL_LEASE","FQ4 2013","FQ4 2013","Currency=USD","Period=FQ","BEST_FPERIOD_OVERRIDE=FQ","FILING_STATUS=OR","SCALING_FORMAT=MLN","Sort=A","Dates=H","DateFormat=P","Fill=—","Direction=H","UseDPDF=Y")</f>
        <v>-13</v>
      </c>
      <c r="Y43" s="13">
        <f>_xll.BDH("XOM US Equity","CF_PYMT_LT_DEBT_&amp;_CAPITAL_LEASE","FQ1 2014","FQ1 2014","Currency=USD","Period=FQ","BEST_FPERIOD_OVERRIDE=FQ","FILING_STATUS=OR","SCALING_FORMAT=MLN","Sort=A","Dates=H","DateFormat=P","Fill=—","Direction=H","UseDPDF=Y")</f>
        <v>0</v>
      </c>
      <c r="Z43" s="13">
        <f>_xll.BDH("XOM US Equity","CF_PYMT_LT_DEBT_&amp;_CAPITAL_LEASE","FQ2 2014","FQ2 2014","Currency=USD","Period=FQ","BEST_FPERIOD_OVERRIDE=FQ","FILING_STATUS=OR","SCALING_FORMAT=MLN","Sort=A","Dates=H","DateFormat=P","Fill=—","Direction=H","UseDPDF=Y")</f>
        <v>0</v>
      </c>
      <c r="AA43" s="13">
        <f>_xll.BDH("XOM US Equity","CF_PYMT_LT_DEBT_&amp;_CAPITAL_LEASE","FQ3 2014","FQ3 2014","Currency=USD","Period=FQ","BEST_FPERIOD_OVERRIDE=FQ","FILING_STATUS=OR","SCALING_FORMAT=MLN","Sort=A","Dates=H","DateFormat=P","Fill=—","Direction=H","UseDPDF=Y")</f>
        <v>0</v>
      </c>
      <c r="AB43" s="13">
        <f>_xll.BDH("XOM US Equity","CF_PYMT_LT_DEBT_&amp;_CAPITAL_LEASE","FQ4 2014","FQ4 2014","Currency=USD","Period=FQ","BEST_FPERIOD_OVERRIDE=FQ","FILING_STATUS=OR","SCALING_FORMAT=MLN","Sort=A","Dates=H","DateFormat=P","Fill=—","Direction=H","UseDPDF=Y")</f>
        <v>-69</v>
      </c>
      <c r="AC43" s="13">
        <f>_xll.BDH("XOM US Equity","CF_PYMT_LT_DEBT_&amp;_CAPITAL_LEASE","FQ1 2015","FQ1 2015","Currency=USD","Period=FQ","BEST_FPERIOD_OVERRIDE=FQ","FILING_STATUS=OR","SCALING_FORMAT=MLN","Sort=A","Dates=H","DateFormat=P","Fill=—","Direction=H","UseDPDF=Y")</f>
        <v>-10</v>
      </c>
      <c r="AD43" s="13">
        <f>_xll.BDH("XOM US Equity","CF_PYMT_LT_DEBT_&amp;_CAPITAL_LEASE","FQ2 2015","FQ2 2015","Currency=USD","Period=FQ","BEST_FPERIOD_OVERRIDE=FQ","FILING_STATUS=OR","SCALING_FORMAT=MLN","Sort=A","Dates=H","DateFormat=P","Fill=—","Direction=H","UseDPDF=Y")</f>
        <v>-3</v>
      </c>
      <c r="AE43" s="13">
        <f>_xll.BDH("XOM US Equity","CF_PYMT_LT_DEBT_&amp;_CAPITAL_LEASE","FQ3 2015","FQ3 2015","Currency=USD","Period=FQ","BEST_FPERIOD_OVERRIDE=FQ","FILING_STATUS=OR","SCALING_FORMAT=MLN","Sort=A","Dates=H","DateFormat=P","Fill=—","Direction=H","UseDPDF=Y")</f>
        <v>-5</v>
      </c>
      <c r="AF43" s="13">
        <f>_xll.BDH("XOM US Equity","CF_PYMT_LT_DEBT_&amp;_CAPITAL_LEASE","FQ4 2015","FQ4 2015","Currency=USD","Period=FQ","BEST_FPERIOD_OVERRIDE=FQ","FILING_STATUS=OR","SCALING_FORMAT=MLN","Sort=A","Dates=H","DateFormat=P","Fill=—","Direction=H","UseDPDF=Y")</f>
        <v>-8</v>
      </c>
      <c r="AG43" s="13">
        <f>_xll.BDH("XOM US Equity","CF_PYMT_LT_DEBT_&amp;_CAPITAL_LEASE","FQ1 2016","FQ1 2016","Currency=USD","Period=FQ","BEST_FPERIOD_OVERRIDE=FQ","FILING_STATUS=OR","SCALING_FORMAT=MLN","Sort=A","Dates=H","DateFormat=P","Fill=—","Direction=H","UseDPDF=Y")</f>
        <v>0</v>
      </c>
      <c r="AH43" s="13">
        <f>_xll.BDH("XOM US Equity","CF_PYMT_LT_DEBT_&amp;_CAPITAL_LEASE","FQ2 2016","FQ2 2016","Currency=USD","Period=FQ","BEST_FPERIOD_OVERRIDE=FQ","FILING_STATUS=OR","SCALING_FORMAT=MLN","Sort=A","Dates=H","DateFormat=P","Fill=—","Direction=H","UseDPDF=Y")</f>
        <v>0</v>
      </c>
      <c r="AI43" s="13">
        <f>_xll.BDH("XOM US Equity","CF_PYMT_LT_DEBT_&amp;_CAPITAL_LEASE","FQ3 2016","FQ3 2016","Currency=USD","Period=FQ","BEST_FPERIOD_OVERRIDE=FQ","FILING_STATUS=OR","SCALING_FORMAT=MLN","Sort=A","Dates=H","DateFormat=P","Fill=—","Direction=H","UseDPDF=Y")</f>
        <v>0</v>
      </c>
      <c r="AJ43" s="13">
        <f>_xll.BDH("XOM US Equity","CF_PYMT_LT_DEBT_&amp;_CAPITAL_LEASE","FQ4 2016","FQ4 2016","Currency=USD","Period=FQ","BEST_FPERIOD_OVERRIDE=FQ","FILING_STATUS=OR","SCALING_FORMAT=MLN","Sort=A","Dates=H","DateFormat=P","Fill=—","Direction=H","UseDPDF=Y")</f>
        <v>0</v>
      </c>
      <c r="AK43" s="13">
        <f>_xll.BDH("XOM US Equity","CF_PYMT_LT_DEBT_&amp;_CAPITAL_LEASE","FQ1 2017","FQ1 2017","Currency=USD","Period=FQ","BEST_FPERIOD_OVERRIDE=FQ","FILING_STATUS=OR","SCALING_FORMAT=MLN","Sort=A","Dates=H","DateFormat=P","Fill=—","Direction=H","UseDPDF=Y")</f>
        <v>0</v>
      </c>
      <c r="AL43" s="13">
        <f>_xll.BDH("XOM US Equity","CF_PYMT_LT_DEBT_&amp;_CAPITAL_LEASE","FQ2 2017","FQ2 2017","Currency=USD","Period=FQ","BEST_FPERIOD_OVERRIDE=FQ","FILING_STATUS=OR","SCALING_FORMAT=MLN","Sort=A","Dates=H","DateFormat=P","Fill=—","Direction=H","UseDPDF=Y")</f>
        <v>0</v>
      </c>
      <c r="AM43" s="13">
        <f>_xll.BDH("XOM US Equity","CF_PYMT_LT_DEBT_&amp;_CAPITAL_LEASE","FQ3 2017","FQ3 2017","Currency=USD","Period=FQ","BEST_FPERIOD_OVERRIDE=FQ","FILING_STATUS=OR","SCALING_FORMAT=MLN","Sort=A","Dates=H","DateFormat=P","Fill=—","Direction=H","UseDPDF=Y")</f>
        <v>0</v>
      </c>
      <c r="AN43" s="13">
        <f>_xll.BDH("XOM US Equity","CF_PYMT_LT_DEBT_&amp;_CAPITAL_LEASE","FQ4 2017","FQ4 2017","Currency=USD","Period=FQ","BEST_FPERIOD_OVERRIDE=FQ","FILING_STATUS=OR","SCALING_FORMAT=MLN","Sort=A","Dates=H","DateFormat=P","Fill=—","Direction=H","UseDPDF=Y")</f>
        <v>0</v>
      </c>
      <c r="AO43" s="13">
        <f>_xll.BDH("XOM US Equity","CF_PYMT_LT_DEBT_&amp;_CAPITAL_LEASE","FQ1 2018","FQ1 2018","Currency=USD","Period=FQ","BEST_FPERIOD_OVERRIDE=FQ","FILING_STATUS=OR","SCALING_FORMAT=MLN","Sort=A","Dates=H","DateFormat=P","Fill=—","Direction=H","UseDPDF=Y")</f>
        <v>0</v>
      </c>
      <c r="AP43" s="13">
        <f>_xll.BDH("XOM US Equity","CF_PYMT_LT_DEBT_&amp;_CAPITAL_LEASE","FQ2 2018","FQ2 2018","Currency=USD","Period=FQ","BEST_FPERIOD_OVERRIDE=FQ","FILING_STATUS=OR","SCALING_FORMAT=MLN","Sort=A","Dates=H","DateFormat=P","Fill=—","Direction=H","UseDPDF=Y")</f>
        <v>0</v>
      </c>
    </row>
    <row r="44" spans="1:42" x14ac:dyDescent="0.25">
      <c r="A44" s="10" t="s">
        <v>427</v>
      </c>
      <c r="B44" s="10" t="s">
        <v>428</v>
      </c>
      <c r="C44" s="13">
        <f>_xll.BDH("XOM US Equity","PROC_FR_REPURCH_EQTY_DETAILED","FQ3 2008","FQ3 2008","Currency=USD","Period=FQ","BEST_FPERIOD_OVERRIDE=FQ","FILING_STATUS=OR","SCALING_FORMAT=MLN","Sort=A","Dates=H","DateFormat=P","Fill=—","Direction=H","UseDPDF=Y")</f>
        <v>-8600</v>
      </c>
      <c r="D44" s="13">
        <f>_xll.BDH("XOM US Equity","PROC_FR_REPURCH_EQTY_DETAILED","FQ4 2008","FQ4 2008","Currency=USD","Period=FQ","BEST_FPERIOD_OVERRIDE=FQ","FILING_STATUS=OR","SCALING_FORMAT=MLN","Sort=A","Dates=H","DateFormat=P","Fill=—","Direction=H","UseDPDF=Y")</f>
        <v>-8410</v>
      </c>
      <c r="E44" s="13">
        <f>_xll.BDH("XOM US Equity","PROC_FR_REPURCH_EQTY_DETAILED","FQ1 2009","FQ1 2009","Currency=USD","Period=FQ","BEST_FPERIOD_OVERRIDE=FQ","FILING_STATUS=OR","SCALING_FORMAT=MLN","Sort=A","Dates=H","DateFormat=P","Fill=—","Direction=H","UseDPDF=Y")</f>
        <v>-7731</v>
      </c>
      <c r="F44" s="13">
        <f>_xll.BDH("XOM US Equity","PROC_FR_REPURCH_EQTY_DETAILED","FQ2 2009","FQ2 2009","Currency=USD","Period=FQ","BEST_FPERIOD_OVERRIDE=FQ","FILING_STATUS=OR","SCALING_FORMAT=MLN","Sort=A","Dates=H","DateFormat=P","Fill=—","Direction=H","UseDPDF=Y")</f>
        <v>-5127</v>
      </c>
      <c r="G44" s="13">
        <f>_xll.BDH("XOM US Equity","PROC_FR_REPURCH_EQTY_DETAILED","FQ3 2009","FQ3 2009","Currency=USD","Period=FQ","BEST_FPERIOD_OVERRIDE=FQ","FILING_STATUS=OR","SCALING_FORMAT=MLN","Sort=A","Dates=H","DateFormat=P","Fill=—","Direction=H","UseDPDF=Y")</f>
        <v>-4098</v>
      </c>
      <c r="H44" s="13">
        <f>_xll.BDH("XOM US Equity","PROC_FR_REPURCH_EQTY_DETAILED","FQ4 2009","FQ4 2009","Currency=USD","Period=FQ","BEST_FPERIOD_OVERRIDE=FQ","FILING_STATUS=OR","SCALING_FORMAT=MLN","Sort=A","Dates=H","DateFormat=P","Fill=—","Direction=H","UseDPDF=Y")</f>
        <v>-1758</v>
      </c>
      <c r="I44" s="13">
        <f>_xll.BDH("XOM US Equity","PROC_FR_REPURCH_EQTY_DETAILED","FQ1 2010","FQ1 2010","Currency=USD","Period=FQ","BEST_FPERIOD_OVERRIDE=FQ","FILING_STATUS=OR","SCALING_FORMAT=MLN","Sort=A","Dates=H","DateFormat=P","Fill=—","Direction=H","UseDPDF=Y")</f>
        <v>-2453</v>
      </c>
      <c r="J44" s="13">
        <f>_xll.BDH("XOM US Equity","PROC_FR_REPURCH_EQTY_DETAILED","FQ2 2010","FQ2 2010","Currency=USD","Period=FQ","BEST_FPERIOD_OVERRIDE=FQ","FILING_STATUS=OR","SCALING_FORMAT=MLN","Sort=A","Dates=H","DateFormat=P","Fill=—","Direction=H","UseDPDF=Y")</f>
        <v>-1471</v>
      </c>
      <c r="K44" s="13">
        <f>_xll.BDH("XOM US Equity","PROC_FR_REPURCH_EQTY_DETAILED","FQ3 2010","FQ3 2010","Currency=USD","Period=FQ","BEST_FPERIOD_OVERRIDE=FQ","FILING_STATUS=OR","SCALING_FORMAT=MLN","Sort=A","Dates=H","DateFormat=P","Fill=—","Direction=H","UseDPDF=Y")</f>
        <v>-3095</v>
      </c>
      <c r="L44" s="13">
        <f>_xll.BDH("XOM US Equity","PROC_FR_REPURCH_EQTY_DETAILED","FQ4 2010","FQ4 2010","Currency=USD","Period=FQ","BEST_FPERIOD_OVERRIDE=FQ","FILING_STATUS=OR","SCALING_FORMAT=MLN","Sort=A","Dates=H","DateFormat=P","Fill=—","Direction=H","UseDPDF=Y")</f>
        <v>-4909</v>
      </c>
      <c r="M44" s="13">
        <f>_xll.BDH("XOM US Equity","PROC_FR_REPURCH_EQTY_DETAILED","FQ1 2011","FQ1 2011","Currency=USD","Period=FQ","BEST_FPERIOD_OVERRIDE=FQ","FILING_STATUS=OR","SCALING_FORMAT=MLN","Sort=A","Dates=H","DateFormat=P","Fill=—","Direction=H","UseDPDF=Y")</f>
        <v>-5269</v>
      </c>
      <c r="N44" s="13">
        <f>_xll.BDH("XOM US Equity","PROC_FR_REPURCH_EQTY_DETAILED","FQ2 2011","FQ2 2011","Currency=USD","Period=FQ","BEST_FPERIOD_OVERRIDE=FQ","FILING_STATUS=OR","SCALING_FORMAT=MLN","Sort=A","Dates=H","DateFormat=P","Fill=—","Direction=H","UseDPDF=Y")</f>
        <v>-5273</v>
      </c>
      <c r="O44" s="13">
        <f>_xll.BDH("XOM US Equity","PROC_FR_REPURCH_EQTY_DETAILED","FQ3 2011","FQ3 2011","Currency=USD","Period=FQ","BEST_FPERIOD_OVERRIDE=FQ","FILING_STATUS=OR","SCALING_FORMAT=MLN","Sort=A","Dates=H","DateFormat=P","Fill=—","Direction=H","UseDPDF=Y")</f>
        <v>-5255</v>
      </c>
      <c r="P44" s="13">
        <f>_xll.BDH("XOM US Equity","PROC_FR_REPURCH_EQTY_DETAILED","FQ4 2011","FQ4 2011","Currency=USD","Period=FQ","BEST_FPERIOD_OVERRIDE=FQ","FILING_STATUS=OR","SCALING_FORMAT=MLN","Sort=A","Dates=H","DateFormat=P","Fill=—","Direction=H","UseDPDF=Y")</f>
        <v>-5074</v>
      </c>
      <c r="Q44" s="13">
        <f>_xll.BDH("XOM US Equity","PROC_FR_REPURCH_EQTY_DETAILED","FQ1 2012","FQ1 2012","Currency=USD","Period=FQ","BEST_FPERIOD_OVERRIDE=FQ","FILING_STATUS=OR","SCALING_FORMAT=MLN","Sort=A","Dates=H","DateFormat=P","Fill=—","Direction=H","UseDPDF=Y")</f>
        <v>-5622</v>
      </c>
      <c r="R44" s="13">
        <f>_xll.BDH("XOM US Equity","PROC_FR_REPURCH_EQTY_DETAILED","FQ2 2012","FQ2 2012","Currency=USD","Period=FQ","BEST_FPERIOD_OVERRIDE=FQ","FILING_STATUS=OR","SCALING_FORMAT=MLN","Sort=A","Dates=H","DateFormat=P","Fill=—","Direction=H","UseDPDF=Y")</f>
        <v>-5008</v>
      </c>
      <c r="S44" s="13">
        <f>_xll.BDH("XOM US Equity","PROC_FR_REPURCH_EQTY_DETAILED","FQ3 2012","FQ3 2012","Currency=USD","Period=FQ","BEST_FPERIOD_OVERRIDE=FQ","FILING_STATUS=OR","SCALING_FORMAT=MLN","Sort=A","Dates=H","DateFormat=P","Fill=—","Direction=H","UseDPDF=Y")</f>
        <v>-5000</v>
      </c>
      <c r="T44" s="13">
        <f>_xll.BDH("XOM US Equity","PROC_FR_REPURCH_EQTY_DETAILED","FQ4 2012","FQ4 2012","Currency=USD","Period=FQ","BEST_FPERIOD_OVERRIDE=FQ","FILING_STATUS=OR","SCALING_FORMAT=MLN","Sort=A","Dates=H","DateFormat=P","Fill=—","Direction=H","UseDPDF=Y")</f>
        <v>-5115</v>
      </c>
      <c r="U44" s="13">
        <f>_xll.BDH("XOM US Equity","PROC_FR_REPURCH_EQTY_DETAILED","FQ1 2013","FQ1 2013","Currency=USD","Period=FQ","BEST_FPERIOD_OVERRIDE=FQ","FILING_STATUS=OR","SCALING_FORMAT=MLN","Sort=A","Dates=H","DateFormat=P","Fill=—","Direction=H","UseDPDF=Y")</f>
        <v>-5619</v>
      </c>
      <c r="V44" s="13">
        <f>_xll.BDH("XOM US Equity","PROC_FR_REPURCH_EQTY_DETAILED","FQ2 2013","FQ2 2013","Currency=USD","Period=FQ","BEST_FPERIOD_OVERRIDE=FQ","FILING_STATUS=OR","SCALING_FORMAT=MLN","Sort=A","Dates=H","DateFormat=P","Fill=—","Direction=H","UseDPDF=Y")</f>
        <v>-4017</v>
      </c>
      <c r="W44" s="13">
        <f>_xll.BDH("XOM US Equity","PROC_FR_REPURCH_EQTY_DETAILED","FQ3 2013","FQ3 2013","Currency=USD","Period=FQ","BEST_FPERIOD_OVERRIDE=FQ","FILING_STATUS=OR","SCALING_FORMAT=MLN","Sort=A","Dates=H","DateFormat=P","Fill=—","Direction=H","UseDPDF=Y")</f>
        <v>-3000</v>
      </c>
      <c r="X44" s="13">
        <f>_xll.BDH("XOM US Equity","PROC_FR_REPURCH_EQTY_DETAILED","FQ4 2013","FQ4 2013","Currency=USD","Period=FQ","BEST_FPERIOD_OVERRIDE=FQ","FILING_STATUS=OR","SCALING_FORMAT=MLN","Sort=A","Dates=H","DateFormat=P","Fill=—","Direction=H","UseDPDF=Y")</f>
        <v>-3264</v>
      </c>
      <c r="Y44" s="13">
        <f>_xll.BDH("XOM US Equity","PROC_FR_REPURCH_EQTY_DETAILED","FQ1 2014","FQ1 2014","Currency=USD","Period=FQ","BEST_FPERIOD_OVERRIDE=FQ","FILING_STATUS=OR","SCALING_FORMAT=MLN","Sort=A","Dates=H","DateFormat=P","Fill=—","Direction=H","UseDPDF=Y")</f>
        <v>-3858</v>
      </c>
      <c r="Z44" s="13">
        <f>_xll.BDH("XOM US Equity","PROC_FR_REPURCH_EQTY_DETAILED","FQ2 2014","FQ2 2014","Currency=USD","Period=FQ","BEST_FPERIOD_OVERRIDE=FQ","FILING_STATUS=OR","SCALING_FORMAT=MLN","Sort=A","Dates=H","DateFormat=P","Fill=—","Direction=H","UseDPDF=Y")</f>
        <v>-2989</v>
      </c>
      <c r="AA44" s="13">
        <f>_xll.BDH("XOM US Equity","PROC_FR_REPURCH_EQTY_DETAILED","FQ3 2014","FQ3 2014","Currency=USD","Period=FQ","BEST_FPERIOD_OVERRIDE=FQ","FILING_STATUS=OR","SCALING_FORMAT=MLN","Sort=A","Dates=H","DateFormat=P","Fill=—","Direction=H","UseDPDF=Y")</f>
        <v>-2998</v>
      </c>
      <c r="AB44" s="13">
        <f>_xll.BDH("XOM US Equity","PROC_FR_REPURCH_EQTY_DETAILED","FQ4 2014","FQ4 2014","Currency=USD","Period=FQ","BEST_FPERIOD_OVERRIDE=FQ","FILING_STATUS=OR","SCALING_FORMAT=MLN","Sort=A","Dates=H","DateFormat=P","Fill=—","Direction=H","UseDPDF=Y")</f>
        <v>-3193</v>
      </c>
      <c r="AC44" s="13">
        <f>_xll.BDH("XOM US Equity","PROC_FR_REPURCH_EQTY_DETAILED","FQ1 2015","FQ1 2015","Currency=USD","Period=FQ","BEST_FPERIOD_OVERRIDE=FQ","FILING_STATUS=OR","SCALING_FORMAT=MLN","Sort=A","Dates=H","DateFormat=P","Fill=—","Direction=H","UseDPDF=Y")</f>
        <v>-1781</v>
      </c>
      <c r="AD44" s="13">
        <f>_xll.BDH("XOM US Equity","PROC_FR_REPURCH_EQTY_DETAILED","FQ2 2015","FQ2 2015","Currency=USD","Period=FQ","BEST_FPERIOD_OVERRIDE=FQ","FILING_STATUS=OR","SCALING_FORMAT=MLN","Sort=A","Dates=H","DateFormat=P","Fill=—","Direction=H","UseDPDF=Y")</f>
        <v>-1003</v>
      </c>
      <c r="AE44" s="13">
        <f>_xll.BDH("XOM US Equity","PROC_FR_REPURCH_EQTY_DETAILED","FQ3 2015","FQ3 2015","Currency=USD","Period=FQ","BEST_FPERIOD_OVERRIDE=FQ","FILING_STATUS=OR","SCALING_FORMAT=MLN","Sort=A","Dates=H","DateFormat=P","Fill=—","Direction=H","UseDPDF=Y")</f>
        <v>-501</v>
      </c>
      <c r="AF44" s="13">
        <f>_xll.BDH("XOM US Equity","PROC_FR_REPURCH_EQTY_DETAILED","FQ4 2015","FQ4 2015","Currency=USD","Period=FQ","BEST_FPERIOD_OVERRIDE=FQ","FILING_STATUS=OR","SCALING_FORMAT=MLN","Sort=A","Dates=H","DateFormat=P","Fill=—","Direction=H","UseDPDF=Y")</f>
        <v>-747</v>
      </c>
      <c r="AG44" s="13">
        <f>_xll.BDH("XOM US Equity","PROC_FR_REPURCH_EQTY_DETAILED","FQ1 2016","FQ1 2016","Currency=USD","Period=FQ","BEST_FPERIOD_OVERRIDE=FQ","FILING_STATUS=OR","SCALING_FORMAT=MLN","Sort=A","Dates=H","DateFormat=P","Fill=—","Direction=H","UseDPDF=Y")</f>
        <v>-721</v>
      </c>
      <c r="AH44" s="13">
        <f>_xll.BDH("XOM US Equity","PROC_FR_REPURCH_EQTY_DETAILED","FQ2 2016","FQ2 2016","Currency=USD","Period=FQ","BEST_FPERIOD_OVERRIDE=FQ","FILING_STATUS=OR","SCALING_FORMAT=MLN","Sort=A","Dates=H","DateFormat=P","Fill=—","Direction=H","UseDPDF=Y")</f>
        <v>1</v>
      </c>
      <c r="AI44" s="13">
        <f>_xll.BDH("XOM US Equity","PROC_FR_REPURCH_EQTY_DETAILED","FQ3 2016","FQ3 2016","Currency=USD","Period=FQ","BEST_FPERIOD_OVERRIDE=FQ","FILING_STATUS=OR","SCALING_FORMAT=MLN","Sort=A","Dates=H","DateFormat=P","Fill=—","Direction=H","UseDPDF=Y")</f>
        <v>-1</v>
      </c>
      <c r="AJ44" s="13">
        <f>_xll.BDH("XOM US Equity","PROC_FR_REPURCH_EQTY_DETAILED","FQ4 2016","FQ4 2016","Currency=USD","Period=FQ","BEST_FPERIOD_OVERRIDE=FQ","FILING_STATUS=OR","SCALING_FORMAT=MLN","Sort=A","Dates=H","DateFormat=P","Fill=—","Direction=H","UseDPDF=Y")</f>
        <v>-250</v>
      </c>
      <c r="AK44" s="13">
        <f>_xll.BDH("XOM US Equity","PROC_FR_REPURCH_EQTY_DETAILED","FQ1 2017","FQ1 2017","Currency=USD","Period=FQ","BEST_FPERIOD_OVERRIDE=FQ","FILING_STATUS=OR","SCALING_FORMAT=MLN","Sort=A","Dates=H","DateFormat=P","Fill=—","Direction=H","UseDPDF=Y")</f>
        <v>-501</v>
      </c>
      <c r="AL44" s="13">
        <f>_xll.BDH("XOM US Equity","PROC_FR_REPURCH_EQTY_DETAILED","FQ2 2017","FQ2 2017","Currency=USD","Period=FQ","BEST_FPERIOD_OVERRIDE=FQ","FILING_STATUS=OR","SCALING_FORMAT=MLN","Sort=A","Dates=H","DateFormat=P","Fill=—","Direction=H","UseDPDF=Y")</f>
        <v>-13</v>
      </c>
      <c r="AM44" s="13">
        <f>_xll.BDH("XOM US Equity","PROC_FR_REPURCH_EQTY_DETAILED","FQ3 2017","FQ3 2017","Currency=USD","Period=FQ","BEST_FPERIOD_OVERRIDE=FQ","FILING_STATUS=OR","SCALING_FORMAT=MLN","Sort=A","Dates=H","DateFormat=P","Fill=—","Direction=H","UseDPDF=Y")</f>
        <v>-1</v>
      </c>
      <c r="AN44" s="13">
        <f>_xll.BDH("XOM US Equity","PROC_FR_REPURCH_EQTY_DETAILED","FQ4 2017","FQ4 2017","Currency=USD","Period=FQ","BEST_FPERIOD_OVERRIDE=FQ","FILING_STATUS=OR","SCALING_FORMAT=MLN","Sort=A","Dates=H","DateFormat=P","Fill=—","Direction=H","UseDPDF=Y")</f>
        <v>-232</v>
      </c>
      <c r="AO44" s="13">
        <f>_xll.BDH("XOM US Equity","PROC_FR_REPURCH_EQTY_DETAILED","FQ1 2018","FQ1 2018","Currency=USD","Period=FQ","BEST_FPERIOD_OVERRIDE=FQ","FILING_STATUS=OR","SCALING_FORMAT=MLN","Sort=A","Dates=H","DateFormat=P","Fill=—","Direction=H","UseDPDF=Y")</f>
        <v>-427</v>
      </c>
      <c r="AP44" s="13">
        <f>_xll.BDH("XOM US Equity","PROC_FR_REPURCH_EQTY_DETAILED","FQ2 2018","FQ2 2018","Currency=USD","Period=FQ","BEST_FPERIOD_OVERRIDE=FQ","FILING_STATUS=OR","SCALING_FORMAT=MLN","Sort=A","Dates=H","DateFormat=P","Fill=—","Direction=H","UseDPDF=Y")</f>
        <v>-2</v>
      </c>
    </row>
    <row r="45" spans="1:42" x14ac:dyDescent="0.25">
      <c r="A45" s="10" t="s">
        <v>429</v>
      </c>
      <c r="B45" s="10" t="s">
        <v>430</v>
      </c>
      <c r="C45" s="13">
        <f>_xll.BDH("XOM US Equity","CF_INCR_CAP_STOCK","FQ3 2008","FQ3 2008","Currency=USD","Period=FQ","BEST_FPERIOD_OVERRIDE=FQ","FILING_STATUS=OR","SCALING_FORMAT=MLN","Sort=A","Dates=H","DateFormat=P","Fill=—","Direction=H","UseDPDF=Y")</f>
        <v>63</v>
      </c>
      <c r="D45" s="13">
        <f>_xll.BDH("XOM US Equity","CF_INCR_CAP_STOCK","FQ4 2008","FQ4 2008","Currency=USD","Period=FQ","BEST_FPERIOD_OVERRIDE=FQ","FILING_STATUS=OR","SCALING_FORMAT=MLN","Sort=A","Dates=H","DateFormat=P","Fill=—","Direction=H","UseDPDF=Y")</f>
        <v>435</v>
      </c>
      <c r="E45" s="13">
        <f>_xll.BDH("XOM US Equity","CF_INCR_CAP_STOCK","FQ1 2009","FQ1 2009","Currency=USD","Period=FQ","BEST_FPERIOD_OVERRIDE=FQ","FILING_STATUS=OR","SCALING_FORMAT=MLN","Sort=A","Dates=H","DateFormat=P","Fill=—","Direction=H","UseDPDF=Y")</f>
        <v>121</v>
      </c>
      <c r="F45" s="13">
        <f>_xll.BDH("XOM US Equity","CF_INCR_CAP_STOCK","FQ2 2009","FQ2 2009","Currency=USD","Period=FQ","BEST_FPERIOD_OVERRIDE=FQ","FILING_STATUS=OR","SCALING_FORMAT=MLN","Sort=A","Dates=H","DateFormat=P","Fill=—","Direction=H","UseDPDF=Y")</f>
        <v>119</v>
      </c>
      <c r="G45" s="13">
        <f>_xll.BDH("XOM US Equity","CF_INCR_CAP_STOCK","FQ3 2009","FQ3 2009","Currency=USD","Period=FQ","BEST_FPERIOD_OVERRIDE=FQ","FILING_STATUS=OR","SCALING_FORMAT=MLN","Sort=A","Dates=H","DateFormat=P","Fill=—","Direction=H","UseDPDF=Y")</f>
        <v>135</v>
      </c>
      <c r="H45" s="13">
        <f>_xll.BDH("XOM US Equity","CF_INCR_CAP_STOCK","FQ4 2009","FQ4 2009","Currency=USD","Period=FQ","BEST_FPERIOD_OVERRIDE=FQ","FILING_STATUS=OR","SCALING_FORMAT=MLN","Sort=A","Dates=H","DateFormat=P","Fill=—","Direction=H","UseDPDF=Y")</f>
        <v>614</v>
      </c>
      <c r="I45" s="13">
        <f>_xll.BDH("XOM US Equity","CF_INCR_CAP_STOCK","FQ1 2010","FQ1 2010","Currency=USD","Period=FQ","BEST_FPERIOD_OVERRIDE=FQ","FILING_STATUS=OR","SCALING_FORMAT=MLN","Sort=A","Dates=H","DateFormat=P","Fill=—","Direction=H","UseDPDF=Y")</f>
        <v>42</v>
      </c>
      <c r="J45" s="13">
        <f>_xll.BDH("XOM US Equity","CF_INCR_CAP_STOCK","FQ2 2010","FQ2 2010","Currency=USD","Period=FQ","BEST_FPERIOD_OVERRIDE=FQ","FILING_STATUS=OR","SCALING_FORMAT=MLN","Sort=A","Dates=H","DateFormat=P","Fill=—","Direction=H","UseDPDF=Y")</f>
        <v>97</v>
      </c>
      <c r="K45" s="13">
        <f>_xll.BDH("XOM US Equity","CF_INCR_CAP_STOCK","FQ3 2010","FQ3 2010","Currency=USD","Period=FQ","BEST_FPERIOD_OVERRIDE=FQ","FILING_STATUS=OR","SCALING_FORMAT=MLN","Sort=A","Dates=H","DateFormat=P","Fill=—","Direction=H","UseDPDF=Y")</f>
        <v>177</v>
      </c>
      <c r="L45" s="13">
        <f>_xll.BDH("XOM US Equity","CF_INCR_CAP_STOCK","FQ4 2010","FQ4 2010","Currency=USD","Period=FQ","BEST_FPERIOD_OVERRIDE=FQ","FILING_STATUS=OR","SCALING_FORMAT=MLN","Sort=A","Dates=H","DateFormat=P","Fill=—","Direction=H","UseDPDF=Y")</f>
        <v>849</v>
      </c>
      <c r="M45" s="13">
        <f>_xll.BDH("XOM US Equity","CF_INCR_CAP_STOCK","FQ1 2011","FQ1 2011","Currency=USD","Period=FQ","BEST_FPERIOD_OVERRIDE=FQ","FILING_STATUS=OR","SCALING_FORMAT=MLN","Sort=A","Dates=H","DateFormat=P","Fill=—","Direction=H","UseDPDF=Y")</f>
        <v>384</v>
      </c>
      <c r="N45" s="13">
        <f>_xll.BDH("XOM US Equity","CF_INCR_CAP_STOCK","FQ2 2011","FQ2 2011","Currency=USD","Period=FQ","BEST_FPERIOD_OVERRIDE=FQ","FILING_STATUS=OR","SCALING_FORMAT=MLN","Sort=A","Dates=H","DateFormat=P","Fill=—","Direction=H","UseDPDF=Y")</f>
        <v>239</v>
      </c>
      <c r="O45" s="13">
        <f>_xll.BDH("XOM US Equity","CF_INCR_CAP_STOCK","FQ3 2011","FQ3 2011","Currency=USD","Period=FQ","BEST_FPERIOD_OVERRIDE=FQ","FILING_STATUS=OR","SCALING_FORMAT=MLN","Sort=A","Dates=H","DateFormat=P","Fill=—","Direction=H","UseDPDF=Y")</f>
        <v>213</v>
      </c>
      <c r="P45" s="13">
        <f>_xll.BDH("XOM US Equity","CF_INCR_CAP_STOCK","FQ4 2011","FQ4 2011","Currency=USD","Period=FQ","BEST_FPERIOD_OVERRIDE=FQ","FILING_STATUS=OR","SCALING_FORMAT=MLN","Sort=A","Dates=H","DateFormat=P","Fill=—","Direction=H","UseDPDF=Y")</f>
        <v>348</v>
      </c>
      <c r="Q45" s="13">
        <f>_xll.BDH("XOM US Equity","CF_INCR_CAP_STOCK","FQ1 2012","FQ1 2012","Currency=USD","Period=FQ","BEST_FPERIOD_OVERRIDE=FQ","FILING_STATUS=OR","SCALING_FORMAT=MLN","Sort=A","Dates=H","DateFormat=P","Fill=—","Direction=H","UseDPDF=Y")</f>
        <v>82</v>
      </c>
      <c r="R45" s="13">
        <f>_xll.BDH("XOM US Equity","CF_INCR_CAP_STOCK","FQ2 2012","FQ2 2012","Currency=USD","Period=FQ","BEST_FPERIOD_OVERRIDE=FQ","FILING_STATUS=OR","SCALING_FORMAT=MLN","Sort=A","Dates=H","DateFormat=P","Fill=—","Direction=H","UseDPDF=Y")</f>
        <v>4</v>
      </c>
      <c r="S45" s="13">
        <f>_xll.BDH("XOM US Equity","CF_INCR_CAP_STOCK","FQ3 2012","FQ3 2012","Currency=USD","Period=FQ","BEST_FPERIOD_OVERRIDE=FQ","FILING_STATUS=OR","SCALING_FORMAT=MLN","Sort=A","Dates=H","DateFormat=P","Fill=—","Direction=H","UseDPDF=Y")</f>
        <v>98</v>
      </c>
      <c r="T45" s="13">
        <f>_xll.BDH("XOM US Equity","CF_INCR_CAP_STOCK","FQ4 2012","FQ4 2012","Currency=USD","Period=FQ","BEST_FPERIOD_OVERRIDE=FQ","FILING_STATUS=OR","SCALING_FORMAT=MLN","Sort=A","Dates=H","DateFormat=P","Fill=—","Direction=H","UseDPDF=Y")</f>
        <v>139</v>
      </c>
      <c r="U45" s="13">
        <f>_xll.BDH("XOM US Equity","CF_INCR_CAP_STOCK","FQ1 2013","FQ1 2013","Currency=USD","Period=FQ","BEST_FPERIOD_OVERRIDE=FQ","FILING_STATUS=OR","SCALING_FORMAT=MLN","Sort=A","Dates=H","DateFormat=P","Fill=—","Direction=H","UseDPDF=Y")</f>
        <v>2</v>
      </c>
      <c r="V45" s="13">
        <f>_xll.BDH("XOM US Equity","CF_INCR_CAP_STOCK","FQ2 2013","FQ2 2013","Currency=USD","Period=FQ","BEST_FPERIOD_OVERRIDE=FQ","FILING_STATUS=OR","SCALING_FORMAT=MLN","Sort=A","Dates=H","DateFormat=P","Fill=—","Direction=H","UseDPDF=Y")</f>
        <v>14</v>
      </c>
      <c r="W45" s="13">
        <f>_xll.BDH("XOM US Equity","CF_INCR_CAP_STOCK","FQ3 2013","FQ3 2013","Currency=USD","Period=FQ","BEST_FPERIOD_OVERRIDE=FQ","FILING_STATUS=OR","SCALING_FORMAT=MLN","Sort=A","Dates=H","DateFormat=P","Fill=—","Direction=H","UseDPDF=Y")</f>
        <v>44</v>
      </c>
      <c r="X45" s="13">
        <f>_xll.BDH("XOM US Equity","CF_INCR_CAP_STOCK","FQ4 2013","FQ4 2013","Currency=USD","Period=FQ","BEST_FPERIOD_OVERRIDE=FQ","FILING_STATUS=OR","SCALING_FORMAT=MLN","Sort=A","Dates=H","DateFormat=P","Fill=—","Direction=H","UseDPDF=Y")</f>
        <v>38</v>
      </c>
      <c r="Y45" s="13">
        <f>_xll.BDH("XOM US Equity","CF_INCR_CAP_STOCK","FQ1 2014","FQ1 2014","Currency=USD","Period=FQ","BEST_FPERIOD_OVERRIDE=FQ","FILING_STATUS=OR","SCALING_FORMAT=MLN","Sort=A","Dates=H","DateFormat=P","Fill=—","Direction=H","UseDPDF=Y")</f>
        <v>2</v>
      </c>
      <c r="Z45" s="13">
        <f>_xll.BDH("XOM US Equity","CF_INCR_CAP_STOCK","FQ2 2014","FQ2 2014","Currency=USD","Period=FQ","BEST_FPERIOD_OVERRIDE=FQ","FILING_STATUS=OR","SCALING_FORMAT=MLN","Sort=A","Dates=H","DateFormat=P","Fill=—","Direction=H","UseDPDF=Y")</f>
        <v>14</v>
      </c>
      <c r="AA45" s="13">
        <f>_xll.BDH("XOM US Equity","CF_INCR_CAP_STOCK","FQ3 2014","FQ3 2014","Currency=USD","Period=FQ","BEST_FPERIOD_OVERRIDE=FQ","FILING_STATUS=OR","SCALING_FORMAT=MLN","Sort=A","Dates=H","DateFormat=P","Fill=—","Direction=H","UseDPDF=Y")</f>
        <v>4</v>
      </c>
      <c r="AB45" s="13">
        <f>_xll.BDH("XOM US Equity","CF_INCR_CAP_STOCK","FQ4 2014","FQ4 2014","Currency=USD","Period=FQ","BEST_FPERIOD_OVERRIDE=FQ","FILING_STATUS=OR","SCALING_FORMAT=MLN","Sort=A","Dates=H","DateFormat=P","Fill=—","Direction=H","UseDPDF=Y")</f>
        <v>125</v>
      </c>
      <c r="AC45" s="13">
        <f>_xll.BDH("XOM US Equity","CF_INCR_CAP_STOCK","FQ1 2015","FQ1 2015","Currency=USD","Period=FQ","BEST_FPERIOD_OVERRIDE=FQ","FILING_STATUS=OR","SCALING_FORMAT=MLN","Sort=A","Dates=H","DateFormat=P","Fill=—","Direction=H","UseDPDF=Y")</f>
        <v>0</v>
      </c>
      <c r="AD45" s="13">
        <f>_xll.BDH("XOM US Equity","CF_INCR_CAP_STOCK","FQ2 2015","FQ2 2015","Currency=USD","Period=FQ","BEST_FPERIOD_OVERRIDE=FQ","FILING_STATUS=OR","SCALING_FORMAT=MLN","Sort=A","Dates=H","DateFormat=P","Fill=—","Direction=H","UseDPDF=Y")</f>
        <v>0</v>
      </c>
      <c r="AE45" s="13">
        <f>_xll.BDH("XOM US Equity","CF_INCR_CAP_STOCK","FQ3 2015","FQ3 2015","Currency=USD","Period=FQ","BEST_FPERIOD_OVERRIDE=FQ","FILING_STATUS=OR","SCALING_FORMAT=MLN","Sort=A","Dates=H","DateFormat=P","Fill=—","Direction=H","UseDPDF=Y")</f>
        <v>0</v>
      </c>
      <c r="AF45" s="13">
        <f>_xll.BDH("XOM US Equity","CF_INCR_CAP_STOCK","FQ4 2015","FQ4 2015","Currency=USD","Period=FQ","BEST_FPERIOD_OVERRIDE=FQ","FILING_STATUS=OR","SCALING_FORMAT=MLN","Sort=A","Dates=H","DateFormat=P","Fill=—","Direction=H","UseDPDF=Y")</f>
        <v>7</v>
      </c>
      <c r="AG45" s="13">
        <f>_xll.BDH("XOM US Equity","CF_INCR_CAP_STOCK","FQ1 2016","FQ1 2016","Currency=USD","Period=FQ","BEST_FPERIOD_OVERRIDE=FQ","FILING_STATUS=OR","SCALING_FORMAT=MLN","Sort=A","Dates=H","DateFormat=P","Fill=—","Direction=H","UseDPDF=Y")</f>
        <v>5</v>
      </c>
      <c r="AH45" s="13">
        <f>_xll.BDH("XOM US Equity","CF_INCR_CAP_STOCK","FQ2 2016","FQ2 2016","Currency=USD","Period=FQ","BEST_FPERIOD_OVERRIDE=FQ","FILING_STATUS=OR","SCALING_FORMAT=MLN","Sort=A","Dates=H","DateFormat=P","Fill=—","Direction=H","UseDPDF=Y")</f>
        <v>2</v>
      </c>
      <c r="AI45" s="13">
        <f>_xll.BDH("XOM US Equity","CF_INCR_CAP_STOCK","FQ3 2016","FQ3 2016","Currency=USD","Period=FQ","BEST_FPERIOD_OVERRIDE=FQ","FILING_STATUS=OR","SCALING_FORMAT=MLN","Sort=A","Dates=H","DateFormat=P","Fill=—","Direction=H","UseDPDF=Y")</f>
        <v>0</v>
      </c>
      <c r="AJ45" s="13">
        <f>_xll.BDH("XOM US Equity","CF_INCR_CAP_STOCK","FQ4 2016","FQ4 2016","Currency=USD","Period=FQ","BEST_FPERIOD_OVERRIDE=FQ","FILING_STATUS=OR","SCALING_FORMAT=MLN","Sort=A","Dates=H","DateFormat=P","Fill=—","Direction=H","UseDPDF=Y")</f>
        <v>0</v>
      </c>
      <c r="AK45" s="13">
        <f>_xll.BDH("XOM US Equity","CF_INCR_CAP_STOCK","FQ1 2017","FQ1 2017","Currency=USD","Period=FQ","BEST_FPERIOD_OVERRIDE=FQ","FILING_STATUS=OR","SCALING_FORMAT=MLN","Sort=A","Dates=H","DateFormat=P","Fill=—","Direction=H","UseDPDF=Y")</f>
        <v>0</v>
      </c>
      <c r="AL45" s="13">
        <f>_xll.BDH("XOM US Equity","CF_INCR_CAP_STOCK","FQ2 2017","FQ2 2017","Currency=USD","Period=FQ","BEST_FPERIOD_OVERRIDE=FQ","FILING_STATUS=OR","SCALING_FORMAT=MLN","Sort=A","Dates=H","DateFormat=P","Fill=—","Direction=H","UseDPDF=Y")</f>
        <v>0</v>
      </c>
      <c r="AM45" s="13">
        <f>_xll.BDH("XOM US Equity","CF_INCR_CAP_STOCK","FQ3 2017","FQ3 2017","Currency=USD","Period=FQ","BEST_FPERIOD_OVERRIDE=FQ","FILING_STATUS=OR","SCALING_FORMAT=MLN","Sort=A","Dates=H","DateFormat=P","Fill=—","Direction=H","UseDPDF=Y")</f>
        <v>0</v>
      </c>
      <c r="AN45" s="13">
        <f>_xll.BDH("XOM US Equity","CF_INCR_CAP_STOCK","FQ4 2017","FQ4 2017","Currency=USD","Period=FQ","BEST_FPERIOD_OVERRIDE=FQ","FILING_STATUS=OR","SCALING_FORMAT=MLN","Sort=A","Dates=H","DateFormat=P","Fill=—","Direction=H","UseDPDF=Y")</f>
        <v>0</v>
      </c>
      <c r="AO45" s="13">
        <f>_xll.BDH("XOM US Equity","CF_INCR_CAP_STOCK","FQ1 2018","FQ1 2018","Currency=USD","Period=FQ","BEST_FPERIOD_OVERRIDE=FQ","FILING_STATUS=OR","SCALING_FORMAT=MLN","Sort=A","Dates=H","DateFormat=P","Fill=—","Direction=H","UseDPDF=Y")</f>
        <v>0</v>
      </c>
      <c r="AP45" s="13">
        <f>_xll.BDH("XOM US Equity","CF_INCR_CAP_STOCK","FQ2 2018","FQ2 2018","Currency=USD","Period=FQ","BEST_FPERIOD_OVERRIDE=FQ","FILING_STATUS=OR","SCALING_FORMAT=MLN","Sort=A","Dates=H","DateFormat=P","Fill=—","Direction=H","UseDPDF=Y")</f>
        <v>0</v>
      </c>
    </row>
    <row r="46" spans="1:42" x14ac:dyDescent="0.25">
      <c r="A46" s="10" t="s">
        <v>431</v>
      </c>
      <c r="B46" s="10" t="s">
        <v>432</v>
      </c>
      <c r="C46" s="13">
        <f>_xll.BDH("XOM US Equity","CF_DECR_CAP_STOCK","FQ3 2008","FQ3 2008","Currency=USD","Period=FQ","BEST_FPERIOD_OVERRIDE=FQ","FILING_STATUS=OR","SCALING_FORMAT=MLN","Sort=A","Dates=H","DateFormat=P","Fill=—","Direction=H","UseDPDF=Y")</f>
        <v>-8663</v>
      </c>
      <c r="D46" s="13">
        <f>_xll.BDH("XOM US Equity","CF_DECR_CAP_STOCK","FQ4 2008","FQ4 2008","Currency=USD","Period=FQ","BEST_FPERIOD_OVERRIDE=FQ","FILING_STATUS=OR","SCALING_FORMAT=MLN","Sort=A","Dates=H","DateFormat=P","Fill=—","Direction=H","UseDPDF=Y")</f>
        <v>-8845</v>
      </c>
      <c r="E46" s="13">
        <f>_xll.BDH("XOM US Equity","CF_DECR_CAP_STOCK","FQ1 2009","FQ1 2009","Currency=USD","Period=FQ","BEST_FPERIOD_OVERRIDE=FQ","FILING_STATUS=OR","SCALING_FORMAT=MLN","Sort=A","Dates=H","DateFormat=P","Fill=—","Direction=H","UseDPDF=Y")</f>
        <v>-7852</v>
      </c>
      <c r="F46" s="13">
        <f>_xll.BDH("XOM US Equity","CF_DECR_CAP_STOCK","FQ2 2009","FQ2 2009","Currency=USD","Period=FQ","BEST_FPERIOD_OVERRIDE=FQ","FILING_STATUS=OR","SCALING_FORMAT=MLN","Sort=A","Dates=H","DateFormat=P","Fill=—","Direction=H","UseDPDF=Y")</f>
        <v>-5246</v>
      </c>
      <c r="G46" s="13">
        <f>_xll.BDH("XOM US Equity","CF_DECR_CAP_STOCK","FQ3 2009","FQ3 2009","Currency=USD","Period=FQ","BEST_FPERIOD_OVERRIDE=FQ","FILING_STATUS=OR","SCALING_FORMAT=MLN","Sort=A","Dates=H","DateFormat=P","Fill=—","Direction=H","UseDPDF=Y")</f>
        <v>-4233</v>
      </c>
      <c r="H46" s="13">
        <f>_xll.BDH("XOM US Equity","CF_DECR_CAP_STOCK","FQ4 2009","FQ4 2009","Currency=USD","Period=FQ","BEST_FPERIOD_OVERRIDE=FQ","FILING_STATUS=OR","SCALING_FORMAT=MLN","Sort=A","Dates=H","DateFormat=P","Fill=—","Direction=H","UseDPDF=Y")</f>
        <v>-2372</v>
      </c>
      <c r="I46" s="13">
        <f>_xll.BDH("XOM US Equity","CF_DECR_CAP_STOCK","FQ1 2010","FQ1 2010","Currency=USD","Period=FQ","BEST_FPERIOD_OVERRIDE=FQ","FILING_STATUS=OR","SCALING_FORMAT=MLN","Sort=A","Dates=H","DateFormat=P","Fill=—","Direction=H","UseDPDF=Y")</f>
        <v>-2495</v>
      </c>
      <c r="J46" s="13">
        <f>_xll.BDH("XOM US Equity","CF_DECR_CAP_STOCK","FQ2 2010","FQ2 2010","Currency=USD","Period=FQ","BEST_FPERIOD_OVERRIDE=FQ","FILING_STATUS=OR","SCALING_FORMAT=MLN","Sort=A","Dates=H","DateFormat=P","Fill=—","Direction=H","UseDPDF=Y")</f>
        <v>-1568</v>
      </c>
      <c r="K46" s="13">
        <f>_xll.BDH("XOM US Equity","CF_DECR_CAP_STOCK","FQ3 2010","FQ3 2010","Currency=USD","Period=FQ","BEST_FPERIOD_OVERRIDE=FQ","FILING_STATUS=OR","SCALING_FORMAT=MLN","Sort=A","Dates=H","DateFormat=P","Fill=—","Direction=H","UseDPDF=Y")</f>
        <v>-3272</v>
      </c>
      <c r="L46" s="13">
        <f>_xll.BDH("XOM US Equity","CF_DECR_CAP_STOCK","FQ4 2010","FQ4 2010","Currency=USD","Period=FQ","BEST_FPERIOD_OVERRIDE=FQ","FILING_STATUS=OR","SCALING_FORMAT=MLN","Sort=A","Dates=H","DateFormat=P","Fill=—","Direction=H","UseDPDF=Y")</f>
        <v>-5758</v>
      </c>
      <c r="M46" s="13">
        <f>_xll.BDH("XOM US Equity","CF_DECR_CAP_STOCK","FQ1 2011","FQ1 2011","Currency=USD","Period=FQ","BEST_FPERIOD_OVERRIDE=FQ","FILING_STATUS=OR","SCALING_FORMAT=MLN","Sort=A","Dates=H","DateFormat=P","Fill=—","Direction=H","UseDPDF=Y")</f>
        <v>-5653</v>
      </c>
      <c r="N46" s="13">
        <f>_xll.BDH("XOM US Equity","CF_DECR_CAP_STOCK","FQ2 2011","FQ2 2011","Currency=USD","Period=FQ","BEST_FPERIOD_OVERRIDE=FQ","FILING_STATUS=OR","SCALING_FORMAT=MLN","Sort=A","Dates=H","DateFormat=P","Fill=—","Direction=H","UseDPDF=Y")</f>
        <v>-5512</v>
      </c>
      <c r="O46" s="13">
        <f>_xll.BDH("XOM US Equity","CF_DECR_CAP_STOCK","FQ3 2011","FQ3 2011","Currency=USD","Period=FQ","BEST_FPERIOD_OVERRIDE=FQ","FILING_STATUS=OR","SCALING_FORMAT=MLN","Sort=A","Dates=H","DateFormat=P","Fill=—","Direction=H","UseDPDF=Y")</f>
        <v>-5468</v>
      </c>
      <c r="P46" s="13">
        <f>_xll.BDH("XOM US Equity","CF_DECR_CAP_STOCK","FQ4 2011","FQ4 2011","Currency=USD","Period=FQ","BEST_FPERIOD_OVERRIDE=FQ","FILING_STATUS=OR","SCALING_FORMAT=MLN","Sort=A","Dates=H","DateFormat=P","Fill=—","Direction=H","UseDPDF=Y")</f>
        <v>-5422</v>
      </c>
      <c r="Q46" s="13">
        <f>_xll.BDH("XOM US Equity","CF_DECR_CAP_STOCK","FQ1 2012","FQ1 2012","Currency=USD","Period=FQ","BEST_FPERIOD_OVERRIDE=FQ","FILING_STATUS=OR","SCALING_FORMAT=MLN","Sort=A","Dates=H","DateFormat=P","Fill=—","Direction=H","UseDPDF=Y")</f>
        <v>-5704</v>
      </c>
      <c r="R46" s="13">
        <f>_xll.BDH("XOM US Equity","CF_DECR_CAP_STOCK","FQ2 2012","FQ2 2012","Currency=USD","Period=FQ","BEST_FPERIOD_OVERRIDE=FQ","FILING_STATUS=OR","SCALING_FORMAT=MLN","Sort=A","Dates=H","DateFormat=P","Fill=—","Direction=H","UseDPDF=Y")</f>
        <v>-5012</v>
      </c>
      <c r="S46" s="13">
        <f>_xll.BDH("XOM US Equity","CF_DECR_CAP_STOCK","FQ3 2012","FQ3 2012","Currency=USD","Period=FQ","BEST_FPERIOD_OVERRIDE=FQ","FILING_STATUS=OR","SCALING_FORMAT=MLN","Sort=A","Dates=H","DateFormat=P","Fill=—","Direction=H","UseDPDF=Y")</f>
        <v>-5098</v>
      </c>
      <c r="T46" s="13">
        <f>_xll.BDH("XOM US Equity","CF_DECR_CAP_STOCK","FQ4 2012","FQ4 2012","Currency=USD","Period=FQ","BEST_FPERIOD_OVERRIDE=FQ","FILING_STATUS=OR","SCALING_FORMAT=MLN","Sort=A","Dates=H","DateFormat=P","Fill=—","Direction=H","UseDPDF=Y")</f>
        <v>-5254</v>
      </c>
      <c r="U46" s="13">
        <f>_xll.BDH("XOM US Equity","CF_DECR_CAP_STOCK","FQ1 2013","FQ1 2013","Currency=USD","Period=FQ","BEST_FPERIOD_OVERRIDE=FQ","FILING_STATUS=OR","SCALING_FORMAT=MLN","Sort=A","Dates=H","DateFormat=P","Fill=—","Direction=H","UseDPDF=Y")</f>
        <v>-5621</v>
      </c>
      <c r="V46" s="13">
        <f>_xll.BDH("XOM US Equity","CF_DECR_CAP_STOCK","FQ2 2013","FQ2 2013","Currency=USD","Period=FQ","BEST_FPERIOD_OVERRIDE=FQ","FILING_STATUS=OR","SCALING_FORMAT=MLN","Sort=A","Dates=H","DateFormat=P","Fill=—","Direction=H","UseDPDF=Y")</f>
        <v>-4031</v>
      </c>
      <c r="W46" s="13">
        <f>_xll.BDH("XOM US Equity","CF_DECR_CAP_STOCK","FQ3 2013","FQ3 2013","Currency=USD","Period=FQ","BEST_FPERIOD_OVERRIDE=FQ","FILING_STATUS=OR","SCALING_FORMAT=MLN","Sort=A","Dates=H","DateFormat=P","Fill=—","Direction=H","UseDPDF=Y")</f>
        <v>-3044</v>
      </c>
      <c r="X46" s="13">
        <f>_xll.BDH("XOM US Equity","CF_DECR_CAP_STOCK","FQ4 2013","FQ4 2013","Currency=USD","Period=FQ","BEST_FPERIOD_OVERRIDE=FQ","FILING_STATUS=OR","SCALING_FORMAT=MLN","Sort=A","Dates=H","DateFormat=P","Fill=—","Direction=H","UseDPDF=Y")</f>
        <v>-3302</v>
      </c>
      <c r="Y46" s="13">
        <f>_xll.BDH("XOM US Equity","CF_DECR_CAP_STOCK","FQ1 2014","FQ1 2014","Currency=USD","Period=FQ","BEST_FPERIOD_OVERRIDE=FQ","FILING_STATUS=OR","SCALING_FORMAT=MLN","Sort=A","Dates=H","DateFormat=P","Fill=—","Direction=H","UseDPDF=Y")</f>
        <v>-3860</v>
      </c>
      <c r="Z46" s="13">
        <f>_xll.BDH("XOM US Equity","CF_DECR_CAP_STOCK","FQ2 2014","FQ2 2014","Currency=USD","Period=FQ","BEST_FPERIOD_OVERRIDE=FQ","FILING_STATUS=OR","SCALING_FORMAT=MLN","Sort=A","Dates=H","DateFormat=P","Fill=—","Direction=H","UseDPDF=Y")</f>
        <v>-3003</v>
      </c>
      <c r="AA46" s="13">
        <f>_xll.BDH("XOM US Equity","CF_DECR_CAP_STOCK","FQ3 2014","FQ3 2014","Currency=USD","Period=FQ","BEST_FPERIOD_OVERRIDE=FQ","FILING_STATUS=OR","SCALING_FORMAT=MLN","Sort=A","Dates=H","DateFormat=P","Fill=—","Direction=H","UseDPDF=Y")</f>
        <v>-3002</v>
      </c>
      <c r="AB46" s="13">
        <f>_xll.BDH("XOM US Equity","CF_DECR_CAP_STOCK","FQ4 2014","FQ4 2014","Currency=USD","Period=FQ","BEST_FPERIOD_OVERRIDE=FQ","FILING_STATUS=OR","SCALING_FORMAT=MLN","Sort=A","Dates=H","DateFormat=P","Fill=—","Direction=H","UseDPDF=Y")</f>
        <v>-3318</v>
      </c>
      <c r="AC46" s="13">
        <f>_xll.BDH("XOM US Equity","CF_DECR_CAP_STOCK","FQ1 2015","FQ1 2015","Currency=USD","Period=FQ","BEST_FPERIOD_OVERRIDE=FQ","FILING_STATUS=OR","SCALING_FORMAT=MLN","Sort=A","Dates=H","DateFormat=P","Fill=—","Direction=H","UseDPDF=Y")</f>
        <v>-1781</v>
      </c>
      <c r="AD46" s="13">
        <f>_xll.BDH("XOM US Equity","CF_DECR_CAP_STOCK","FQ2 2015","FQ2 2015","Currency=USD","Period=FQ","BEST_FPERIOD_OVERRIDE=FQ","FILING_STATUS=OR","SCALING_FORMAT=MLN","Sort=A","Dates=H","DateFormat=P","Fill=—","Direction=H","UseDPDF=Y")</f>
        <v>-1003</v>
      </c>
      <c r="AE46" s="13">
        <f>_xll.BDH("XOM US Equity","CF_DECR_CAP_STOCK","FQ3 2015","FQ3 2015","Currency=USD","Period=FQ","BEST_FPERIOD_OVERRIDE=FQ","FILING_STATUS=OR","SCALING_FORMAT=MLN","Sort=A","Dates=H","DateFormat=P","Fill=—","Direction=H","UseDPDF=Y")</f>
        <v>-501</v>
      </c>
      <c r="AF46" s="13">
        <f>_xll.BDH("XOM US Equity","CF_DECR_CAP_STOCK","FQ4 2015","FQ4 2015","Currency=USD","Period=FQ","BEST_FPERIOD_OVERRIDE=FQ","FILING_STATUS=OR","SCALING_FORMAT=MLN","Sort=A","Dates=H","DateFormat=P","Fill=—","Direction=H","UseDPDF=Y")</f>
        <v>-754</v>
      </c>
      <c r="AG46" s="13">
        <f>_xll.BDH("XOM US Equity","CF_DECR_CAP_STOCK","FQ1 2016","FQ1 2016","Currency=USD","Period=FQ","BEST_FPERIOD_OVERRIDE=FQ","FILING_STATUS=OR","SCALING_FORMAT=MLN","Sort=A","Dates=H","DateFormat=P","Fill=—","Direction=H","UseDPDF=Y")</f>
        <v>-726</v>
      </c>
      <c r="AH46" s="13">
        <f>_xll.BDH("XOM US Equity","CF_DECR_CAP_STOCK","FQ2 2016","FQ2 2016","Currency=USD","Period=FQ","BEST_FPERIOD_OVERRIDE=FQ","FILING_STATUS=OR","SCALING_FORMAT=MLN","Sort=A","Dates=H","DateFormat=P","Fill=—","Direction=H","UseDPDF=Y")</f>
        <v>-1</v>
      </c>
      <c r="AI46" s="13">
        <f>_xll.BDH("XOM US Equity","CF_DECR_CAP_STOCK","FQ3 2016","FQ3 2016","Currency=USD","Period=FQ","BEST_FPERIOD_OVERRIDE=FQ","FILING_STATUS=OR","SCALING_FORMAT=MLN","Sort=A","Dates=H","DateFormat=P","Fill=—","Direction=H","UseDPDF=Y")</f>
        <v>-1</v>
      </c>
      <c r="AJ46" s="13">
        <f>_xll.BDH("XOM US Equity","CF_DECR_CAP_STOCK","FQ4 2016","FQ4 2016","Currency=USD","Period=FQ","BEST_FPERIOD_OVERRIDE=FQ","FILING_STATUS=OR","SCALING_FORMAT=MLN","Sort=A","Dates=H","DateFormat=P","Fill=—","Direction=H","UseDPDF=Y")</f>
        <v>-250</v>
      </c>
      <c r="AK46" s="13">
        <f>_xll.BDH("XOM US Equity","CF_DECR_CAP_STOCK","FQ1 2017","FQ1 2017","Currency=USD","Period=FQ","BEST_FPERIOD_OVERRIDE=FQ","FILING_STATUS=OR","SCALING_FORMAT=MLN","Sort=A","Dates=H","DateFormat=P","Fill=—","Direction=H","UseDPDF=Y")</f>
        <v>-501</v>
      </c>
      <c r="AL46" s="13">
        <f>_xll.BDH("XOM US Equity","CF_DECR_CAP_STOCK","FQ2 2017","FQ2 2017","Currency=USD","Period=FQ","BEST_FPERIOD_OVERRIDE=FQ","FILING_STATUS=OR","SCALING_FORMAT=MLN","Sort=A","Dates=H","DateFormat=P","Fill=—","Direction=H","UseDPDF=Y")</f>
        <v>-13</v>
      </c>
      <c r="AM46" s="13">
        <f>_xll.BDH("XOM US Equity","CF_DECR_CAP_STOCK","FQ3 2017","FQ3 2017","Currency=USD","Period=FQ","BEST_FPERIOD_OVERRIDE=FQ","FILING_STATUS=OR","SCALING_FORMAT=MLN","Sort=A","Dates=H","DateFormat=P","Fill=—","Direction=H","UseDPDF=Y")</f>
        <v>-1</v>
      </c>
      <c r="AN46" s="13">
        <f>_xll.BDH("XOM US Equity","CF_DECR_CAP_STOCK","FQ4 2017","FQ4 2017","Currency=USD","Period=FQ","BEST_FPERIOD_OVERRIDE=FQ","FILING_STATUS=OR","SCALING_FORMAT=MLN","Sort=A","Dates=H","DateFormat=P","Fill=—","Direction=H","UseDPDF=Y")</f>
        <v>-232</v>
      </c>
      <c r="AO46" s="13">
        <f>_xll.BDH("XOM US Equity","CF_DECR_CAP_STOCK","FQ1 2018","FQ1 2018","Currency=USD","Period=FQ","BEST_FPERIOD_OVERRIDE=FQ","FILING_STATUS=OR","SCALING_FORMAT=MLN","Sort=A","Dates=H","DateFormat=P","Fill=—","Direction=H","UseDPDF=Y")</f>
        <v>-427</v>
      </c>
      <c r="AP46" s="13">
        <f>_xll.BDH("XOM US Equity","CF_DECR_CAP_STOCK","FQ2 2018","FQ2 2018","Currency=USD","Period=FQ","BEST_FPERIOD_OVERRIDE=FQ","FILING_STATUS=OR","SCALING_FORMAT=MLN","Sort=A","Dates=H","DateFormat=P","Fill=—","Direction=H","UseDPDF=Y")</f>
        <v>-2</v>
      </c>
    </row>
    <row r="47" spans="1:42" x14ac:dyDescent="0.25">
      <c r="A47" s="10" t="s">
        <v>433</v>
      </c>
      <c r="B47" s="10" t="s">
        <v>434</v>
      </c>
      <c r="C47" s="13" t="str">
        <f>_xll.BDH("XOM US Equity","CF_OTHER_FINANCING_ACT_EXCL_FX","FQ3 2008","FQ3 2008","Currency=USD","Period=FQ","BEST_FPERIOD_OVERRIDE=FQ","FILING_STATUS=OR","SCALING_FORMAT=MLN","Sort=A","Dates=H","DateFormat=P","Fill=—","Direction=H","UseDPDF=Y")</f>
        <v>—</v>
      </c>
      <c r="D47" s="13" t="str">
        <f>_xll.BDH("XOM US Equity","CF_OTHER_FINANCING_ACT_EXCL_FX","FQ4 2008","FQ4 2008","Currency=USD","Period=FQ","BEST_FPERIOD_OVERRIDE=FQ","FILING_STATUS=OR","SCALING_FORMAT=MLN","Sort=A","Dates=H","DateFormat=P","Fill=—","Direction=H","UseDPDF=Y")</f>
        <v>—</v>
      </c>
      <c r="E47" s="13">
        <f>_xll.BDH("XOM US Equity","CF_OTHER_FINANCING_ACT_EXCL_FX","FQ1 2009","FQ1 2009","Currency=USD","Period=FQ","BEST_FPERIOD_OVERRIDE=FQ","FILING_STATUS=OR","SCALING_FORMAT=MLN","Sort=A","Dates=H","DateFormat=P","Fill=—","Direction=H","UseDPDF=Y")</f>
        <v>-201</v>
      </c>
      <c r="F47" s="13">
        <f>_xll.BDH("XOM US Equity","CF_OTHER_FINANCING_ACT_EXCL_FX","FQ2 2009","FQ2 2009","Currency=USD","Period=FQ","BEST_FPERIOD_OVERRIDE=FQ","FILING_STATUS=OR","SCALING_FORMAT=MLN","Sort=A","Dates=H","DateFormat=P","Fill=—","Direction=H","UseDPDF=Y")</f>
        <v>-56</v>
      </c>
      <c r="G47" s="13">
        <f>_xll.BDH("XOM US Equity","CF_OTHER_FINANCING_ACT_EXCL_FX","FQ3 2009","FQ3 2009","Currency=USD","Period=FQ","BEST_FPERIOD_OVERRIDE=FQ","FILING_STATUS=OR","SCALING_FORMAT=MLN","Sort=A","Dates=H","DateFormat=P","Fill=—","Direction=H","UseDPDF=Y")</f>
        <v>-107</v>
      </c>
      <c r="H47" s="13">
        <f>_xll.BDH("XOM US Equity","CF_OTHER_FINANCING_ACT_EXCL_FX","FQ4 2009","FQ4 2009","Currency=USD","Period=FQ","BEST_FPERIOD_OVERRIDE=FQ","FILING_STATUS=OR","SCALING_FORMAT=MLN","Sort=A","Dates=H","DateFormat=P","Fill=—","Direction=H","UseDPDF=Y")</f>
        <v>-29</v>
      </c>
      <c r="I47" s="13">
        <f>_xll.BDH("XOM US Equity","CF_OTHER_FINANCING_ACT_EXCL_FX","FQ1 2010","FQ1 2010","Currency=USD","Period=FQ","BEST_FPERIOD_OVERRIDE=FQ","FILING_STATUS=OR","SCALING_FORMAT=MLN","Sort=A","Dates=H","DateFormat=P","Fill=—","Direction=H","UseDPDF=Y")</f>
        <v>-84</v>
      </c>
      <c r="J47" s="13">
        <f>_xll.BDH("XOM US Equity","CF_OTHER_FINANCING_ACT_EXCL_FX","FQ2 2010","FQ2 2010","Currency=USD","Period=FQ","BEST_FPERIOD_OVERRIDE=FQ","FILING_STATUS=OR","SCALING_FORMAT=MLN","Sort=A","Dates=H","DateFormat=P","Fill=—","Direction=H","UseDPDF=Y")</f>
        <v>-57</v>
      </c>
      <c r="K47" s="13">
        <f>_xll.BDH("XOM US Equity","CF_OTHER_FINANCING_ACT_EXCL_FX","FQ3 2010","FQ3 2010","Currency=USD","Period=FQ","BEST_FPERIOD_OVERRIDE=FQ","FILING_STATUS=OR","SCALING_FORMAT=MLN","Sort=A","Dates=H","DateFormat=P","Fill=—","Direction=H","UseDPDF=Y")</f>
        <v>-106</v>
      </c>
      <c r="L47" s="13">
        <f>_xll.BDH("XOM US Equity","CF_OTHER_FINANCING_ACT_EXCL_FX","FQ4 2010","FQ4 2010","Currency=USD","Period=FQ","BEST_FPERIOD_OVERRIDE=FQ","FILING_STATUS=OR","SCALING_FORMAT=MLN","Sort=A","Dates=H","DateFormat=P","Fill=—","Direction=H","UseDPDF=Y")</f>
        <v>-41</v>
      </c>
      <c r="M47" s="13">
        <f>_xll.BDH("XOM US Equity","CF_OTHER_FINANCING_ACT_EXCL_FX","FQ1 2011","FQ1 2011","Currency=USD","Period=FQ","BEST_FPERIOD_OVERRIDE=FQ","FILING_STATUS=OR","SCALING_FORMAT=MLN","Sort=A","Dates=H","DateFormat=P","Fill=—","Direction=H","UseDPDF=Y")</f>
        <v>-104</v>
      </c>
      <c r="N47" s="13">
        <f>_xll.BDH("XOM US Equity","CF_OTHER_FINANCING_ACT_EXCL_FX","FQ2 2011","FQ2 2011","Currency=USD","Period=FQ","BEST_FPERIOD_OVERRIDE=FQ","FILING_STATUS=OR","SCALING_FORMAT=MLN","Sort=A","Dates=H","DateFormat=P","Fill=—","Direction=H","UseDPDF=Y")</f>
        <v>-60</v>
      </c>
      <c r="O47" s="13">
        <f>_xll.BDH("XOM US Equity","CF_OTHER_FINANCING_ACT_EXCL_FX","FQ3 2011","FQ3 2011","Currency=USD","Period=FQ","BEST_FPERIOD_OVERRIDE=FQ","FILING_STATUS=OR","SCALING_FORMAT=MLN","Sort=A","Dates=H","DateFormat=P","Fill=—","Direction=H","UseDPDF=Y")</f>
        <v>-112</v>
      </c>
      <c r="P47" s="13">
        <f>_xll.BDH("XOM US Equity","CF_OTHER_FINANCING_ACT_EXCL_FX","FQ4 2011","FQ4 2011","Currency=USD","Period=FQ","BEST_FPERIOD_OVERRIDE=FQ","FILING_STATUS=OR","SCALING_FORMAT=MLN","Sort=A","Dates=H","DateFormat=P","Fill=—","Direction=H","UseDPDF=Y")</f>
        <v>-46</v>
      </c>
      <c r="Q47" s="13">
        <f>_xll.BDH("XOM US Equity","CF_OTHER_FINANCING_ACT_EXCL_FX","FQ1 2012","FQ1 2012","Currency=USD","Period=FQ","BEST_FPERIOD_OVERRIDE=FQ","FILING_STATUS=OR","SCALING_FORMAT=MLN","Sort=A","Dates=H","DateFormat=P","Fill=—","Direction=H","UseDPDF=Y")</f>
        <v>116</v>
      </c>
      <c r="R47" s="13">
        <f>_xll.BDH("XOM US Equity","CF_OTHER_FINANCING_ACT_EXCL_FX","FQ2 2012","FQ2 2012","Currency=USD","Period=FQ","BEST_FPERIOD_OVERRIDE=FQ","FILING_STATUS=OR","SCALING_FORMAT=MLN","Sort=A","Dates=H","DateFormat=P","Fill=—","Direction=H","UseDPDF=Y")</f>
        <v>-55</v>
      </c>
      <c r="S47" s="13">
        <f>_xll.BDH("XOM US Equity","CF_OTHER_FINANCING_ACT_EXCL_FX","FQ3 2012","FQ3 2012","Currency=USD","Period=FQ","BEST_FPERIOD_OVERRIDE=FQ","FILING_STATUS=OR","SCALING_FORMAT=MLN","Sort=A","Dates=H","DateFormat=P","Fill=—","Direction=H","UseDPDF=Y")</f>
        <v>-150</v>
      </c>
      <c r="T47" s="13">
        <f>_xll.BDH("XOM US Equity","CF_OTHER_FINANCING_ACT_EXCL_FX","FQ4 2012","FQ4 2012","Currency=USD","Period=FQ","BEST_FPERIOD_OVERRIDE=FQ","FILING_STATUS=OR","SCALING_FORMAT=MLN","Sort=A","Dates=H","DateFormat=P","Fill=—","Direction=H","UseDPDF=Y")</f>
        <v>-34</v>
      </c>
      <c r="U47" s="13">
        <f>_xll.BDH("XOM US Equity","CF_OTHER_FINANCING_ACT_EXCL_FX","FQ1 2013","FQ1 2013","Currency=USD","Period=FQ","BEST_FPERIOD_OVERRIDE=FQ","FILING_STATUS=OR","SCALING_FORMAT=MLN","Sort=A","Dates=H","DateFormat=P","Fill=—","Direction=H","UseDPDF=Y")</f>
        <v>-106</v>
      </c>
      <c r="V47" s="13">
        <f>_xll.BDH("XOM US Equity","CF_OTHER_FINANCING_ACT_EXCL_FX","FQ2 2013","FQ2 2013","Currency=USD","Period=FQ","BEST_FPERIOD_OVERRIDE=FQ","FILING_STATUS=OR","SCALING_FORMAT=MLN","Sort=A","Dates=H","DateFormat=P","Fill=—","Direction=H","UseDPDF=Y")</f>
        <v>-80</v>
      </c>
      <c r="W47" s="13">
        <f>_xll.BDH("XOM US Equity","CF_OTHER_FINANCING_ACT_EXCL_FX","FQ3 2013","FQ3 2013","Currency=USD","Period=FQ","BEST_FPERIOD_OVERRIDE=FQ","FILING_STATUS=OR","SCALING_FORMAT=MLN","Sort=A","Dates=H","DateFormat=P","Fill=—","Direction=H","UseDPDF=Y")</f>
        <v>-40</v>
      </c>
      <c r="X47" s="13">
        <f>_xll.BDH("XOM US Equity","CF_OTHER_FINANCING_ACT_EXCL_FX","FQ4 2013","FQ4 2013","Currency=USD","Period=FQ","BEST_FPERIOD_OVERRIDE=FQ","FILING_STATUS=OR","SCALING_FORMAT=MLN","Sort=A","Dates=H","DateFormat=P","Fill=—","Direction=H","UseDPDF=Y")</f>
        <v>-79</v>
      </c>
      <c r="Y47" s="13">
        <f>_xll.BDH("XOM US Equity","CF_OTHER_FINANCING_ACT_EXCL_FX","FQ1 2014","FQ1 2014","Currency=USD","Period=FQ","BEST_FPERIOD_OVERRIDE=FQ","FILING_STATUS=OR","SCALING_FORMAT=MLN","Sort=A","Dates=H","DateFormat=P","Fill=—","Direction=H","UseDPDF=Y")</f>
        <v>-58</v>
      </c>
      <c r="Z47" s="13">
        <f>_xll.BDH("XOM US Equity","CF_OTHER_FINANCING_ACT_EXCL_FX","FQ2 2014","FQ2 2014","Currency=USD","Period=FQ","BEST_FPERIOD_OVERRIDE=FQ","FILING_STATUS=OR","SCALING_FORMAT=MLN","Sort=A","Dates=H","DateFormat=P","Fill=—","Direction=H","UseDPDF=Y")</f>
        <v>-73</v>
      </c>
      <c r="AA47" s="13">
        <f>_xll.BDH("XOM US Equity","CF_OTHER_FINANCING_ACT_EXCL_FX","FQ3 2014","FQ3 2014","Currency=USD","Period=FQ","BEST_FPERIOD_OVERRIDE=FQ","FILING_STATUS=OR","SCALING_FORMAT=MLN","Sort=A","Dates=H","DateFormat=P","Fill=—","Direction=H","UseDPDF=Y")</f>
        <v>-41</v>
      </c>
      <c r="AB47" s="13">
        <f>_xll.BDH("XOM US Equity","CF_OTHER_FINANCING_ACT_EXCL_FX","FQ4 2014","FQ4 2014","Currency=USD","Period=FQ","BEST_FPERIOD_OVERRIDE=FQ","FILING_STATUS=OR","SCALING_FORMAT=MLN","Sort=A","Dates=H","DateFormat=P","Fill=—","Direction=H","UseDPDF=Y")</f>
        <v>-76</v>
      </c>
      <c r="AC47" s="13">
        <f>_xll.BDH("XOM US Equity","CF_OTHER_FINANCING_ACT_EXCL_FX","FQ1 2015","FQ1 2015","Currency=USD","Period=FQ","BEST_FPERIOD_OVERRIDE=FQ","FILING_STATUS=OR","SCALING_FORMAT=MLN","Sort=A","Dates=H","DateFormat=P","Fill=—","Direction=H","UseDPDF=Y")</f>
        <v>-40</v>
      </c>
      <c r="AD47" s="13">
        <f>_xll.BDH("XOM US Equity","CF_OTHER_FINANCING_ACT_EXCL_FX","FQ2 2015","FQ2 2015","Currency=USD","Period=FQ","BEST_FPERIOD_OVERRIDE=FQ","FILING_STATUS=OR","SCALING_FORMAT=MLN","Sort=A","Dates=H","DateFormat=P","Fill=—","Direction=H","UseDPDF=Y")</f>
        <v>-48</v>
      </c>
      <c r="AE47" s="13">
        <f>_xll.BDH("XOM US Equity","CF_OTHER_FINANCING_ACT_EXCL_FX","FQ3 2015","FQ3 2015","Currency=USD","Period=FQ","BEST_FPERIOD_OVERRIDE=FQ","FILING_STATUS=OR","SCALING_FORMAT=MLN","Sort=A","Dates=H","DateFormat=P","Fill=—","Direction=H","UseDPDF=Y")</f>
        <v>-39</v>
      </c>
      <c r="AF47" s="13">
        <f>_xll.BDH("XOM US Equity","CF_OTHER_FINANCING_ACT_EXCL_FX","FQ4 2015","FQ4 2015","Currency=USD","Period=FQ","BEST_FPERIOD_OVERRIDE=FQ","FILING_STATUS=OR","SCALING_FORMAT=MLN","Sort=A","Dates=H","DateFormat=P","Fill=—","Direction=H","UseDPDF=Y")</f>
        <v>-43</v>
      </c>
      <c r="AG47" s="13">
        <f>_xll.BDH("XOM US Equity","CF_OTHER_FINANCING_ACT_EXCL_FX","FQ1 2016","FQ1 2016","Currency=USD","Period=FQ","BEST_FPERIOD_OVERRIDE=FQ","FILING_STATUS=OR","SCALING_FORMAT=MLN","Sort=A","Dates=H","DateFormat=P","Fill=—","Direction=H","UseDPDF=Y")</f>
        <v>-42</v>
      </c>
      <c r="AH47" s="13">
        <f>_xll.BDH("XOM US Equity","CF_OTHER_FINANCING_ACT_EXCL_FX","FQ2 2016","FQ2 2016","Currency=USD","Period=FQ","BEST_FPERIOD_OVERRIDE=FQ","FILING_STATUS=OR","SCALING_FORMAT=MLN","Sort=A","Dates=H","DateFormat=P","Fill=—","Direction=H","UseDPDF=Y")</f>
        <v>-43</v>
      </c>
      <c r="AI47" s="13">
        <f>_xll.BDH("XOM US Equity","CF_OTHER_FINANCING_ACT_EXCL_FX","FQ3 2016","FQ3 2016","Currency=USD","Period=FQ","BEST_FPERIOD_OVERRIDE=FQ","FILING_STATUS=OR","SCALING_FORMAT=MLN","Sort=A","Dates=H","DateFormat=P","Fill=—","Direction=H","UseDPDF=Y")</f>
        <v>-37</v>
      </c>
      <c r="AJ47" s="13">
        <f>_xll.BDH("XOM US Equity","CF_OTHER_FINANCING_ACT_EXCL_FX","FQ4 2016","FQ4 2016","Currency=USD","Period=FQ","BEST_FPERIOD_OVERRIDE=FQ","FILING_STATUS=OR","SCALING_FORMAT=MLN","Sort=A","Dates=H","DateFormat=P","Fill=—","Direction=H","UseDPDF=Y")</f>
        <v>-40</v>
      </c>
      <c r="AK47" s="13">
        <f>_xll.BDH("XOM US Equity","CF_OTHER_FINANCING_ACT_EXCL_FX","FQ1 2017","FQ1 2017","Currency=USD","Period=FQ","BEST_FPERIOD_OVERRIDE=FQ","FILING_STATUS=OR","SCALING_FORMAT=MLN","Sort=A","Dates=H","DateFormat=P","Fill=—","Direction=H","UseDPDF=Y")</f>
        <v>-44</v>
      </c>
      <c r="AL47" s="13">
        <f>_xll.BDH("XOM US Equity","CF_OTHER_FINANCING_ACT_EXCL_FX","FQ2 2017","FQ2 2017","Currency=USD","Period=FQ","BEST_FPERIOD_OVERRIDE=FQ","FILING_STATUS=OR","SCALING_FORMAT=MLN","Sort=A","Dates=H","DateFormat=P","Fill=—","Direction=H","UseDPDF=Y")</f>
        <v>-76</v>
      </c>
      <c r="AM47" s="13">
        <f>_xll.BDH("XOM US Equity","CF_OTHER_FINANCING_ACT_EXCL_FX","FQ3 2017","FQ3 2017","Currency=USD","Period=FQ","BEST_FPERIOD_OVERRIDE=FQ","FILING_STATUS=OR","SCALING_FORMAT=MLN","Sort=A","Dates=H","DateFormat=P","Fill=—","Direction=H","UseDPDF=Y")</f>
        <v>-109</v>
      </c>
      <c r="AN47" s="13">
        <f>_xll.BDH("XOM US Equity","CF_OTHER_FINANCING_ACT_EXCL_FX","FQ4 2017","FQ4 2017","Currency=USD","Period=FQ","BEST_FPERIOD_OVERRIDE=FQ","FILING_STATUS=OR","SCALING_FORMAT=MLN","Sort=A","Dates=H","DateFormat=P","Fill=—","Direction=H","UseDPDF=Y")</f>
        <v>-105</v>
      </c>
      <c r="AO47" s="13">
        <f>_xll.BDH("XOM US Equity","CF_OTHER_FINANCING_ACT_EXCL_FX","FQ1 2018","FQ1 2018","Currency=USD","Period=FQ","BEST_FPERIOD_OVERRIDE=FQ","FILING_STATUS=OR","SCALING_FORMAT=MLN","Sort=A","Dates=H","DateFormat=P","Fill=—","Direction=H","UseDPDF=Y")</f>
        <v>-102</v>
      </c>
      <c r="AP47" s="13">
        <f>_xll.BDH("XOM US Equity","CF_OTHER_FINANCING_ACT_EXCL_FX","FQ2 2018","FQ2 2018","Currency=USD","Period=FQ","BEST_FPERIOD_OVERRIDE=FQ","FILING_STATUS=OR","SCALING_FORMAT=MLN","Sort=A","Dates=H","DateFormat=P","Fill=—","Direction=H","UseDPDF=Y")</f>
        <v>-308</v>
      </c>
    </row>
    <row r="48" spans="1:42" x14ac:dyDescent="0.25">
      <c r="A48" s="10" t="s">
        <v>380</v>
      </c>
      <c r="B48" s="10" t="s">
        <v>435</v>
      </c>
      <c r="C48" s="13" t="str">
        <f>_xll.BDH("XOM US Equity","CF_NET_CASH_DISCONTINUED_OPS_FIN","FQ3 2008","FQ3 2008","Currency=USD","Period=FQ","BEST_FPERIOD_OVERRIDE=FQ","FILING_STATUS=OR","SCALING_FORMAT=MLN","Sort=A","Dates=H","DateFormat=P","Fill=—","Direction=H","UseDPDF=Y")</f>
        <v>—</v>
      </c>
      <c r="D48" s="13" t="str">
        <f>_xll.BDH("XOM US Equity","CF_NET_CASH_DISCONTINUED_OPS_FIN","FQ4 2008","FQ4 2008","Currency=USD","Period=FQ","BEST_FPERIOD_OVERRIDE=FQ","FILING_STATUS=OR","SCALING_FORMAT=MLN","Sort=A","Dates=H","DateFormat=P","Fill=—","Direction=H","UseDPDF=Y")</f>
        <v>—</v>
      </c>
      <c r="E48" s="13">
        <f>_xll.BDH("XOM US Equity","CF_NET_CASH_DISCONTINUED_OPS_FIN","FQ1 2009","FQ1 2009","Currency=USD","Period=FQ","BEST_FPERIOD_OVERRIDE=FQ","FILING_STATUS=OR","SCALING_FORMAT=MLN","Sort=A","Dates=H","DateFormat=P","Fill=—","Direction=H","UseDPDF=Y")</f>
        <v>0</v>
      </c>
      <c r="F48" s="13">
        <f>_xll.BDH("XOM US Equity","CF_NET_CASH_DISCONTINUED_OPS_FIN","FQ2 2009","FQ2 2009","Currency=USD","Period=FQ","BEST_FPERIOD_OVERRIDE=FQ","FILING_STATUS=OR","SCALING_FORMAT=MLN","Sort=A","Dates=H","DateFormat=P","Fill=—","Direction=H","UseDPDF=Y")</f>
        <v>0</v>
      </c>
      <c r="G48" s="13">
        <f>_xll.BDH("XOM US Equity","CF_NET_CASH_DISCONTINUED_OPS_FIN","FQ3 2009","FQ3 2009","Currency=USD","Period=FQ","BEST_FPERIOD_OVERRIDE=FQ","FILING_STATUS=OR","SCALING_FORMAT=MLN","Sort=A","Dates=H","DateFormat=P","Fill=—","Direction=H","UseDPDF=Y")</f>
        <v>0</v>
      </c>
      <c r="H48" s="13">
        <f>_xll.BDH("XOM US Equity","CF_NET_CASH_DISCONTINUED_OPS_FIN","FQ4 2009","FQ4 2009","Currency=USD","Period=FQ","BEST_FPERIOD_OVERRIDE=FQ","FILING_STATUS=OR","SCALING_FORMAT=MLN","Sort=A","Dates=H","DateFormat=P","Fill=—","Direction=H","UseDPDF=Y")</f>
        <v>0</v>
      </c>
      <c r="I48" s="13">
        <f>_xll.BDH("XOM US Equity","CF_NET_CASH_DISCONTINUED_OPS_FIN","FQ1 2010","FQ1 2010","Currency=USD","Period=FQ","BEST_FPERIOD_OVERRIDE=FQ","FILING_STATUS=OR","SCALING_FORMAT=MLN","Sort=A","Dates=H","DateFormat=P","Fill=—","Direction=H","UseDPDF=Y")</f>
        <v>0</v>
      </c>
      <c r="J48" s="13">
        <f>_xll.BDH("XOM US Equity","CF_NET_CASH_DISCONTINUED_OPS_FIN","FQ2 2010","FQ2 2010","Currency=USD","Period=FQ","BEST_FPERIOD_OVERRIDE=FQ","FILING_STATUS=OR","SCALING_FORMAT=MLN","Sort=A","Dates=H","DateFormat=P","Fill=—","Direction=H","UseDPDF=Y")</f>
        <v>0</v>
      </c>
      <c r="K48" s="13">
        <f>_xll.BDH("XOM US Equity","CF_NET_CASH_DISCONTINUED_OPS_FIN","FQ3 2010","FQ3 2010","Currency=USD","Period=FQ","BEST_FPERIOD_OVERRIDE=FQ","FILING_STATUS=OR","SCALING_FORMAT=MLN","Sort=A","Dates=H","DateFormat=P","Fill=—","Direction=H","UseDPDF=Y")</f>
        <v>0</v>
      </c>
      <c r="L48" s="13">
        <f>_xll.BDH("XOM US Equity","CF_NET_CASH_DISCONTINUED_OPS_FIN","FQ4 2010","FQ4 2010","Currency=USD","Period=FQ","BEST_FPERIOD_OVERRIDE=FQ","FILING_STATUS=OR","SCALING_FORMAT=MLN","Sort=A","Dates=H","DateFormat=P","Fill=—","Direction=H","UseDPDF=Y")</f>
        <v>0</v>
      </c>
      <c r="M48" s="13">
        <f>_xll.BDH("XOM US Equity","CF_NET_CASH_DISCONTINUED_OPS_FIN","FQ1 2011","FQ1 2011","Currency=USD","Period=FQ","BEST_FPERIOD_OVERRIDE=FQ","FILING_STATUS=OR","SCALING_FORMAT=MLN","Sort=A","Dates=H","DateFormat=P","Fill=—","Direction=H","UseDPDF=Y")</f>
        <v>0</v>
      </c>
      <c r="N48" s="13">
        <f>_xll.BDH("XOM US Equity","CF_NET_CASH_DISCONTINUED_OPS_FIN","FQ2 2011","FQ2 2011","Currency=USD","Period=FQ","BEST_FPERIOD_OVERRIDE=FQ","FILING_STATUS=OR","SCALING_FORMAT=MLN","Sort=A","Dates=H","DateFormat=P","Fill=—","Direction=H","UseDPDF=Y")</f>
        <v>0</v>
      </c>
      <c r="O48" s="13">
        <f>_xll.BDH("XOM US Equity","CF_NET_CASH_DISCONTINUED_OPS_FIN","FQ3 2011","FQ3 2011","Currency=USD","Period=FQ","BEST_FPERIOD_OVERRIDE=FQ","FILING_STATUS=OR","SCALING_FORMAT=MLN","Sort=A","Dates=H","DateFormat=P","Fill=—","Direction=H","UseDPDF=Y")</f>
        <v>0</v>
      </c>
      <c r="P48" s="13">
        <f>_xll.BDH("XOM US Equity","CF_NET_CASH_DISCONTINUED_OPS_FIN","FQ4 2011","FQ4 2011","Currency=USD","Period=FQ","BEST_FPERIOD_OVERRIDE=FQ","FILING_STATUS=OR","SCALING_FORMAT=MLN","Sort=A","Dates=H","DateFormat=P","Fill=—","Direction=H","UseDPDF=Y")</f>
        <v>0</v>
      </c>
      <c r="Q48" s="13">
        <f>_xll.BDH("XOM US Equity","CF_NET_CASH_DISCONTINUED_OPS_FIN","FQ1 2012","FQ1 2012","Currency=USD","Period=FQ","BEST_FPERIOD_OVERRIDE=FQ","FILING_STATUS=OR","SCALING_FORMAT=MLN","Sort=A","Dates=H","DateFormat=P","Fill=—","Direction=H","UseDPDF=Y")</f>
        <v>0</v>
      </c>
      <c r="R48" s="13">
        <f>_xll.BDH("XOM US Equity","CF_NET_CASH_DISCONTINUED_OPS_FIN","FQ2 2012","FQ2 2012","Currency=USD","Period=FQ","BEST_FPERIOD_OVERRIDE=FQ","FILING_STATUS=OR","SCALING_FORMAT=MLN","Sort=A","Dates=H","DateFormat=P","Fill=—","Direction=H","UseDPDF=Y")</f>
        <v>0</v>
      </c>
      <c r="S48" s="13">
        <f>_xll.BDH("XOM US Equity","CF_NET_CASH_DISCONTINUED_OPS_FIN","FQ3 2012","FQ3 2012","Currency=USD","Period=FQ","BEST_FPERIOD_OVERRIDE=FQ","FILING_STATUS=OR","SCALING_FORMAT=MLN","Sort=A","Dates=H","DateFormat=P","Fill=—","Direction=H","UseDPDF=Y")</f>
        <v>0</v>
      </c>
      <c r="T48" s="13">
        <f>_xll.BDH("XOM US Equity","CF_NET_CASH_DISCONTINUED_OPS_FIN","FQ4 2012","FQ4 2012","Currency=USD","Period=FQ","BEST_FPERIOD_OVERRIDE=FQ","FILING_STATUS=OR","SCALING_FORMAT=MLN","Sort=A","Dates=H","DateFormat=P","Fill=—","Direction=H","UseDPDF=Y")</f>
        <v>0</v>
      </c>
      <c r="U48" s="13">
        <f>_xll.BDH("XOM US Equity","CF_NET_CASH_DISCONTINUED_OPS_FIN","FQ1 2013","FQ1 2013","Currency=USD","Period=FQ","BEST_FPERIOD_OVERRIDE=FQ","FILING_STATUS=OR","SCALING_FORMAT=MLN","Sort=A","Dates=H","DateFormat=P","Fill=—","Direction=H","UseDPDF=Y")</f>
        <v>0</v>
      </c>
      <c r="V48" s="13">
        <f>_xll.BDH("XOM US Equity","CF_NET_CASH_DISCONTINUED_OPS_FIN","FQ2 2013","FQ2 2013","Currency=USD","Period=FQ","BEST_FPERIOD_OVERRIDE=FQ","FILING_STATUS=OR","SCALING_FORMAT=MLN","Sort=A","Dates=H","DateFormat=P","Fill=—","Direction=H","UseDPDF=Y")</f>
        <v>0</v>
      </c>
      <c r="W48" s="13">
        <f>_xll.BDH("XOM US Equity","CF_NET_CASH_DISCONTINUED_OPS_FIN","FQ3 2013","FQ3 2013","Currency=USD","Period=FQ","BEST_FPERIOD_OVERRIDE=FQ","FILING_STATUS=OR","SCALING_FORMAT=MLN","Sort=A","Dates=H","DateFormat=P","Fill=—","Direction=H","UseDPDF=Y")</f>
        <v>0</v>
      </c>
      <c r="X48" s="13">
        <f>_xll.BDH("XOM US Equity","CF_NET_CASH_DISCONTINUED_OPS_FIN","FQ4 2013","FQ4 2013","Currency=USD","Period=FQ","BEST_FPERIOD_OVERRIDE=FQ","FILING_STATUS=OR","SCALING_FORMAT=MLN","Sort=A","Dates=H","DateFormat=P","Fill=—","Direction=H","UseDPDF=Y")</f>
        <v>0</v>
      </c>
      <c r="Y48" s="13">
        <f>_xll.BDH("XOM US Equity","CF_NET_CASH_DISCONTINUED_OPS_FIN","FQ1 2014","FQ1 2014","Currency=USD","Period=FQ","BEST_FPERIOD_OVERRIDE=FQ","FILING_STATUS=OR","SCALING_FORMAT=MLN","Sort=A","Dates=H","DateFormat=P","Fill=—","Direction=H","UseDPDF=Y")</f>
        <v>0</v>
      </c>
      <c r="Z48" s="13">
        <f>_xll.BDH("XOM US Equity","CF_NET_CASH_DISCONTINUED_OPS_FIN","FQ2 2014","FQ2 2014","Currency=USD","Period=FQ","BEST_FPERIOD_OVERRIDE=FQ","FILING_STATUS=OR","SCALING_FORMAT=MLN","Sort=A","Dates=H","DateFormat=P","Fill=—","Direction=H","UseDPDF=Y")</f>
        <v>0</v>
      </c>
      <c r="AA48" s="13">
        <f>_xll.BDH("XOM US Equity","CF_NET_CASH_DISCONTINUED_OPS_FIN","FQ3 2014","FQ3 2014","Currency=USD","Period=FQ","BEST_FPERIOD_OVERRIDE=FQ","FILING_STATUS=OR","SCALING_FORMAT=MLN","Sort=A","Dates=H","DateFormat=P","Fill=—","Direction=H","UseDPDF=Y")</f>
        <v>0</v>
      </c>
      <c r="AB48" s="13">
        <f>_xll.BDH("XOM US Equity","CF_NET_CASH_DISCONTINUED_OPS_FIN","FQ4 2014","FQ4 2014","Currency=USD","Period=FQ","BEST_FPERIOD_OVERRIDE=FQ","FILING_STATUS=OR","SCALING_FORMAT=MLN","Sort=A","Dates=H","DateFormat=P","Fill=—","Direction=H","UseDPDF=Y")</f>
        <v>0</v>
      </c>
      <c r="AC48" s="13">
        <f>_xll.BDH("XOM US Equity","CF_NET_CASH_DISCONTINUED_OPS_FIN","FQ1 2015","FQ1 2015","Currency=USD","Period=FQ","BEST_FPERIOD_OVERRIDE=FQ","FILING_STATUS=OR","SCALING_FORMAT=MLN","Sort=A","Dates=H","DateFormat=P","Fill=—","Direction=H","UseDPDF=Y")</f>
        <v>0</v>
      </c>
      <c r="AD48" s="13">
        <f>_xll.BDH("XOM US Equity","CF_NET_CASH_DISCONTINUED_OPS_FIN","FQ2 2015","FQ2 2015","Currency=USD","Period=FQ","BEST_FPERIOD_OVERRIDE=FQ","FILING_STATUS=OR","SCALING_FORMAT=MLN","Sort=A","Dates=H","DateFormat=P","Fill=—","Direction=H","UseDPDF=Y")</f>
        <v>0</v>
      </c>
      <c r="AE48" s="13">
        <f>_xll.BDH("XOM US Equity","CF_NET_CASH_DISCONTINUED_OPS_FIN","FQ3 2015","FQ3 2015","Currency=USD","Period=FQ","BEST_FPERIOD_OVERRIDE=FQ","FILING_STATUS=OR","SCALING_FORMAT=MLN","Sort=A","Dates=H","DateFormat=P","Fill=—","Direction=H","UseDPDF=Y")</f>
        <v>0</v>
      </c>
      <c r="AF48" s="13">
        <f>_xll.BDH("XOM US Equity","CF_NET_CASH_DISCONTINUED_OPS_FIN","FQ4 2015","FQ4 2015","Currency=USD","Period=FQ","BEST_FPERIOD_OVERRIDE=FQ","FILING_STATUS=OR","SCALING_FORMAT=MLN","Sort=A","Dates=H","DateFormat=P","Fill=—","Direction=H","UseDPDF=Y")</f>
        <v>0</v>
      </c>
      <c r="AG48" s="13">
        <f>_xll.BDH("XOM US Equity","CF_NET_CASH_DISCONTINUED_OPS_FIN","FQ1 2016","FQ1 2016","Currency=USD","Period=FQ","BEST_FPERIOD_OVERRIDE=FQ","FILING_STATUS=OR","SCALING_FORMAT=MLN","Sort=A","Dates=H","DateFormat=P","Fill=—","Direction=H","UseDPDF=Y")</f>
        <v>0</v>
      </c>
      <c r="AH48" s="13">
        <f>_xll.BDH("XOM US Equity","CF_NET_CASH_DISCONTINUED_OPS_FIN","FQ2 2016","FQ2 2016","Currency=USD","Period=FQ","BEST_FPERIOD_OVERRIDE=FQ","FILING_STATUS=OR","SCALING_FORMAT=MLN","Sort=A","Dates=H","DateFormat=P","Fill=—","Direction=H","UseDPDF=Y")</f>
        <v>0</v>
      </c>
      <c r="AI48" s="13">
        <f>_xll.BDH("XOM US Equity","CF_NET_CASH_DISCONTINUED_OPS_FIN","FQ3 2016","FQ3 2016","Currency=USD","Period=FQ","BEST_FPERIOD_OVERRIDE=FQ","FILING_STATUS=OR","SCALING_FORMAT=MLN","Sort=A","Dates=H","DateFormat=P","Fill=—","Direction=H","UseDPDF=Y")</f>
        <v>0</v>
      </c>
      <c r="AJ48" s="13">
        <f>_xll.BDH("XOM US Equity","CF_NET_CASH_DISCONTINUED_OPS_FIN","FQ4 2016","FQ4 2016","Currency=USD","Period=FQ","BEST_FPERIOD_OVERRIDE=FQ","FILING_STATUS=OR","SCALING_FORMAT=MLN","Sort=A","Dates=H","DateFormat=P","Fill=—","Direction=H","UseDPDF=Y")</f>
        <v>0</v>
      </c>
      <c r="AK48" s="13">
        <f>_xll.BDH("XOM US Equity","CF_NET_CASH_DISCONTINUED_OPS_FIN","FQ1 2017","FQ1 2017","Currency=USD","Period=FQ","BEST_FPERIOD_OVERRIDE=FQ","FILING_STATUS=OR","SCALING_FORMAT=MLN","Sort=A","Dates=H","DateFormat=P","Fill=—","Direction=H","UseDPDF=Y")</f>
        <v>0</v>
      </c>
      <c r="AL48" s="13">
        <f>_xll.BDH("XOM US Equity","CF_NET_CASH_DISCONTINUED_OPS_FIN","FQ2 2017","FQ2 2017","Currency=USD","Period=FQ","BEST_FPERIOD_OVERRIDE=FQ","FILING_STATUS=OR","SCALING_FORMAT=MLN","Sort=A","Dates=H","DateFormat=P","Fill=—","Direction=H","UseDPDF=Y")</f>
        <v>0</v>
      </c>
      <c r="AM48" s="13">
        <f>_xll.BDH("XOM US Equity","CF_NET_CASH_DISCONTINUED_OPS_FIN","FQ3 2017","FQ3 2017","Currency=USD","Period=FQ","BEST_FPERIOD_OVERRIDE=FQ","FILING_STATUS=OR","SCALING_FORMAT=MLN","Sort=A","Dates=H","DateFormat=P","Fill=—","Direction=H","UseDPDF=Y")</f>
        <v>0</v>
      </c>
      <c r="AN48" s="13">
        <f>_xll.BDH("XOM US Equity","CF_NET_CASH_DISCONTINUED_OPS_FIN","FQ4 2017","FQ4 2017","Currency=USD","Period=FQ","BEST_FPERIOD_OVERRIDE=FQ","FILING_STATUS=OR","SCALING_FORMAT=MLN","Sort=A","Dates=H","DateFormat=P","Fill=—","Direction=H","UseDPDF=Y")</f>
        <v>0</v>
      </c>
      <c r="AO48" s="13">
        <f>_xll.BDH("XOM US Equity","CF_NET_CASH_DISCONTINUED_OPS_FIN","FQ1 2018","FQ1 2018","Currency=USD","Period=FQ","BEST_FPERIOD_OVERRIDE=FQ","FILING_STATUS=OR","SCALING_FORMAT=MLN","Sort=A","Dates=H","DateFormat=P","Fill=—","Direction=H","UseDPDF=Y")</f>
        <v>0</v>
      </c>
      <c r="AP48" s="13">
        <f>_xll.BDH("XOM US Equity","CF_NET_CASH_DISCONTINUED_OPS_FIN","FQ2 2018","FQ2 2018","Currency=USD","Period=FQ","BEST_FPERIOD_OVERRIDE=FQ","FILING_STATUS=OR","SCALING_FORMAT=MLN","Sort=A","Dates=H","DateFormat=P","Fill=—","Direction=H","UseDPDF=Y")</f>
        <v>0</v>
      </c>
    </row>
    <row r="49" spans="1:42" x14ac:dyDescent="0.25">
      <c r="A49" s="6" t="s">
        <v>416</v>
      </c>
      <c r="B49" s="6" t="s">
        <v>436</v>
      </c>
      <c r="C49" s="16">
        <f>_xll.BDH("XOM US Equity","CFF_ACTIVITIES_DETAILED","FQ3 2008","FQ3 2008","Currency=USD","Period=FQ","BEST_FPERIOD_OVERRIDE=FQ","FILING_STATUS=OR","SCALING_FORMAT=MLN","Sort=A","Dates=H","DateFormat=P","Fill=—","Direction=H","UseDPDF=Y")</f>
        <v>-12593</v>
      </c>
      <c r="D49" s="16">
        <f>_xll.BDH("XOM US Equity","CFF_ACTIVITIES_DETAILED","FQ4 2008","FQ4 2008","Currency=USD","Period=FQ","BEST_FPERIOD_OVERRIDE=FQ","FILING_STATUS=OR","SCALING_FORMAT=MLN","Sort=A","Dates=H","DateFormat=P","Fill=—","Direction=H","UseDPDF=Y")</f>
        <v>-13094</v>
      </c>
      <c r="E49" s="16">
        <f>_xll.BDH("XOM US Equity","CFF_ACTIVITIES_DETAILED","FQ1 2009","FQ1 2009","Currency=USD","Period=FQ","BEST_FPERIOD_OVERRIDE=FQ","FILING_STATUS=OR","SCALING_FORMAT=MLN","Sort=A","Dates=H","DateFormat=P","Fill=—","Direction=H","UseDPDF=Y")</f>
        <v>-10105</v>
      </c>
      <c r="F49" s="16">
        <f>_xll.BDH("XOM US Equity","CFF_ACTIVITIES_DETAILED","FQ2 2009","FQ2 2009","Currency=USD","Period=FQ","BEST_FPERIOD_OVERRIDE=FQ","FILING_STATUS=OR","SCALING_FORMAT=MLN","Sort=A","Dates=H","DateFormat=P","Fill=—","Direction=H","UseDPDF=Y")</f>
        <v>-7255</v>
      </c>
      <c r="G49" s="16">
        <f>_xll.BDH("XOM US Equity","CFF_ACTIVITIES_DETAILED","FQ3 2009","FQ3 2009","Currency=USD","Period=FQ","BEST_FPERIOD_OVERRIDE=FQ","FILING_STATUS=OR","SCALING_FORMAT=MLN","Sort=A","Dates=H","DateFormat=P","Fill=—","Direction=H","UseDPDF=Y")</f>
        <v>-6028</v>
      </c>
      <c r="H49" s="16">
        <f>_xll.BDH("XOM US Equity","CFF_ACTIVITIES_DETAILED","FQ4 2009","FQ4 2009","Currency=USD","Period=FQ","BEST_FPERIOD_OVERRIDE=FQ","FILING_STATUS=OR","SCALING_FORMAT=MLN","Sort=A","Dates=H","DateFormat=P","Fill=—","Direction=H","UseDPDF=Y")</f>
        <v>-3895</v>
      </c>
      <c r="I49" s="16">
        <f>_xll.BDH("XOM US Equity","CFF_ACTIVITIES_DETAILED","FQ1 2010","FQ1 2010","Currency=USD","Period=FQ","BEST_FPERIOD_OVERRIDE=FQ","FILING_STATUS=OR","SCALING_FORMAT=MLN","Sort=A","Dates=H","DateFormat=P","Fill=—","Direction=H","UseDPDF=Y")</f>
        <v>-4620</v>
      </c>
      <c r="J49" s="16">
        <f>_xll.BDH("XOM US Equity","CFF_ACTIVITIES_DETAILED","FQ2 2010","FQ2 2010","Currency=USD","Period=FQ","BEST_FPERIOD_OVERRIDE=FQ","FILING_STATUS=OR","SCALING_FORMAT=MLN","Sort=A","Dates=H","DateFormat=P","Fill=—","Direction=H","UseDPDF=Y")</f>
        <v>-4177</v>
      </c>
      <c r="K49" s="16">
        <f>_xll.BDH("XOM US Equity","CFF_ACTIVITIES_DETAILED","FQ3 2010","FQ3 2010","Currency=USD","Period=FQ","BEST_FPERIOD_OVERRIDE=FQ","FILING_STATUS=OR","SCALING_FORMAT=MLN","Sort=A","Dates=H","DateFormat=P","Fill=—","Direction=H","UseDPDF=Y")</f>
        <v>-7697</v>
      </c>
      <c r="L49" s="16">
        <f>_xll.BDH("XOM US Equity","CFF_ACTIVITIES_DETAILED","FQ4 2010","FQ4 2010","Currency=USD","Period=FQ","BEST_FPERIOD_OVERRIDE=FQ","FILING_STATUS=OR","SCALING_FORMAT=MLN","Sort=A","Dates=H","DateFormat=P","Fill=—","Direction=H","UseDPDF=Y")</f>
        <v>-10430</v>
      </c>
      <c r="M49" s="16">
        <f>_xll.BDH("XOM US Equity","CFF_ACTIVITIES_DETAILED","FQ1 2011","FQ1 2011","Currency=USD","Period=FQ","BEST_FPERIOD_OVERRIDE=FQ","FILING_STATUS=OR","SCALING_FORMAT=MLN","Sort=A","Dates=H","DateFormat=P","Fill=—","Direction=H","UseDPDF=Y")</f>
        <v>-6749</v>
      </c>
      <c r="N49" s="16">
        <f>_xll.BDH("XOM US Equity","CFF_ACTIVITIES_DETAILED","FQ2 2011","FQ2 2011","Currency=USD","Period=FQ","BEST_FPERIOD_OVERRIDE=FQ","FILING_STATUS=OR","SCALING_FORMAT=MLN","Sort=A","Dates=H","DateFormat=P","Fill=—","Direction=H","UseDPDF=Y")</f>
        <v>-7065</v>
      </c>
      <c r="O49" s="16">
        <f>_xll.BDH("XOM US Equity","CFF_ACTIVITIES_DETAILED","FQ3 2011","FQ3 2011","Currency=USD","Period=FQ","BEST_FPERIOD_OVERRIDE=FQ","FILING_STATUS=OR","SCALING_FORMAT=MLN","Sort=A","Dates=H","DateFormat=P","Fill=—","Direction=H","UseDPDF=Y")</f>
        <v>-7397</v>
      </c>
      <c r="P49" s="16">
        <f>_xll.BDH("XOM US Equity","CFF_ACTIVITIES_DETAILED","FQ4 2011","FQ4 2011","Currency=USD","Period=FQ","BEST_FPERIOD_OVERRIDE=FQ","FILING_STATUS=OR","SCALING_FORMAT=MLN","Sort=A","Dates=H","DateFormat=P","Fill=—","Direction=H","UseDPDF=Y")</f>
        <v>-7045</v>
      </c>
      <c r="Q49" s="16">
        <f>_xll.BDH("XOM US Equity","CFF_ACTIVITIES_DETAILED","FQ1 2012","FQ1 2012","Currency=USD","Period=FQ","BEST_FPERIOD_OVERRIDE=FQ","FILING_STATUS=OR","SCALING_FORMAT=MLN","Sort=A","Dates=H","DateFormat=P","Fill=—","Direction=H","UseDPDF=Y")</f>
        <v>-8130</v>
      </c>
      <c r="R49" s="16">
        <f>_xll.BDH("XOM US Equity","CFF_ACTIVITIES_DETAILED","FQ2 2012","FQ2 2012","Currency=USD","Period=FQ","BEST_FPERIOD_OVERRIDE=FQ","FILING_STATUS=OR","SCALING_FORMAT=MLN","Sort=A","Dates=H","DateFormat=P","Fill=—","Direction=H","UseDPDF=Y")</f>
        <v>-7153</v>
      </c>
      <c r="S49" s="16">
        <f>_xll.BDH("XOM US Equity","CFF_ACTIVITIES_DETAILED","FQ3 2012","FQ3 2012","Currency=USD","Period=FQ","BEST_FPERIOD_OVERRIDE=FQ","FILING_STATUS=OR","SCALING_FORMAT=MLN","Sort=A","Dates=H","DateFormat=P","Fill=—","Direction=H","UseDPDF=Y")</f>
        <v>-10860</v>
      </c>
      <c r="T49" s="16">
        <f>_xll.BDH("XOM US Equity","CFF_ACTIVITIES_DETAILED","FQ4 2012","FQ4 2012","Currency=USD","Period=FQ","BEST_FPERIOD_OVERRIDE=FQ","FILING_STATUS=OR","SCALING_FORMAT=MLN","Sort=A","Dates=H","DateFormat=P","Fill=—","Direction=H","UseDPDF=Y")</f>
        <v>-7725</v>
      </c>
      <c r="U49" s="16">
        <f>_xll.BDH("XOM US Equity","CFF_ACTIVITIES_DETAILED","FQ1 2013","FQ1 2013","Currency=USD","Period=FQ","BEST_FPERIOD_OVERRIDE=FQ","FILING_STATUS=OR","SCALING_FORMAT=MLN","Sort=A","Dates=H","DateFormat=P","Fill=—","Direction=H","UseDPDF=Y")</f>
        <v>-6694</v>
      </c>
      <c r="V49" s="16">
        <f>_xll.BDH("XOM US Equity","CFF_ACTIVITIES_DETAILED","FQ2 2013","FQ2 2013","Currency=USD","Period=FQ","BEST_FPERIOD_OVERRIDE=FQ","FILING_STATUS=OR","SCALING_FORMAT=MLN","Sort=A","Dates=H","DateFormat=P","Fill=—","Direction=H","UseDPDF=Y")</f>
        <v>-715</v>
      </c>
      <c r="W49" s="16">
        <f>_xll.BDH("XOM US Equity","CFF_ACTIVITIES_DETAILED","FQ3 2013","FQ3 2013","Currency=USD","Period=FQ","BEST_FPERIOD_OVERRIDE=FQ","FILING_STATUS=OR","SCALING_FORMAT=MLN","Sort=A","Dates=H","DateFormat=P","Fill=—","Direction=H","UseDPDF=Y")</f>
        <v>-3889</v>
      </c>
      <c r="X49" s="16">
        <f>_xll.BDH("XOM US Equity","CFF_ACTIVITIES_DETAILED","FQ4 2013","FQ4 2013","Currency=USD","Period=FQ","BEST_FPERIOD_OVERRIDE=FQ","FILING_STATUS=OR","SCALING_FORMAT=MLN","Sort=A","Dates=H","DateFormat=P","Fill=—","Direction=H","UseDPDF=Y")</f>
        <v>-4178</v>
      </c>
      <c r="Y49" s="16">
        <f>_xll.BDH("XOM US Equity","CFF_ACTIVITIES_DETAILED","FQ1 2014","FQ1 2014","Currency=USD","Period=FQ","BEST_FPERIOD_OVERRIDE=FQ","FILING_STATUS=OR","SCALING_FORMAT=MLN","Sort=A","Dates=H","DateFormat=P","Fill=—","Direction=H","UseDPDF=Y")</f>
        <v>-7816</v>
      </c>
      <c r="Z49" s="16">
        <f>_xll.BDH("XOM US Equity","CFF_ACTIVITIES_DETAILED","FQ2 2014","FQ2 2014","Currency=USD","Period=FQ","BEST_FPERIOD_OVERRIDE=FQ","FILING_STATUS=OR","SCALING_FORMAT=MLN","Sort=A","Dates=H","DateFormat=P","Fill=—","Direction=H","UseDPDF=Y")</f>
        <v>-5596</v>
      </c>
      <c r="AA49" s="16">
        <f>_xll.BDH("XOM US Equity","CFF_ACTIVITIES_DETAILED","FQ3 2014","FQ3 2014","Currency=USD","Period=FQ","BEST_FPERIOD_OVERRIDE=FQ","FILING_STATUS=OR","SCALING_FORMAT=MLN","Sort=A","Dates=H","DateFormat=P","Fill=—","Direction=H","UseDPDF=Y")</f>
        <v>-5673</v>
      </c>
      <c r="AB49" s="16">
        <f>_xll.BDH("XOM US Equity","CFF_ACTIVITIES_DETAILED","FQ4 2014","FQ4 2014","Currency=USD","Period=FQ","BEST_FPERIOD_OVERRIDE=FQ","FILING_STATUS=OR","SCALING_FORMAT=MLN","Sort=A","Dates=H","DateFormat=P","Fill=—","Direction=H","UseDPDF=Y")</f>
        <v>1197</v>
      </c>
      <c r="AC49" s="16">
        <f>_xll.BDH("XOM US Equity","CFF_ACTIVITIES_DETAILED","FQ1 2015","FQ1 2015","Currency=USD","Period=FQ","BEST_FPERIOD_OVERRIDE=FQ","FILING_STATUS=OR","SCALING_FORMAT=MLN","Sort=A","Dates=H","DateFormat=P","Fill=—","Direction=H","UseDPDF=Y")</f>
        <v>-854</v>
      </c>
      <c r="AD49" s="16">
        <f>_xll.BDH("XOM US Equity","CFF_ACTIVITIES_DETAILED","FQ2 2015","FQ2 2015","Currency=USD","Period=FQ","BEST_FPERIOD_OVERRIDE=FQ","FILING_STATUS=OR","SCALING_FORMAT=MLN","Sort=A","Dates=H","DateFormat=P","Fill=—","Direction=H","UseDPDF=Y")</f>
        <v>-3194</v>
      </c>
      <c r="AE49" s="16">
        <f>_xll.BDH("XOM US Equity","CFF_ACTIVITIES_DETAILED","FQ3 2015","FQ3 2015","Currency=USD","Period=FQ","BEST_FPERIOD_OVERRIDE=FQ","FILING_STATUS=OR","SCALING_FORMAT=MLN","Sort=A","Dates=H","DateFormat=P","Fill=—","Direction=H","UseDPDF=Y")</f>
        <v>-3402</v>
      </c>
      <c r="AF49" s="16">
        <f>_xll.BDH("XOM US Equity","CFF_ACTIVITIES_DETAILED","FQ4 2015","FQ4 2015","Currency=USD","Period=FQ","BEST_FPERIOD_OVERRIDE=FQ","FILING_STATUS=OR","SCALING_FORMAT=MLN","Sort=A","Dates=H","DateFormat=P","Fill=—","Direction=H","UseDPDF=Y")</f>
        <v>413</v>
      </c>
      <c r="AG49" s="16">
        <f>_xll.BDH("XOM US Equity","CFF_ACTIVITIES_DETAILED","FQ1 2016","FQ1 2016","Currency=USD","Period=FQ","BEST_FPERIOD_OVERRIDE=FQ","FILING_STATUS=OR","SCALING_FORMAT=MLN","Sort=A","Dates=H","DateFormat=P","Fill=—","Direction=H","UseDPDF=Y")</f>
        <v>524</v>
      </c>
      <c r="AH49" s="16">
        <f>_xll.BDH("XOM US Equity","CFF_ACTIVITIES_DETAILED","FQ2 2016","FQ2 2016","Currency=USD","Period=FQ","BEST_FPERIOD_OVERRIDE=FQ","FILING_STATUS=OR","SCALING_FORMAT=MLN","Sort=A","Dates=H","DateFormat=P","Fill=—","Direction=H","UseDPDF=Y")</f>
        <v>-1775</v>
      </c>
      <c r="AI49" s="16">
        <f>_xll.BDH("XOM US Equity","CFF_ACTIVITIES_DETAILED","FQ3 2016","FQ3 2016","Currency=USD","Period=FQ","BEST_FPERIOD_OVERRIDE=FQ","FILING_STATUS=OR","SCALING_FORMAT=MLN","Sort=A","Dates=H","DateFormat=P","Fill=—","Direction=H","UseDPDF=Y")</f>
        <v>-1296</v>
      </c>
      <c r="AJ49" s="16">
        <f>_xll.BDH("XOM US Equity","CFF_ACTIVITIES_DETAILED","FQ4 2016","FQ4 2016","Currency=USD","Period=FQ","BEST_FPERIOD_OVERRIDE=FQ","FILING_STATUS=OR","SCALING_FORMAT=MLN","Sort=A","Dates=H","DateFormat=P","Fill=—","Direction=H","UseDPDF=Y")</f>
        <v>-6746</v>
      </c>
      <c r="AK49" s="16">
        <f>_xll.BDH("XOM US Equity","CFF_ACTIVITIES_DETAILED","FQ1 2017","FQ1 2017","Currency=USD","Period=FQ","BEST_FPERIOD_OVERRIDE=FQ","FILING_STATUS=OR","SCALING_FORMAT=MLN","Sort=A","Dates=H","DateFormat=P","Fill=—","Direction=H","UseDPDF=Y")</f>
        <v>-3246</v>
      </c>
      <c r="AL49" s="16">
        <f>_xll.BDH("XOM US Equity","CFF_ACTIVITIES_DETAILED","FQ2 2017","FQ2 2017","Currency=USD","Period=FQ","BEST_FPERIOD_OVERRIDE=FQ","FILING_STATUS=OR","SCALING_FORMAT=MLN","Sort=A","Dates=H","DateFormat=P","Fill=—","Direction=H","UseDPDF=Y")</f>
        <v>-5059</v>
      </c>
      <c r="AM49" s="16">
        <f>_xll.BDH("XOM US Equity","CFF_ACTIVITIES_DETAILED","FQ3 2017","FQ3 2017","Currency=USD","Period=FQ","BEST_FPERIOD_OVERRIDE=FQ","FILING_STATUS=OR","SCALING_FORMAT=MLN","Sort=A","Dates=H","DateFormat=P","Fill=—","Direction=H","UseDPDF=Y")</f>
        <v>-4988</v>
      </c>
      <c r="AN49" s="16">
        <f>_xll.BDH("XOM US Equity","CFF_ACTIVITIES_DETAILED","FQ4 2017","FQ4 2017","Currency=USD","Period=FQ","BEST_FPERIOD_OVERRIDE=FQ","FILING_STATUS=OR","SCALING_FORMAT=MLN","Sort=A","Dates=H","DateFormat=P","Fill=—","Direction=H","UseDPDF=Y")</f>
        <v>-1837</v>
      </c>
      <c r="AO49" s="16">
        <f>_xll.BDH("XOM US Equity","CFF_ACTIVITIES_DETAILED","FQ1 2018","FQ1 2018","Currency=USD","Period=FQ","BEST_FPERIOD_OVERRIDE=FQ","FILING_STATUS=OR","SCALING_FORMAT=MLN","Sort=A","Dates=H","DateFormat=P","Fill=—","Direction=H","UseDPDF=Y")</f>
        <v>-5742</v>
      </c>
      <c r="AP49" s="16">
        <f>_xll.BDH("XOM US Equity","CFF_ACTIVITIES_DETAILED","FQ2 2018","FQ2 2018","Currency=USD","Period=FQ","BEST_FPERIOD_OVERRIDE=FQ","FILING_STATUS=OR","SCALING_FORMAT=MLN","Sort=A","Dates=H","DateFormat=P","Fill=—","Direction=H","UseDPDF=Y")</f>
        <v>-3244</v>
      </c>
    </row>
    <row r="50" spans="1:42" x14ac:dyDescent="0.25">
      <c r="A50" s="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1:42" x14ac:dyDescent="0.25">
      <c r="A51" s="10" t="s">
        <v>437</v>
      </c>
      <c r="B51" s="10" t="s">
        <v>438</v>
      </c>
      <c r="C51" s="13" t="str">
        <f>_xll.BDH("XOM US Equity","CF_EFFECT_FOREIGN_EXCHANGES","FQ3 2008","FQ3 2008","Currency=USD","Period=FQ","BEST_FPERIOD_OVERRIDE=FQ","FILING_STATUS=OR","SCALING_FORMAT=MLN","Sort=A","Dates=H","DateFormat=P","Fill=—","Direction=H","UseDPDF=Y")</f>
        <v>—</v>
      </c>
      <c r="D51" s="13" t="str">
        <f>_xll.BDH("XOM US Equity","CF_EFFECT_FOREIGN_EXCHANGES","FQ4 2008","FQ4 2008","Currency=USD","Period=FQ","BEST_FPERIOD_OVERRIDE=FQ","FILING_STATUS=OR","SCALING_FORMAT=MLN","Sort=A","Dates=H","DateFormat=P","Fill=—","Direction=H","UseDPDF=Y")</f>
        <v>—</v>
      </c>
      <c r="E51" s="13">
        <f>_xll.BDH("XOM US Equity","CF_EFFECT_FOREIGN_EXCHANGES","FQ1 2009","FQ1 2009","Currency=USD","Period=FQ","BEST_FPERIOD_OVERRIDE=FQ","FILING_STATUS=OR","SCALING_FORMAT=MLN","Sort=A","Dates=H","DateFormat=P","Fill=—","Direction=H","UseDPDF=Y")</f>
        <v>-530</v>
      </c>
      <c r="F51" s="13">
        <f>_xll.BDH("XOM US Equity","CF_EFFECT_FOREIGN_EXCHANGES","FQ2 2009","FQ2 2009","Currency=USD","Period=FQ","BEST_FPERIOD_OVERRIDE=FQ","FILING_STATUS=OR","SCALING_FORMAT=MLN","Sort=A","Dates=H","DateFormat=P","Fill=—","Direction=H","UseDPDF=Y")</f>
        <v>635</v>
      </c>
      <c r="G51" s="13">
        <f>_xll.BDH("XOM US Equity","CF_EFFECT_FOREIGN_EXCHANGES","FQ3 2009","FQ3 2009","Currency=USD","Period=FQ","BEST_FPERIOD_OVERRIDE=FQ","FILING_STATUS=OR","SCALING_FORMAT=MLN","Sort=A","Dates=H","DateFormat=P","Fill=—","Direction=H","UseDPDF=Y")</f>
        <v>381</v>
      </c>
      <c r="H51" s="13">
        <f>_xll.BDH("XOM US Equity","CF_EFFECT_FOREIGN_EXCHANGES","FQ4 2009","FQ4 2009","Currency=USD","Period=FQ","BEST_FPERIOD_OVERRIDE=FQ","FILING_STATUS=OR","SCALING_FORMAT=MLN","Sort=A","Dates=H","DateFormat=P","Fill=—","Direction=H","UseDPDF=Y")</f>
        <v>34</v>
      </c>
      <c r="I51" s="13">
        <f>_xll.BDH("XOM US Equity","CF_EFFECT_FOREIGN_EXCHANGES","FQ1 2010","FQ1 2010","Currency=USD","Period=FQ","BEST_FPERIOD_OVERRIDE=FQ","FILING_STATUS=OR","SCALING_FORMAT=MLN","Sort=A","Dates=H","DateFormat=P","Fill=—","Direction=H","UseDPDF=Y")</f>
        <v>-210</v>
      </c>
      <c r="J51" s="13">
        <f>_xll.BDH("XOM US Equity","CF_EFFECT_FOREIGN_EXCHANGES","FQ2 2010","FQ2 2010","Currency=USD","Period=FQ","BEST_FPERIOD_OVERRIDE=FQ","FILING_STATUS=OR","SCALING_FORMAT=MLN","Sort=A","Dates=H","DateFormat=P","Fill=—","Direction=H","UseDPDF=Y")</f>
        <v>-470</v>
      </c>
      <c r="K51" s="13">
        <f>_xll.BDH("XOM US Equity","CF_EFFECT_FOREIGN_EXCHANGES","FQ3 2010","FQ3 2010","Currency=USD","Period=FQ","BEST_FPERIOD_OVERRIDE=FQ","FILING_STATUS=OR","SCALING_FORMAT=MLN","Sort=A","Dates=H","DateFormat=P","Fill=—","Direction=H","UseDPDF=Y")</f>
        <v>491</v>
      </c>
      <c r="L51" s="13">
        <f>_xll.BDH("XOM US Equity","CF_EFFECT_FOREIGN_EXCHANGES","FQ4 2010","FQ4 2010","Currency=USD","Period=FQ","BEST_FPERIOD_OVERRIDE=FQ","FILING_STATUS=OR","SCALING_FORMAT=MLN","Sort=A","Dates=H","DateFormat=P","Fill=—","Direction=H","UseDPDF=Y")</f>
        <v>36</v>
      </c>
      <c r="M51" s="13">
        <f>_xll.BDH("XOM US Equity","CF_EFFECT_FOREIGN_EXCHANGES","FQ1 2011","FQ1 2011","Currency=USD","Period=FQ","BEST_FPERIOD_OVERRIDE=FQ","FILING_STATUS=OR","SCALING_FORMAT=MLN","Sort=A","Dates=H","DateFormat=P","Fill=—","Direction=H","UseDPDF=Y")</f>
        <v>254</v>
      </c>
      <c r="N51" s="13">
        <f>_xll.BDH("XOM US Equity","CF_EFFECT_FOREIGN_EXCHANGES","FQ2 2011","FQ2 2011","Currency=USD","Period=FQ","BEST_FPERIOD_OVERRIDE=FQ","FILING_STATUS=OR","SCALING_FORMAT=MLN","Sort=A","Dates=H","DateFormat=P","Fill=—","Direction=H","UseDPDF=Y")</f>
        <v>134</v>
      </c>
      <c r="O51" s="13">
        <f>_xll.BDH("XOM US Equity","CF_EFFECT_FOREIGN_EXCHANGES","FQ3 2011","FQ3 2011","Currency=USD","Period=FQ","BEST_FPERIOD_OVERRIDE=FQ","FILING_STATUS=OR","SCALING_FORMAT=MLN","Sort=A","Dates=H","DateFormat=P","Fill=—","Direction=H","UseDPDF=Y")</f>
        <v>-421</v>
      </c>
      <c r="P51" s="13">
        <f>_xll.BDH("XOM US Equity","CF_EFFECT_FOREIGN_EXCHANGES","FQ4 2011","FQ4 2011","Currency=USD","Period=FQ","BEST_FPERIOD_OVERRIDE=FQ","FILING_STATUS=OR","SCALING_FORMAT=MLN","Sort=A","Dates=H","DateFormat=P","Fill=—","Direction=H","UseDPDF=Y")</f>
        <v>-52</v>
      </c>
      <c r="Q51" s="13">
        <f>_xll.BDH("XOM US Equity","CF_EFFECT_FOREIGN_EXCHANGES","FQ1 2012","FQ1 2012","Currency=USD","Period=FQ","BEST_FPERIOD_OVERRIDE=FQ","FILING_STATUS=OR","SCALING_FORMAT=MLN","Sort=A","Dates=H","DateFormat=P","Fill=—","Direction=H","UseDPDF=Y")</f>
        <v>200</v>
      </c>
      <c r="R51" s="13">
        <f>_xll.BDH("XOM US Equity","CF_EFFECT_FOREIGN_EXCHANGES","FQ2 2012","FQ2 2012","Currency=USD","Period=FQ","BEST_FPERIOD_OVERRIDE=FQ","FILING_STATUS=OR","SCALING_FORMAT=MLN","Sort=A","Dates=H","DateFormat=P","Fill=—","Direction=H","UseDPDF=Y")</f>
        <v>-176</v>
      </c>
      <c r="S51" s="13">
        <f>_xll.BDH("XOM US Equity","CF_EFFECT_FOREIGN_EXCHANGES","FQ3 2012","FQ3 2012","Currency=USD","Period=FQ","BEST_FPERIOD_OVERRIDE=FQ","FILING_STATUS=OR","SCALING_FORMAT=MLN","Sort=A","Dates=H","DateFormat=P","Fill=—","Direction=H","UseDPDF=Y")</f>
        <v>163</v>
      </c>
      <c r="T51" s="13">
        <f>_xll.BDH("XOM US Equity","CF_EFFECT_FOREIGN_EXCHANGES","FQ4 2012","FQ4 2012","Currency=USD","Period=FQ","BEST_FPERIOD_OVERRIDE=FQ","FILING_STATUS=OR","SCALING_FORMAT=MLN","Sort=A","Dates=H","DateFormat=P","Fill=—","Direction=H","UseDPDF=Y")</f>
        <v>30</v>
      </c>
      <c r="U51" s="13">
        <f>_xll.BDH("XOM US Equity","CF_EFFECT_FOREIGN_EXCHANGES","FQ1 2013","FQ1 2013","Currency=USD","Period=FQ","BEST_FPERIOD_OVERRIDE=FQ","FILING_STATUS=OR","SCALING_FORMAT=MLN","Sort=A","Dates=H","DateFormat=P","Fill=—","Direction=H","UseDPDF=Y")</f>
        <v>-212</v>
      </c>
      <c r="V51" s="13">
        <f>_xll.BDH("XOM US Equity","CF_EFFECT_FOREIGN_EXCHANGES","FQ2 2013","FQ2 2013","Currency=USD","Period=FQ","BEST_FPERIOD_OVERRIDE=FQ","FILING_STATUS=OR","SCALING_FORMAT=MLN","Sort=A","Dates=H","DateFormat=P","Fill=—","Direction=H","UseDPDF=Y")</f>
        <v>-80</v>
      </c>
      <c r="W51" s="13">
        <f>_xll.BDH("XOM US Equity","CF_EFFECT_FOREIGN_EXCHANGES","FQ3 2013","FQ3 2013","Currency=USD","Period=FQ","BEST_FPERIOD_OVERRIDE=FQ","FILING_STATUS=OR","SCALING_FORMAT=MLN","Sort=A","Dates=H","DateFormat=P","Fill=—","Direction=H","UseDPDF=Y")</f>
        <v>101</v>
      </c>
      <c r="X51" s="13">
        <f>_xll.BDH("XOM US Equity","CF_EFFECT_FOREIGN_EXCHANGES","FQ4 2013","FQ4 2013","Currency=USD","Period=FQ","BEST_FPERIOD_OVERRIDE=FQ","FILING_STATUS=OR","SCALING_FORMAT=MLN","Sort=A","Dates=H","DateFormat=P","Fill=—","Direction=H","UseDPDF=Y")</f>
        <v>16</v>
      </c>
      <c r="Y51" s="13">
        <f>_xll.BDH("XOM US Equity","CF_EFFECT_FOREIGN_EXCHANGES","FQ1 2014","FQ1 2014","Currency=USD","Period=FQ","BEST_FPERIOD_OVERRIDE=FQ","FILING_STATUS=OR","SCALING_FORMAT=MLN","Sort=A","Dates=H","DateFormat=P","Fill=—","Direction=H","UseDPDF=Y")</f>
        <v>-24</v>
      </c>
      <c r="Z51" s="13">
        <f>_xll.BDH("XOM US Equity","CF_EFFECT_FOREIGN_EXCHANGES","FQ2 2014","FQ2 2014","Currency=USD","Period=FQ","BEST_FPERIOD_OVERRIDE=FQ","FILING_STATUS=OR","SCALING_FORMAT=MLN","Sort=A","Dates=H","DateFormat=P","Fill=—","Direction=H","UseDPDF=Y")</f>
        <v>53</v>
      </c>
      <c r="AA51" s="13">
        <f>_xll.BDH("XOM US Equity","CF_EFFECT_FOREIGN_EXCHANGES","FQ3 2014","FQ3 2014","Currency=USD","Period=FQ","BEST_FPERIOD_OVERRIDE=FQ","FILING_STATUS=OR","SCALING_FORMAT=MLN","Sort=A","Dates=H","DateFormat=P","Fill=—","Direction=H","UseDPDF=Y")</f>
        <v>-199</v>
      </c>
      <c r="AB51" s="13">
        <f>_xll.BDH("XOM US Equity","CF_EFFECT_FOREIGN_EXCHANGES","FQ4 2014","FQ4 2014","Currency=USD","Period=FQ","BEST_FPERIOD_OVERRIDE=FQ","FILING_STATUS=OR","SCALING_FORMAT=MLN","Sort=A","Dates=H","DateFormat=P","Fill=—","Direction=H","UseDPDF=Y")</f>
        <v>-111</v>
      </c>
      <c r="AC51" s="13">
        <f>_xll.BDH("XOM US Equity","CF_EFFECT_FOREIGN_EXCHANGES","FQ1 2015","FQ1 2015","Currency=USD","Period=FQ","BEST_FPERIOD_OVERRIDE=FQ","FILING_STATUS=OR","SCALING_FORMAT=MLN","Sort=A","Dates=H","DateFormat=P","Fill=—","Direction=H","UseDPDF=Y")</f>
        <v>-224</v>
      </c>
      <c r="AD51" s="13">
        <f>_xll.BDH("XOM US Equity","CF_EFFECT_FOREIGN_EXCHANGES","FQ2 2015","FQ2 2015","Currency=USD","Period=FQ","BEST_FPERIOD_OVERRIDE=FQ","FILING_STATUS=OR","SCALING_FORMAT=MLN","Sort=A","Dates=H","DateFormat=P","Fill=—","Direction=H","UseDPDF=Y")</f>
        <v>52</v>
      </c>
      <c r="AE51" s="13">
        <f>_xll.BDH("XOM US Equity","CF_EFFECT_FOREIGN_EXCHANGES","FQ3 2015","FQ3 2015","Currency=USD","Period=FQ","BEST_FPERIOD_OVERRIDE=FQ","FILING_STATUS=OR","SCALING_FORMAT=MLN","Sort=A","Dates=H","DateFormat=P","Fill=—","Direction=H","UseDPDF=Y")</f>
        <v>-162</v>
      </c>
      <c r="AF51" s="13">
        <f>_xll.BDH("XOM US Equity","CF_EFFECT_FOREIGN_EXCHANGES","FQ4 2015","FQ4 2015","Currency=USD","Period=FQ","BEST_FPERIOD_OVERRIDE=FQ","FILING_STATUS=OR","SCALING_FORMAT=MLN","Sort=A","Dates=H","DateFormat=P","Fill=—","Direction=H","UseDPDF=Y")</f>
        <v>-60</v>
      </c>
      <c r="AG51" s="13">
        <f>_xll.BDH("XOM US Equity","CF_EFFECT_FOREIGN_EXCHANGES","FQ1 2016","FQ1 2016","Currency=USD","Period=FQ","BEST_FPERIOD_OVERRIDE=FQ","FILING_STATUS=OR","SCALING_FORMAT=MLN","Sort=A","Dates=H","DateFormat=P","Fill=—","Direction=H","UseDPDF=Y")</f>
        <v>154</v>
      </c>
      <c r="AH51" s="13">
        <f>_xll.BDH("XOM US Equity","CF_EFFECT_FOREIGN_EXCHANGES","FQ2 2016","FQ2 2016","Currency=USD","Period=FQ","BEST_FPERIOD_OVERRIDE=FQ","FILING_STATUS=OR","SCALING_FORMAT=MLN","Sort=A","Dates=H","DateFormat=P","Fill=—","Direction=H","UseDPDF=Y")</f>
        <v>-85</v>
      </c>
      <c r="AI51" s="13">
        <f>_xll.BDH("XOM US Equity","CF_EFFECT_FOREIGN_EXCHANGES","FQ3 2016","FQ3 2016","Currency=USD","Period=FQ","BEST_FPERIOD_OVERRIDE=FQ","FILING_STATUS=OR","SCALING_FORMAT=MLN","Sort=A","Dates=H","DateFormat=P","Fill=—","Direction=H","UseDPDF=Y")</f>
        <v>-89</v>
      </c>
      <c r="AJ51" s="13">
        <f>_xll.BDH("XOM US Equity","CF_EFFECT_FOREIGN_EXCHANGES","FQ4 2016","FQ4 2016","Currency=USD","Period=FQ","BEST_FPERIOD_OVERRIDE=FQ","FILING_STATUS=OR","SCALING_FORMAT=MLN","Sort=A","Dates=H","DateFormat=P","Fill=—","Direction=H","UseDPDF=Y")</f>
        <v>-414</v>
      </c>
      <c r="AK51" s="13">
        <f>_xll.BDH("XOM US Equity","CF_EFFECT_FOREIGN_EXCHANGES","FQ1 2017","FQ1 2017","Currency=USD","Period=FQ","BEST_FPERIOD_OVERRIDE=FQ","FILING_STATUS=OR","SCALING_FORMAT=MLN","Sort=A","Dates=H","DateFormat=P","Fill=—","Direction=H","UseDPDF=Y")</f>
        <v>74</v>
      </c>
      <c r="AL51" s="13">
        <f>_xll.BDH("XOM US Equity","CF_EFFECT_FOREIGN_EXCHANGES","FQ2 2017","FQ2 2017","Currency=USD","Period=FQ","BEST_FPERIOD_OVERRIDE=FQ","FILING_STATUS=OR","SCALING_FORMAT=MLN","Sort=A","Dates=H","DateFormat=P","Fill=—","Direction=H","UseDPDF=Y")</f>
        <v>135</v>
      </c>
      <c r="AM51" s="13">
        <f>_xll.BDH("XOM US Equity","CF_EFFECT_FOREIGN_EXCHANGES","FQ3 2017","FQ3 2017","Currency=USD","Period=FQ","BEST_FPERIOD_OVERRIDE=FQ","FILING_STATUS=OR","SCALING_FORMAT=MLN","Sort=A","Dates=H","DateFormat=P","Fill=—","Direction=H","UseDPDF=Y")</f>
        <v>232</v>
      </c>
      <c r="AN51" s="13">
        <f>_xll.BDH("XOM US Equity","CF_EFFECT_FOREIGN_EXCHANGES","FQ4 2017","FQ4 2017","Currency=USD","Period=FQ","BEST_FPERIOD_OVERRIDE=FQ","FILING_STATUS=OR","SCALING_FORMAT=MLN","Sort=A","Dates=H","DateFormat=P","Fill=—","Direction=H","UseDPDF=Y")</f>
        <v>-127</v>
      </c>
      <c r="AO51" s="13">
        <f>_xll.BDH("XOM US Equity","CF_EFFECT_FOREIGN_EXCHANGES","FQ1 2018","FQ1 2018","Currency=USD","Period=FQ","BEST_FPERIOD_OVERRIDE=FQ","FILING_STATUS=OR","SCALING_FORMAT=MLN","Sort=A","Dates=H","DateFormat=P","Fill=—","Direction=H","UseDPDF=Y")</f>
        <v>30</v>
      </c>
      <c r="AP51" s="13">
        <f>_xll.BDH("XOM US Equity","CF_EFFECT_FOREIGN_EXCHANGES","FQ2 2018","FQ2 2018","Currency=USD","Period=FQ","BEST_FPERIOD_OVERRIDE=FQ","FILING_STATUS=OR","SCALING_FORMAT=MLN","Sort=A","Dates=H","DateFormat=P","Fill=—","Direction=H","UseDPDF=Y")</f>
        <v>-135</v>
      </c>
    </row>
    <row r="52" spans="1:42" x14ac:dyDescent="0.25">
      <c r="A52" s="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1:42" x14ac:dyDescent="0.25">
      <c r="A53" s="6" t="s">
        <v>439</v>
      </c>
      <c r="B53" s="6" t="s">
        <v>440</v>
      </c>
      <c r="C53" s="16">
        <f>_xll.BDH("XOM US Equity","CF_NET_CHNG_CASH","FQ3 2008","FQ3 2008","Currency=USD","Period=FQ","BEST_FPERIOD_OVERRIDE=FQ","FILING_STATUS=OR","SCALING_FORMAT=MLN","Sort=A","Dates=H","DateFormat=P","Fill=—","Direction=H","UseDPDF=Y")</f>
        <v>-2294</v>
      </c>
      <c r="D53" s="16">
        <f>_xll.BDH("XOM US Equity","CF_NET_CHNG_CASH","FQ4 2008","FQ4 2008","Currency=USD","Period=FQ","BEST_FPERIOD_OVERRIDE=FQ","FILING_STATUS=OR","SCALING_FORMAT=MLN","Sort=A","Dates=H","DateFormat=P","Fill=—","Direction=H","UseDPDF=Y")</f>
        <v>-5237</v>
      </c>
      <c r="E53" s="16">
        <f>_xll.BDH("XOM US Equity","CF_NET_CHNG_CASH","FQ1 2009","FQ1 2009","Currency=USD","Period=FQ","BEST_FPERIOD_OVERRIDE=FQ","FILING_STATUS=OR","SCALING_FORMAT=MLN","Sort=A","Dates=H","DateFormat=P","Fill=—","Direction=H","UseDPDF=Y")</f>
        <v>-6465</v>
      </c>
      <c r="F53" s="16">
        <f>_xll.BDH("XOM US Equity","CF_NET_CHNG_CASH","FQ2 2009","FQ2 2009","Currency=USD","Period=FQ","BEST_FPERIOD_OVERRIDE=FQ","FILING_STATUS=OR","SCALING_FORMAT=MLN","Sort=A","Dates=H","DateFormat=P","Fill=—","Direction=H","UseDPDF=Y")</f>
        <v>-9396</v>
      </c>
      <c r="G53" s="16">
        <f>_xll.BDH("XOM US Equity","CF_NET_CHNG_CASH","FQ3 2009","FQ3 2009","Currency=USD","Period=FQ","BEST_FPERIOD_OVERRIDE=FQ","FILING_STATUS=OR","SCALING_FORMAT=MLN","Sort=A","Dates=H","DateFormat=P","Fill=—","Direction=H","UseDPDF=Y")</f>
        <v>-3104</v>
      </c>
      <c r="H53" s="16">
        <f>_xll.BDH("XOM US Equity","CF_NET_CHNG_CASH","FQ4 2009","FQ4 2009","Currency=USD","Period=FQ","BEST_FPERIOD_OVERRIDE=FQ","FILING_STATUS=OR","SCALING_FORMAT=MLN","Sort=A","Dates=H","DateFormat=P","Fill=—","Direction=H","UseDPDF=Y")</f>
        <v>-1779</v>
      </c>
      <c r="I53" s="16">
        <f>_xll.BDH("XOM US Equity","CF_NET_CHNG_CASH","FQ1 2010","FQ1 2010","Currency=USD","Period=FQ","BEST_FPERIOD_OVERRIDE=FQ","FILING_STATUS=OR","SCALING_FORMAT=MLN","Sort=A","Dates=H","DateFormat=P","Fill=—","Direction=H","UseDPDF=Y")</f>
        <v>3049</v>
      </c>
      <c r="J53" s="16">
        <f>_xll.BDH("XOM US Equity","CF_NET_CHNG_CASH","FQ2 2010","FQ2 2010","Currency=USD","Period=FQ","BEST_FPERIOD_OVERRIDE=FQ","FILING_STATUS=OR","SCALING_FORMAT=MLN","Sort=A","Dates=H","DateFormat=P","Fill=—","Direction=H","UseDPDF=Y")</f>
        <v>-490</v>
      </c>
      <c r="K53" s="16">
        <f>_xll.BDH("XOM US Equity","CF_NET_CHNG_CASH","FQ3 2010","FQ3 2010","Currency=USD","Period=FQ","BEST_FPERIOD_OVERRIDE=FQ","FILING_STATUS=OR","SCALING_FORMAT=MLN","Sort=A","Dates=H","DateFormat=P","Fill=—","Direction=H","UseDPDF=Y")</f>
        <v>-1008</v>
      </c>
      <c r="L53" s="16">
        <f>_xll.BDH("XOM US Equity","CF_NET_CHNG_CASH","FQ4 2010","FQ4 2010","Currency=USD","Period=FQ","BEST_FPERIOD_OVERRIDE=FQ","FILING_STATUS=OR","SCALING_FORMAT=MLN","Sort=A","Dates=H","DateFormat=P","Fill=—","Direction=H","UseDPDF=Y")</f>
        <v>-4419</v>
      </c>
      <c r="M53" s="16">
        <f>_xll.BDH("XOM US Equity","CF_NET_CHNG_CASH","FQ1 2011","FQ1 2011","Currency=USD","Period=FQ","BEST_FPERIOD_OVERRIDE=FQ","FILING_STATUS=OR","SCALING_FORMAT=MLN","Sort=A","Dates=H","DateFormat=P","Fill=—","Direction=H","UseDPDF=Y")</f>
        <v>5008</v>
      </c>
      <c r="N53" s="16">
        <f>_xll.BDH("XOM US Equity","CF_NET_CHNG_CASH","FQ2 2011","FQ2 2011","Currency=USD","Period=FQ","BEST_FPERIOD_OVERRIDE=FQ","FILING_STATUS=OR","SCALING_FORMAT=MLN","Sort=A","Dates=H","DateFormat=P","Fill=—","Direction=H","UseDPDF=Y")</f>
        <v>-4546</v>
      </c>
      <c r="O53" s="16">
        <f>_xll.BDH("XOM US Equity","CF_NET_CHNG_CASH","FQ3 2011","FQ3 2011","Currency=USD","Period=FQ","BEST_FPERIOD_OVERRIDE=FQ","FILING_STATUS=OR","SCALING_FORMAT=MLN","Sort=A","Dates=H","DateFormat=P","Fill=—","Direction=H","UseDPDF=Y")</f>
        <v>2735</v>
      </c>
      <c r="P53" s="16">
        <f>_xll.BDH("XOM US Equity","CF_NET_CHNG_CASH","FQ4 2011","FQ4 2011","Currency=USD","Period=FQ","BEST_FPERIOD_OVERRIDE=FQ","FILING_STATUS=OR","SCALING_FORMAT=MLN","Sort=A","Dates=H","DateFormat=P","Fill=—","Direction=H","UseDPDF=Y")</f>
        <v>1642</v>
      </c>
      <c r="Q53" s="16">
        <f>_xll.BDH("XOM US Equity","CF_NET_CHNG_CASH","FQ1 2012","FQ1 2012","Currency=USD","Period=FQ","BEST_FPERIOD_OVERRIDE=FQ","FILING_STATUS=OR","SCALING_FORMAT=MLN","Sort=A","Dates=H","DateFormat=P","Fill=—","Direction=H","UseDPDF=Y")</f>
        <v>6006</v>
      </c>
      <c r="R53" s="16">
        <f>_xll.BDH("XOM US Equity","CF_NET_CHNG_CASH","FQ2 2012","FQ2 2012","Currency=USD","Period=FQ","BEST_FPERIOD_OVERRIDE=FQ","FILING_STATUS=OR","SCALING_FORMAT=MLN","Sort=A","Dates=H","DateFormat=P","Fill=—","Direction=H","UseDPDF=Y")</f>
        <v>-868</v>
      </c>
      <c r="S53" s="16">
        <f>_xll.BDH("XOM US Equity","CF_NET_CHNG_CASH","FQ3 2012","FQ3 2012","Currency=USD","Period=FQ","BEST_FPERIOD_OVERRIDE=FQ","FILING_STATUS=OR","SCALING_FORMAT=MLN","Sort=A","Dates=H","DateFormat=P","Fill=—","Direction=H","UseDPDF=Y")</f>
        <v>-4747</v>
      </c>
      <c r="T53" s="16">
        <f>_xll.BDH("XOM US Equity","CF_NET_CHNG_CASH","FQ4 2012","FQ4 2012","Currency=USD","Period=FQ","BEST_FPERIOD_OVERRIDE=FQ","FILING_STATUS=OR","SCALING_FORMAT=MLN","Sort=A","Dates=H","DateFormat=P","Fill=—","Direction=H","UseDPDF=Y")</f>
        <v>-3473</v>
      </c>
      <c r="U53" s="16">
        <f>_xll.BDH("XOM US Equity","CF_NET_CHNG_CASH","FQ1 2013","FQ1 2013","Currency=USD","Period=FQ","BEST_FPERIOD_OVERRIDE=FQ","FILING_STATUS=OR","SCALING_FORMAT=MLN","Sort=A","Dates=H","DateFormat=P","Fill=—","Direction=H","UseDPDF=Y")</f>
        <v>-3368</v>
      </c>
      <c r="V53" s="16">
        <f>_xll.BDH("XOM US Equity","CF_NET_CHNG_CASH","FQ2 2013","FQ2 2013","Currency=USD","Period=FQ","BEST_FPERIOD_OVERRIDE=FQ","FILING_STATUS=OR","SCALING_FORMAT=MLN","Sort=A","Dates=H","DateFormat=P","Fill=—","Direction=H","UseDPDF=Y")</f>
        <v>-1605</v>
      </c>
      <c r="W53" s="16">
        <f>_xll.BDH("XOM US Equity","CF_NET_CHNG_CASH","FQ3 2013","FQ3 2013","Currency=USD","Period=FQ","BEST_FPERIOD_OVERRIDE=FQ","FILING_STATUS=OR","SCALING_FORMAT=MLN","Sort=A","Dates=H","DateFormat=P","Fill=—","Direction=H","UseDPDF=Y")</f>
        <v>701</v>
      </c>
      <c r="X53" s="16">
        <f>_xll.BDH("XOM US Equity","CF_NET_CHNG_CASH","FQ4 2013","FQ4 2013","Currency=USD","Period=FQ","BEST_FPERIOD_OVERRIDE=FQ","FILING_STATUS=OR","SCALING_FORMAT=MLN","Sort=A","Dates=H","DateFormat=P","Fill=—","Direction=H","UseDPDF=Y")</f>
        <v>-666</v>
      </c>
      <c r="Y53" s="16">
        <f>_xll.BDH("XOM US Equity","CF_NET_CHNG_CASH","FQ1 2014","FQ1 2014","Currency=USD","Period=FQ","BEST_FPERIOD_OVERRIDE=FQ","FILING_STATUS=OR","SCALING_FORMAT=MLN","Sort=A","Dates=H","DateFormat=P","Fill=—","Direction=H","UseDPDF=Y")</f>
        <v>957</v>
      </c>
      <c r="Z53" s="16">
        <f>_xll.BDH("XOM US Equity","CF_NET_CHNG_CASH","FQ2 2014","FQ2 2014","Currency=USD","Period=FQ","BEST_FPERIOD_OVERRIDE=FQ","FILING_STATUS=OR","SCALING_FORMAT=MLN","Sort=A","Dates=H","DateFormat=P","Fill=—","Direction=H","UseDPDF=Y")</f>
        <v>482</v>
      </c>
      <c r="AA53" s="16">
        <f>_xll.BDH("XOM US Equity","CF_NET_CHNG_CASH","FQ3 2014","FQ3 2014","Currency=USD","Period=FQ","BEST_FPERIOD_OVERRIDE=FQ","FILING_STATUS=OR","SCALING_FORMAT=MLN","Sort=A","Dates=H","DateFormat=P","Fill=—","Direction=H","UseDPDF=Y")</f>
        <v>-1121</v>
      </c>
      <c r="AB53" s="16">
        <f>_xll.BDH("XOM US Equity","CF_NET_CHNG_CASH","FQ4 2014","FQ4 2014","Currency=USD","Period=FQ","BEST_FPERIOD_OVERRIDE=FQ","FILING_STATUS=OR","SCALING_FORMAT=MLN","Sort=A","Dates=H","DateFormat=P","Fill=—","Direction=H","UseDPDF=Y")</f>
        <v>-346</v>
      </c>
      <c r="AC53" s="16">
        <f>_xll.BDH("XOM US Equity","CF_NET_CHNG_CASH","FQ1 2015","FQ1 2015","Currency=USD","Period=FQ","BEST_FPERIOD_OVERRIDE=FQ","FILING_STATUS=OR","SCALING_FORMAT=MLN","Sort=A","Dates=H","DateFormat=P","Fill=—","Direction=H","UseDPDF=Y")</f>
        <v>568</v>
      </c>
      <c r="AD53" s="16">
        <f>_xll.BDH("XOM US Equity","CF_NET_CHNG_CASH","FQ2 2015","FQ2 2015","Currency=USD","Period=FQ","BEST_FPERIOD_OVERRIDE=FQ","FILING_STATUS=OR","SCALING_FORMAT=MLN","Sort=A","Dates=H","DateFormat=P","Fill=—","Direction=H","UseDPDF=Y")</f>
        <v>-841</v>
      </c>
      <c r="AE53" s="16">
        <f>_xll.BDH("XOM US Equity","CF_NET_CHNG_CASH","FQ3 2015","FQ3 2015","Currency=USD","Period=FQ","BEST_FPERIOD_OVERRIDE=FQ","FILING_STATUS=OR","SCALING_FORMAT=MLN","Sort=A","Dates=H","DateFormat=P","Fill=—","Direction=H","UseDPDF=Y")</f>
        <v>-47</v>
      </c>
      <c r="AF53" s="16">
        <f>_xll.BDH("XOM US Equity","CF_NET_CHNG_CASH","FQ4 2015","FQ4 2015","Currency=USD","Period=FQ","BEST_FPERIOD_OVERRIDE=FQ","FILING_STATUS=OR","SCALING_FORMAT=MLN","Sort=A","Dates=H","DateFormat=P","Fill=—","Direction=H","UseDPDF=Y")</f>
        <v>-591</v>
      </c>
      <c r="AG53" s="16">
        <f>_xll.BDH("XOM US Equity","CF_NET_CHNG_CASH","FQ1 2016","FQ1 2016","Currency=USD","Period=FQ","BEST_FPERIOD_OVERRIDE=FQ","FILING_STATUS=OR","SCALING_FORMAT=MLN","Sort=A","Dates=H","DateFormat=P","Fill=—","Direction=H","UseDPDF=Y")</f>
        <v>1141</v>
      </c>
      <c r="AH53" s="16">
        <f>_xll.BDH("XOM US Equity","CF_NET_CHNG_CASH","FQ2 2016","FQ2 2016","Currency=USD","Period=FQ","BEST_FPERIOD_OVERRIDE=FQ","FILING_STATUS=OR","SCALING_FORMAT=MLN","Sort=A","Dates=H","DateFormat=P","Fill=—","Direction=H","UseDPDF=Y")</f>
        <v>-488</v>
      </c>
      <c r="AI53" s="16">
        <f>_xll.BDH("XOM US Equity","CF_NET_CHNG_CASH","FQ3 2016","FQ3 2016","Currency=USD","Period=FQ","BEST_FPERIOD_OVERRIDE=FQ","FILING_STATUS=OR","SCALING_FORMAT=MLN","Sort=A","Dates=H","DateFormat=P","Fill=—","Direction=H","UseDPDF=Y")</f>
        <v>735</v>
      </c>
      <c r="AJ53" s="16">
        <f>_xll.BDH("XOM US Equity","CF_NET_CHNG_CASH","FQ4 2016","FQ4 2016","Currency=USD","Period=FQ","BEST_FPERIOD_OVERRIDE=FQ","FILING_STATUS=OR","SCALING_FORMAT=MLN","Sort=A","Dates=H","DateFormat=P","Fill=—","Direction=H","UseDPDF=Y")</f>
        <v>-1436</v>
      </c>
      <c r="AK53" s="16">
        <f>_xll.BDH("XOM US Equity","CF_NET_CHNG_CASH","FQ1 2017","FQ1 2017","Currency=USD","Period=FQ","BEST_FPERIOD_OVERRIDE=FQ","FILING_STATUS=OR","SCALING_FORMAT=MLN","Sort=A","Dates=H","DateFormat=P","Fill=—","Direction=H","UseDPDF=Y")</f>
        <v>1240</v>
      </c>
      <c r="AL53" s="16">
        <f>_xll.BDH("XOM US Equity","CF_NET_CHNG_CASH","FQ2 2017","FQ2 2017","Currency=USD","Period=FQ","BEST_FPERIOD_OVERRIDE=FQ","FILING_STATUS=OR","SCALING_FORMAT=MLN","Sort=A","Dates=H","DateFormat=P","Fill=—","Direction=H","UseDPDF=Y")</f>
        <v>-855</v>
      </c>
      <c r="AM53" s="16">
        <f>_xll.BDH("XOM US Equity","CF_NET_CHNG_CASH","FQ3 2017","FQ3 2017","Currency=USD","Period=FQ","BEST_FPERIOD_OVERRIDE=FQ","FILING_STATUS=OR","SCALING_FORMAT=MLN","Sort=A","Dates=H","DateFormat=P","Fill=—","Direction=H","UseDPDF=Y")</f>
        <v>224</v>
      </c>
      <c r="AN53" s="16">
        <f>_xll.BDH("XOM US Equity","CF_NET_CHNG_CASH","FQ4 2017","FQ4 2017","Currency=USD","Period=FQ","BEST_FPERIOD_OVERRIDE=FQ","FILING_STATUS=OR","SCALING_FORMAT=MLN","Sort=A","Dates=H","DateFormat=P","Fill=—","Direction=H","UseDPDF=Y")</f>
        <v>-1089</v>
      </c>
      <c r="AO53" s="16">
        <f>_xll.BDH("XOM US Equity","CF_NET_CHNG_CASH","FQ1 2018","FQ1 2018","Currency=USD","Period=FQ","BEST_FPERIOD_OVERRIDE=FQ","FILING_STATUS=OR","SCALING_FORMAT=MLN","Sort=A","Dates=H","DateFormat=P","Fill=—","Direction=H","UseDPDF=Y")</f>
        <v>948</v>
      </c>
      <c r="AP53" s="16">
        <f>_xll.BDH("XOM US Equity","CF_NET_CHNG_CASH","FQ2 2018","FQ2 2018","Currency=USD","Period=FQ","BEST_FPERIOD_OVERRIDE=FQ","FILING_STATUS=OR","SCALING_FORMAT=MLN","Sort=A","Dates=H","DateFormat=P","Fill=—","Direction=H","UseDPDF=Y")</f>
        <v>-695</v>
      </c>
    </row>
    <row r="54" spans="1:42" x14ac:dyDescent="0.25">
      <c r="A54" s="6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1:42" x14ac:dyDescent="0.25">
      <c r="A55" s="6" t="s">
        <v>441</v>
      </c>
      <c r="B55" s="6" t="s">
        <v>442</v>
      </c>
      <c r="C55" s="16">
        <f>_xll.BDH("XOM US Equity","CF_CASH_PAID_FOR_TAX","FQ3 2008","FQ3 2008","Currency=USD","Period=FQ","BEST_FPERIOD_OVERRIDE=FQ","FILING_STATUS=OR","SCALING_FORMAT=MLN","Sort=A","Dates=H","DateFormat=P","Fill=—","Direction=H","UseDPDF=Y")</f>
        <v>9267</v>
      </c>
      <c r="D55" s="16">
        <f>_xll.BDH("XOM US Equity","CF_CASH_PAID_FOR_TAX","FQ4 2008","FQ4 2008","Currency=USD","Period=FQ","BEST_FPERIOD_OVERRIDE=FQ","FILING_STATUS=OR","SCALING_FORMAT=MLN","Sort=A","Dates=H","DateFormat=P","Fill=—","Direction=H","UseDPDF=Y")</f>
        <v>8747</v>
      </c>
      <c r="E55" s="16">
        <f>_xll.BDH("XOM US Equity","CF_CASH_PAID_FOR_TAX","FQ1 2009","FQ1 2009","Currency=USD","Period=FQ","BEST_FPERIOD_OVERRIDE=FQ","FILING_STATUS=OR","SCALING_FORMAT=MLN","Sort=A","Dates=H","DateFormat=P","Fill=—","Direction=H","UseDPDF=Y")</f>
        <v>3817</v>
      </c>
      <c r="F55" s="16">
        <f>_xll.BDH("XOM US Equity","CF_CASH_PAID_FOR_TAX","FQ2 2009","FQ2 2009","Currency=USD","Period=FQ","BEST_FPERIOD_OVERRIDE=FQ","FILING_STATUS=OR","SCALING_FORMAT=MLN","Sort=A","Dates=H","DateFormat=P","Fill=—","Direction=H","UseDPDF=Y")</f>
        <v>4723</v>
      </c>
      <c r="G55" s="16">
        <f>_xll.BDH("XOM US Equity","CF_CASH_PAID_FOR_TAX","FQ3 2009","FQ3 2009","Currency=USD","Period=FQ","BEST_FPERIOD_OVERRIDE=FQ","FILING_STATUS=OR","SCALING_FORMAT=MLN","Sort=A","Dates=H","DateFormat=P","Fill=—","Direction=H","UseDPDF=Y")</f>
        <v>3602</v>
      </c>
      <c r="H55" s="16">
        <f>_xll.BDH("XOM US Equity","CF_CASH_PAID_FOR_TAX","FQ4 2009","FQ4 2009","Currency=USD","Period=FQ","BEST_FPERIOD_OVERRIDE=FQ","FILING_STATUS=OR","SCALING_FORMAT=MLN","Sort=A","Dates=H","DateFormat=P","Fill=—","Direction=H","UseDPDF=Y")</f>
        <v>3285</v>
      </c>
      <c r="I55" s="16">
        <f>_xll.BDH("XOM US Equity","CF_CASH_PAID_FOR_TAX","FQ1 2010","FQ1 2010","Currency=USD","Period=FQ","BEST_FPERIOD_OVERRIDE=FQ","FILING_STATUS=OR","SCALING_FORMAT=MLN","Sort=A","Dates=H","DateFormat=P","Fill=—","Direction=H","UseDPDF=Y")</f>
        <v>3896</v>
      </c>
      <c r="J55" s="16">
        <f>_xll.BDH("XOM US Equity","CF_CASH_PAID_FOR_TAX","FQ2 2010","FQ2 2010","Currency=USD","Period=FQ","BEST_FPERIOD_OVERRIDE=FQ","FILING_STATUS=OR","SCALING_FORMAT=MLN","Sort=A","Dates=H","DateFormat=P","Fill=—","Direction=H","UseDPDF=Y")</f>
        <v>5591</v>
      </c>
      <c r="K55" s="16">
        <f>_xll.BDH("XOM US Equity","CF_CASH_PAID_FOR_TAX","FQ3 2010","FQ3 2010","Currency=USD","Period=FQ","BEST_FPERIOD_OVERRIDE=FQ","FILING_STATUS=OR","SCALING_FORMAT=MLN","Sort=A","Dates=H","DateFormat=P","Fill=—","Direction=H","UseDPDF=Y")</f>
        <v>4463</v>
      </c>
      <c r="L55" s="16">
        <f>_xll.BDH("XOM US Equity","CF_CASH_PAID_FOR_TAX","FQ4 2010","FQ4 2010","Currency=USD","Period=FQ","BEST_FPERIOD_OVERRIDE=FQ","FILING_STATUS=OR","SCALING_FORMAT=MLN","Sort=A","Dates=H","DateFormat=P","Fill=—","Direction=H","UseDPDF=Y")</f>
        <v>4991</v>
      </c>
      <c r="M55" s="16">
        <f>_xll.BDH("XOM US Equity","CF_CASH_PAID_FOR_TAX","FQ1 2011","FQ1 2011","Currency=USD","Period=FQ","BEST_FPERIOD_OVERRIDE=FQ","FILING_STATUS=OR","SCALING_FORMAT=MLN","Sort=A","Dates=H","DateFormat=P","Fill=—","Direction=H","UseDPDF=Y")</f>
        <v>5173</v>
      </c>
      <c r="N55" s="16">
        <f>_xll.BDH("XOM US Equity","CF_CASH_PAID_FOR_TAX","FQ2 2011","FQ2 2011","Currency=USD","Period=FQ","BEST_FPERIOD_OVERRIDE=FQ","FILING_STATUS=OR","SCALING_FORMAT=MLN","Sort=A","Dates=H","DateFormat=P","Fill=—","Direction=H","UseDPDF=Y")</f>
        <v>8374</v>
      </c>
      <c r="O55" s="16">
        <f>_xll.BDH("XOM US Equity","CF_CASH_PAID_FOR_TAX","FQ3 2011","FQ3 2011","Currency=USD","Period=FQ","BEST_FPERIOD_OVERRIDE=FQ","FILING_STATUS=OR","SCALING_FORMAT=MLN","Sort=A","Dates=H","DateFormat=P","Fill=—","Direction=H","UseDPDF=Y")</f>
        <v>6802</v>
      </c>
      <c r="P55" s="16">
        <f>_xll.BDH("XOM US Equity","CF_CASH_PAID_FOR_TAX","FQ4 2011","FQ4 2011","Currency=USD","Period=FQ","BEST_FPERIOD_OVERRIDE=FQ","FILING_STATUS=OR","SCALING_FORMAT=MLN","Sort=A","Dates=H","DateFormat=P","Fill=—","Direction=H","UseDPDF=Y")</f>
        <v>6905</v>
      </c>
      <c r="Q55" s="16">
        <f>_xll.BDH("XOM US Equity","CF_CASH_PAID_FOR_TAX","FQ1 2012","FQ1 2012","Currency=USD","Period=FQ","BEST_FPERIOD_OVERRIDE=FQ","FILING_STATUS=OR","SCALING_FORMAT=MLN","Sort=A","Dates=H","DateFormat=P","Fill=—","Direction=H","UseDPDF=Y")</f>
        <v>5416</v>
      </c>
      <c r="R55" s="16">
        <f>_xll.BDH("XOM US Equity","CF_CASH_PAID_FOR_TAX","FQ2 2012","FQ2 2012","Currency=USD","Period=FQ","BEST_FPERIOD_OVERRIDE=FQ","FILING_STATUS=OR","SCALING_FORMAT=MLN","Sort=A","Dates=H","DateFormat=P","Fill=—","Direction=H","UseDPDF=Y")</f>
        <v>6911</v>
      </c>
      <c r="S55" s="16">
        <f>_xll.BDH("XOM US Equity","CF_CASH_PAID_FOR_TAX","FQ3 2012","FQ3 2012","Currency=USD","Period=FQ","BEST_FPERIOD_OVERRIDE=FQ","FILING_STATUS=OR","SCALING_FORMAT=MLN","Sort=A","Dates=H","DateFormat=P","Fill=—","Direction=H","UseDPDF=Y")</f>
        <v>5568</v>
      </c>
      <c r="T55" s="16">
        <f>_xll.BDH("XOM US Equity","CF_CASH_PAID_FOR_TAX","FQ4 2012","FQ4 2012","Currency=USD","Period=FQ","BEST_FPERIOD_OVERRIDE=FQ","FILING_STATUS=OR","SCALING_FORMAT=MLN","Sort=A","Dates=H","DateFormat=P","Fill=—","Direction=H","UseDPDF=Y")</f>
        <v>6454</v>
      </c>
      <c r="U55" s="16">
        <f>_xll.BDH("XOM US Equity","CF_CASH_PAID_FOR_TAX","FQ1 2013","FQ1 2013","Currency=USD","Period=FQ","BEST_FPERIOD_OVERRIDE=FQ","FILING_STATUS=OR","SCALING_FORMAT=MLN","Sort=A","Dates=H","DateFormat=P","Fill=—","Direction=H","UseDPDF=Y")</f>
        <v>7220</v>
      </c>
      <c r="V55" s="16">
        <f>_xll.BDH("XOM US Equity","CF_CASH_PAID_FOR_TAX","FQ2 2013","FQ2 2013","Currency=USD","Period=FQ","BEST_FPERIOD_OVERRIDE=FQ","FILING_STATUS=OR","SCALING_FORMAT=MLN","Sort=A","Dates=H","DateFormat=P","Fill=—","Direction=H","UseDPDF=Y")</f>
        <v>7440</v>
      </c>
      <c r="W55" s="16">
        <f>_xll.BDH("XOM US Equity","CF_CASH_PAID_FOR_TAX","FQ3 2013","FQ3 2013","Currency=USD","Period=FQ","BEST_FPERIOD_OVERRIDE=FQ","FILING_STATUS=OR","SCALING_FORMAT=MLN","Sort=A","Dates=H","DateFormat=P","Fill=—","Direction=H","UseDPDF=Y")</f>
        <v>5211</v>
      </c>
      <c r="X55" s="16">
        <f>_xll.BDH("XOM US Equity","CF_CASH_PAID_FOR_TAX","FQ4 2013","FQ4 2013","Currency=USD","Period=FQ","BEST_FPERIOD_OVERRIDE=FQ","FILING_STATUS=OR","SCALING_FORMAT=MLN","Sort=A","Dates=H","DateFormat=P","Fill=—","Direction=H","UseDPDF=Y")</f>
        <v>5195</v>
      </c>
      <c r="Y55" s="16">
        <f>_xll.BDH("XOM US Equity","CF_CASH_PAID_FOR_TAX","FQ1 2014","FQ1 2014","Currency=USD","Period=FQ","BEST_FPERIOD_OVERRIDE=FQ","FILING_STATUS=OR","SCALING_FORMAT=MLN","Sort=A","Dates=H","DateFormat=P","Fill=—","Direction=H","UseDPDF=Y")</f>
        <v>4145</v>
      </c>
      <c r="Z55" s="16">
        <f>_xll.BDH("XOM US Equity","CF_CASH_PAID_FOR_TAX","FQ2 2014","FQ2 2014","Currency=USD","Period=FQ","BEST_FPERIOD_OVERRIDE=FQ","FILING_STATUS=OR","SCALING_FORMAT=MLN","Sort=A","Dates=H","DateFormat=P","Fill=—","Direction=H","UseDPDF=Y")</f>
        <v>6221</v>
      </c>
      <c r="AA55" s="16">
        <f>_xll.BDH("XOM US Equity","CF_CASH_PAID_FOR_TAX","FQ3 2014","FQ3 2014","Currency=USD","Period=FQ","BEST_FPERIOD_OVERRIDE=FQ","FILING_STATUS=OR","SCALING_FORMAT=MLN","Sort=A","Dates=H","DateFormat=P","Fill=—","Direction=H","UseDPDF=Y")</f>
        <v>3972</v>
      </c>
      <c r="AB55" s="16">
        <f>_xll.BDH("XOM US Equity","CF_CASH_PAID_FOR_TAX","FQ4 2014","FQ4 2014","Currency=USD","Period=FQ","BEST_FPERIOD_OVERRIDE=FQ","FILING_STATUS=OR","SCALING_FORMAT=MLN","Sort=A","Dates=H","DateFormat=P","Fill=—","Direction=H","UseDPDF=Y")</f>
        <v>3747</v>
      </c>
      <c r="AC55" s="16">
        <f>_xll.BDH("XOM US Equity","CF_CASH_PAID_FOR_TAX","FQ1 2015","FQ1 2015","Currency=USD","Period=FQ","BEST_FPERIOD_OVERRIDE=FQ","FILING_STATUS=OR","SCALING_FORMAT=MLN","Sort=A","Dates=H","DateFormat=P","Fill=—","Direction=H","UseDPDF=Y")</f>
        <v>1226</v>
      </c>
      <c r="AD55" s="16">
        <f>_xll.BDH("XOM US Equity","CF_CASH_PAID_FOR_TAX","FQ2 2015","FQ2 2015","Currency=USD","Period=FQ","BEST_FPERIOD_OVERRIDE=FQ","FILING_STATUS=OR","SCALING_FORMAT=MLN","Sort=A","Dates=H","DateFormat=P","Fill=—","Direction=H","UseDPDF=Y")</f>
        <v>2846</v>
      </c>
      <c r="AE55" s="16">
        <f>_xll.BDH("XOM US Equity","CF_CASH_PAID_FOR_TAX","FQ3 2015","FQ3 2015","Currency=USD","Period=FQ","BEST_FPERIOD_OVERRIDE=FQ","FILING_STATUS=OR","SCALING_FORMAT=MLN","Sort=A","Dates=H","DateFormat=P","Fill=—","Direction=H","UseDPDF=Y")</f>
        <v>1522</v>
      </c>
      <c r="AF55" s="16">
        <f>_xll.BDH("XOM US Equity","CF_CASH_PAID_FOR_TAX","FQ4 2015","FQ4 2015","Currency=USD","Period=FQ","BEST_FPERIOD_OVERRIDE=FQ","FILING_STATUS=OR","SCALING_FORMAT=MLN","Sort=A","Dates=H","DateFormat=P","Fill=—","Direction=H","UseDPDF=Y")</f>
        <v>1675</v>
      </c>
      <c r="AG55" s="16">
        <f>_xll.BDH("XOM US Equity","CF_CASH_PAID_FOR_TAX","FQ1 2016","FQ1 2016","Currency=USD","Period=FQ","BEST_FPERIOD_OVERRIDE=FQ","FILING_STATUS=OR","SCALING_FORMAT=MLN","Sort=A","Dates=H","DateFormat=P","Fill=—","Direction=H","UseDPDF=Y")</f>
        <v>749</v>
      </c>
      <c r="AH55" s="16">
        <f>_xll.BDH("XOM US Equity","CF_CASH_PAID_FOR_TAX","FQ2 2016","FQ2 2016","Currency=USD","Period=FQ","BEST_FPERIOD_OVERRIDE=FQ","FILING_STATUS=OR","SCALING_FORMAT=MLN","Sort=A","Dates=H","DateFormat=P","Fill=—","Direction=H","UseDPDF=Y")</f>
        <v>1395</v>
      </c>
      <c r="AI55" s="16">
        <f>_xll.BDH("XOM US Equity","CF_CASH_PAID_FOR_TAX","FQ3 2016","FQ3 2016","Currency=USD","Period=FQ","BEST_FPERIOD_OVERRIDE=FQ","FILING_STATUS=OR","SCALING_FORMAT=MLN","Sort=A","Dates=H","DateFormat=P","Fill=—","Direction=H","UseDPDF=Y")</f>
        <v>905</v>
      </c>
      <c r="AJ55" s="16">
        <f>_xll.BDH("XOM US Equity","CF_CASH_PAID_FOR_TAX","FQ4 2016","FQ4 2016","Currency=USD","Period=FQ","BEST_FPERIOD_OVERRIDE=FQ","FILING_STATUS=OR","SCALING_FORMAT=MLN","Sort=A","Dates=H","DateFormat=P","Fill=—","Direction=H","UseDPDF=Y")</f>
        <v>1165</v>
      </c>
      <c r="AK55" s="16">
        <f>_xll.BDH("XOM US Equity","CF_CASH_PAID_FOR_TAX","FQ1 2017","FQ1 2017","Currency=USD","Period=FQ","BEST_FPERIOD_OVERRIDE=FQ","FILING_STATUS=OR","SCALING_FORMAT=MLN","Sort=A","Dates=H","DateFormat=P","Fill=—","Direction=H","UseDPDF=Y")</f>
        <v>1970</v>
      </c>
      <c r="AL55" s="16">
        <f>_xll.BDH("XOM US Equity","CF_CASH_PAID_FOR_TAX","FQ2 2017","FQ2 2017","Currency=USD","Period=FQ","BEST_FPERIOD_OVERRIDE=FQ","FILING_STATUS=OR","SCALING_FORMAT=MLN","Sort=A","Dates=H","DateFormat=P","Fill=—","Direction=H","UseDPDF=Y")</f>
        <v>1277</v>
      </c>
      <c r="AM55" s="16">
        <f>_xll.BDH("XOM US Equity","CF_CASH_PAID_FOR_TAX","FQ3 2017","FQ3 2017","Currency=USD","Period=FQ","BEST_FPERIOD_OVERRIDE=FQ","FILING_STATUS=OR","SCALING_FORMAT=MLN","Sort=A","Dates=H","DateFormat=P","Fill=—","Direction=H","UseDPDF=Y")</f>
        <v>1364</v>
      </c>
      <c r="AN55" s="16">
        <f>_xll.BDH("XOM US Equity","CF_CASH_PAID_FOR_TAX","FQ4 2017","FQ4 2017","Currency=USD","Period=FQ","BEST_FPERIOD_OVERRIDE=FQ","FILING_STATUS=OR","SCALING_FORMAT=MLN","Sort=A","Dates=H","DateFormat=P","Fill=—","Direction=H","UseDPDF=Y")</f>
        <v>2899</v>
      </c>
      <c r="AO55" s="16">
        <f>_xll.BDH("XOM US Equity","CF_CASH_PAID_FOR_TAX","FQ1 2018","FQ1 2018","Currency=USD","Period=FQ","BEST_FPERIOD_OVERRIDE=FQ","FILING_STATUS=OR","SCALING_FORMAT=MLN","Sort=A","Dates=H","DateFormat=P","Fill=—","Direction=H","UseDPDF=Y")</f>
        <v>2117</v>
      </c>
      <c r="AP55" s="16">
        <f>_xll.BDH("XOM US Equity","CF_CASH_PAID_FOR_TAX","FQ2 2018","FQ2 2018","Currency=USD","Period=FQ","BEST_FPERIOD_OVERRIDE=FQ","FILING_STATUS=OR","SCALING_FORMAT=MLN","Sort=A","Dates=H","DateFormat=P","Fill=—","Direction=H","UseDPDF=Y")</f>
        <v>2309</v>
      </c>
    </row>
    <row r="56" spans="1:42" x14ac:dyDescent="0.25">
      <c r="A56" s="6" t="s">
        <v>443</v>
      </c>
      <c r="B56" s="6" t="s">
        <v>444</v>
      </c>
      <c r="C56" s="16">
        <f>_xll.BDH("XOM US Equity","CF_ACT_CASH_PAID_FOR_INT_DEBT","FQ3 2008","FQ3 2008","Currency=USD","Period=FQ","BEST_FPERIOD_OVERRIDE=FQ","FILING_STATUS=OR","SCALING_FORMAT=MLN","Sort=A","Dates=H","DateFormat=P","Fill=—","Direction=H","UseDPDF=Y")</f>
        <v>151</v>
      </c>
      <c r="D56" s="16">
        <f>_xll.BDH("XOM US Equity","CF_ACT_CASH_PAID_FOR_INT_DEBT","FQ4 2008","FQ4 2008","Currency=USD","Period=FQ","BEST_FPERIOD_OVERRIDE=FQ","FILING_STATUS=OR","SCALING_FORMAT=MLN","Sort=A","Dates=H","DateFormat=P","Fill=—","Direction=H","UseDPDF=Y")</f>
        <v>162</v>
      </c>
      <c r="E56" s="16">
        <f>_xll.BDH("XOM US Equity","CF_ACT_CASH_PAID_FOR_INT_DEBT","FQ1 2009","FQ1 2009","Currency=USD","Period=FQ","BEST_FPERIOD_OVERRIDE=FQ","FILING_STATUS=OR","SCALING_FORMAT=MLN","Sort=A","Dates=H","DateFormat=P","Fill=—","Direction=H","UseDPDF=Y")</f>
        <v>101</v>
      </c>
      <c r="F56" s="16">
        <f>_xll.BDH("XOM US Equity","CF_ACT_CASH_PAID_FOR_INT_DEBT","FQ2 2009","FQ2 2009","Currency=USD","Period=FQ","BEST_FPERIOD_OVERRIDE=FQ","FILING_STATUS=OR","SCALING_FORMAT=MLN","Sort=A","Dates=H","DateFormat=P","Fill=—","Direction=H","UseDPDF=Y")</f>
        <v>94</v>
      </c>
      <c r="G56" s="16">
        <f>_xll.BDH("XOM US Equity","CF_ACT_CASH_PAID_FOR_INT_DEBT","FQ3 2009","FQ3 2009","Currency=USD","Period=FQ","BEST_FPERIOD_OVERRIDE=FQ","FILING_STATUS=OR","SCALING_FORMAT=MLN","Sort=A","Dates=H","DateFormat=P","Fill=—","Direction=H","UseDPDF=Y")</f>
        <v>528</v>
      </c>
      <c r="H56" s="16">
        <f>_xll.BDH("XOM US Equity","CF_ACT_CASH_PAID_FOR_INT_DEBT","FQ4 2009","FQ4 2009","Currency=USD","Period=FQ","BEST_FPERIOD_OVERRIDE=FQ","FILING_STATUS=OR","SCALING_FORMAT=MLN","Sort=A","Dates=H","DateFormat=P","Fill=—","Direction=H","UseDPDF=Y")</f>
        <v>97</v>
      </c>
      <c r="I56" s="16">
        <f>_xll.BDH("XOM US Equity","CF_ACT_CASH_PAID_FOR_INT_DEBT","FQ1 2010","FQ1 2010","Currency=USD","Period=FQ","BEST_FPERIOD_OVERRIDE=FQ","FILING_STATUS=OR","SCALING_FORMAT=MLN","Sort=A","Dates=H","DateFormat=P","Fill=—","Direction=H","UseDPDF=Y")</f>
        <v>130</v>
      </c>
      <c r="J56" s="16">
        <f>_xll.BDH("XOM US Equity","CF_ACT_CASH_PAID_FOR_INT_DEBT","FQ2 2010","FQ2 2010","Currency=USD","Period=FQ","BEST_FPERIOD_OVERRIDE=FQ","FILING_STATUS=OR","SCALING_FORMAT=MLN","Sort=A","Dates=H","DateFormat=P","Fill=—","Direction=H","UseDPDF=Y")</f>
        <v>164</v>
      </c>
      <c r="K56" s="16">
        <f>_xll.BDH("XOM US Equity","CF_ACT_CASH_PAID_FOR_INT_DEBT","FQ3 2010","FQ3 2010","Currency=USD","Period=FQ","BEST_FPERIOD_OVERRIDE=FQ","FILING_STATUS=OR","SCALING_FORMAT=MLN","Sort=A","Dates=H","DateFormat=P","Fill=—","Direction=H","UseDPDF=Y")</f>
        <v>166</v>
      </c>
      <c r="L56" s="16">
        <f>_xll.BDH("XOM US Equity","CF_ACT_CASH_PAID_FOR_INT_DEBT","FQ4 2010","FQ4 2010","Currency=USD","Period=FQ","BEST_FPERIOD_OVERRIDE=FQ","FILING_STATUS=OR","SCALING_FORMAT=MLN","Sort=A","Dates=H","DateFormat=P","Fill=—","Direction=H","UseDPDF=Y")</f>
        <v>243</v>
      </c>
      <c r="M56" s="16">
        <f>_xll.BDH("XOM US Equity","CF_ACT_CASH_PAID_FOR_INT_DEBT","FQ1 2011","FQ1 2011","Currency=USD","Period=FQ","BEST_FPERIOD_OVERRIDE=FQ","FILING_STATUS=OR","SCALING_FORMAT=MLN","Sort=A","Dates=H","DateFormat=P","Fill=—","Direction=H","UseDPDF=Y")</f>
        <v>103</v>
      </c>
      <c r="N56" s="16">
        <f>_xll.BDH("XOM US Equity","CF_ACT_CASH_PAID_FOR_INT_DEBT","FQ2 2011","FQ2 2011","Currency=USD","Period=FQ","BEST_FPERIOD_OVERRIDE=FQ","FILING_STATUS=OR","SCALING_FORMAT=MLN","Sort=A","Dates=H","DateFormat=P","Fill=—","Direction=H","UseDPDF=Y")</f>
        <v>159</v>
      </c>
      <c r="O56" s="16">
        <f>_xll.BDH("XOM US Equity","CF_ACT_CASH_PAID_FOR_INT_DEBT","FQ3 2011","FQ3 2011","Currency=USD","Period=FQ","BEST_FPERIOD_OVERRIDE=FQ","FILING_STATUS=OR","SCALING_FORMAT=MLN","Sort=A","Dates=H","DateFormat=P","Fill=—","Direction=H","UseDPDF=Y")</f>
        <v>128</v>
      </c>
      <c r="P56" s="16">
        <f>_xll.BDH("XOM US Equity","CF_ACT_CASH_PAID_FOR_INT_DEBT","FQ4 2011","FQ4 2011","Currency=USD","Period=FQ","BEST_FPERIOD_OVERRIDE=FQ","FILING_STATUS=OR","SCALING_FORMAT=MLN","Sort=A","Dates=H","DateFormat=P","Fill=—","Direction=H","UseDPDF=Y")</f>
        <v>167</v>
      </c>
      <c r="Q56" s="16">
        <f>_xll.BDH("XOM US Equity","CF_ACT_CASH_PAID_FOR_INT_DEBT","FQ1 2012","FQ1 2012","Currency=USD","Period=FQ","BEST_FPERIOD_OVERRIDE=FQ","FILING_STATUS=OR","SCALING_FORMAT=MLN","Sort=A","Dates=H","DateFormat=P","Fill=—","Direction=H","UseDPDF=Y")</f>
        <v>99</v>
      </c>
      <c r="R56" s="16">
        <f>_xll.BDH("XOM US Equity","CF_ACT_CASH_PAID_FOR_INT_DEBT","FQ2 2012","FQ2 2012","Currency=USD","Period=FQ","BEST_FPERIOD_OVERRIDE=FQ","FILING_STATUS=OR","SCALING_FORMAT=MLN","Sort=A","Dates=H","DateFormat=P","Fill=—","Direction=H","UseDPDF=Y")</f>
        <v>191</v>
      </c>
      <c r="S56" s="16">
        <f>_xll.BDH("XOM US Equity","CF_ACT_CASH_PAID_FOR_INT_DEBT","FQ3 2012","FQ3 2012","Currency=USD","Period=FQ","BEST_FPERIOD_OVERRIDE=FQ","FILING_STATUS=OR","SCALING_FORMAT=MLN","Sort=A","Dates=H","DateFormat=P","Fill=—","Direction=H","UseDPDF=Y")</f>
        <v>97</v>
      </c>
      <c r="T56" s="16">
        <f>_xll.BDH("XOM US Equity","CF_ACT_CASH_PAID_FOR_INT_DEBT","FQ4 2012","FQ4 2012","Currency=USD","Period=FQ","BEST_FPERIOD_OVERRIDE=FQ","FILING_STATUS=OR","SCALING_FORMAT=MLN","Sort=A","Dates=H","DateFormat=P","Fill=—","Direction=H","UseDPDF=Y")</f>
        <v>168</v>
      </c>
      <c r="U56" s="16">
        <f>_xll.BDH("XOM US Equity","CF_ACT_CASH_PAID_FOR_INT_DEBT","FQ1 2013","FQ1 2013","Currency=USD","Period=FQ","BEST_FPERIOD_OVERRIDE=FQ","FILING_STATUS=OR","SCALING_FORMAT=MLN","Sort=A","Dates=H","DateFormat=P","Fill=—","Direction=H","UseDPDF=Y")</f>
        <v>105</v>
      </c>
      <c r="V56" s="16">
        <f>_xll.BDH("XOM US Equity","CF_ACT_CASH_PAID_FOR_INT_DEBT","FQ2 2013","FQ2 2013","Currency=USD","Period=FQ","BEST_FPERIOD_OVERRIDE=FQ","FILING_STATUS=OR","SCALING_FORMAT=MLN","Sort=A","Dates=H","DateFormat=P","Fill=—","Direction=H","UseDPDF=Y")</f>
        <v>114</v>
      </c>
      <c r="W56" s="16">
        <f>_xll.BDH("XOM US Equity","CF_ACT_CASH_PAID_FOR_INT_DEBT","FQ3 2013","FQ3 2013","Currency=USD","Period=FQ","BEST_FPERIOD_OVERRIDE=FQ","FILING_STATUS=OR","SCALING_FORMAT=MLN","Sort=A","Dates=H","DateFormat=P","Fill=—","Direction=H","UseDPDF=Y")</f>
        <v>99</v>
      </c>
      <c r="X56" s="16">
        <f>_xll.BDH("XOM US Equity","CF_ACT_CASH_PAID_FOR_INT_DEBT","FQ4 2013","FQ4 2013","Currency=USD","Period=FQ","BEST_FPERIOD_OVERRIDE=FQ","FILING_STATUS=OR","SCALING_FORMAT=MLN","Sort=A","Dates=H","DateFormat=P","Fill=—","Direction=H","UseDPDF=Y")</f>
        <v>108</v>
      </c>
      <c r="Y56" s="16">
        <f>_xll.BDH("XOM US Equity","CF_ACT_CASH_PAID_FOR_INT_DEBT","FQ1 2014","FQ1 2014","Currency=USD","Period=FQ","BEST_FPERIOD_OVERRIDE=FQ","FILING_STATUS=OR","SCALING_FORMAT=MLN","Sort=A","Dates=H","DateFormat=P","Fill=—","Direction=H","UseDPDF=Y")</f>
        <v>87</v>
      </c>
      <c r="Z56" s="16">
        <f>_xll.BDH("XOM US Equity","CF_ACT_CASH_PAID_FOR_INT_DEBT","FQ2 2014","FQ2 2014","Currency=USD","Period=FQ","BEST_FPERIOD_OVERRIDE=FQ","FILING_STATUS=OR","SCALING_FORMAT=MLN","Sort=A","Dates=H","DateFormat=P","Fill=—","Direction=H","UseDPDF=Y")</f>
        <v>87</v>
      </c>
      <c r="AA56" s="16">
        <f>_xll.BDH("XOM US Equity","CF_ACT_CASH_PAID_FOR_INT_DEBT","FQ3 2014","FQ3 2014","Currency=USD","Period=FQ","BEST_FPERIOD_OVERRIDE=FQ","FILING_STATUS=OR","SCALING_FORMAT=MLN","Sort=A","Dates=H","DateFormat=P","Fill=—","Direction=H","UseDPDF=Y")</f>
        <v>121</v>
      </c>
      <c r="AB56" s="16">
        <f>_xll.BDH("XOM US Equity","CF_ACT_CASH_PAID_FOR_INT_DEBT","FQ4 2014","FQ4 2014","Currency=USD","Period=FQ","BEST_FPERIOD_OVERRIDE=FQ","FILING_STATUS=OR","SCALING_FORMAT=MLN","Sort=A","Dates=H","DateFormat=P","Fill=—","Direction=H","UseDPDF=Y")</f>
        <v>85</v>
      </c>
      <c r="AC56" s="16">
        <f>_xll.BDH("XOM US Equity","CF_ACT_CASH_PAID_FOR_INT_DEBT","FQ1 2015","FQ1 2015","Currency=USD","Period=FQ","BEST_FPERIOD_OVERRIDE=FQ","FILING_STATUS=OR","SCALING_FORMAT=MLN","Sort=A","Dates=H","DateFormat=P","Fill=—","Direction=H","UseDPDF=Y")</f>
        <v>170</v>
      </c>
      <c r="AD56" s="16">
        <f>_xll.BDH("XOM US Equity","CF_ACT_CASH_PAID_FOR_INT_DEBT","FQ2 2015","FQ2 2015","Currency=USD","Period=FQ","BEST_FPERIOD_OVERRIDE=FQ","FILING_STATUS=OR","SCALING_FORMAT=MLN","Sort=A","Dates=H","DateFormat=P","Fill=—","Direction=H","UseDPDF=Y")</f>
        <v>93</v>
      </c>
      <c r="AE56" s="16">
        <f>_xll.BDH("XOM US Equity","CF_ACT_CASH_PAID_FOR_INT_DEBT","FQ3 2015","FQ3 2015","Currency=USD","Period=FQ","BEST_FPERIOD_OVERRIDE=FQ","FILING_STATUS=OR","SCALING_FORMAT=MLN","Sort=A","Dates=H","DateFormat=P","Fill=—","Direction=H","UseDPDF=Y")</f>
        <v>196</v>
      </c>
      <c r="AF56" s="16">
        <f>_xll.BDH("XOM US Equity","CF_ACT_CASH_PAID_FOR_INT_DEBT","FQ4 2015","FQ4 2015","Currency=USD","Period=FQ","BEST_FPERIOD_OVERRIDE=FQ","FILING_STATUS=OR","SCALING_FORMAT=MLN","Sort=A","Dates=H","DateFormat=P","Fill=—","Direction=H","UseDPDF=Y")</f>
        <v>127</v>
      </c>
      <c r="AG56" s="16">
        <f>_xll.BDH("XOM US Equity","CF_ACT_CASH_PAID_FOR_INT_DEBT","FQ1 2016","FQ1 2016","Currency=USD","Period=FQ","BEST_FPERIOD_OVERRIDE=FQ","FILING_STATUS=OR","SCALING_FORMAT=MLN","Sort=A","Dates=H","DateFormat=P","Fill=—","Direction=H","UseDPDF=Y")</f>
        <v>223</v>
      </c>
      <c r="AH56" s="16">
        <f>_xll.BDH("XOM US Equity","CF_ACT_CASH_PAID_FOR_INT_DEBT","FQ2 2016","FQ2 2016","Currency=USD","Period=FQ","BEST_FPERIOD_OVERRIDE=FQ","FILING_STATUS=OR","SCALING_FORMAT=MLN","Sort=A","Dates=H","DateFormat=P","Fill=—","Direction=H","UseDPDF=Y")</f>
        <v>111</v>
      </c>
      <c r="AI56" s="16">
        <f>_xll.BDH("XOM US Equity","CF_ACT_CASH_PAID_FOR_INT_DEBT","FQ3 2016","FQ3 2016","Currency=USD","Period=FQ","BEST_FPERIOD_OVERRIDE=FQ","FILING_STATUS=OR","SCALING_FORMAT=MLN","Sort=A","Dates=H","DateFormat=P","Fill=—","Direction=H","UseDPDF=Y")</f>
        <v>375</v>
      </c>
      <c r="AJ56" s="16">
        <f>_xll.BDH("XOM US Equity","CF_ACT_CASH_PAID_FOR_INT_DEBT","FQ4 2016","FQ4 2016","Currency=USD","Period=FQ","BEST_FPERIOD_OVERRIDE=FQ","FILING_STATUS=OR","SCALING_FORMAT=MLN","Sort=A","Dates=H","DateFormat=P","Fill=—","Direction=H","UseDPDF=Y")</f>
        <v>109</v>
      </c>
      <c r="AK56" s="16">
        <f>_xll.BDH("XOM US Equity","CF_ACT_CASH_PAID_FOR_INT_DEBT","FQ1 2017","FQ1 2017","Currency=USD","Period=FQ","BEST_FPERIOD_OVERRIDE=FQ","FILING_STATUS=OR","SCALING_FORMAT=MLN","Sort=A","Dates=H","DateFormat=P","Fill=—","Direction=H","UseDPDF=Y")</f>
        <v>368</v>
      </c>
      <c r="AL56" s="16">
        <f>_xll.BDH("XOM US Equity","CF_ACT_CASH_PAID_FOR_INT_DEBT","FQ2 2017","FQ2 2017","Currency=USD","Period=FQ","BEST_FPERIOD_OVERRIDE=FQ","FILING_STATUS=OR","SCALING_FORMAT=MLN","Sort=A","Dates=H","DateFormat=P","Fill=—","Direction=H","UseDPDF=Y")</f>
        <v>219</v>
      </c>
      <c r="AM56" s="16">
        <f>_xll.BDH("XOM US Equity","CF_ACT_CASH_PAID_FOR_INT_DEBT","FQ3 2017","FQ3 2017","Currency=USD","Period=FQ","BEST_FPERIOD_OVERRIDE=FQ","FILING_STATUS=OR","SCALING_FORMAT=MLN","Sort=A","Dates=H","DateFormat=P","Fill=—","Direction=H","UseDPDF=Y")</f>
        <v>378</v>
      </c>
      <c r="AN56" s="16">
        <f>_xll.BDH("XOM US Equity","CF_ACT_CASH_PAID_FOR_INT_DEBT","FQ4 2017","FQ4 2017","Currency=USD","Period=FQ","BEST_FPERIOD_OVERRIDE=FQ","FILING_STATUS=OR","SCALING_FORMAT=MLN","Sort=A","Dates=H","DateFormat=P","Fill=—","Direction=H","UseDPDF=Y")</f>
        <v>167</v>
      </c>
      <c r="AO56" s="16">
        <f>_xll.BDH("XOM US Equity","CF_ACT_CASH_PAID_FOR_INT_DEBT","FQ1 2018","FQ1 2018","Currency=USD","Period=FQ","BEST_FPERIOD_OVERRIDE=FQ","FILING_STATUS=OR","SCALING_FORMAT=MLN","Sort=A","Dates=H","DateFormat=P","Fill=—","Direction=H","UseDPDF=Y")</f>
        <v>360</v>
      </c>
      <c r="AP56" s="16">
        <f>_xll.BDH("XOM US Equity","CF_ACT_CASH_PAID_FOR_INT_DEBT","FQ2 2018","FQ2 2018","Currency=USD","Period=FQ","BEST_FPERIOD_OVERRIDE=FQ","FILING_STATUS=OR","SCALING_FORMAT=MLN","Sort=A","Dates=H","DateFormat=P","Fill=—","Direction=H","UseDPDF=Y")</f>
        <v>117</v>
      </c>
    </row>
    <row r="57" spans="1:42" x14ac:dyDescent="0.25">
      <c r="A57" s="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x14ac:dyDescent="0.25">
      <c r="A58" s="6" t="s">
        <v>3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x14ac:dyDescent="0.25">
      <c r="A59" s="10" t="s">
        <v>184</v>
      </c>
      <c r="B59" s="10" t="s">
        <v>184</v>
      </c>
      <c r="C59" s="13">
        <f>_xll.BDH("XOM US Equity","EBITDA","FQ3 2008","FQ3 2008","Currency=USD","Period=FQ","BEST_FPERIOD_OVERRIDE=FQ","FILING_STATUS=OR","SCALING_FORMAT=MLN","FA_ADJUSTED=GAAP","Sort=A","Dates=H","DateFormat=P","Fill=—","Direction=H","UseDPDF=Y")</f>
        <v>24367</v>
      </c>
      <c r="D59" s="13">
        <f>_xll.BDH("XOM US Equity","EBITDA","FQ4 2008","FQ4 2008","Currency=USD","Period=FQ","BEST_FPERIOD_OVERRIDE=FQ","FILING_STATUS=OR","SCALING_FORMAT=MLN","FA_ADJUSTED=GAAP","Sort=A","Dates=H","DateFormat=P","Fill=—","Direction=H","UseDPDF=Y")</f>
        <v>12071</v>
      </c>
      <c r="E59" s="13">
        <f>_xll.BDH("XOM US Equity","EBITDA","FQ1 2009","FQ1 2009","Currency=USD","Period=FQ","BEST_FPERIOD_OVERRIDE=FQ","FILING_STATUS=OR","SCALING_FORMAT=MLN","FA_ADJUSTED=GAAP","Sort=A","Dates=H","DateFormat=P","Fill=—","Direction=H","UseDPDF=Y")</f>
        <v>8850</v>
      </c>
      <c r="F59" s="13">
        <f>_xll.BDH("XOM US Equity","EBITDA","FQ2 2009","FQ2 2009","Currency=USD","Period=FQ","BEST_FPERIOD_OVERRIDE=FQ","FILING_STATUS=OR","SCALING_FORMAT=MLN","FA_ADJUSTED=GAAP","Sort=A","Dates=H","DateFormat=P","Fill=—","Direction=H","UseDPDF=Y")</f>
        <v>8574</v>
      </c>
      <c r="G59" s="13">
        <f>_xll.BDH("XOM US Equity","EBITDA","FQ3 2009","FQ3 2009","Currency=USD","Period=FQ","BEST_FPERIOD_OVERRIDE=FQ","FILING_STATUS=OR","SCALING_FORMAT=MLN","FA_ADJUSTED=GAAP","Sort=A","Dates=H","DateFormat=P","Fill=—","Direction=H","UseDPDF=Y")</f>
        <v>10023</v>
      </c>
      <c r="H59" s="13">
        <f>_xll.BDH("XOM US Equity","EBITDA","FQ4 2009","FQ4 2009","Currency=USD","Period=FQ","BEST_FPERIOD_OVERRIDE=FQ","FILING_STATUS=OR","SCALING_FORMAT=MLN","FA_ADJUSTED=GAAP","Sort=A","Dates=H","DateFormat=P","Fill=—","Direction=H","UseDPDF=Y")</f>
        <v>10709</v>
      </c>
      <c r="I59" s="13">
        <f>_xll.BDH("XOM US Equity","EBITDA","FQ1 2010","FQ1 2010","Currency=USD","Period=FQ","BEST_FPERIOD_OVERRIDE=FQ","FILING_STATUS=OR","SCALING_FORMAT=MLN","FA_ADJUSTED=GAAP","Sort=A","Dates=H","DateFormat=P","Fill=—","Direction=H","UseDPDF=Y")</f>
        <v>12189</v>
      </c>
      <c r="J59" s="13">
        <f>_xll.BDH("XOM US Equity","EBITDA","FQ2 2010","FQ2 2010","Currency=USD","Period=FQ","BEST_FPERIOD_OVERRIDE=FQ","FILING_STATUS=OR","SCALING_FORMAT=MLN","FA_ADJUSTED=GAAP","Sort=A","Dates=H","DateFormat=P","Fill=—","Direction=H","UseDPDF=Y")</f>
        <v>13319</v>
      </c>
      <c r="K59" s="13">
        <f>_xll.BDH("XOM US Equity","EBITDA","FQ3 2010","FQ3 2010","Currency=USD","Period=FQ","BEST_FPERIOD_OVERRIDE=FQ","FILING_STATUS=OR","SCALING_FORMAT=MLN","FA_ADJUSTED=GAAP","Sort=A","Dates=H","DateFormat=P","Fill=—","Direction=H","UseDPDF=Y")</f>
        <v>13811</v>
      </c>
      <c r="L59" s="13">
        <f>_xll.BDH("XOM US Equity","EBITDA","FQ4 2010","FQ4 2010","Currency=USD","Period=FQ","BEST_FPERIOD_OVERRIDE=FQ","FILING_STATUS=OR","SCALING_FORMAT=MLN","FA_ADJUSTED=GAAP","Sort=A","Dates=H","DateFormat=P","Fill=—","Direction=H","UseDPDF=Y")</f>
        <v>15563</v>
      </c>
      <c r="M59" s="13">
        <f>_xll.BDH("XOM US Equity","EBITDA","FQ1 2011","FQ1 2011","Currency=USD","Period=FQ","BEST_FPERIOD_OVERRIDE=FQ","FILING_STATUS=OR","SCALING_FORMAT=MLN","FA_ADJUSTED=GAAP","Sort=A","Dates=H","DateFormat=P","Fill=—","Direction=H","UseDPDF=Y")</f>
        <v>17954</v>
      </c>
      <c r="N59" s="13">
        <f>_xll.BDH("XOM US Equity","EBITDA","FQ2 2011","FQ2 2011","Currency=USD","Period=FQ","BEST_FPERIOD_OVERRIDE=FQ","FILING_STATUS=OR","SCALING_FORMAT=MLN","FA_ADJUSTED=GAAP","Sort=A","Dates=H","DateFormat=P","Fill=—","Direction=H","UseDPDF=Y")</f>
        <v>18453</v>
      </c>
      <c r="O59" s="13">
        <f>_xll.BDH("XOM US Equity","EBITDA","FQ3 2011","FQ3 2011","Currency=USD","Period=FQ","BEST_FPERIOD_OVERRIDE=FQ","FILING_STATUS=OR","SCALING_FORMAT=MLN","FA_ADJUSTED=GAAP","Sort=A","Dates=H","DateFormat=P","Fill=—","Direction=H","UseDPDF=Y")</f>
        <v>17789</v>
      </c>
      <c r="P59" s="13">
        <f>_xll.BDH("XOM US Equity","EBITDA","FQ4 2011","FQ4 2011","Currency=USD","Period=FQ","BEST_FPERIOD_OVERRIDE=FQ","FILING_STATUS=OR","SCALING_FORMAT=MLN","FA_ADJUSTED=GAAP","Sort=A","Dates=H","DateFormat=P","Fill=—","Direction=H","UseDPDF=Y")</f>
        <v>15491</v>
      </c>
      <c r="Q59" s="13">
        <f>_xll.BDH("XOM US Equity","EBITDA","FQ1 2012","FQ1 2012","Currency=USD","Period=FQ","BEST_FPERIOD_OVERRIDE=FQ","FILING_STATUS=OR","SCALING_FORMAT=MLN","FA_ADJUSTED=GAAP","Sort=A","Dates=H","DateFormat=P","Fill=—","Direction=H","UseDPDF=Y")</f>
        <v>16600</v>
      </c>
      <c r="R59" s="13">
        <f>_xll.BDH("XOM US Equity","EBITDA","FQ2 2012","FQ2 2012","Currency=USD","Period=FQ","BEST_FPERIOD_OVERRIDE=FQ","FILING_STATUS=OR","SCALING_FORMAT=MLN","FA_ADJUSTED=GAAP","Sort=A","Dates=H","DateFormat=P","Fill=—","Direction=H","UseDPDF=Y")</f>
        <v>15522</v>
      </c>
      <c r="S59" s="13">
        <f>_xll.BDH("XOM US Equity","EBITDA","FQ3 2012","FQ3 2012","Currency=USD","Period=FQ","BEST_FPERIOD_OVERRIDE=FQ","FILING_STATUS=OR","SCALING_FORMAT=MLN","FA_ADJUSTED=GAAP","Sort=A","Dates=H","DateFormat=P","Fill=—","Direction=H","UseDPDF=Y")</f>
        <v>17264</v>
      </c>
      <c r="T59" s="13">
        <f>_xll.BDH("XOM US Equity","EBITDA","FQ4 2012","FQ4 2012","Currency=USD","Period=FQ","BEST_FPERIOD_OVERRIDE=FQ","FILING_STATUS=OR","SCALING_FORMAT=MLN","FA_ADJUSTED=GAAP","Sort=A","Dates=H","DateFormat=P","Fill=—","Direction=H","UseDPDF=Y")</f>
        <v>16383</v>
      </c>
      <c r="U59" s="13">
        <f>_xll.BDH("XOM US Equity","EBITDA","FQ1 2013","FQ1 2013","Currency=USD","Period=FQ","BEST_FPERIOD_OVERRIDE=FQ","FILING_STATUS=OR","SCALING_FORMAT=MLN","FA_ADJUSTED=GAAP","Sort=A","Dates=H","DateFormat=P","Fill=—","Direction=H","UseDPDF=Y")</f>
        <v>15193</v>
      </c>
      <c r="V59" s="13">
        <f>_xll.BDH("XOM US Equity","EBITDA","FQ2 2013","FQ2 2013","Currency=USD","Period=FQ","BEST_FPERIOD_OVERRIDE=FQ","FILING_STATUS=OR","SCALING_FORMAT=MLN","FA_ADJUSTED=GAAP","Sort=A","Dates=H","DateFormat=P","Fill=—","Direction=H","UseDPDF=Y")</f>
        <v>13642</v>
      </c>
      <c r="W59" s="13">
        <f>_xll.BDH("XOM US Equity","EBITDA","FQ3 2013","FQ3 2013","Currency=USD","Period=FQ","BEST_FPERIOD_OVERRIDE=FQ","FILING_STATUS=OR","SCALING_FORMAT=MLN","FA_ADJUSTED=GAAP","Sort=A","Dates=H","DateFormat=P","Fill=—","Direction=H","UseDPDF=Y")</f>
        <v>14546</v>
      </c>
      <c r="X59" s="13">
        <f>_xll.BDH("XOM US Equity","EBITDA","FQ4 2013","FQ4 2013","Currency=USD","Period=FQ","BEST_FPERIOD_OVERRIDE=FQ","FILING_STATUS=OR","SCALING_FORMAT=MLN","FA_ADJUSTED=GAAP","Sort=A","Dates=H","DateFormat=P","Fill=—","Direction=H","UseDPDF=Y")</f>
        <v>14102</v>
      </c>
      <c r="Y59" s="13">
        <f>_xll.BDH("XOM US Equity","EBITDA","FQ1 2014","FQ1 2014","Currency=USD","Period=FQ","BEST_FPERIOD_OVERRIDE=FQ","FILING_STATUS=OR","SCALING_FORMAT=MLN","FA_ADJUSTED=GAAP","Sort=A","Dates=H","DateFormat=P","Fill=—","Direction=H","UseDPDF=Y")</f>
        <v>14472</v>
      </c>
      <c r="Z59" s="13">
        <f>_xll.BDH("XOM US Equity","EBITDA","FQ2 2014","FQ2 2014","Currency=USD","Period=FQ","BEST_FPERIOD_OVERRIDE=FQ","FILING_STATUS=OR","SCALING_FORMAT=MLN","FA_ADJUSTED=GAAP","Sort=A","Dates=H","DateFormat=P","Fill=—","Direction=H","UseDPDF=Y")</f>
        <v>13011</v>
      </c>
      <c r="AA59" s="13">
        <f>_xll.BDH("XOM US Equity","EBITDA","FQ3 2014","FQ3 2014","Currency=USD","Period=FQ","BEST_FPERIOD_OVERRIDE=FQ","FILING_STATUS=OR","SCALING_FORMAT=MLN","FA_ADJUSTED=GAAP","Sort=A","Dates=H","DateFormat=P","Fill=—","Direction=H","UseDPDF=Y")</f>
        <v>13936</v>
      </c>
      <c r="AB59" s="13">
        <f>_xll.BDH("XOM US Equity","EBITDA","FQ4 2014","FQ4 2014","Currency=USD","Period=FQ","BEST_FPERIOD_OVERRIDE=FQ","FILING_STATUS=OR","SCALING_FORMAT=MLN","FA_ADJUSTED=GAAP","Sort=A","Dates=H","DateFormat=P","Fill=—","Direction=H","UseDPDF=Y")</f>
        <v>9960</v>
      </c>
      <c r="AC59" s="13">
        <f>_xll.BDH("XOM US Equity","EBITDA","FQ1 2015","FQ1 2015","Currency=USD","Period=FQ","BEST_FPERIOD_OVERRIDE=FQ","FILING_STATUS=OR","SCALING_FORMAT=MLN","FA_ADJUSTED=GAAP","Sort=A","Dates=H","DateFormat=P","Fill=—","Direction=H","UseDPDF=Y")</f>
        <v>8163</v>
      </c>
      <c r="AD59" s="13">
        <f>_xll.BDH("XOM US Equity","EBITDA","FQ2 2015","FQ2 2015","Currency=USD","Period=FQ","BEST_FPERIOD_OVERRIDE=FQ","FILING_STATUS=OR","SCALING_FORMAT=MLN","FA_ADJUSTED=GAAP","Sort=A","Dates=H","DateFormat=P","Fill=—","Direction=H","UseDPDF=Y")</f>
        <v>8737</v>
      </c>
      <c r="AE59" s="13">
        <f>_xll.BDH("XOM US Equity","EBITDA","FQ3 2015","FQ3 2015","Currency=USD","Period=FQ","BEST_FPERIOD_OVERRIDE=FQ","FILING_STATUS=OR","SCALING_FORMAT=MLN","FA_ADJUSTED=GAAP","Sort=A","Dates=H","DateFormat=P","Fill=—","Direction=H","UseDPDF=Y")</f>
        <v>8704</v>
      </c>
      <c r="AF59" s="13">
        <f>_xll.BDH("XOM US Equity","EBITDA","FQ4 2015","FQ4 2015","Currency=USD","Period=FQ","BEST_FPERIOD_OVERRIDE=FQ","FILING_STATUS=OR","SCALING_FORMAT=MLN","FA_ADJUSTED=GAAP","Sort=A","Dates=H","DateFormat=P","Fill=—","Direction=H","UseDPDF=Y")</f>
        <v>5327</v>
      </c>
      <c r="AG59" s="13">
        <f>_xll.BDH("XOM US Equity","EBITDA","FQ1 2016","FQ1 2016","Currency=USD","Period=FQ","BEST_FPERIOD_OVERRIDE=FQ","FILING_STATUS=OR","SCALING_FORMAT=MLN","FA_ADJUSTED=GAAP","Sort=A","Dates=H","DateFormat=P","Fill=—","Direction=H","UseDPDF=Y")</f>
        <v>4970</v>
      </c>
      <c r="AH59" s="13">
        <f>_xll.BDH("XOM US Equity","EBITDA","FQ2 2016","FQ2 2016","Currency=USD","Period=FQ","BEST_FPERIOD_OVERRIDE=FQ","FILING_STATUS=OR","SCALING_FORMAT=MLN","FA_ADJUSTED=GAAP","Sort=A","Dates=H","DateFormat=P","Fill=—","Direction=H","UseDPDF=Y")</f>
        <v>5958</v>
      </c>
      <c r="AI59" s="13">
        <f>_xll.BDH("XOM US Equity","EBITDA","FQ3 2016","FQ3 2016","Currency=USD","Period=FQ","BEST_FPERIOD_OVERRIDE=FQ","FILING_STATUS=OR","SCALING_FORMAT=MLN","FA_ADJUSTED=GAAP","Sort=A","Dates=H","DateFormat=P","Fill=—","Direction=H","UseDPDF=Y")</f>
        <v>6027</v>
      </c>
      <c r="AJ59" s="13">
        <f>_xll.BDH("XOM US Equity","EBITDA","FQ4 2016","FQ4 2016","Currency=USD","Period=FQ","BEST_FPERIOD_OVERRIDE=FQ","FILING_STATUS=OR","SCALING_FORMAT=MLN","FA_ADJUSTED=GAAP","Sort=A","Dates=H","DateFormat=P","Fill=—","Direction=H","UseDPDF=Y")</f>
        <v>6289</v>
      </c>
      <c r="AK59" s="13">
        <f>_xll.BDH("XOM US Equity","EBITDA","FQ1 2017","FQ1 2017","Currency=USD","Period=FQ","BEST_FPERIOD_OVERRIDE=FQ","FILING_STATUS=OR","SCALING_FORMAT=MLN","FA_ADJUSTED=GAAP","Sort=A","Dates=H","DateFormat=P","Fill=—","Direction=H","UseDPDF=Y")</f>
        <v>8386</v>
      </c>
      <c r="AL59" s="13">
        <f>_xll.BDH("XOM US Equity","EBITDA","FQ2 2017","FQ2 2017","Currency=USD","Period=FQ","BEST_FPERIOD_OVERRIDE=FQ","FILING_STATUS=OR","SCALING_FORMAT=MLN","FA_ADJUSTED=GAAP","Sort=A","Dates=H","DateFormat=P","Fill=—","Direction=H","UseDPDF=Y")</f>
        <v>6915</v>
      </c>
      <c r="AM59" s="13">
        <f>_xll.BDH("XOM US Equity","EBITDA","FQ3 2017","FQ3 2017","Currency=USD","Period=FQ","BEST_FPERIOD_OVERRIDE=FQ","FILING_STATUS=OR","SCALING_FORMAT=MLN","FA_ADJUSTED=GAAP","Sort=A","Dates=H","DateFormat=P","Fill=—","Direction=H","UseDPDF=Y")</f>
        <v>8824</v>
      </c>
      <c r="AN59" s="13">
        <f>_xll.BDH("XOM US Equity","EBITDA","FQ4 2017","FQ4 2017","Currency=USD","Period=FQ","BEST_FPERIOD_OVERRIDE=FQ","FILING_STATUS=OR","SCALING_FORMAT=MLN","FA_ADJUSTED=GAAP","Sort=A","Dates=H","DateFormat=P","Fill=—","Direction=H","UseDPDF=Y")</f>
        <v>7842</v>
      </c>
      <c r="AO59" s="13">
        <f>_xll.BDH("XOM US Equity","EBITDA","FQ1 2018","FQ1 2018","Currency=USD","Period=FQ","BEST_FPERIOD_OVERRIDE=FQ","FILING_STATUS=OR","SCALING_FORMAT=MLN","FA_ADJUSTED=GAAP","Sort=A","Dates=H","DateFormat=P","Fill=—","Direction=H","UseDPDF=Y")</f>
        <v>9476</v>
      </c>
      <c r="AP59" s="13">
        <f>_xll.BDH("XOM US Equity","EBITDA","FQ2 2018","FQ2 2018","Currency=USD","Period=FQ","BEST_FPERIOD_OVERRIDE=FQ","FILING_STATUS=OR","SCALING_FORMAT=MLN","FA_ADJUSTED=GAAP","Sort=A","Dates=H","DateFormat=P","Fill=—","Direction=H","UseDPDF=Y")</f>
        <v>9203</v>
      </c>
    </row>
    <row r="60" spans="1:42" x14ac:dyDescent="0.25">
      <c r="A60" s="10" t="s">
        <v>445</v>
      </c>
      <c r="B60" s="10" t="s">
        <v>186</v>
      </c>
      <c r="C60" s="14">
        <f>_xll.BDH("XOM US Equity","EBITDA_MARGIN","FQ3 2008","FQ3 2008","Currency=USD","Period=FQ","BEST_FPERIOD_OVERRIDE=FQ","FILING_STATUS=OR","FA_ADJUSTED=GAAP","Sort=A","Dates=H","DateFormat=P","Fill=—","Direction=H","UseDPDF=Y")</f>
        <v>18.723600000000001</v>
      </c>
      <c r="D60" s="14">
        <f>_xll.BDH("XOM US Equity","EBITDA_MARGIN","FQ4 2008","FQ4 2008","Currency=USD","Period=FQ","BEST_FPERIOD_OVERRIDE=FQ","FILING_STATUS=OR","FA_ADJUSTED=GAAP","Sort=A","Dates=H","DateFormat=P","Fill=—","Direction=H","UseDPDF=Y")</f>
        <v>18.507300000000001</v>
      </c>
      <c r="E60" s="14">
        <f>_xll.BDH("XOM US Equity","EBITDA_MARGIN","FQ1 2009","FQ1 2009","Currency=USD","Period=FQ","BEST_FPERIOD_OVERRIDE=FQ","FILING_STATUS=OR","FA_ADJUSTED=GAAP","Sort=A","Dates=H","DateFormat=P","Fill=—","Direction=H","UseDPDF=Y")</f>
        <v>17.694500000000001</v>
      </c>
      <c r="F60" s="14">
        <f>_xll.BDH("XOM US Equity","EBITDA_MARGIN","FQ2 2009","FQ2 2009","Currency=USD","Period=FQ","BEST_FPERIOD_OVERRIDE=FQ","FILING_STATUS=OR","FA_ADJUSTED=GAAP","Sort=A","Dates=H","DateFormat=P","Fill=—","Direction=H","UseDPDF=Y")</f>
        <v>16.926300000000001</v>
      </c>
      <c r="G60" s="14">
        <f>_xll.BDH("XOM US Equity","EBITDA_MARGIN","FQ3 2009","FQ3 2009","Currency=USD","Period=FQ","BEST_FPERIOD_OVERRIDE=FQ","FILING_STATUS=OR","FA_ADJUSTED=GAAP","Sort=A","Dates=H","DateFormat=P","Fill=—","Direction=H","UseDPDF=Y")</f>
        <v>14.704800000000001</v>
      </c>
      <c r="H60" s="14">
        <f>_xll.BDH("XOM US Equity","EBITDA_MARGIN","FQ4 2009","FQ4 2009","Currency=USD","Period=FQ","BEST_FPERIOD_OVERRIDE=FQ","FILING_STATUS=OR","FA_ADJUSTED=GAAP","Sort=A","Dates=H","DateFormat=P","Fill=—","Direction=H","UseDPDF=Y")</f>
        <v>13.846500000000001</v>
      </c>
      <c r="I60" s="14">
        <f>_xll.BDH("XOM US Equity","EBITDA_MARGIN","FQ1 2010","FQ1 2010","Currency=USD","Period=FQ","BEST_FPERIOD_OVERRIDE=FQ","FILING_STATUS=OR","FA_ADJUSTED=GAAP","Sort=A","Dates=H","DateFormat=P","Fill=—","Direction=H","UseDPDF=Y")</f>
        <v>13.851800000000001</v>
      </c>
      <c r="J60" s="14">
        <f>_xll.BDH("XOM US Equity","EBITDA_MARGIN","FQ2 2010","FQ2 2010","Currency=USD","Period=FQ","BEST_FPERIOD_OVERRIDE=FQ","FILING_STATUS=OR","FA_ADJUSTED=GAAP","Sort=A","Dates=H","DateFormat=P","Fill=—","Direction=H","UseDPDF=Y")</f>
        <v>14.616300000000001</v>
      </c>
      <c r="K60" s="14">
        <f>_xll.BDH("XOM US Equity","EBITDA_MARGIN","FQ3 2010","FQ3 2010","Currency=USD","Period=FQ","BEST_FPERIOD_OVERRIDE=FQ","FILING_STATUS=OR","FA_ADJUSTED=GAAP","Sort=A","Dates=H","DateFormat=P","Fill=—","Direction=H","UseDPDF=Y")</f>
        <v>15.240500000000001</v>
      </c>
      <c r="L60" s="14">
        <f>_xll.BDH("XOM US Equity","EBITDA_MARGIN","FQ4 2010","FQ4 2010","Currency=USD","Period=FQ","BEST_FPERIOD_OVERRIDE=FQ","FILING_STATUS=OR","FA_ADJUSTED=GAAP","Sort=A","Dates=H","DateFormat=P","Fill=—","Direction=H","UseDPDF=Y")</f>
        <v>16.0672</v>
      </c>
      <c r="M60" s="14">
        <f>_xll.BDH("XOM US Equity","EBITDA_MARGIN","FQ1 2011","FQ1 2011","Currency=USD","Period=FQ","BEST_FPERIOD_OVERRIDE=FQ","FILING_STATUS=OR","FA_ADJUSTED=GAAP","Sort=A","Dates=H","DateFormat=P","Fill=—","Direction=H","UseDPDF=Y")</f>
        <v>16.721399999999999</v>
      </c>
      <c r="N60" s="14">
        <f>_xll.BDH("XOM US Equity","EBITDA_MARGIN","FQ2 2011","FQ2 2011","Currency=USD","Period=FQ","BEST_FPERIOD_OVERRIDE=FQ","FILING_STATUS=OR","FA_ADJUSTED=GAAP","Sort=A","Dates=H","DateFormat=P","Fill=—","Direction=H","UseDPDF=Y")</f>
        <v>16.7499</v>
      </c>
      <c r="O60" s="14">
        <f>_xll.BDH("XOM US Equity","EBITDA_MARGIN","FQ3 2011","FQ3 2011","Currency=USD","Period=FQ","BEST_FPERIOD_OVERRIDE=FQ","FILING_STATUS=OR","FA_ADJUSTED=GAAP","Sort=A","Dates=H","DateFormat=P","Fill=—","Direction=H","UseDPDF=Y")</f>
        <v>16.627700000000001</v>
      </c>
      <c r="P60" s="14">
        <f>_xll.BDH("XOM US Equity","EBITDA_MARGIN","FQ4 2011","FQ4 2011","Currency=USD","Period=FQ","BEST_FPERIOD_OVERRIDE=FQ","FILING_STATUS=OR","FA_ADJUSTED=GAAP","Sort=A","Dates=H","DateFormat=P","Fill=—","Direction=H","UseDPDF=Y")</f>
        <v>16.0745</v>
      </c>
      <c r="Q60" s="14">
        <f>_xll.BDH("XOM US Equity","EBITDA_MARGIN","FQ1 2012","FQ1 2012","Currency=USD","Period=FQ","BEST_FPERIOD_OVERRIDE=FQ","FILING_STATUS=OR","FA_ADJUSTED=GAAP","Sort=A","Dates=H","DateFormat=P","Fill=—","Direction=H","UseDPDF=Y")</f>
        <v>15.429</v>
      </c>
      <c r="R60" s="14">
        <f>_xll.BDH("XOM US Equity","EBITDA_MARGIN","FQ2 2012","FQ2 2012","Currency=USD","Period=FQ","BEST_FPERIOD_OVERRIDE=FQ","FILING_STATUS=OR","FA_ADJUSTED=GAAP","Sort=A","Dates=H","DateFormat=P","Fill=—","Direction=H","UseDPDF=Y")</f>
        <v>15.041</v>
      </c>
      <c r="S60" s="14">
        <f>_xll.BDH("XOM US Equity","EBITDA_MARGIN","FQ3 2012","FQ3 2012","Currency=USD","Period=FQ","BEST_FPERIOD_OVERRIDE=FQ","FILING_STATUS=OR","FA_ADJUSTED=GAAP","Sort=A","Dates=H","DateFormat=P","Fill=—","Direction=H","UseDPDF=Y")</f>
        <v>15.2204</v>
      </c>
      <c r="T60" s="14">
        <f>_xll.BDH("XOM US Equity","EBITDA_MARGIN","FQ4 2012","FQ4 2012","Currency=USD","Period=FQ","BEST_FPERIOD_OVERRIDE=FQ","FILING_STATUS=OR","FA_ADJUSTED=GAAP","Sort=A","Dates=H","DateFormat=P","Fill=—","Direction=H","UseDPDF=Y")</f>
        <v>15.6714</v>
      </c>
      <c r="U60" s="14">
        <f>_xll.BDH("XOM US Equity","EBITDA_MARGIN","FQ1 2013","FQ1 2013","Currency=USD","Period=FQ","BEST_FPERIOD_OVERRIDE=FQ","FILING_STATUS=OR","FA_ADJUSTED=GAAP","Sort=A","Dates=H","DateFormat=P","Fill=—","Direction=H","UseDPDF=Y")</f>
        <v>15.8795</v>
      </c>
      <c r="V60" s="14">
        <f>_xll.BDH("XOM US Equity","EBITDA_MARGIN","FQ2 2013","FQ2 2013","Currency=USD","Period=FQ","BEST_FPERIOD_OVERRIDE=FQ","FILING_STATUS=OR","FA_ADJUSTED=GAAP","Sort=A","Dates=H","DateFormat=P","Fill=—","Direction=H","UseDPDF=Y")</f>
        <v>15.782299999999999</v>
      </c>
      <c r="W60" s="14">
        <f>_xll.BDH("XOM US Equity","EBITDA_MARGIN","FQ3 2013","FQ3 2013","Currency=USD","Period=FQ","BEST_FPERIOD_OVERRIDE=FQ","FILING_STATUS=OR","FA_ADJUSTED=GAAP","Sort=A","Dates=H","DateFormat=P","Fill=—","Direction=H","UseDPDF=Y")</f>
        <v>15.178100000000001</v>
      </c>
      <c r="X60" s="14">
        <f>_xll.BDH("XOM US Equity","EBITDA_MARGIN","FQ4 2013","FQ4 2013","Currency=USD","Period=FQ","BEST_FPERIOD_OVERRIDE=FQ","FILING_STATUS=OR","FA_ADJUSTED=GAAP","Sort=A","Dates=H","DateFormat=P","Fill=—","Direction=H","UseDPDF=Y")</f>
        <v>14.712899999999999</v>
      </c>
      <c r="Y60" s="14">
        <f>_xll.BDH("XOM US Equity","EBITDA_MARGIN","FQ1 2014","FQ1 2014","Currency=USD","Period=FQ","BEST_FPERIOD_OVERRIDE=FQ","FILING_STATUS=OR","FA_ADJUSTED=GAAP","Sort=A","Dates=H","DateFormat=P","Fill=—","Direction=H","UseDPDF=Y")</f>
        <v>14.6028</v>
      </c>
      <c r="Z60" s="14">
        <f>_xll.BDH("XOM US Equity","EBITDA_MARGIN","FQ2 2014","FQ2 2014","Currency=USD","Period=FQ","BEST_FPERIOD_OVERRIDE=FQ","FILING_STATUS=OR","FA_ADJUSTED=GAAP","Sort=A","Dates=H","DateFormat=P","Fill=—","Direction=H","UseDPDF=Y")</f>
        <v>14.354100000000001</v>
      </c>
      <c r="AA60" s="14">
        <f>_xll.BDH("XOM US Equity","EBITDA_MARGIN","FQ3 2014","FQ3 2014","Currency=USD","Period=FQ","BEST_FPERIOD_OVERRIDE=FQ","FILING_STATUS=OR","FA_ADJUSTED=GAAP","Sort=A","Dates=H","DateFormat=P","Fill=—","Direction=H","UseDPDF=Y")</f>
        <v>14.3782</v>
      </c>
      <c r="AB60" s="14">
        <f>_xll.BDH("XOM US Equity","EBITDA_MARGIN","FQ4 2014","FQ4 2014","Currency=USD","Period=FQ","BEST_FPERIOD_OVERRIDE=FQ","FILING_STATUS=OR","FA_ADJUSTED=GAAP","Sort=A","Dates=H","DateFormat=P","Fill=—","Direction=H","UseDPDF=Y")</f>
        <v>14.133900000000001</v>
      </c>
      <c r="AC60" s="14">
        <f>_xll.BDH("XOM US Equity","EBITDA_MARGIN","FQ1 2015","FQ1 2015","Currency=USD","Period=FQ","BEST_FPERIOD_OVERRIDE=FQ","FILING_STATUS=OR","FA_ADJUSTED=GAAP","Sort=A","Dates=H","DateFormat=P","Fill=—","Direction=H","UseDPDF=Y")</f>
        <v>13.705400000000001</v>
      </c>
      <c r="AD60" s="14">
        <f>_xll.BDH("XOM US Equity","EBITDA_MARGIN","FQ2 2015","FQ2 2015","Currency=USD","Period=FQ","BEST_FPERIOD_OVERRIDE=FQ","FILING_STATUS=OR","FA_ADJUSTED=GAAP","Sort=A","Dates=H","DateFormat=P","Fill=—","Direction=H","UseDPDF=Y")</f>
        <v>13.764099999999999</v>
      </c>
      <c r="AE60" s="14">
        <f>_xll.BDH("XOM US Equity","EBITDA_MARGIN","FQ3 2015","FQ3 2015","Currency=USD","Period=FQ","BEST_FPERIOD_OVERRIDE=FQ","FILING_STATUS=OR","FA_ADJUSTED=GAAP","Sort=A","Dates=H","DateFormat=P","Fill=—","Direction=H","UseDPDF=Y")</f>
        <v>13.648300000000001</v>
      </c>
      <c r="AF60" s="14">
        <f>_xll.BDH("XOM US Equity","EBITDA_MARGIN","FQ4 2015","FQ4 2015","Currency=USD","Period=FQ","BEST_FPERIOD_OVERRIDE=FQ","FILING_STATUS=OR","FA_ADJUSTED=GAAP","Sort=A","Dates=H","DateFormat=P","Fill=—","Direction=H","UseDPDF=Y")</f>
        <v>13.061500000000001</v>
      </c>
      <c r="AG60" s="14">
        <f>_xll.BDH("XOM US Equity","EBITDA_MARGIN","FQ1 2016","FQ1 2016","Currency=USD","Period=FQ","BEST_FPERIOD_OVERRIDE=FQ","FILING_STATUS=OR","FA_ADJUSTED=GAAP","Sort=A","Dates=H","DateFormat=P","Fill=—","Direction=H","UseDPDF=Y")</f>
        <v>12.615500000000001</v>
      </c>
      <c r="AH60" s="14">
        <f>_xll.BDH("XOM US Equity","EBITDA_MARGIN","FQ2 2016","FQ2 2016","Currency=USD","Period=FQ","BEST_FPERIOD_OVERRIDE=FQ","FILING_STATUS=OR","FA_ADJUSTED=GAAP","Sort=A","Dates=H","DateFormat=P","Fill=—","Direction=H","UseDPDF=Y")</f>
        <v>12.151299999999999</v>
      </c>
      <c r="AI60" s="14">
        <f>_xll.BDH("XOM US Equity","EBITDA_MARGIN","FQ3 2016","FQ3 2016","Currency=USD","Period=FQ","BEST_FPERIOD_OVERRIDE=FQ","FILING_STATUS=OR","FA_ADJUSTED=GAAP","Sort=A","Dates=H","DateFormat=P","Fill=—","Direction=H","UseDPDF=Y")</f>
        <v>11.3184</v>
      </c>
      <c r="AJ60" s="14">
        <f>_xll.BDH("XOM US Equity","EBITDA_MARGIN","FQ4 2016","FQ4 2016","Currency=USD","Period=FQ","BEST_FPERIOD_OVERRIDE=FQ","FILING_STATUS=OR","FA_ADJUSTED=GAAP","Sort=A","Dates=H","DateFormat=P","Fill=—","Direction=H","UseDPDF=Y")</f>
        <v>11.768000000000001</v>
      </c>
      <c r="AK60" s="14">
        <f>_xll.BDH("XOM US Equity","EBITDA_MARGIN","FQ1 2017","FQ1 2017","Currency=USD","Period=FQ","BEST_FPERIOD_OVERRIDE=FQ","FILING_STATUS=OR","FA_ADJUSTED=GAAP","Sort=A","Dates=H","DateFormat=P","Fill=—","Direction=H","UseDPDF=Y")</f>
        <v>12.4346</v>
      </c>
      <c r="AL60" s="14">
        <f>_xll.BDH("XOM US Equity","EBITDA_MARGIN","FQ2 2017","FQ2 2017","Currency=USD","Period=FQ","BEST_FPERIOD_OVERRIDE=FQ","FILING_STATUS=OR","FA_ADJUSTED=GAAP","Sort=A","Dates=H","DateFormat=P","Fill=—","Direction=H","UseDPDF=Y")</f>
        <v>12.7553</v>
      </c>
      <c r="AM60" s="14">
        <f>_xll.BDH("XOM US Equity","EBITDA_MARGIN","FQ3 2017","FQ3 2017","Currency=USD","Period=FQ","BEST_FPERIOD_OVERRIDE=FQ","FILING_STATUS=OR","FA_ADJUSTED=GAAP","Sort=A","Dates=H","DateFormat=P","Fill=—","Direction=H","UseDPDF=Y")</f>
        <v>13.5357</v>
      </c>
      <c r="AN60" s="14">
        <f>_xll.BDH("XOM US Equity","EBITDA_MARGIN","FQ4 2017","FQ4 2017","Currency=USD","Period=FQ","BEST_FPERIOD_OVERRIDE=FQ","FILING_STATUS=OR","FA_ADJUSTED=GAAP","Sort=A","Dates=H","DateFormat=P","Fill=—","Direction=H","UseDPDF=Y")</f>
        <v>13.613099999999999</v>
      </c>
      <c r="AO60" s="14">
        <f>_xll.BDH("XOM US Equity","EBITDA_MARGIN","FQ1 2018","FQ1 2018","Currency=USD","Period=FQ","BEST_FPERIOD_OVERRIDE=FQ","FILING_STATUS=OR","FA_ADJUSTED=GAAP","Sort=A","Dates=H","DateFormat=P","Fill=—","Direction=H","UseDPDF=Y")</f>
        <v>13.409000000000001</v>
      </c>
      <c r="AP60" s="14">
        <f>_xll.BDH("XOM US Equity","EBITDA_MARGIN","FQ2 2018","FQ2 2018","Currency=USD","Period=FQ","BEST_FPERIOD_OVERRIDE=FQ","FILING_STATUS=OR","FA_ADJUSTED=GAAP","Sort=A","Dates=H","DateFormat=P","Fill=—","Direction=H","UseDPDF=Y")</f>
        <v>13.492599999999999</v>
      </c>
    </row>
    <row r="61" spans="1:42" x14ac:dyDescent="0.25">
      <c r="A61" s="10" t="s">
        <v>446</v>
      </c>
      <c r="B61" s="10" t="s">
        <v>447</v>
      </c>
      <c r="C61" s="13" t="str">
        <f>_xll.BDH("XOM US Equity","CF_NET_CASH_PAID_FOR_AQUIS","FQ3 2008","FQ3 2008","Currency=USD","Period=FQ","BEST_FPERIOD_OVERRIDE=FQ","FILING_STATUS=OR","SCALING_FORMAT=MLN","Sort=A","Dates=H","DateFormat=P","Fill=—","Direction=H","UseDPDF=Y")</f>
        <v>—</v>
      </c>
      <c r="D61" s="13" t="str">
        <f>_xll.BDH("XOM US Equity","CF_NET_CASH_PAID_FOR_AQUIS","FQ4 2008","FQ4 2008","Currency=USD","Period=FQ","BEST_FPERIOD_OVERRIDE=FQ","FILING_STATUS=OR","SCALING_FORMAT=MLN","Sort=A","Dates=H","DateFormat=P","Fill=—","Direction=H","UseDPDF=Y")</f>
        <v>—</v>
      </c>
      <c r="E61" s="13" t="str">
        <f>_xll.BDH("XOM US Equity","CF_NET_CASH_PAID_FOR_AQUIS","FQ1 2009","FQ1 2009","Currency=USD","Period=FQ","BEST_FPERIOD_OVERRIDE=FQ","FILING_STATUS=OR","SCALING_FORMAT=MLN","Sort=A","Dates=H","DateFormat=P","Fill=—","Direction=H","UseDPDF=Y")</f>
        <v>—</v>
      </c>
      <c r="F61" s="13" t="str">
        <f>_xll.BDH("XOM US Equity","CF_NET_CASH_PAID_FOR_AQUIS","FQ2 2009","FQ2 2009","Currency=USD","Period=FQ","BEST_FPERIOD_OVERRIDE=FQ","FILING_STATUS=OR","SCALING_FORMAT=MLN","Sort=A","Dates=H","DateFormat=P","Fill=—","Direction=H","UseDPDF=Y")</f>
        <v>—</v>
      </c>
      <c r="G61" s="13" t="str">
        <f>_xll.BDH("XOM US Equity","CF_NET_CASH_PAID_FOR_AQUIS","FQ3 2009","FQ3 2009","Currency=USD","Period=FQ","BEST_FPERIOD_OVERRIDE=FQ","FILING_STATUS=OR","SCALING_FORMAT=MLN","Sort=A","Dates=H","DateFormat=P","Fill=—","Direction=H","UseDPDF=Y")</f>
        <v>—</v>
      </c>
      <c r="H61" s="13" t="str">
        <f>_xll.BDH("XOM US Equity","CF_NET_CASH_PAID_FOR_AQUIS","FQ4 2009","FQ4 2009","Currency=USD","Period=FQ","BEST_FPERIOD_OVERRIDE=FQ","FILING_STATUS=OR","SCALING_FORMAT=MLN","Sort=A","Dates=H","DateFormat=P","Fill=—","Direction=H","UseDPDF=Y")</f>
        <v>—</v>
      </c>
      <c r="I61" s="13" t="str">
        <f>_xll.BDH("XOM US Equity","CF_NET_CASH_PAID_FOR_AQUIS","FQ1 2010","FQ1 2010","Currency=USD","Period=FQ","BEST_FPERIOD_OVERRIDE=FQ","FILING_STATUS=OR","SCALING_FORMAT=MLN","Sort=A","Dates=H","DateFormat=P","Fill=—","Direction=H","UseDPDF=Y")</f>
        <v>—</v>
      </c>
      <c r="J61" s="13" t="str">
        <f>_xll.BDH("XOM US Equity","CF_NET_CASH_PAID_FOR_AQUIS","FQ2 2010","FQ2 2010","Currency=USD","Period=FQ","BEST_FPERIOD_OVERRIDE=FQ","FILING_STATUS=OR","SCALING_FORMAT=MLN","Sort=A","Dates=H","DateFormat=P","Fill=—","Direction=H","UseDPDF=Y")</f>
        <v>—</v>
      </c>
      <c r="K61" s="13" t="str">
        <f>_xll.BDH("XOM US Equity","CF_NET_CASH_PAID_FOR_AQUIS","FQ3 2010","FQ3 2010","Currency=USD","Period=FQ","BEST_FPERIOD_OVERRIDE=FQ","FILING_STATUS=OR","SCALING_FORMAT=MLN","Sort=A","Dates=H","DateFormat=P","Fill=—","Direction=H","UseDPDF=Y")</f>
        <v>—</v>
      </c>
      <c r="L61" s="13" t="str">
        <f>_xll.BDH("XOM US Equity","CF_NET_CASH_PAID_FOR_AQUIS","FQ4 2010","FQ4 2010","Currency=USD","Period=FQ","BEST_FPERIOD_OVERRIDE=FQ","FILING_STATUS=OR","SCALING_FORMAT=MLN","Sort=A","Dates=H","DateFormat=P","Fill=—","Direction=H","UseDPDF=Y")</f>
        <v>—</v>
      </c>
      <c r="M61" s="13" t="str">
        <f>_xll.BDH("XOM US Equity","CF_NET_CASH_PAID_FOR_AQUIS","FQ1 2011","FQ1 2011","Currency=USD","Period=FQ","BEST_FPERIOD_OVERRIDE=FQ","FILING_STATUS=OR","SCALING_FORMAT=MLN","Sort=A","Dates=H","DateFormat=P","Fill=—","Direction=H","UseDPDF=Y")</f>
        <v>—</v>
      </c>
      <c r="N61" s="13" t="str">
        <f>_xll.BDH("XOM US Equity","CF_NET_CASH_PAID_FOR_AQUIS","FQ2 2011","FQ2 2011","Currency=USD","Period=FQ","BEST_FPERIOD_OVERRIDE=FQ","FILING_STATUS=OR","SCALING_FORMAT=MLN","Sort=A","Dates=H","DateFormat=P","Fill=—","Direction=H","UseDPDF=Y")</f>
        <v>—</v>
      </c>
      <c r="O61" s="13" t="str">
        <f>_xll.BDH("XOM US Equity","CF_NET_CASH_PAID_FOR_AQUIS","FQ3 2011","FQ3 2011","Currency=USD","Period=FQ","BEST_FPERIOD_OVERRIDE=FQ","FILING_STATUS=OR","SCALING_FORMAT=MLN","Sort=A","Dates=H","DateFormat=P","Fill=—","Direction=H","UseDPDF=Y")</f>
        <v>—</v>
      </c>
      <c r="P61" s="13" t="str">
        <f>_xll.BDH("XOM US Equity","CF_NET_CASH_PAID_FOR_AQUIS","FQ4 2011","FQ4 2011","Currency=USD","Period=FQ","BEST_FPERIOD_OVERRIDE=FQ","FILING_STATUS=OR","SCALING_FORMAT=MLN","Sort=A","Dates=H","DateFormat=P","Fill=—","Direction=H","UseDPDF=Y")</f>
        <v>—</v>
      </c>
      <c r="Q61" s="13" t="str">
        <f>_xll.BDH("XOM US Equity","CF_NET_CASH_PAID_FOR_AQUIS","FQ1 2012","FQ1 2012","Currency=USD","Period=FQ","BEST_FPERIOD_OVERRIDE=FQ","FILING_STATUS=OR","SCALING_FORMAT=MLN","Sort=A","Dates=H","DateFormat=P","Fill=—","Direction=H","UseDPDF=Y")</f>
        <v>—</v>
      </c>
      <c r="R61" s="13" t="str">
        <f>_xll.BDH("XOM US Equity","CF_NET_CASH_PAID_FOR_AQUIS","FQ2 2012","FQ2 2012","Currency=USD","Period=FQ","BEST_FPERIOD_OVERRIDE=FQ","FILING_STATUS=OR","SCALING_FORMAT=MLN","Sort=A","Dates=H","DateFormat=P","Fill=—","Direction=H","UseDPDF=Y")</f>
        <v>—</v>
      </c>
      <c r="S61" s="13" t="str">
        <f>_xll.BDH("XOM US Equity","CF_NET_CASH_PAID_FOR_AQUIS","FQ3 2012","FQ3 2012","Currency=USD","Period=FQ","BEST_FPERIOD_OVERRIDE=FQ","FILING_STATUS=OR","SCALING_FORMAT=MLN","Sort=A","Dates=H","DateFormat=P","Fill=—","Direction=H","UseDPDF=Y")</f>
        <v>—</v>
      </c>
      <c r="T61" s="13" t="str">
        <f>_xll.BDH("XOM US Equity","CF_NET_CASH_PAID_FOR_AQUIS","FQ4 2012","FQ4 2012","Currency=USD","Period=FQ","BEST_FPERIOD_OVERRIDE=FQ","FILING_STATUS=OR","SCALING_FORMAT=MLN","Sort=A","Dates=H","DateFormat=P","Fill=—","Direction=H","UseDPDF=Y")</f>
        <v>—</v>
      </c>
      <c r="U61" s="13">
        <f>_xll.BDH("XOM US Equity","CF_NET_CASH_PAID_FOR_AQUIS","FQ1 2013","FQ1 2013","Currency=USD","Period=FQ","BEST_FPERIOD_OVERRIDE=FQ","FILING_STATUS=OR","SCALING_FORMAT=MLN","Sort=A","Dates=H","DateFormat=P","Fill=—","Direction=H","UseDPDF=Y")</f>
        <v>0</v>
      </c>
      <c r="V61" s="13">
        <f>_xll.BDH("XOM US Equity","CF_NET_CASH_PAID_FOR_AQUIS","FQ2 2013","FQ2 2013","Currency=USD","Period=FQ","BEST_FPERIOD_OVERRIDE=FQ","FILING_STATUS=OR","SCALING_FORMAT=MLN","Sort=A","Dates=H","DateFormat=P","Fill=—","Direction=H","UseDPDF=Y")</f>
        <v>0</v>
      </c>
      <c r="W61" s="13" t="str">
        <f>_xll.BDH("XOM US Equity","CF_NET_CASH_PAID_FOR_AQUIS","FQ3 2013","FQ3 2013","Currency=USD","Period=FQ","BEST_FPERIOD_OVERRIDE=FQ","FILING_STATUS=OR","SCALING_FORMAT=MLN","Sort=A","Dates=H","DateFormat=P","Fill=—","Direction=H","UseDPDF=Y")</f>
        <v>—</v>
      </c>
      <c r="X61" s="13" t="str">
        <f>_xll.BDH("XOM US Equity","CF_NET_CASH_PAID_FOR_AQUIS","FQ4 2013","FQ4 2013","Currency=USD","Period=FQ","BEST_FPERIOD_OVERRIDE=FQ","FILING_STATUS=OR","SCALING_FORMAT=MLN","Sort=A","Dates=H","DateFormat=P","Fill=—","Direction=H","UseDPDF=Y")</f>
        <v>—</v>
      </c>
      <c r="Y61" s="13">
        <f>_xll.BDH("XOM US Equity","CF_NET_CASH_PAID_FOR_AQUIS","FQ1 2014","FQ1 2014","Currency=USD","Period=FQ","BEST_FPERIOD_OVERRIDE=FQ","FILING_STATUS=OR","SCALING_FORMAT=MLN","Sort=A","Dates=H","DateFormat=P","Fill=—","Direction=H","UseDPDF=Y")</f>
        <v>0</v>
      </c>
      <c r="Z61" s="13">
        <f>_xll.BDH("XOM US Equity","CF_NET_CASH_PAID_FOR_AQUIS","FQ2 2014","FQ2 2014","Currency=USD","Period=FQ","BEST_FPERIOD_OVERRIDE=FQ","FILING_STATUS=OR","SCALING_FORMAT=MLN","Sort=A","Dates=H","DateFormat=P","Fill=—","Direction=H","UseDPDF=Y")</f>
        <v>0</v>
      </c>
      <c r="AA61" s="13">
        <f>_xll.BDH("XOM US Equity","CF_NET_CASH_PAID_FOR_AQUIS","FQ3 2014","FQ3 2014","Currency=USD","Period=FQ","BEST_FPERIOD_OVERRIDE=FQ","FILING_STATUS=OR","SCALING_FORMAT=MLN","Sort=A","Dates=H","DateFormat=P","Fill=—","Direction=H","UseDPDF=Y")</f>
        <v>0</v>
      </c>
      <c r="AB61" s="13">
        <f>_xll.BDH("XOM US Equity","CF_NET_CASH_PAID_FOR_AQUIS","FQ4 2014","FQ4 2014","Currency=USD","Period=FQ","BEST_FPERIOD_OVERRIDE=FQ","FILING_STATUS=OR","SCALING_FORMAT=MLN","Sort=A","Dates=H","DateFormat=P","Fill=—","Direction=H","UseDPDF=Y")</f>
        <v>0</v>
      </c>
      <c r="AC61" s="13" t="str">
        <f>_xll.BDH("XOM US Equity","CF_NET_CASH_PAID_FOR_AQUIS","FQ1 2015","FQ1 2015","Currency=USD","Period=FQ","BEST_FPERIOD_OVERRIDE=FQ","FILING_STATUS=OR","SCALING_FORMAT=MLN","Sort=A","Dates=H","DateFormat=P","Fill=—","Direction=H","UseDPDF=Y")</f>
        <v>—</v>
      </c>
      <c r="AD61" s="13" t="str">
        <f>_xll.BDH("XOM US Equity","CF_NET_CASH_PAID_FOR_AQUIS","FQ2 2015","FQ2 2015","Currency=USD","Period=FQ","BEST_FPERIOD_OVERRIDE=FQ","FILING_STATUS=OR","SCALING_FORMAT=MLN","Sort=A","Dates=H","DateFormat=P","Fill=—","Direction=H","UseDPDF=Y")</f>
        <v>—</v>
      </c>
      <c r="AE61" s="13">
        <f>_xll.BDH("XOM US Equity","CF_NET_CASH_PAID_FOR_AQUIS","FQ3 2015","FQ3 2015","Currency=USD","Period=FQ","BEST_FPERIOD_OVERRIDE=FQ","FILING_STATUS=OR","SCALING_FORMAT=MLN","Sort=A","Dates=H","DateFormat=P","Fill=—","Direction=H","UseDPDF=Y")</f>
        <v>0</v>
      </c>
      <c r="AF61" s="13">
        <f>_xll.BDH("XOM US Equity","CF_NET_CASH_PAID_FOR_AQUIS","FQ4 2015","FQ4 2015","Currency=USD","Period=FQ","BEST_FPERIOD_OVERRIDE=FQ","FILING_STATUS=OR","SCALING_FORMAT=MLN","Sort=A","Dates=H","DateFormat=P","Fill=—","Direction=H","UseDPDF=Y")</f>
        <v>0</v>
      </c>
      <c r="AG61" s="13" t="str">
        <f>_xll.BDH("XOM US Equity","CF_NET_CASH_PAID_FOR_AQUIS","FQ1 2016","FQ1 2016","Currency=USD","Period=FQ","BEST_FPERIOD_OVERRIDE=FQ","FILING_STATUS=OR","SCALING_FORMAT=MLN","Sort=A","Dates=H","DateFormat=P","Fill=—","Direction=H","UseDPDF=Y")</f>
        <v>—</v>
      </c>
      <c r="AH61" s="13" t="str">
        <f>_xll.BDH("XOM US Equity","CF_NET_CASH_PAID_FOR_AQUIS","FQ2 2016","FQ2 2016","Currency=USD","Period=FQ","BEST_FPERIOD_OVERRIDE=FQ","FILING_STATUS=OR","SCALING_FORMAT=MLN","Sort=A","Dates=H","DateFormat=P","Fill=—","Direction=H","UseDPDF=Y")</f>
        <v>—</v>
      </c>
      <c r="AI61" s="13" t="str">
        <f>_xll.BDH("XOM US Equity","CF_NET_CASH_PAID_FOR_AQUIS","FQ3 2016","FQ3 2016","Currency=USD","Period=FQ","BEST_FPERIOD_OVERRIDE=FQ","FILING_STATUS=OR","SCALING_FORMAT=MLN","Sort=A","Dates=H","DateFormat=P","Fill=—","Direction=H","UseDPDF=Y")</f>
        <v>—</v>
      </c>
      <c r="AJ61" s="13">
        <f>_xll.BDH("XOM US Equity","CF_NET_CASH_PAID_FOR_AQUIS","FQ4 2016","FQ4 2016","Currency=USD","Period=FQ","BEST_FPERIOD_OVERRIDE=FQ","FILING_STATUS=OR","SCALING_FORMAT=MLN","Sort=A","Dates=H","DateFormat=P","Fill=—","Direction=H","UseDPDF=Y")</f>
        <v>0</v>
      </c>
      <c r="AK61" s="13" t="str">
        <f>_xll.BDH("XOM US Equity","CF_NET_CASH_PAID_FOR_AQUIS","FQ1 2017","FQ1 2017","Currency=USD","Period=FQ","BEST_FPERIOD_OVERRIDE=FQ","FILING_STATUS=OR","SCALING_FORMAT=MLN","Sort=A","Dates=H","DateFormat=P","Fill=—","Direction=H","UseDPDF=Y")</f>
        <v>—</v>
      </c>
      <c r="AL61" s="13" t="str">
        <f>_xll.BDH("XOM US Equity","CF_NET_CASH_PAID_FOR_AQUIS","FQ2 2017","FQ2 2017","Currency=USD","Period=FQ","BEST_FPERIOD_OVERRIDE=FQ","FILING_STATUS=OR","SCALING_FORMAT=MLN","Sort=A","Dates=H","DateFormat=P","Fill=—","Direction=H","UseDPDF=Y")</f>
        <v>—</v>
      </c>
      <c r="AM61" s="13" t="str">
        <f>_xll.BDH("XOM US Equity","CF_NET_CASH_PAID_FOR_AQUIS","FQ3 2017","FQ3 2017","Currency=USD","Period=FQ","BEST_FPERIOD_OVERRIDE=FQ","FILING_STATUS=OR","SCALING_FORMAT=MLN","Sort=A","Dates=H","DateFormat=P","Fill=—","Direction=H","UseDPDF=Y")</f>
        <v>—</v>
      </c>
      <c r="AN61" s="13" t="str">
        <f>_xll.BDH("XOM US Equity","CF_NET_CASH_PAID_FOR_AQUIS","FQ4 2017","FQ4 2017","Currency=USD","Period=FQ","BEST_FPERIOD_OVERRIDE=FQ","FILING_STATUS=OR","SCALING_FORMAT=MLN","Sort=A","Dates=H","DateFormat=P","Fill=—","Direction=H","UseDPDF=Y")</f>
        <v>—</v>
      </c>
      <c r="AO61" s="13" t="str">
        <f>_xll.BDH("XOM US Equity","CF_NET_CASH_PAID_FOR_AQUIS","FQ1 2018","FQ1 2018","Currency=USD","Period=FQ","BEST_FPERIOD_OVERRIDE=FQ","FILING_STATUS=OR","SCALING_FORMAT=MLN","Sort=A","Dates=H","DateFormat=P","Fill=—","Direction=H","UseDPDF=Y")</f>
        <v>—</v>
      </c>
      <c r="AP61" s="13" t="str">
        <f>_xll.BDH("XOM US Equity","CF_NET_CASH_PAID_FOR_AQUIS","FQ2 2018","FQ2 2018","Currency=USD","Period=FQ","BEST_FPERIOD_OVERRIDE=FQ","FILING_STATUS=OR","SCALING_FORMAT=MLN","Sort=A","Dates=H","DateFormat=P","Fill=—","Direction=H","UseDPDF=Y")</f>
        <v>—</v>
      </c>
    </row>
    <row r="62" spans="1:42" x14ac:dyDescent="0.25">
      <c r="A62" s="10" t="s">
        <v>448</v>
      </c>
      <c r="B62" s="10" t="s">
        <v>449</v>
      </c>
      <c r="C62" s="13">
        <f>_xll.BDH("XOM US Equity","CF_TAX_BENEFIT_FRM_STOCK_OPTIONS","FQ3 2008","FQ3 2008","Currency=USD","Period=FQ","BEST_FPERIOD_OVERRIDE=FQ","FILING_STATUS=OR","SCALING_FORMAT=MLN","Sort=A","Dates=H","DateFormat=P","Fill=—","Direction=H","UseDPDF=Y")</f>
        <v>12</v>
      </c>
      <c r="D62" s="13">
        <f>_xll.BDH("XOM US Equity","CF_TAX_BENEFIT_FRM_STOCK_OPTIONS","FQ4 2008","FQ4 2008","Currency=USD","Period=FQ","BEST_FPERIOD_OVERRIDE=FQ","FILING_STATUS=OR","SCALING_FORMAT=MLN","Sort=A","Dates=H","DateFormat=P","Fill=—","Direction=H","UseDPDF=Y")</f>
        <v>171</v>
      </c>
      <c r="E62" s="13">
        <f>_xll.BDH("XOM US Equity","CF_TAX_BENEFIT_FRM_STOCK_OPTIONS","FQ1 2009","FQ1 2009","Currency=USD","Period=FQ","BEST_FPERIOD_OVERRIDE=FQ","FILING_STATUS=OR","SCALING_FORMAT=MLN","Sort=A","Dates=H","DateFormat=P","Fill=—","Direction=H","UseDPDF=Y")</f>
        <v>0</v>
      </c>
      <c r="F62" s="13" t="str">
        <f>_xll.BDH("XOM US Equity","CF_TAX_BENEFIT_FRM_STOCK_OPTIONS","FQ2 2009","FQ2 2009","Currency=USD","Period=FQ","BEST_FPERIOD_OVERRIDE=FQ","FILING_STATUS=OR","SCALING_FORMAT=MLN","Sort=A","Dates=H","DateFormat=P","Fill=—","Direction=H","UseDPDF=Y")</f>
        <v>—</v>
      </c>
      <c r="G62" s="13">
        <f>_xll.BDH("XOM US Equity","CF_TAX_BENEFIT_FRM_STOCK_OPTIONS","FQ3 2009","FQ3 2009","Currency=USD","Period=FQ","BEST_FPERIOD_OVERRIDE=FQ","FILING_STATUS=OR","SCALING_FORMAT=MLN","Sort=A","Dates=H","DateFormat=P","Fill=—","Direction=H","UseDPDF=Y")</f>
        <v>24</v>
      </c>
      <c r="H62" s="13">
        <f>_xll.BDH("XOM US Equity","CF_TAX_BENEFIT_FRM_STOCK_OPTIONS","FQ4 2009","FQ4 2009","Currency=USD","Period=FQ","BEST_FPERIOD_OVERRIDE=FQ","FILING_STATUS=OR","SCALING_FORMAT=MLN","Sort=A","Dates=H","DateFormat=P","Fill=—","Direction=H","UseDPDF=Y")</f>
        <v>158</v>
      </c>
      <c r="I62" s="13">
        <f>_xll.BDH("XOM US Equity","CF_TAX_BENEFIT_FRM_STOCK_OPTIONS","FQ1 2010","FQ1 2010","Currency=USD","Period=FQ","BEST_FPERIOD_OVERRIDE=FQ","FILING_STATUS=OR","SCALING_FORMAT=MLN","Sort=A","Dates=H","DateFormat=P","Fill=—","Direction=H","UseDPDF=Y")</f>
        <v>0</v>
      </c>
      <c r="J62" s="13">
        <f>_xll.BDH("XOM US Equity","CF_TAX_BENEFIT_FRM_STOCK_OPTIONS","FQ2 2010","FQ2 2010","Currency=USD","Period=FQ","BEST_FPERIOD_OVERRIDE=FQ","FILING_STATUS=OR","SCALING_FORMAT=MLN","Sort=A","Dates=H","DateFormat=P","Fill=—","Direction=H","UseDPDF=Y")</f>
        <v>28</v>
      </c>
      <c r="K62" s="13">
        <f>_xll.BDH("XOM US Equity","CF_TAX_BENEFIT_FRM_STOCK_OPTIONS","FQ3 2010","FQ3 2010","Currency=USD","Period=FQ","BEST_FPERIOD_OVERRIDE=FQ","FILING_STATUS=OR","SCALING_FORMAT=MLN","Sort=A","Dates=H","DateFormat=P","Fill=—","Direction=H","UseDPDF=Y")</f>
        <v>19</v>
      </c>
      <c r="L62" s="13">
        <f>_xll.BDH("XOM US Equity","CF_TAX_BENEFIT_FRM_STOCK_OPTIONS","FQ4 2010","FQ4 2010","Currency=USD","Period=FQ","BEST_FPERIOD_OVERRIDE=FQ","FILING_STATUS=OR","SCALING_FORMAT=MLN","Sort=A","Dates=H","DateFormat=P","Fill=—","Direction=H","UseDPDF=Y")</f>
        <v>75</v>
      </c>
      <c r="M62" s="13" t="str">
        <f>_xll.BDH("XOM US Equity","CF_TAX_BENEFIT_FRM_STOCK_OPTIONS","FQ1 2011","FQ1 2011","Currency=USD","Period=FQ","BEST_FPERIOD_OVERRIDE=FQ","FILING_STATUS=OR","SCALING_FORMAT=MLN","Sort=A","Dates=H","DateFormat=P","Fill=—","Direction=H","UseDPDF=Y")</f>
        <v>—</v>
      </c>
      <c r="N62" s="13">
        <f>_xll.BDH("XOM US Equity","CF_TAX_BENEFIT_FRM_STOCK_OPTIONS","FQ2 2011","FQ2 2011","Currency=USD","Period=FQ","BEST_FPERIOD_OVERRIDE=FQ","FILING_STATUS=OR","SCALING_FORMAT=MLN","Sort=A","Dates=H","DateFormat=P","Fill=—","Direction=H","UseDPDF=Y")</f>
        <v>171</v>
      </c>
      <c r="O62" s="13">
        <f>_xll.BDH("XOM US Equity","CF_TAX_BENEFIT_FRM_STOCK_OPTIONS","FQ3 2011","FQ3 2011","Currency=USD","Period=FQ","BEST_FPERIOD_OVERRIDE=FQ","FILING_STATUS=OR","SCALING_FORMAT=MLN","Sort=A","Dates=H","DateFormat=P","Fill=—","Direction=H","UseDPDF=Y")</f>
        <v>49</v>
      </c>
      <c r="P62" s="13">
        <f>_xll.BDH("XOM US Equity","CF_TAX_BENEFIT_FRM_STOCK_OPTIONS","FQ4 2011","FQ4 2011","Currency=USD","Period=FQ","BEST_FPERIOD_OVERRIDE=FQ","FILING_STATUS=OR","SCALING_FORMAT=MLN","Sort=A","Dates=H","DateFormat=P","Fill=—","Direction=H","UseDPDF=Y")</f>
        <v>40</v>
      </c>
      <c r="Q62" s="13" t="str">
        <f>_xll.BDH("XOM US Equity","CF_TAX_BENEFIT_FRM_STOCK_OPTIONS","FQ1 2012","FQ1 2012","Currency=USD","Period=FQ","BEST_FPERIOD_OVERRIDE=FQ","FILING_STATUS=OR","SCALING_FORMAT=MLN","Sort=A","Dates=H","DateFormat=P","Fill=—","Direction=H","UseDPDF=Y")</f>
        <v>—</v>
      </c>
      <c r="R62" s="13" t="str">
        <f>_xll.BDH("XOM US Equity","CF_TAX_BENEFIT_FRM_STOCK_OPTIONS","FQ2 2012","FQ2 2012","Currency=USD","Period=FQ","BEST_FPERIOD_OVERRIDE=FQ","FILING_STATUS=OR","SCALING_FORMAT=MLN","Sort=A","Dates=H","DateFormat=P","Fill=—","Direction=H","UseDPDF=Y")</f>
        <v>—</v>
      </c>
      <c r="S62" s="13">
        <f>_xll.BDH("XOM US Equity","CF_TAX_BENEFIT_FRM_STOCK_OPTIONS","FQ3 2012","FQ3 2012","Currency=USD","Period=FQ","BEST_FPERIOD_OVERRIDE=FQ","FILING_STATUS=OR","SCALING_FORMAT=MLN","Sort=A","Dates=H","DateFormat=P","Fill=—","Direction=H","UseDPDF=Y")</f>
        <v>0</v>
      </c>
      <c r="T62" s="13">
        <f>_xll.BDH("XOM US Equity","CF_TAX_BENEFIT_FRM_STOCK_OPTIONS","FQ4 2012","FQ4 2012","Currency=USD","Period=FQ","BEST_FPERIOD_OVERRIDE=FQ","FILING_STATUS=OR","SCALING_FORMAT=MLN","Sort=A","Dates=H","DateFormat=P","Fill=—","Direction=H","UseDPDF=Y")</f>
        <v>130</v>
      </c>
      <c r="U62" s="13" t="str">
        <f>_xll.BDH("XOM US Equity","CF_TAX_BENEFIT_FRM_STOCK_OPTIONS","FQ1 2013","FQ1 2013","Currency=USD","Period=FQ","BEST_FPERIOD_OVERRIDE=FQ","FILING_STATUS=OR","SCALING_FORMAT=MLN","Sort=A","Dates=H","DateFormat=P","Fill=—","Direction=H","UseDPDF=Y")</f>
        <v>—</v>
      </c>
      <c r="V62" s="13">
        <f>_xll.BDH("XOM US Equity","CF_TAX_BENEFIT_FRM_STOCK_OPTIONS","FQ2 2013","FQ2 2013","Currency=USD","Period=FQ","BEST_FPERIOD_OVERRIDE=FQ","FILING_STATUS=OR","SCALING_FORMAT=MLN","Sort=A","Dates=H","DateFormat=P","Fill=—","Direction=H","UseDPDF=Y")</f>
        <v>7</v>
      </c>
      <c r="W62" s="13">
        <f>_xll.BDH("XOM US Equity","CF_TAX_BENEFIT_FRM_STOCK_OPTIONS","FQ3 2013","FQ3 2013","Currency=USD","Period=FQ","BEST_FPERIOD_OVERRIDE=FQ","FILING_STATUS=OR","SCALING_FORMAT=MLN","Sort=A","Dates=H","DateFormat=P","Fill=—","Direction=H","UseDPDF=Y")</f>
        <v>7</v>
      </c>
      <c r="X62" s="13">
        <f>_xll.BDH("XOM US Equity","CF_TAX_BENEFIT_FRM_STOCK_OPTIONS","FQ4 2013","FQ4 2013","Currency=USD","Period=FQ","BEST_FPERIOD_OVERRIDE=FQ","FILING_STATUS=OR","SCALING_FORMAT=MLN","Sort=A","Dates=H","DateFormat=P","Fill=—","Direction=H","UseDPDF=Y")</f>
        <v>34</v>
      </c>
      <c r="Y62" s="13" t="str">
        <f>_xll.BDH("XOM US Equity","CF_TAX_BENEFIT_FRM_STOCK_OPTIONS","FQ1 2014","FQ1 2014","Currency=USD","Period=FQ","BEST_FPERIOD_OVERRIDE=FQ","FILING_STATUS=OR","SCALING_FORMAT=MLN","Sort=A","Dates=H","DateFormat=P","Fill=—","Direction=H","UseDPDF=Y")</f>
        <v>—</v>
      </c>
      <c r="Z62" s="13">
        <f>_xll.BDH("XOM US Equity","CF_TAX_BENEFIT_FRM_STOCK_OPTIONS","FQ2 2014","FQ2 2014","Currency=USD","Period=FQ","BEST_FPERIOD_OVERRIDE=FQ","FILING_STATUS=OR","SCALING_FORMAT=MLN","Sort=A","Dates=H","DateFormat=P","Fill=—","Direction=H","UseDPDF=Y")</f>
        <v>7</v>
      </c>
      <c r="AA62" s="13">
        <f>_xll.BDH("XOM US Equity","CF_TAX_BENEFIT_FRM_STOCK_OPTIONS","FQ3 2014","FQ3 2014","Currency=USD","Period=FQ","BEST_FPERIOD_OVERRIDE=FQ","FILING_STATUS=OR","SCALING_FORMAT=MLN","Sort=A","Dates=H","DateFormat=P","Fill=—","Direction=H","UseDPDF=Y")</f>
        <v>3</v>
      </c>
      <c r="AB62" s="13">
        <f>_xll.BDH("XOM US Equity","CF_TAX_BENEFIT_FRM_STOCK_OPTIONS","FQ4 2014","FQ4 2014","Currency=USD","Period=FQ","BEST_FPERIOD_OVERRIDE=FQ","FILING_STATUS=OR","SCALING_FORMAT=MLN","Sort=A","Dates=H","DateFormat=P","Fill=—","Direction=H","UseDPDF=Y")</f>
        <v>105</v>
      </c>
      <c r="AC62" s="13" t="str">
        <f>_xll.BDH("XOM US Equity","CF_TAX_BENEFIT_FRM_STOCK_OPTIONS","FQ1 2015","FQ1 2015","Currency=USD","Period=FQ","BEST_FPERIOD_OVERRIDE=FQ","FILING_STATUS=OR","SCALING_FORMAT=MLN","Sort=A","Dates=H","DateFormat=P","Fill=—","Direction=H","UseDPDF=Y")</f>
        <v>—</v>
      </c>
      <c r="AD62" s="13" t="str">
        <f>_xll.BDH("XOM US Equity","CF_TAX_BENEFIT_FRM_STOCK_OPTIONS","FQ2 2015","FQ2 2015","Currency=USD","Period=FQ","BEST_FPERIOD_OVERRIDE=FQ","FILING_STATUS=OR","SCALING_FORMAT=MLN","Sort=A","Dates=H","DateFormat=P","Fill=—","Direction=H","UseDPDF=Y")</f>
        <v>—</v>
      </c>
      <c r="AE62" s="13">
        <f>_xll.BDH("XOM US Equity","CF_TAX_BENEFIT_FRM_STOCK_OPTIONS","FQ3 2015","FQ3 2015","Currency=USD","Period=FQ","BEST_FPERIOD_OVERRIDE=FQ","FILING_STATUS=OR","SCALING_FORMAT=MLN","Sort=A","Dates=H","DateFormat=P","Fill=—","Direction=H","UseDPDF=Y")</f>
        <v>0</v>
      </c>
      <c r="AF62" s="13">
        <f>_xll.BDH("XOM US Equity","CF_TAX_BENEFIT_FRM_STOCK_OPTIONS","FQ4 2015","FQ4 2015","Currency=USD","Period=FQ","BEST_FPERIOD_OVERRIDE=FQ","FILING_STATUS=OR","SCALING_FORMAT=MLN","Sort=A","Dates=H","DateFormat=P","Fill=—","Direction=H","UseDPDF=Y")</f>
        <v>2</v>
      </c>
      <c r="AG62" s="13" t="str">
        <f>_xll.BDH("XOM US Equity","CF_TAX_BENEFIT_FRM_STOCK_OPTIONS","FQ1 2016","FQ1 2016","Currency=USD","Period=FQ","BEST_FPERIOD_OVERRIDE=FQ","FILING_STATUS=OR","SCALING_FORMAT=MLN","Sort=A","Dates=H","DateFormat=P","Fill=—","Direction=H","UseDPDF=Y")</f>
        <v>—</v>
      </c>
      <c r="AH62" s="13" t="str">
        <f>_xll.BDH("XOM US Equity","CF_TAX_BENEFIT_FRM_STOCK_OPTIONS","FQ2 2016","FQ2 2016","Currency=USD","Period=FQ","BEST_FPERIOD_OVERRIDE=FQ","FILING_STATUS=OR","SCALING_FORMAT=MLN","Sort=A","Dates=H","DateFormat=P","Fill=—","Direction=H","UseDPDF=Y")</f>
        <v>—</v>
      </c>
      <c r="AI62" s="13" t="str">
        <f>_xll.BDH("XOM US Equity","CF_TAX_BENEFIT_FRM_STOCK_OPTIONS","FQ3 2016","FQ3 2016","Currency=USD","Period=FQ","BEST_FPERIOD_OVERRIDE=FQ","FILING_STATUS=OR","SCALING_FORMAT=MLN","Sort=A","Dates=H","DateFormat=P","Fill=—","Direction=H","UseDPDF=Y")</f>
        <v>—</v>
      </c>
      <c r="AJ62" s="13" t="str">
        <f>_xll.BDH("XOM US Equity","CF_TAX_BENEFIT_FRM_STOCK_OPTIONS","FQ4 2016","FQ4 2016","Currency=USD","Period=FQ","BEST_FPERIOD_OVERRIDE=FQ","FILING_STATUS=OR","SCALING_FORMAT=MLN","Sort=A","Dates=H","DateFormat=P","Fill=—","Direction=H","UseDPDF=Y")</f>
        <v>—</v>
      </c>
      <c r="AK62" s="13" t="str">
        <f>_xll.BDH("XOM US Equity","CF_TAX_BENEFIT_FRM_STOCK_OPTIONS","FQ1 2017","FQ1 2017","Currency=USD","Period=FQ","BEST_FPERIOD_OVERRIDE=FQ","FILING_STATUS=OR","SCALING_FORMAT=MLN","Sort=A","Dates=H","DateFormat=P","Fill=—","Direction=H","UseDPDF=Y")</f>
        <v>—</v>
      </c>
      <c r="AL62" s="13" t="str">
        <f>_xll.BDH("XOM US Equity","CF_TAX_BENEFIT_FRM_STOCK_OPTIONS","FQ2 2017","FQ2 2017","Currency=USD","Period=FQ","BEST_FPERIOD_OVERRIDE=FQ","FILING_STATUS=OR","SCALING_FORMAT=MLN","Sort=A","Dates=H","DateFormat=P","Fill=—","Direction=H","UseDPDF=Y")</f>
        <v>—</v>
      </c>
      <c r="AM62" s="13" t="str">
        <f>_xll.BDH("XOM US Equity","CF_TAX_BENEFIT_FRM_STOCK_OPTIONS","FQ3 2017","FQ3 2017","Currency=USD","Period=FQ","BEST_FPERIOD_OVERRIDE=FQ","FILING_STATUS=OR","SCALING_FORMAT=MLN","Sort=A","Dates=H","DateFormat=P","Fill=—","Direction=H","UseDPDF=Y")</f>
        <v>—</v>
      </c>
      <c r="AN62" s="13" t="str">
        <f>_xll.BDH("XOM US Equity","CF_TAX_BENEFIT_FRM_STOCK_OPTIONS","FQ4 2017","FQ4 2017","Currency=USD","Period=FQ","BEST_FPERIOD_OVERRIDE=FQ","FILING_STATUS=OR","SCALING_FORMAT=MLN","Sort=A","Dates=H","DateFormat=P","Fill=—","Direction=H","UseDPDF=Y")</f>
        <v>—</v>
      </c>
      <c r="AO62" s="13" t="str">
        <f>_xll.BDH("XOM US Equity","CF_TAX_BENEFIT_FRM_STOCK_OPTIONS","FQ1 2018","FQ1 2018","Currency=USD","Period=FQ","BEST_FPERIOD_OVERRIDE=FQ","FILING_STATUS=OR","SCALING_FORMAT=MLN","Sort=A","Dates=H","DateFormat=P","Fill=—","Direction=H","UseDPDF=Y")</f>
        <v>—</v>
      </c>
      <c r="AP62" s="13" t="str">
        <f>_xll.BDH("XOM US Equity","CF_TAX_BENEFIT_FRM_STOCK_OPTIONS","FQ2 2018","FQ2 2018","Currency=USD","Period=FQ","BEST_FPERIOD_OVERRIDE=FQ","FILING_STATUS=OR","SCALING_FORMAT=MLN","Sort=A","Dates=H","DateFormat=P","Fill=—","Direction=H","UseDPDF=Y")</f>
        <v>—</v>
      </c>
    </row>
    <row r="63" spans="1:42" x14ac:dyDescent="0.25">
      <c r="A63" s="10" t="s">
        <v>450</v>
      </c>
      <c r="B63" s="10" t="s">
        <v>451</v>
      </c>
      <c r="C63" s="13">
        <f>_xll.BDH("XOM US Equity","CF_FREE_CASH_FLOW","FQ3 2008","FQ3 2008","Currency=USD","Period=FQ","BEST_FPERIOD_OVERRIDE=FQ","FILING_STATUS=OR","SCALING_FORMAT=MLN","Sort=A","Dates=H","DateFormat=P","Fill=—","Direction=H","UseDPDF=Y")</f>
        <v>9261</v>
      </c>
      <c r="D63" s="13">
        <f>_xll.BDH("XOM US Equity","CF_FREE_CASH_FLOW","FQ4 2008","FQ4 2008","Currency=USD","Period=FQ","BEST_FPERIOD_OVERRIDE=FQ","FILING_STATUS=OR","SCALING_FORMAT=MLN","Sort=A","Dates=H","DateFormat=P","Fill=—","Direction=H","UseDPDF=Y")</f>
        <v>5159</v>
      </c>
      <c r="E63" s="13">
        <f>_xll.BDH("XOM US Equity","CF_FREE_CASH_FLOW","FQ1 2009","FQ1 2009","Currency=USD","Period=FQ","BEST_FPERIOD_OVERRIDE=FQ","FILING_STATUS=OR","SCALING_FORMAT=MLN","Sort=A","Dates=H","DateFormat=P","Fill=—","Direction=H","UseDPDF=Y")</f>
        <v>4237</v>
      </c>
      <c r="F63" s="13">
        <f>_xll.BDH("XOM US Equity","CF_FREE_CASH_FLOW","FQ2 2009","FQ2 2009","Currency=USD","Period=FQ","BEST_FPERIOD_OVERRIDE=FQ","FILING_STATUS=OR","SCALING_FORMAT=MLN","Sort=A","Dates=H","DateFormat=P","Fill=—","Direction=H","UseDPDF=Y")</f>
        <v>-3368</v>
      </c>
      <c r="G63" s="13">
        <f>_xll.BDH("XOM US Equity","CF_FREE_CASH_FLOW","FQ3 2009","FQ3 2009","Currency=USD","Period=FQ","BEST_FPERIOD_OVERRIDE=FQ","FILING_STATUS=OR","SCALING_FORMAT=MLN","Sort=A","Dates=H","DateFormat=P","Fill=—","Direction=H","UseDPDF=Y")</f>
        <v>3337</v>
      </c>
      <c r="H63" s="13">
        <f>_xll.BDH("XOM US Equity","CF_FREE_CASH_FLOW","FQ4 2009","FQ4 2009","Currency=USD","Period=FQ","BEST_FPERIOD_OVERRIDE=FQ","FILING_STATUS=OR","SCALING_FORMAT=MLN","Sort=A","Dates=H","DateFormat=P","Fill=—","Direction=H","UseDPDF=Y")</f>
        <v>1741</v>
      </c>
      <c r="I63" s="13">
        <f>_xll.BDH("XOM US Equity","CF_FREE_CASH_FLOW","FQ1 2010","FQ1 2010","Currency=USD","Period=FQ","BEST_FPERIOD_OVERRIDE=FQ","FILING_STATUS=OR","SCALING_FORMAT=MLN","Sort=A","Dates=H","DateFormat=P","Fill=—","Direction=H","UseDPDF=Y")</f>
        <v>7290</v>
      </c>
      <c r="J63" s="13">
        <f>_xll.BDH("XOM US Equity","CF_FREE_CASH_FLOW","FQ2 2010","FQ2 2010","Currency=USD","Period=FQ","BEST_FPERIOD_OVERRIDE=FQ","FILING_STATUS=OR","SCALING_FORMAT=MLN","Sort=A","Dates=H","DateFormat=P","Fill=—","Direction=H","UseDPDF=Y")</f>
        <v>3591</v>
      </c>
      <c r="K63" s="13">
        <f>_xll.BDH("XOM US Equity","CF_FREE_CASH_FLOW","FQ3 2010","FQ3 2010","Currency=USD","Period=FQ","BEST_FPERIOD_OVERRIDE=FQ","FILING_STATUS=OR","SCALING_FORMAT=MLN","Sort=A","Dates=H","DateFormat=P","Fill=—","Direction=H","UseDPDF=Y")</f>
        <v>5276</v>
      </c>
      <c r="L63" s="13">
        <f>_xll.BDH("XOM US Equity","CF_FREE_CASH_FLOW","FQ4 2010","FQ4 2010","Currency=USD","Period=FQ","BEST_FPERIOD_OVERRIDE=FQ","FILING_STATUS=OR","SCALING_FORMAT=MLN","Sort=A","Dates=H","DateFormat=P","Fill=—","Direction=H","UseDPDF=Y")</f>
        <v>5385</v>
      </c>
      <c r="M63" s="13">
        <f>_xll.BDH("XOM US Equity","CF_FREE_CASH_FLOW","FQ1 2011","FQ1 2011","Currency=USD","Period=FQ","BEST_FPERIOD_OVERRIDE=FQ","FILING_STATUS=OR","SCALING_FORMAT=MLN","Sort=A","Dates=H","DateFormat=P","Fill=—","Direction=H","UseDPDF=Y")</f>
        <v>9805</v>
      </c>
      <c r="N63" s="13">
        <f>_xll.BDH("XOM US Equity","CF_FREE_CASH_FLOW","FQ2 2011","FQ2 2011","Currency=USD","Period=FQ","BEST_FPERIOD_OVERRIDE=FQ","FILING_STATUS=OR","SCALING_FORMAT=MLN","Sort=A","Dates=H","DateFormat=P","Fill=—","Direction=H","UseDPDF=Y")</f>
        <v>5077</v>
      </c>
      <c r="O63" s="13">
        <f>_xll.BDH("XOM US Equity","CF_FREE_CASH_FLOW","FQ3 2011","FQ3 2011","Currency=USD","Period=FQ","BEST_FPERIOD_OVERRIDE=FQ","FILING_STATUS=OR","SCALING_FORMAT=MLN","Sort=A","Dates=H","DateFormat=P","Fill=—","Direction=H","UseDPDF=Y")</f>
        <v>7371</v>
      </c>
      <c r="P63" s="13">
        <f>_xll.BDH("XOM US Equity","CF_FREE_CASH_FLOW","FQ4 2011","FQ4 2011","Currency=USD","Period=FQ","BEST_FPERIOD_OVERRIDE=FQ","FILING_STATUS=OR","SCALING_FORMAT=MLN","Sort=A","Dates=H","DateFormat=P","Fill=—","Direction=H","UseDPDF=Y")</f>
        <v>2117</v>
      </c>
      <c r="Q63" s="13">
        <f>_xll.BDH("XOM US Equity","CF_FREE_CASH_FLOW","FQ1 2012","FQ1 2012","Currency=USD","Period=FQ","BEST_FPERIOD_OVERRIDE=FQ","FILING_STATUS=OR","SCALING_FORMAT=MLN","Sort=A","Dates=H","DateFormat=P","Fill=—","Direction=H","UseDPDF=Y")</f>
        <v>11444</v>
      </c>
      <c r="R63" s="13">
        <f>_xll.BDH("XOM US Equity","CF_FREE_CASH_FLOW","FQ2 2012","FQ2 2012","Currency=USD","Period=FQ","BEST_FPERIOD_OVERRIDE=FQ","FILING_STATUS=OR","SCALING_FORMAT=MLN","Sort=A","Dates=H","DateFormat=P","Fill=—","Direction=H","UseDPDF=Y")</f>
        <v>1872</v>
      </c>
      <c r="S63" s="13">
        <f>_xll.BDH("XOM US Equity","CF_FREE_CASH_FLOW","FQ3 2012","FQ3 2012","Currency=USD","Period=FQ","BEST_FPERIOD_OVERRIDE=FQ","FILING_STATUS=OR","SCALING_FORMAT=MLN","Sort=A","Dates=H","DateFormat=P","Fill=—","Direction=H","UseDPDF=Y")</f>
        <v>5416</v>
      </c>
      <c r="T63" s="13">
        <f>_xll.BDH("XOM US Equity","CF_FREE_CASH_FLOW","FQ4 2012","FQ4 2012","Currency=USD","Period=FQ","BEST_FPERIOD_OVERRIDE=FQ","FILING_STATUS=OR","SCALING_FORMAT=MLN","Sort=A","Dates=H","DateFormat=P","Fill=—","Direction=H","UseDPDF=Y")</f>
        <v>3167</v>
      </c>
      <c r="U63" s="13">
        <f>_xll.BDH("XOM US Equity","CF_FREE_CASH_FLOW","FQ1 2013","FQ1 2013","Currency=USD","Period=FQ","BEST_FPERIOD_OVERRIDE=FQ","FILING_STATUS=OR","SCALING_FORMAT=MLN","Sort=A","Dates=H","DateFormat=P","Fill=—","Direction=H","UseDPDF=Y")</f>
        <v>6098</v>
      </c>
      <c r="V63" s="13">
        <f>_xll.BDH("XOM US Equity","CF_FREE_CASH_FLOW","FQ2 2013","FQ2 2013","Currency=USD","Period=FQ","BEST_FPERIOD_OVERRIDE=FQ","FILING_STATUS=OR","SCALING_FORMAT=MLN","Sort=A","Dates=H","DateFormat=P","Fill=—","Direction=H","UseDPDF=Y")</f>
        <v>-968</v>
      </c>
      <c r="W63" s="13">
        <f>_xll.BDH("XOM US Equity","CF_FREE_CASH_FLOW","FQ3 2013","FQ3 2013","Currency=USD","Period=FQ","BEST_FPERIOD_OVERRIDE=FQ","FILING_STATUS=OR","SCALING_FORMAT=MLN","Sort=A","Dates=H","DateFormat=P","Fill=—","Direction=H","UseDPDF=Y")</f>
        <v>4333</v>
      </c>
      <c r="X63" s="13">
        <f>_xll.BDH("XOM US Equity","CF_FREE_CASH_FLOW","FQ4 2013","FQ4 2013","Currency=USD","Period=FQ","BEST_FPERIOD_OVERRIDE=FQ","FILING_STATUS=OR","SCALING_FORMAT=MLN","Sort=A","Dates=H","DateFormat=P","Fill=—","Direction=H","UseDPDF=Y")</f>
        <v>1782</v>
      </c>
      <c r="Y63" s="13">
        <f>_xll.BDH("XOM US Equity","CF_FREE_CASH_FLOW","FQ1 2014","FQ1 2014","Currency=USD","Period=FQ","BEST_FPERIOD_OVERRIDE=FQ","FILING_STATUS=OR","SCALING_FORMAT=MLN","Sort=A","Dates=H","DateFormat=P","Fill=—","Direction=H","UseDPDF=Y")</f>
        <v>7775</v>
      </c>
      <c r="Z63" s="13">
        <f>_xll.BDH("XOM US Equity","CF_FREE_CASH_FLOW","FQ2 2014","FQ2 2014","Currency=USD","Period=FQ","BEST_FPERIOD_OVERRIDE=FQ","FILING_STATUS=OR","SCALING_FORMAT=MLN","Sort=A","Dates=H","DateFormat=P","Fill=—","Direction=H","UseDPDF=Y")</f>
        <v>1660</v>
      </c>
      <c r="AA63" s="13">
        <f>_xll.BDH("XOM US Equity","CF_FREE_CASH_FLOW","FQ3 2014","FQ3 2014","Currency=USD","Period=FQ","BEST_FPERIOD_OVERRIDE=FQ","FILING_STATUS=OR","SCALING_FORMAT=MLN","Sort=A","Dates=H","DateFormat=P","Fill=—","Direction=H","UseDPDF=Y")</f>
        <v>4198</v>
      </c>
      <c r="AB63" s="13">
        <f>_xll.BDH("XOM US Equity","CF_FREE_CASH_FLOW","FQ4 2014","FQ4 2014","Currency=USD","Period=FQ","BEST_FPERIOD_OVERRIDE=FQ","FILING_STATUS=OR","SCALING_FORMAT=MLN","Sort=A","Dates=H","DateFormat=P","Fill=—","Direction=H","UseDPDF=Y")</f>
        <v>-1469</v>
      </c>
      <c r="AC63" s="13">
        <f>_xll.BDH("XOM US Equity","CF_FREE_CASH_FLOW","FQ1 2015","FQ1 2015","Currency=USD","Period=FQ","BEST_FPERIOD_OVERRIDE=FQ","FILING_STATUS=OR","SCALING_FORMAT=MLN","Sort=A","Dates=H","DateFormat=P","Fill=—","Direction=H","UseDPDF=Y")</f>
        <v>1154</v>
      </c>
      <c r="AD63" s="13">
        <f>_xll.BDH("XOM US Equity","CF_FREE_CASH_FLOW","FQ2 2015","FQ2 2015","Currency=USD","Period=FQ","BEST_FPERIOD_OVERRIDE=FQ","FILING_STATUS=OR","SCALING_FORMAT=MLN","Sort=A","Dates=H","DateFormat=P","Fill=—","Direction=H","UseDPDF=Y")</f>
        <v>1683</v>
      </c>
      <c r="AE63" s="13">
        <f>_xll.BDH("XOM US Equity","CF_FREE_CASH_FLOW","FQ3 2015","FQ3 2015","Currency=USD","Period=FQ","BEST_FPERIOD_OVERRIDE=FQ","FILING_STATUS=OR","SCALING_FORMAT=MLN","Sort=A","Dates=H","DateFormat=P","Fill=—","Direction=H","UseDPDF=Y")</f>
        <v>2773</v>
      </c>
      <c r="AF63" s="13">
        <f>_xll.BDH("XOM US Equity","CF_FREE_CASH_FLOW","FQ4 2015","FQ4 2015","Currency=USD","Period=FQ","BEST_FPERIOD_OVERRIDE=FQ","FILING_STATUS=OR","SCALING_FORMAT=MLN","Sort=A","Dates=H","DateFormat=P","Fill=—","Direction=H","UseDPDF=Y")</f>
        <v>-1756</v>
      </c>
      <c r="AG63" s="13">
        <f>_xll.BDH("XOM US Equity","CF_FREE_CASH_FLOW","FQ1 2016","FQ1 2016","Currency=USD","Period=FQ","BEST_FPERIOD_OVERRIDE=FQ","FILING_STATUS=OR","SCALING_FORMAT=MLN","Sort=A","Dates=H","DateFormat=P","Fill=—","Direction=H","UseDPDF=Y")</f>
        <v>211</v>
      </c>
      <c r="AH63" s="13">
        <f>_xll.BDH("XOM US Equity","CF_FREE_CASH_FLOW","FQ2 2016","FQ2 2016","Currency=USD","Period=FQ","BEST_FPERIOD_OVERRIDE=FQ","FILING_STATUS=OR","SCALING_FORMAT=MLN","Sort=A","Dates=H","DateFormat=P","Fill=—","Direction=H","UseDPDF=Y")</f>
        <v>248</v>
      </c>
      <c r="AI63" s="13">
        <f>_xll.BDH("XOM US Equity","CF_FREE_CASH_FLOW","FQ3 2016","FQ3 2016","Currency=USD","Period=FQ","BEST_FPERIOD_OVERRIDE=FQ","FILING_STATUS=OR","SCALING_FORMAT=MLN","Sort=A","Dates=H","DateFormat=P","Fill=—","Direction=H","UseDPDF=Y")</f>
        <v>1951</v>
      </c>
      <c r="AJ63" s="13">
        <f>_xll.BDH("XOM US Equity","CF_FREE_CASH_FLOW","FQ4 2016","FQ4 2016","Currency=USD","Period=FQ","BEST_FPERIOD_OVERRIDE=FQ","FILING_STATUS=OR","SCALING_FORMAT=MLN","Sort=A","Dates=H","DateFormat=P","Fill=—","Direction=H","UseDPDF=Y")</f>
        <v>3509</v>
      </c>
      <c r="AK63" s="13">
        <f>_xll.BDH("XOM US Equity","CF_FREE_CASH_FLOW","FQ1 2017","FQ1 2017","Currency=USD","Period=FQ","BEST_FPERIOD_OVERRIDE=FQ","FILING_STATUS=OR","SCALING_FORMAT=MLN","Sort=A","Dates=H","DateFormat=P","Fill=—","Direction=H","UseDPDF=Y")</f>
        <v>5283</v>
      </c>
      <c r="AL63" s="13">
        <f>_xll.BDH("XOM US Equity","CF_FREE_CASH_FLOW","FQ2 2017","FQ2 2017","Currency=USD","Period=FQ","BEST_FPERIOD_OVERRIDE=FQ","FILING_STATUS=OR","SCALING_FORMAT=MLN","Sort=A","Dates=H","DateFormat=P","Fill=—","Direction=H","UseDPDF=Y")</f>
        <v>3849</v>
      </c>
      <c r="AM63" s="13">
        <f>_xll.BDH("XOM US Equity","CF_FREE_CASH_FLOW","FQ3 2017","FQ3 2017","Currency=USD","Period=FQ","BEST_FPERIOD_OVERRIDE=FQ","FILING_STATUS=OR","SCALING_FORMAT=MLN","Sort=A","Dates=H","DateFormat=P","Fill=—","Direction=H","UseDPDF=Y")</f>
        <v>2622</v>
      </c>
      <c r="AN63" s="13">
        <f>_xll.BDH("XOM US Equity","CF_FREE_CASH_FLOW","FQ4 2017","FQ4 2017","Currency=USD","Period=FQ","BEST_FPERIOD_OVERRIDE=FQ","FILING_STATUS=OR","SCALING_FORMAT=MLN","Sort=A","Dates=H","DateFormat=P","Fill=—","Direction=H","UseDPDF=Y")</f>
        <v>2910</v>
      </c>
      <c r="AO63" s="13">
        <f>_xll.BDH("XOM US Equity","CF_FREE_CASH_FLOW","FQ1 2018","FQ1 2018","Currency=USD","Period=FQ","BEST_FPERIOD_OVERRIDE=FQ","FILING_STATUS=OR","SCALING_FORMAT=MLN","Sort=A","Dates=H","DateFormat=P","Fill=—","Direction=H","UseDPDF=Y")</f>
        <v>5170</v>
      </c>
      <c r="AP63" s="13">
        <f>_xll.BDH("XOM US Equity","CF_FREE_CASH_FLOW","FQ2 2018","FQ2 2018","Currency=USD","Period=FQ","BEST_FPERIOD_OVERRIDE=FQ","FILING_STATUS=OR","SCALING_FORMAT=MLN","Sort=A","Dates=H","DateFormat=P","Fill=—","Direction=H","UseDPDF=Y")</f>
        <v>2853</v>
      </c>
    </row>
    <row r="64" spans="1:42" x14ac:dyDescent="0.25">
      <c r="A64" s="10" t="s">
        <v>452</v>
      </c>
      <c r="B64" s="10" t="s">
        <v>453</v>
      </c>
      <c r="C64" s="13">
        <f>_xll.BDH("XOM US Equity","CF_FREE_CASH_FLOW_FIRM","FQ3 2008","FQ3 2008","Currency=USD","Period=FQ","BEST_FPERIOD_OVERRIDE=FQ","FILING_STATUS=OR","SCALING_FORMAT=MLN","FA_ADJUSTED=GAAP","Sort=A","Dates=H","DateFormat=P","Fill=—","Direction=H","UseDPDF=Y")</f>
        <v>9444.0588000000007</v>
      </c>
      <c r="D64" s="13">
        <f>_xll.BDH("XOM US Equity","CF_FREE_CASH_FLOW_FIRM","FQ4 2008","FQ4 2008","Currency=USD","Period=FQ","BEST_FPERIOD_OVERRIDE=FQ","FILING_STATUS=OR","SCALING_FORMAT=MLN","FA_ADJUSTED=GAAP","Sort=A","Dates=H","DateFormat=P","Fill=—","Direction=H","UseDPDF=Y")</f>
        <v>5231.0365000000002</v>
      </c>
      <c r="E64" s="13">
        <f>_xll.BDH("XOM US Equity","CF_FREE_CASH_FLOW_FIRM","FQ1 2009","FQ1 2009","Currency=USD","Period=FQ","BEST_FPERIOD_OVERRIDE=FQ","FILING_STATUS=OR","SCALING_FORMAT=MLN","FA_ADJUSTED=GAAP","Sort=A","Dates=H","DateFormat=P","Fill=—","Direction=H","UseDPDF=Y")</f>
        <v>4301.0910000000003</v>
      </c>
      <c r="F64" s="13">
        <f>_xll.BDH("XOM US Equity","CF_FREE_CASH_FLOW_FIRM","FQ2 2009","FQ2 2009","Currency=USD","Period=FQ","BEST_FPERIOD_OVERRIDE=FQ","FILING_STATUS=OR","SCALING_FORMAT=MLN","FA_ADJUSTED=GAAP","Sort=A","Dates=H","DateFormat=P","Fill=—","Direction=H","UseDPDF=Y")</f>
        <v>-3187.9443999999999</v>
      </c>
      <c r="G64" s="13">
        <f>_xll.BDH("XOM US Equity","CF_FREE_CASH_FLOW_FIRM","FQ3 2009","FQ3 2009","Currency=USD","Period=FQ","BEST_FPERIOD_OVERRIDE=FQ","FILING_STATUS=OR","SCALING_FORMAT=MLN","FA_ADJUSTED=GAAP","Sort=A","Dates=H","DateFormat=P","Fill=—","Direction=H","UseDPDF=Y")</f>
        <v>3369.8119999999999</v>
      </c>
      <c r="H64" s="13">
        <f>_xll.BDH("XOM US Equity","CF_FREE_CASH_FLOW_FIRM","FQ4 2009","FQ4 2009","Currency=USD","Period=FQ","BEST_FPERIOD_OVERRIDE=FQ","FILING_STATUS=OR","SCALING_FORMAT=MLN","FA_ADJUSTED=GAAP","Sort=A","Dates=H","DateFormat=P","Fill=—","Direction=H","UseDPDF=Y")</f>
        <v>1762.6542999999999</v>
      </c>
      <c r="I64" s="13">
        <f>_xll.BDH("XOM US Equity","CF_FREE_CASH_FLOW_FIRM","FQ1 2010","FQ1 2010","Currency=USD","Period=FQ","BEST_FPERIOD_OVERRIDE=FQ","FILING_STATUS=OR","SCALING_FORMAT=MLN","FA_ADJUSTED=GAAP","Sort=A","Dates=H","DateFormat=P","Fill=—","Direction=H","UseDPDF=Y")</f>
        <v>7319.9656000000004</v>
      </c>
      <c r="J64" s="13">
        <f>_xll.BDH("XOM US Equity","CF_FREE_CASH_FLOW_FIRM","FQ2 2010","FQ2 2010","Currency=USD","Period=FQ","BEST_FPERIOD_OVERRIDE=FQ","FILING_STATUS=OR","SCALING_FORMAT=MLN","FA_ADJUSTED=GAAP","Sort=A","Dates=H","DateFormat=P","Fill=—","Direction=H","UseDPDF=Y")</f>
        <v>3615.3852999999999</v>
      </c>
      <c r="K64" s="13">
        <f>_xll.BDH("XOM US Equity","CF_FREE_CASH_FLOW_FIRM","FQ3 2010","FQ3 2010","Currency=USD","Period=FQ","BEST_FPERIOD_OVERRIDE=FQ","FILING_STATUS=OR","SCALING_FORMAT=MLN","FA_ADJUSTED=GAAP","Sort=A","Dates=H","DateFormat=P","Fill=—","Direction=H","UseDPDF=Y")</f>
        <v>5307.7541000000001</v>
      </c>
      <c r="L64" s="13">
        <f>_xll.BDH("XOM US Equity","CF_FREE_CASH_FLOW_FIRM","FQ4 2010","FQ4 2010","Currency=USD","Period=FQ","BEST_FPERIOD_OVERRIDE=FQ","FILING_STATUS=OR","SCALING_FORMAT=MLN","FA_ADJUSTED=GAAP","Sort=A","Dates=H","DateFormat=P","Fill=—","Direction=H","UseDPDF=Y")</f>
        <v>5453.2951999999996</v>
      </c>
      <c r="M64" s="13">
        <f>_xll.BDH("XOM US Equity","CF_FREE_CASH_FLOW_FIRM","FQ1 2011","FQ1 2011","Currency=USD","Period=FQ","BEST_FPERIOD_OVERRIDE=FQ","FILING_STATUS=OR","SCALING_FORMAT=MLN","FA_ADJUSTED=GAAP","Sort=A","Dates=H","DateFormat=P","Fill=—","Direction=H","UseDPDF=Y")</f>
        <v>9821.7297999999992</v>
      </c>
      <c r="N64" s="13">
        <f>_xll.BDH("XOM US Equity","CF_FREE_CASH_FLOW_FIRM","FQ2 2011","FQ2 2011","Currency=USD","Period=FQ","BEST_FPERIOD_OVERRIDE=FQ","FILING_STATUS=OR","SCALING_FORMAT=MLN","FA_ADJUSTED=GAAP","Sort=A","Dates=H","DateFormat=P","Fill=—","Direction=H","UseDPDF=Y")</f>
        <v>5103.3392000000003</v>
      </c>
      <c r="O64" s="13">
        <f>_xll.BDH("XOM US Equity","CF_FREE_CASH_FLOW_FIRM","FQ3 2011","FQ3 2011","Currency=USD","Period=FQ","BEST_FPERIOD_OVERRIDE=FQ","FILING_STATUS=OR","SCALING_FORMAT=MLN","FA_ADJUSTED=GAAP","Sort=A","Dates=H","DateFormat=P","Fill=—","Direction=H","UseDPDF=Y")</f>
        <v>7426.9827999999998</v>
      </c>
      <c r="P64" s="13">
        <f>_xll.BDH("XOM US Equity","CF_FREE_CASH_FLOW_FIRM","FQ4 2011","FQ4 2011","Currency=USD","Period=FQ","BEST_FPERIOD_OVERRIDE=FQ","FILING_STATUS=OR","SCALING_FORMAT=MLN","FA_ADJUSTED=GAAP","Sort=A","Dates=H","DateFormat=P","Fill=—","Direction=H","UseDPDF=Y")</f>
        <v>2159.7968000000001</v>
      </c>
      <c r="Q64" s="13">
        <f>_xll.BDH("XOM US Equity","CF_FREE_CASH_FLOW_FIRM","FQ1 2012","FQ1 2012","Currency=USD","Period=FQ","BEST_FPERIOD_OVERRIDE=FQ","FILING_STATUS=OR","SCALING_FORMAT=MLN","FA_ADJUSTED=GAAP","Sort=A","Dates=H","DateFormat=P","Fill=—","Direction=H","UseDPDF=Y")</f>
        <v>11503.8626</v>
      </c>
      <c r="R64" s="13">
        <f>_xll.BDH("XOM US Equity","CF_FREE_CASH_FLOW_FIRM","FQ2 2012","FQ2 2012","Currency=USD","Period=FQ","BEST_FPERIOD_OVERRIDE=FQ","FILING_STATUS=OR","SCALING_FORMAT=MLN","FA_ADJUSTED=GAAP","Sort=A","Dates=H","DateFormat=P","Fill=—","Direction=H","UseDPDF=Y")</f>
        <v>1905.7023999999999</v>
      </c>
      <c r="S64" s="13">
        <f>_xll.BDH("XOM US Equity","CF_FREE_CASH_FLOW_FIRM","FQ3 2012","FQ3 2012","Currency=USD","Period=FQ","BEST_FPERIOD_OVERRIDE=FQ","FILING_STATUS=OR","SCALING_FORMAT=MLN","FA_ADJUSTED=GAAP","Sort=A","Dates=H","DateFormat=P","Fill=—","Direction=H","UseDPDF=Y")</f>
        <v>5449.8126000000002</v>
      </c>
      <c r="T64" s="13">
        <f>_xll.BDH("XOM US Equity","CF_FREE_CASH_FLOW_FIRM","FQ4 2012","FQ4 2012","Currency=USD","Period=FQ","BEST_FPERIOD_OVERRIDE=FQ","FILING_STATUS=OR","SCALING_FORMAT=MLN","FA_ADJUSTED=GAAP","Sort=A","Dates=H","DateFormat=P","Fill=—","Direction=H","UseDPDF=Y")</f>
        <v>3231.6057999999998</v>
      </c>
      <c r="U64" s="13">
        <f>_xll.BDH("XOM US Equity","CF_FREE_CASH_FLOW_FIRM","FQ1 2013","FQ1 2013","Currency=USD","Period=FQ","BEST_FPERIOD_OVERRIDE=FQ","FILING_STATUS=OR","SCALING_FORMAT=MLN","FA_ADJUSTED=GAAP","Sort=A","Dates=H","DateFormat=P","Fill=—","Direction=H","UseDPDF=Y")</f>
        <v>6112.6067999999996</v>
      </c>
      <c r="V64" s="13">
        <f>_xll.BDH("XOM US Equity","CF_FREE_CASH_FLOW_FIRM","FQ2 2013","FQ2 2013","Currency=USD","Period=FQ","BEST_FPERIOD_OVERRIDE=FQ","FILING_STATUS=OR","SCALING_FORMAT=MLN","FA_ADJUSTED=GAAP","Sort=A","Dates=H","DateFormat=P","Fill=—","Direction=H","UseDPDF=Y")</f>
        <v>-921.56560000000002</v>
      </c>
      <c r="W64" s="13">
        <f>_xll.BDH("XOM US Equity","CF_FREE_CASH_FLOW_FIRM","FQ3 2013","FQ3 2013","Currency=USD","Period=FQ","BEST_FPERIOD_OVERRIDE=FQ","FILING_STATUS=OR","SCALING_FORMAT=MLN","FA_ADJUSTED=GAAP","Sort=A","Dates=H","DateFormat=P","Fill=—","Direction=H","UseDPDF=Y")</f>
        <v>4362.5713999999998</v>
      </c>
      <c r="X64" s="13" t="str">
        <f>_xll.BDH("XOM US Equity","CF_FREE_CASH_FLOW_FIRM","FQ4 2013","FQ4 2013","Currency=USD","Period=FQ","BEST_FPERIOD_OVERRIDE=FQ","FILING_STATUS=OR","SCALING_FORMAT=MLN","FA_ADJUSTED=GAAP","Sort=A","Dates=H","DateFormat=P","Fill=—","Direction=H","UseDPDF=Y")</f>
        <v>—</v>
      </c>
      <c r="Y64" s="13">
        <f>_xll.BDH("XOM US Equity","CF_FREE_CASH_FLOW_FIRM","FQ1 2014","FQ1 2014","Currency=USD","Period=FQ","BEST_FPERIOD_OVERRIDE=FQ","FILING_STATUS=OR","SCALING_FORMAT=MLN","FA_ADJUSTED=GAAP","Sort=A","Dates=H","DateFormat=P","Fill=—","Direction=H","UseDPDF=Y")</f>
        <v>7815.6134000000002</v>
      </c>
      <c r="Z64" s="13">
        <f>_xll.BDH("XOM US Equity","CF_FREE_CASH_FLOW_FIRM","FQ2 2014","FQ2 2014","Currency=USD","Period=FQ","BEST_FPERIOD_OVERRIDE=FQ","FILING_STATUS=OR","SCALING_FORMAT=MLN","FA_ADJUSTED=GAAP","Sort=A","Dates=H","DateFormat=P","Fill=—","Direction=H","UseDPDF=Y")</f>
        <v>1701.2329999999999</v>
      </c>
      <c r="AA64" s="13">
        <f>_xll.BDH("XOM US Equity","CF_FREE_CASH_FLOW_FIRM","FQ3 2014","FQ3 2014","Currency=USD","Period=FQ","BEST_FPERIOD_OVERRIDE=FQ","FILING_STATUS=OR","SCALING_FORMAT=MLN","FA_ADJUSTED=GAAP","Sort=A","Dates=H","DateFormat=P","Fill=—","Direction=H","UseDPDF=Y")</f>
        <v>4252.7686999999996</v>
      </c>
      <c r="AB64" s="13">
        <f>_xll.BDH("XOM US Equity","CF_FREE_CASH_FLOW_FIRM","FQ4 2014","FQ4 2014","Currency=USD","Period=FQ","BEST_FPERIOD_OVERRIDE=FQ","FILING_STATUS=OR","SCALING_FORMAT=MLN","FA_ADJUSTED=GAAP","Sort=A","Dates=H","DateFormat=P","Fill=—","Direction=H","UseDPDF=Y")</f>
        <v>-1416.8425999999999</v>
      </c>
      <c r="AC64" s="13">
        <f>_xll.BDH("XOM US Equity","CF_FREE_CASH_FLOW_FIRM","FQ1 2015","FQ1 2015","Currency=USD","Period=FQ","BEST_FPERIOD_OVERRIDE=FQ","FILING_STATUS=OR","SCALING_FORMAT=MLN","FA_ADJUSTED=GAAP","Sort=A","Dates=H","DateFormat=P","Fill=—","Direction=H","UseDPDF=Y")</f>
        <v>1221.3097</v>
      </c>
      <c r="AD64" s="13">
        <f>_xll.BDH("XOM US Equity","CF_FREE_CASH_FLOW_FIRM","FQ2 2015","FQ2 2015","Currency=USD","Period=FQ","BEST_FPERIOD_OVERRIDE=FQ","FILING_STATUS=OR","SCALING_FORMAT=MLN","FA_ADJUSTED=GAAP","Sort=A","Dates=H","DateFormat=P","Fill=—","Direction=H","UseDPDF=Y")</f>
        <v>1735.0952</v>
      </c>
      <c r="AE64" s="13">
        <f>_xll.BDH("XOM US Equity","CF_FREE_CASH_FLOW_FIRM","FQ3 2015","FQ3 2015","Currency=USD","Period=FQ","BEST_FPERIOD_OVERRIDE=FQ","FILING_STATUS=OR","SCALING_FORMAT=MLN","FA_ADJUSTED=GAAP","Sort=A","Dates=H","DateFormat=P","Fill=—","Direction=H","UseDPDF=Y")</f>
        <v>2832.4803000000002</v>
      </c>
      <c r="AF64" s="13">
        <f>_xll.BDH("XOM US Equity","CF_FREE_CASH_FLOW_FIRM","FQ4 2015","FQ4 2015","Currency=USD","Period=FQ","BEST_FPERIOD_OVERRIDE=FQ","FILING_STATUS=OR","SCALING_FORMAT=MLN","FA_ADJUSTED=GAAP","Sort=A","Dates=H","DateFormat=P","Fill=—","Direction=H","UseDPDF=Y")</f>
        <v>-1710.7909999999999</v>
      </c>
      <c r="AG64" s="13">
        <f>_xll.BDH("XOM US Equity","CF_FREE_CASH_FLOW_FIRM","FQ1 2016","FQ1 2016","Currency=USD","Period=FQ","BEST_FPERIOD_OVERRIDE=FQ","FILING_STATUS=OR","SCALING_FORMAT=MLN","FA_ADJUSTED=GAAP","Sort=A","Dates=H","DateFormat=P","Fill=—","Direction=H","UseDPDF=Y")</f>
        <v>270.83170000000001</v>
      </c>
      <c r="AH64" s="13">
        <f>_xll.BDH("XOM US Equity","CF_FREE_CASH_FLOW_FIRM","FQ2 2016","FQ2 2016","Currency=USD","Period=FQ","BEST_FPERIOD_OVERRIDE=FQ","FILING_STATUS=OR","SCALING_FORMAT=MLN","FA_ADJUSTED=GAAP","Sort=A","Dates=H","DateFormat=P","Fill=—","Direction=H","UseDPDF=Y")</f>
        <v>300.6189</v>
      </c>
      <c r="AI64" s="13">
        <f>_xll.BDH("XOM US Equity","CF_FREE_CASH_FLOW_FIRM","FQ3 2016","FQ3 2016","Currency=USD","Period=FQ","BEST_FPERIOD_OVERRIDE=FQ","FILING_STATUS=OR","SCALING_FORMAT=MLN","FA_ADJUSTED=GAAP","Sort=A","Dates=H","DateFormat=P","Fill=—","Direction=H","UseDPDF=Y")</f>
        <v>2045.9268</v>
      </c>
      <c r="AJ64" s="13" t="str">
        <f>_xll.BDH("XOM US Equity","CF_FREE_CASH_FLOW_FIRM","FQ4 2016","FQ4 2016","Currency=USD","Period=FQ","BEST_FPERIOD_OVERRIDE=FQ","FILING_STATUS=OR","SCALING_FORMAT=MLN","FA_ADJUSTED=GAAP","Sort=A","Dates=H","DateFormat=P","Fill=—","Direction=H","UseDPDF=Y")</f>
        <v>—</v>
      </c>
      <c r="AK64" s="13">
        <f>_xll.BDH("XOM US Equity","CF_FREE_CASH_FLOW_FIRM","FQ1 2017","FQ1 2017","Currency=USD","Period=FQ","BEST_FPERIOD_OVERRIDE=FQ","FILING_STATUS=OR","SCALING_FORMAT=MLN","FA_ADJUSTED=GAAP","Sort=A","Dates=H","DateFormat=P","Fill=—","Direction=H","UseDPDF=Y")</f>
        <v>5383.9022999999997</v>
      </c>
      <c r="AL64" s="13">
        <f>_xll.BDH("XOM US Equity","CF_FREE_CASH_FLOW_FIRM","FQ2 2017","FQ2 2017","Currency=USD","Period=FQ","BEST_FPERIOD_OVERRIDE=FQ","FILING_STATUS=OR","SCALING_FORMAT=MLN","FA_ADJUSTED=GAAP","Sort=A","Dates=H","DateFormat=P","Fill=—","Direction=H","UseDPDF=Y")</f>
        <v>3973.0884999999998</v>
      </c>
      <c r="AM64" s="13">
        <f>_xll.BDH("XOM US Equity","CF_FREE_CASH_FLOW_FIRM","FQ3 2017","FQ3 2017","Currency=USD","Period=FQ","BEST_FPERIOD_OVERRIDE=FQ","FILING_STATUS=OR","SCALING_FORMAT=MLN","FA_ADJUSTED=GAAP","Sort=A","Dates=H","DateFormat=P","Fill=—","Direction=H","UseDPDF=Y")</f>
        <v>2703.2170999999998</v>
      </c>
      <c r="AN64" s="13" t="str">
        <f>_xll.BDH("XOM US Equity","CF_FREE_CASH_FLOW_FIRM","FQ4 2017","FQ4 2017","Currency=USD","Period=FQ","BEST_FPERIOD_OVERRIDE=FQ","FILING_STATUS=OR","SCALING_FORMAT=MLN","FA_ADJUSTED=GAAP","Sort=A","Dates=H","DateFormat=P","Fill=—","Direction=H","UseDPDF=Y")</f>
        <v>—</v>
      </c>
      <c r="AO64" s="13">
        <f>_xll.BDH("XOM US Equity","CF_FREE_CASH_FLOW_FIRM","FQ1 2018","FQ1 2018","Currency=USD","Period=FQ","BEST_FPERIOD_OVERRIDE=FQ","FILING_STATUS=OR","SCALING_FORMAT=MLN","FA_ADJUSTED=GAAP","Sort=A","Dates=H","DateFormat=P","Fill=—","Direction=H","UseDPDF=Y")</f>
        <v>5304.7695999999996</v>
      </c>
      <c r="AP64" s="13">
        <f>_xll.BDH("XOM US Equity","CF_FREE_CASH_FLOW_FIRM","FQ2 2018","FQ2 2018","Currency=USD","Period=FQ","BEST_FPERIOD_OVERRIDE=FQ","FILING_STATUS=OR","SCALING_FORMAT=MLN","FA_ADJUSTED=GAAP","Sort=A","Dates=H","DateFormat=P","Fill=—","Direction=H","UseDPDF=Y")</f>
        <v>2942.9787999999999</v>
      </c>
    </row>
    <row r="65" spans="1:42" x14ac:dyDescent="0.25">
      <c r="A65" s="10" t="s">
        <v>454</v>
      </c>
      <c r="B65" s="10" t="s">
        <v>455</v>
      </c>
      <c r="C65" s="13">
        <f>_xll.BDH("XOM US Equity","FREE_CASH_FLOW_EQUITY","FQ3 2008","FQ3 2008","Currency=USD","Period=FQ","BEST_FPERIOD_OVERRIDE=FQ","FILING_STATUS=OR","SCALING_FORMAT=MLN","Sort=A","Dates=H","DateFormat=P","Fill=—","Direction=H","UseDPDF=Y")</f>
        <v>12442</v>
      </c>
      <c r="D65" s="13">
        <f>_xll.BDH("XOM US Equity","FREE_CASH_FLOW_EQUITY","FQ4 2008","FQ4 2008","Currency=USD","Period=FQ","BEST_FPERIOD_OVERRIDE=FQ","FILING_STATUS=OR","SCALING_FORMAT=MLN","Sort=A","Dates=H","DateFormat=P","Fill=—","Direction=H","UseDPDF=Y")</f>
        <v>6096</v>
      </c>
      <c r="E65" s="13">
        <f>_xll.BDH("XOM US Equity","FREE_CASH_FLOW_EQUITY","FQ1 2009","FQ1 2009","Currency=USD","Period=FQ","BEST_FPERIOD_OVERRIDE=FQ","FILING_STATUS=OR","SCALING_FORMAT=MLN","Sort=A","Dates=H","DateFormat=P","Fill=—","Direction=H","UseDPDF=Y")</f>
        <v>4186</v>
      </c>
      <c r="F65" s="13">
        <f>_xll.BDH("XOM US Equity","FREE_CASH_FLOW_EQUITY","FQ2 2009","FQ2 2009","Currency=USD","Period=FQ","BEST_FPERIOD_OVERRIDE=FQ","FILING_STATUS=OR","SCALING_FORMAT=MLN","Sort=A","Dates=H","DateFormat=P","Fill=—","Direction=H","UseDPDF=Y")</f>
        <v>-2631</v>
      </c>
      <c r="G65" s="13">
        <f>_xll.BDH("XOM US Equity","FREE_CASH_FLOW_EQUITY","FQ3 2009","FQ3 2009","Currency=USD","Period=FQ","BEST_FPERIOD_OVERRIDE=FQ","FILING_STATUS=OR","SCALING_FORMAT=MLN","Sort=A","Dates=H","DateFormat=P","Fill=—","Direction=H","UseDPDF=Y")</f>
        <v>3697</v>
      </c>
      <c r="H65" s="13">
        <f>_xll.BDH("XOM US Equity","FREE_CASH_FLOW_EQUITY","FQ4 2009","FQ4 2009","Currency=USD","Period=FQ","BEST_FPERIOD_OVERRIDE=FQ","FILING_STATUS=OR","SCALING_FORMAT=MLN","Sort=A","Dates=H","DateFormat=P","Fill=—","Direction=H","UseDPDF=Y")</f>
        <v>2087</v>
      </c>
      <c r="I65" s="13">
        <f>_xll.BDH("XOM US Equity","FREE_CASH_FLOW_EQUITY","FQ1 2010","FQ1 2010","Currency=USD","Period=FQ","BEST_FPERIOD_OVERRIDE=FQ","FILING_STATUS=OR","SCALING_FORMAT=MLN","Sort=A","Dates=H","DateFormat=P","Fill=—","Direction=H","UseDPDF=Y")</f>
        <v>7617</v>
      </c>
      <c r="J65" s="13">
        <f>_xll.BDH("XOM US Equity","FREE_CASH_FLOW_EQUITY","FQ2 2010","FQ2 2010","Currency=USD","Period=FQ","BEST_FPERIOD_OVERRIDE=FQ","FILING_STATUS=OR","SCALING_FORMAT=MLN","Sort=A","Dates=H","DateFormat=P","Fill=—","Direction=H","UseDPDF=Y")</f>
        <v>3436</v>
      </c>
      <c r="K65" s="13">
        <f>_xll.BDH("XOM US Equity","FREE_CASH_FLOW_EQUITY","FQ3 2010","FQ3 2010","Currency=USD","Period=FQ","BEST_FPERIOD_OVERRIDE=FQ","FILING_STATUS=OR","SCALING_FORMAT=MLN","Sort=A","Dates=H","DateFormat=P","Fill=—","Direction=H","UseDPDF=Y")</f>
        <v>3769</v>
      </c>
      <c r="L65" s="13">
        <f>_xll.BDH("XOM US Equity","FREE_CASH_FLOW_EQUITY","FQ4 2010","FQ4 2010","Currency=USD","Period=FQ","BEST_FPERIOD_OVERRIDE=FQ","FILING_STATUS=OR","SCALING_FORMAT=MLN","Sort=A","Dates=H","DateFormat=P","Fill=—","Direction=H","UseDPDF=Y")</f>
        <v>3771</v>
      </c>
      <c r="M65" s="13">
        <f>_xll.BDH("XOM US Equity","FREE_CASH_FLOW_EQUITY","FQ1 2011","FQ1 2011","Currency=USD","Period=FQ","BEST_FPERIOD_OVERRIDE=FQ","FILING_STATUS=OR","SCALING_FORMAT=MLN","Sort=A","Dates=H","DateFormat=P","Fill=—","Direction=H","UseDPDF=Y")</f>
        <v>11958</v>
      </c>
      <c r="N65" s="13">
        <f>_xll.BDH("XOM US Equity","FREE_CASH_FLOW_EQUITY","FQ2 2011","FQ2 2011","Currency=USD","Period=FQ","BEST_FPERIOD_OVERRIDE=FQ","FILING_STATUS=OR","SCALING_FORMAT=MLN","Sort=A","Dates=H","DateFormat=P","Fill=—","Direction=H","UseDPDF=Y")</f>
        <v>7150</v>
      </c>
      <c r="O65" s="13">
        <f>_xll.BDH("XOM US Equity","FREE_CASH_FLOW_EQUITY","FQ3 2011","FQ3 2011","Currency=USD","Period=FQ","BEST_FPERIOD_OVERRIDE=FQ","FILING_STATUS=OR","SCALING_FORMAT=MLN","Sort=A","Dates=H","DateFormat=P","Fill=—","Direction=H","UseDPDF=Y")</f>
        <v>9026</v>
      </c>
      <c r="P65" s="13">
        <f>_xll.BDH("XOM US Equity","FREE_CASH_FLOW_EQUITY","FQ4 2011","FQ4 2011","Currency=USD","Period=FQ","BEST_FPERIOD_OVERRIDE=FQ","FILING_STATUS=OR","SCALING_FORMAT=MLN","Sort=A","Dates=H","DateFormat=P","Fill=—","Direction=H","UseDPDF=Y")</f>
        <v>9326</v>
      </c>
      <c r="Q65" s="13">
        <f>_xll.BDH("XOM US Equity","FREE_CASH_FLOW_EQUITY","FQ1 2012","FQ1 2012","Currency=USD","Period=FQ","BEST_FPERIOD_OVERRIDE=FQ","FILING_STATUS=OR","SCALING_FORMAT=MLN","Sort=A","Dates=H","DateFormat=P","Fill=—","Direction=H","UseDPDF=Y")</f>
        <v>13554</v>
      </c>
      <c r="R65" s="13">
        <f>_xll.BDH("XOM US Equity","FREE_CASH_FLOW_EQUITY","FQ2 2012","FQ2 2012","Currency=USD","Period=FQ","BEST_FPERIOD_OVERRIDE=FQ","FILING_STATUS=OR","SCALING_FORMAT=MLN","Sort=A","Dates=H","DateFormat=P","Fill=—","Direction=H","UseDPDF=Y")</f>
        <v>6169</v>
      </c>
      <c r="S65" s="13">
        <f>_xll.BDH("XOM US Equity","FREE_CASH_FLOW_EQUITY","FQ3 2012","FQ3 2012","Currency=USD","Period=FQ","BEST_FPERIOD_OVERRIDE=FQ","FILING_STATUS=OR","SCALING_FORMAT=MLN","Sort=A","Dates=H","DateFormat=P","Fill=—","Direction=H","UseDPDF=Y")</f>
        <v>2935</v>
      </c>
      <c r="T65" s="13">
        <f>_xll.BDH("XOM US Equity","FREE_CASH_FLOW_EQUITY","FQ4 2012","FQ4 2012","Currency=USD","Period=FQ","BEST_FPERIOD_OVERRIDE=FQ","FILING_STATUS=OR","SCALING_FORMAT=MLN","Sort=A","Dates=H","DateFormat=P","Fill=—","Direction=H","UseDPDF=Y")</f>
        <v>3988</v>
      </c>
      <c r="U65" s="13">
        <f>_xll.BDH("XOM US Equity","FREE_CASH_FLOW_EQUITY","FQ1 2013","FQ1 2013","Currency=USD","Period=FQ","BEST_FPERIOD_OVERRIDE=FQ","FILING_STATUS=OR","SCALING_FORMAT=MLN","Sort=A","Dates=H","DateFormat=P","Fill=—","Direction=H","UseDPDF=Y")</f>
        <v>8050</v>
      </c>
      <c r="V65" s="13">
        <f>_xll.BDH("XOM US Equity","FREE_CASH_FLOW_EQUITY","FQ2 2013","FQ2 2013","Currency=USD","Period=FQ","BEST_FPERIOD_OVERRIDE=FQ","FILING_STATUS=OR","SCALING_FORMAT=MLN","Sort=A","Dates=H","DateFormat=P","Fill=—","Direction=H","UseDPDF=Y")</f>
        <v>5513</v>
      </c>
      <c r="W65" s="13">
        <f>_xll.BDH("XOM US Equity","FREE_CASH_FLOW_EQUITY","FQ3 2013","FQ3 2013","Currency=USD","Period=FQ","BEST_FPERIOD_OVERRIDE=FQ","FILING_STATUS=OR","SCALING_FORMAT=MLN","Sort=A","Dates=H","DateFormat=P","Fill=—","Direction=H","UseDPDF=Y")</f>
        <v>6460</v>
      </c>
      <c r="X65" s="13">
        <f>_xll.BDH("XOM US Equity","FREE_CASH_FLOW_EQUITY","FQ4 2013","FQ4 2013","Currency=USD","Period=FQ","BEST_FPERIOD_OVERRIDE=FQ","FILING_STATUS=OR","SCALING_FORMAT=MLN","Sort=A","Dates=H","DateFormat=P","Fill=—","Direction=H","UseDPDF=Y")</f>
        <v>5533</v>
      </c>
      <c r="Y65" s="13">
        <f>_xll.BDH("XOM US Equity","FREE_CASH_FLOW_EQUITY","FQ1 2014","FQ1 2014","Currency=USD","Period=FQ","BEST_FPERIOD_OVERRIDE=FQ","FILING_STATUS=OR","SCALING_FORMAT=MLN","Sort=A","Dates=H","DateFormat=P","Fill=—","Direction=H","UseDPDF=Y")</f>
        <v>7718</v>
      </c>
      <c r="Z65" s="13">
        <f>_xll.BDH("XOM US Equity","FREE_CASH_FLOW_EQUITY","FQ2 2014","FQ2 2014","Currency=USD","Period=FQ","BEST_FPERIOD_OVERRIDE=FQ","FILING_STATUS=OR","SCALING_FORMAT=MLN","Sort=A","Dates=H","DateFormat=P","Fill=—","Direction=H","UseDPDF=Y")</f>
        <v>4648</v>
      </c>
      <c r="AA65" s="13">
        <f>_xll.BDH("XOM US Equity","FREE_CASH_FLOW_EQUITY","FQ3 2014","FQ3 2014","Currency=USD","Period=FQ","BEST_FPERIOD_OVERRIDE=FQ","FILING_STATUS=OR","SCALING_FORMAT=MLN","Sort=A","Dates=H","DateFormat=P","Fill=—","Direction=H","UseDPDF=Y")</f>
        <v>4637</v>
      </c>
      <c r="AB65" s="13">
        <f>_xll.BDH("XOM US Equity","FREE_CASH_FLOW_EQUITY","FQ4 2014","FQ4 2014","Currency=USD","Period=FQ","BEST_FPERIOD_OVERRIDE=FQ","FILING_STATUS=OR","SCALING_FORMAT=MLN","Sort=A","Dates=H","DateFormat=P","Fill=—","Direction=H","UseDPDF=Y")</f>
        <v>6162</v>
      </c>
      <c r="AC65" s="13">
        <f>_xll.BDH("XOM US Equity","FREE_CASH_FLOW_EQUITY","FQ1 2015","FQ1 2015","Currency=USD","Period=FQ","BEST_FPERIOD_OVERRIDE=FQ","FILING_STATUS=OR","SCALING_FORMAT=MLN","Sort=A","Dates=H","DateFormat=P","Fill=—","Direction=H","UseDPDF=Y")</f>
        <v>5515</v>
      </c>
      <c r="AD65" s="13">
        <f>_xll.BDH("XOM US Equity","FREE_CASH_FLOW_EQUITY","FQ2 2015","FQ2 2015","Currency=USD","Period=FQ","BEST_FPERIOD_OVERRIDE=FQ","FILING_STATUS=OR","SCALING_FORMAT=MLN","Sort=A","Dates=H","DateFormat=P","Fill=—","Direction=H","UseDPDF=Y")</f>
        <v>3235</v>
      </c>
      <c r="AE65" s="13">
        <f>_xll.BDH("XOM US Equity","FREE_CASH_FLOW_EQUITY","FQ3 2015","FQ3 2015","Currency=USD","Period=FQ","BEST_FPERIOD_OVERRIDE=FQ","FILING_STATUS=OR","SCALING_FORMAT=MLN","Sort=A","Dates=H","DateFormat=P","Fill=—","Direction=H","UseDPDF=Y")</f>
        <v>3462</v>
      </c>
      <c r="AF65" s="13">
        <f>_xll.BDH("XOM US Equity","FREE_CASH_FLOW_EQUITY","FQ4 2015","FQ4 2015","Currency=USD","Period=FQ","BEST_FPERIOD_OVERRIDE=FQ","FILING_STATUS=OR","SCALING_FORMAT=MLN","Sort=A","Dates=H","DateFormat=P","Fill=—","Direction=H","UseDPDF=Y")</f>
        <v>3286</v>
      </c>
      <c r="AG65" s="13">
        <f>_xll.BDH("XOM US Equity","FREE_CASH_FLOW_EQUITY","FQ1 2016","FQ1 2016","Currency=USD","Period=FQ","BEST_FPERIOD_OVERRIDE=FQ","FILING_STATUS=OR","SCALING_FORMAT=MLN","Sort=A","Dates=H","DateFormat=P","Fill=—","Direction=H","UseDPDF=Y")</f>
        <v>4729</v>
      </c>
      <c r="AH65" s="13">
        <f>_xll.BDH("XOM US Equity","FREE_CASH_FLOW_EQUITY","FQ2 2016","FQ2 2016","Currency=USD","Period=FQ","BEST_FPERIOD_OVERRIDE=FQ","FILING_STATUS=OR","SCALING_FORMAT=MLN","Sort=A","Dates=H","DateFormat=P","Fill=—","Direction=H","UseDPDF=Y")</f>
        <v>2677</v>
      </c>
      <c r="AI65" s="13">
        <f>_xll.BDH("XOM US Equity","FREE_CASH_FLOW_EQUITY","FQ3 2016","FQ3 2016","Currency=USD","Period=FQ","BEST_FPERIOD_OVERRIDE=FQ","FILING_STATUS=OR","SCALING_FORMAT=MLN","Sort=A","Dates=H","DateFormat=P","Fill=—","Direction=H","UseDPDF=Y")</f>
        <v>4802</v>
      </c>
      <c r="AJ65" s="13">
        <f>_xll.BDH("XOM US Equity","FREE_CASH_FLOW_EQUITY","FQ4 2016","FQ4 2016","Currency=USD","Period=FQ","BEST_FPERIOD_OVERRIDE=FQ","FILING_STATUS=OR","SCALING_FORMAT=MLN","Sort=A","Dates=H","DateFormat=P","Fill=—","Direction=H","UseDPDF=Y")</f>
        <v>2279</v>
      </c>
      <c r="AK65" s="13">
        <f>_xll.BDH("XOM US Equity","FREE_CASH_FLOW_EQUITY","FQ1 2017","FQ1 2017","Currency=USD","Period=FQ","BEST_FPERIOD_OVERRIDE=FQ","FILING_STATUS=OR","SCALING_FORMAT=MLN","Sort=A","Dates=H","DateFormat=P","Fill=—","Direction=H","UseDPDF=Y")</f>
        <v>6403</v>
      </c>
      <c r="AL65" s="13">
        <f>_xll.BDH("XOM US Equity","FREE_CASH_FLOW_EQUITY","FQ2 2017","FQ2 2017","Currency=USD","Period=FQ","BEST_FPERIOD_OVERRIDE=FQ","FILING_STATUS=OR","SCALING_FORMAT=MLN","Sort=A","Dates=H","DateFormat=P","Fill=—","Direction=H","UseDPDF=Y")</f>
        <v>2322</v>
      </c>
      <c r="AM65" s="13">
        <f>_xll.BDH("XOM US Equity","FREE_CASH_FLOW_EQUITY","FQ3 2017","FQ3 2017","Currency=USD","Period=FQ","BEST_FPERIOD_OVERRIDE=FQ","FILING_STATUS=OR","SCALING_FORMAT=MLN","Sort=A","Dates=H","DateFormat=P","Fill=—","Direction=H","UseDPDF=Y")</f>
        <v>1887</v>
      </c>
      <c r="AN65" s="13">
        <f>_xll.BDH("XOM US Equity","FREE_CASH_FLOW_EQUITY","FQ4 2017","FQ4 2017","Currency=USD","Period=FQ","BEST_FPERIOD_OVERRIDE=FQ","FILING_STATUS=OR","SCALING_FORMAT=MLN","Sort=A","Dates=H","DateFormat=P","Fill=—","Direction=H","UseDPDF=Y")</f>
        <v>6107</v>
      </c>
      <c r="AO65" s="13">
        <f>_xll.BDH("XOM US Equity","FREE_CASH_FLOW_EQUITY","FQ1 2018","FQ1 2018","Currency=USD","Period=FQ","BEST_FPERIOD_OVERRIDE=FQ","FILING_STATUS=OR","SCALING_FORMAT=MLN","Sort=A","Dates=H","DateFormat=P","Fill=—","Direction=H","UseDPDF=Y")</f>
        <v>4689</v>
      </c>
      <c r="AP65" s="13">
        <f>_xll.BDH("XOM US Equity","FREE_CASH_FLOW_EQUITY","FQ2 2018","FQ2 2018","Currency=USD","Period=FQ","BEST_FPERIOD_OVERRIDE=FQ","FILING_STATUS=OR","SCALING_FORMAT=MLN","Sort=A","Dates=H","DateFormat=P","Fill=—","Direction=H","UseDPDF=Y")</f>
        <v>3728</v>
      </c>
    </row>
    <row r="66" spans="1:42" x14ac:dyDescent="0.25">
      <c r="A66" s="10" t="s">
        <v>456</v>
      </c>
      <c r="B66" s="10" t="s">
        <v>457</v>
      </c>
      <c r="C66" s="14">
        <f>_xll.BDH("XOM US Equity","FREE_CASH_FLOW_PER_SH","FQ3 2008","FQ3 2008","Currency=USD","Period=FQ","BEST_FPERIOD_OVERRIDE=FQ","FILING_STATUS=OR","Sort=A","Dates=H","DateFormat=P","Fill=—","Direction=H","UseDPDF=Y")</f>
        <v>1.8151999999999999</v>
      </c>
      <c r="D66" s="14">
        <f>_xll.BDH("XOM US Equity","FREE_CASH_FLOW_PER_SH","FQ4 2008","FQ4 2008","Currency=USD","Period=FQ","BEST_FPERIOD_OVERRIDE=FQ","FILING_STATUS=OR","Sort=A","Dates=H","DateFormat=P","Fill=—","Direction=H","UseDPDF=Y")</f>
        <v>1.0358000000000001</v>
      </c>
      <c r="E66" s="14">
        <f>_xll.BDH("XOM US Equity","FREE_CASH_FLOW_PER_SH","FQ1 2009","FQ1 2009","Currency=USD","Period=FQ","BEST_FPERIOD_OVERRIDE=FQ","FILING_STATUS=OR","Sort=A","Dates=H","DateFormat=P","Fill=—","Direction=H","UseDPDF=Y")</f>
        <v>0.85819999999999996</v>
      </c>
      <c r="F66" s="14">
        <f>_xll.BDH("XOM US Equity","FREE_CASH_FLOW_PER_SH","FQ2 2009","FQ2 2009","Currency=USD","Period=FQ","BEST_FPERIOD_OVERRIDE=FQ","FILING_STATUS=OR","Sort=A","Dates=H","DateFormat=P","Fill=—","Direction=H","UseDPDF=Y")</f>
        <v>-0.69430000000000003</v>
      </c>
      <c r="G66" s="14">
        <f>_xll.BDH("XOM US Equity","FREE_CASH_FLOW_PER_SH","FQ3 2009","FQ3 2009","Currency=USD","Period=FQ","BEST_FPERIOD_OVERRIDE=FQ","FILING_STATUS=OR","Sort=A","Dates=H","DateFormat=P","Fill=—","Direction=H","UseDPDF=Y")</f>
        <v>0.69750000000000001</v>
      </c>
      <c r="H66" s="14">
        <f>_xll.BDH("XOM US Equity","FREE_CASH_FLOW_PER_SH","FQ4 2009","FQ4 2009","Currency=USD","Period=FQ","BEST_FPERIOD_OVERRIDE=FQ","FILING_STATUS=OR","Sort=A","Dates=H","DateFormat=P","Fill=—","Direction=H","UseDPDF=Y")</f>
        <v>0.36580000000000001</v>
      </c>
      <c r="I66" s="14">
        <f>_xll.BDH("XOM US Equity","FREE_CASH_FLOW_PER_SH","FQ1 2010","FQ1 2010","Currency=USD","Period=FQ","BEST_FPERIOD_OVERRIDE=FQ","FILING_STATUS=OR","Sort=A","Dates=H","DateFormat=P","Fill=—","Direction=H","UseDPDF=Y")</f>
        <v>1.5438000000000001</v>
      </c>
      <c r="J66" s="14">
        <f>_xll.BDH("XOM US Equity","FREE_CASH_FLOW_PER_SH","FQ2 2010","FQ2 2010","Currency=USD","Period=FQ","BEST_FPERIOD_OVERRIDE=FQ","FILING_STATUS=OR","Sort=A","Dates=H","DateFormat=P","Fill=—","Direction=H","UseDPDF=Y")</f>
        <v>0.76149999999999995</v>
      </c>
      <c r="K66" s="14">
        <f>_xll.BDH("XOM US Equity","FREE_CASH_FLOW_PER_SH","FQ3 2010","FQ3 2010","Currency=USD","Period=FQ","BEST_FPERIOD_OVERRIDE=FQ","FILING_STATUS=OR","Sort=A","Dates=H","DateFormat=P","Fill=—","Direction=H","UseDPDF=Y")</f>
        <v>1.0394000000000001</v>
      </c>
      <c r="L66" s="14">
        <f>_xll.BDH("XOM US Equity","FREE_CASH_FLOW_PER_SH","FQ4 2010","FQ4 2010","Currency=USD","Period=FQ","BEST_FPERIOD_OVERRIDE=FQ","FILING_STATUS=OR","Sort=A","Dates=H","DateFormat=P","Fill=—","Direction=H","UseDPDF=Y")</f>
        <v>1.0828</v>
      </c>
      <c r="M66" s="14">
        <f>_xll.BDH("XOM US Equity","FREE_CASH_FLOW_PER_SH","FQ1 2011","FQ1 2011","Currency=USD","Period=FQ","BEST_FPERIOD_OVERRIDE=FQ","FILING_STATUS=OR","Sort=A","Dates=H","DateFormat=P","Fill=—","Direction=H","UseDPDF=Y")</f>
        <v>1.9756</v>
      </c>
      <c r="N66" s="14">
        <f>_xll.BDH("XOM US Equity","FREE_CASH_FLOW_PER_SH","FQ2 2011","FQ2 2011","Currency=USD","Period=FQ","BEST_FPERIOD_OVERRIDE=FQ","FILING_STATUS=OR","Sort=A","Dates=H","DateFormat=P","Fill=—","Direction=H","UseDPDF=Y")</f>
        <v>1.0348999999999999</v>
      </c>
      <c r="O66" s="14">
        <f>_xll.BDH("XOM US Equity","FREE_CASH_FLOW_PER_SH","FQ3 2011","FQ3 2011","Currency=USD","Period=FQ","BEST_FPERIOD_OVERRIDE=FQ","FILING_STATUS=OR","Sort=A","Dates=H","DateFormat=P","Fill=—","Direction=H","UseDPDF=Y")</f>
        <v>1.5232000000000001</v>
      </c>
      <c r="P66" s="14">
        <f>_xll.BDH("XOM US Equity","FREE_CASH_FLOW_PER_SH","FQ4 2011","FQ4 2011","Currency=USD","Period=FQ","BEST_FPERIOD_OVERRIDE=FQ","FILING_STATUS=OR","Sort=A","Dates=H","DateFormat=P","Fill=—","Direction=H","UseDPDF=Y")</f>
        <v>0.44369999999999998</v>
      </c>
      <c r="Q66" s="14">
        <f>_xll.BDH("XOM US Equity","FREE_CASH_FLOW_PER_SH","FQ1 2012","FQ1 2012","Currency=USD","Period=FQ","BEST_FPERIOD_OVERRIDE=FQ","FILING_STATUS=OR","Sort=A","Dates=H","DateFormat=P","Fill=—","Direction=H","UseDPDF=Y")</f>
        <v>2.4270999999999998</v>
      </c>
      <c r="R66" s="14">
        <f>_xll.BDH("XOM US Equity","FREE_CASH_FLOW_PER_SH","FQ2 2012","FQ2 2012","Currency=USD","Period=FQ","BEST_FPERIOD_OVERRIDE=FQ","FILING_STATUS=OR","Sort=A","Dates=H","DateFormat=P","Fill=—","Direction=H","UseDPDF=Y")</f>
        <v>0.40210000000000001</v>
      </c>
      <c r="S66" s="14">
        <f>_xll.BDH("XOM US Equity","FREE_CASH_FLOW_PER_SH","FQ3 2012","FQ3 2012","Currency=USD","Period=FQ","BEST_FPERIOD_OVERRIDE=FQ","FILING_STATUS=OR","Sort=A","Dates=H","DateFormat=P","Fill=—","Direction=H","UseDPDF=Y")</f>
        <v>1.1781999999999999</v>
      </c>
      <c r="T66" s="14">
        <f>_xll.BDH("XOM US Equity","FREE_CASH_FLOW_PER_SH","FQ4 2012","FQ4 2012","Currency=USD","Period=FQ","BEST_FPERIOD_OVERRIDE=FQ","FILING_STATUS=OR","Sort=A","Dates=H","DateFormat=P","Fill=—","Direction=H","UseDPDF=Y")</f>
        <v>0.70020000000000004</v>
      </c>
      <c r="U66" s="14">
        <f>_xll.BDH("XOM US Equity","FREE_CASH_FLOW_PER_SH","FQ1 2013","FQ1 2013","Currency=USD","Period=FQ","BEST_FPERIOD_OVERRIDE=FQ","FILING_STATUS=OR","Sort=A","Dates=H","DateFormat=P","Fill=—","Direction=H","UseDPDF=Y")</f>
        <v>1.3595999999999999</v>
      </c>
      <c r="V66" s="14">
        <f>_xll.BDH("XOM US Equity","FREE_CASH_FLOW_PER_SH","FQ2 2013","FQ2 2013","Currency=USD","Period=FQ","BEST_FPERIOD_OVERRIDE=FQ","FILING_STATUS=OR","Sort=A","Dates=H","DateFormat=P","Fill=—","Direction=H","UseDPDF=Y")</f>
        <v>-0.21840000000000001</v>
      </c>
      <c r="W66" s="14">
        <f>_xll.BDH("XOM US Equity","FREE_CASH_FLOW_PER_SH","FQ3 2013","FQ3 2013","Currency=USD","Period=FQ","BEST_FPERIOD_OVERRIDE=FQ","FILING_STATUS=OR","Sort=A","Dates=H","DateFormat=P","Fill=—","Direction=H","UseDPDF=Y")</f>
        <v>0.9859</v>
      </c>
      <c r="X66" s="14">
        <f>_xll.BDH("XOM US Equity","FREE_CASH_FLOW_PER_SH","FQ4 2013","FQ4 2013","Currency=USD","Period=FQ","BEST_FPERIOD_OVERRIDE=FQ","FILING_STATUS=OR","Sort=A","Dates=H","DateFormat=P","Fill=—","Direction=H","UseDPDF=Y")</f>
        <v>0.40860000000000002</v>
      </c>
      <c r="Y66" s="14">
        <f>_xll.BDH("XOM US Equity","FREE_CASH_FLOW_PER_SH","FQ1 2014","FQ1 2014","Currency=USD","Period=FQ","BEST_FPERIOD_OVERRIDE=FQ","FILING_STATUS=OR","Sort=A","Dates=H","DateFormat=P","Fill=—","Direction=H","UseDPDF=Y")</f>
        <v>1.7964</v>
      </c>
      <c r="Z66" s="14">
        <f>_xll.BDH("XOM US Equity","FREE_CASH_FLOW_PER_SH","FQ2 2014","FQ2 2014","Currency=USD","Period=FQ","BEST_FPERIOD_OVERRIDE=FQ","FILING_STATUS=OR","Sort=A","Dates=H","DateFormat=P","Fill=—","Direction=H","UseDPDF=Y")</f>
        <v>0.38629999999999998</v>
      </c>
      <c r="AA66" s="14">
        <f>_xll.BDH("XOM US Equity","FREE_CASH_FLOW_PER_SH","FQ3 2014","FQ3 2014","Currency=USD","Period=FQ","BEST_FPERIOD_OVERRIDE=FQ","FILING_STATUS=OR","Sort=A","Dates=H","DateFormat=P","Fill=—","Direction=H","UseDPDF=Y")</f>
        <v>0.98380000000000001</v>
      </c>
      <c r="AB66" s="14">
        <f>_xll.BDH("XOM US Equity","FREE_CASH_FLOW_PER_SH","FQ4 2014","FQ4 2014","Currency=USD","Period=FQ","BEST_FPERIOD_OVERRIDE=FQ","FILING_STATUS=OR","Sort=A","Dates=H","DateFormat=P","Fill=—","Direction=H","UseDPDF=Y")</f>
        <v>-0.34689999999999999</v>
      </c>
      <c r="AC66" s="14">
        <f>_xll.BDH("XOM US Equity","FREE_CASH_FLOW_PER_SH","FQ1 2015","FQ1 2015","Currency=USD","Period=FQ","BEST_FPERIOD_OVERRIDE=FQ","FILING_STATUS=OR","Sort=A","Dates=H","DateFormat=P","Fill=—","Direction=H","UseDPDF=Y")</f>
        <v>0.27400000000000002</v>
      </c>
      <c r="AD66" s="14">
        <f>_xll.BDH("XOM US Equity","FREE_CASH_FLOW_PER_SH","FQ2 2015","FQ2 2015","Currency=USD","Period=FQ","BEST_FPERIOD_OVERRIDE=FQ","FILING_STATUS=OR","Sort=A","Dates=H","DateFormat=P","Fill=—","Direction=H","UseDPDF=Y")</f>
        <v>0.4007</v>
      </c>
      <c r="AE66" s="14">
        <f>_xll.BDH("XOM US Equity","FREE_CASH_FLOW_PER_SH","FQ3 2015","FQ3 2015","Currency=USD","Period=FQ","BEST_FPERIOD_OVERRIDE=FQ","FILING_STATUS=OR","Sort=A","Dates=H","DateFormat=P","Fill=—","Direction=H","UseDPDF=Y")</f>
        <v>0.66180000000000005</v>
      </c>
      <c r="AF66" s="14">
        <f>_xll.BDH("XOM US Equity","FREE_CASH_FLOW_PER_SH","FQ4 2015","FQ4 2015","Currency=USD","Period=FQ","BEST_FPERIOD_OVERRIDE=FQ","FILING_STATUS=OR","Sort=A","Dates=H","DateFormat=P","Fill=—","Direction=H","UseDPDF=Y")</f>
        <v>-0.41980000000000001</v>
      </c>
      <c r="AG66" s="14">
        <f>_xll.BDH("XOM US Equity","FREE_CASH_FLOW_PER_SH","FQ1 2016","FQ1 2016","Currency=USD","Period=FQ","BEST_FPERIOD_OVERRIDE=FQ","FILING_STATUS=OR","Sort=A","Dates=H","DateFormat=P","Fill=—","Direction=H","UseDPDF=Y")</f>
        <v>5.0500000000000003E-2</v>
      </c>
      <c r="AH66" s="14">
        <f>_xll.BDH("XOM US Equity","FREE_CASH_FLOW_PER_SH","FQ2 2016","FQ2 2016","Currency=USD","Period=FQ","BEST_FPERIOD_OVERRIDE=FQ","FILING_STATUS=OR","Sort=A","Dates=H","DateFormat=P","Fill=—","Direction=H","UseDPDF=Y")</f>
        <v>5.9799999999999999E-2</v>
      </c>
      <c r="AI66" s="14">
        <f>_xll.BDH("XOM US Equity","FREE_CASH_FLOW_PER_SH","FQ3 2016","FQ3 2016","Currency=USD","Period=FQ","BEST_FPERIOD_OVERRIDE=FQ","FILING_STATUS=OR","Sort=A","Dates=H","DateFormat=P","Fill=—","Direction=H","UseDPDF=Y")</f>
        <v>0.46700000000000003</v>
      </c>
      <c r="AJ66" s="14">
        <f>_xll.BDH("XOM US Equity","FREE_CASH_FLOW_PER_SH","FQ4 2016","FQ4 2016","Currency=USD","Period=FQ","BEST_FPERIOD_OVERRIDE=FQ","FILING_STATUS=OR","Sort=A","Dates=H","DateFormat=P","Fill=—","Direction=H","UseDPDF=Y")</f>
        <v>0.84030000000000005</v>
      </c>
      <c r="AK66" s="14">
        <f>_xll.BDH("XOM US Equity","FREE_CASH_FLOW_PER_SH","FQ1 2017","FQ1 2017","Currency=USD","Period=FQ","BEST_FPERIOD_OVERRIDE=FQ","FILING_STATUS=OR","Sort=A","Dates=H","DateFormat=P","Fill=—","Direction=H","UseDPDF=Y")</f>
        <v>1.2509999999999999</v>
      </c>
      <c r="AL66" s="14">
        <f>_xll.BDH("XOM US Equity","FREE_CASH_FLOW_PER_SH","FQ2 2017","FQ2 2017","Currency=USD","Period=FQ","BEST_FPERIOD_OVERRIDE=FQ","FILING_STATUS=OR","Sort=A","Dates=H","DateFormat=P","Fill=—","Direction=H","UseDPDF=Y")</f>
        <v>0.9012</v>
      </c>
      <c r="AM66" s="14">
        <f>_xll.BDH("XOM US Equity","FREE_CASH_FLOW_PER_SH","FQ3 2017","FQ3 2017","Currency=USD","Period=FQ","BEST_FPERIOD_OVERRIDE=FQ","FILING_STATUS=OR","Sort=A","Dates=H","DateFormat=P","Fill=—","Direction=H","UseDPDF=Y")</f>
        <v>0.6139</v>
      </c>
      <c r="AN66" s="14">
        <f>_xll.BDH("XOM US Equity","FREE_CASH_FLOW_PER_SH","FQ4 2017","FQ4 2017","Currency=USD","Period=FQ","BEST_FPERIOD_OVERRIDE=FQ","FILING_STATUS=OR","Sort=A","Dates=H","DateFormat=P","Fill=—","Direction=H","UseDPDF=Y")</f>
        <v>0.68149999999999999</v>
      </c>
      <c r="AO66" s="14">
        <f>_xll.BDH("XOM US Equity","FREE_CASH_FLOW_PER_SH","FQ1 2018","FQ1 2018","Currency=USD","Period=FQ","BEST_FPERIOD_OVERRIDE=FQ","FILING_STATUS=OR","Sort=A","Dates=H","DateFormat=P","Fill=—","Direction=H","UseDPDF=Y")</f>
        <v>1.2107999999999999</v>
      </c>
      <c r="AP66" s="14">
        <f>_xll.BDH("XOM US Equity","FREE_CASH_FLOW_PER_SH","FQ2 2018","FQ2 2018","Currency=USD","Period=FQ","BEST_FPERIOD_OVERRIDE=FQ","FILING_STATUS=OR","Sort=A","Dates=H","DateFormat=P","Fill=—","Direction=H","UseDPDF=Y")</f>
        <v>0.66800000000000004</v>
      </c>
    </row>
    <row r="67" spans="1:42" x14ac:dyDescent="0.25">
      <c r="A67" s="10" t="s">
        <v>458</v>
      </c>
      <c r="B67" s="10" t="s">
        <v>459</v>
      </c>
      <c r="C67" s="14">
        <f>_xll.BDH("XOM US Equity","PX_TO_FREE_CASH_FLOW","FQ3 2008","FQ3 2008","Currency=USD","Period=FQ","BEST_FPERIOD_OVERRIDE=FQ","FILING_STATUS=OR","Sort=A","Dates=H","DateFormat=P","Fill=—","Direction=H","UseDPDF=Y")</f>
        <v>9.7102000000000004</v>
      </c>
      <c r="D67" s="14">
        <f>_xll.BDH("XOM US Equity","PX_TO_FREE_CASH_FLOW","FQ4 2008","FQ4 2008","Currency=USD","Period=FQ","BEST_FPERIOD_OVERRIDE=FQ","FILING_STATUS=OR","Sort=A","Dates=H","DateFormat=P","Fill=—","Direction=H","UseDPDF=Y")</f>
        <v>10.2554</v>
      </c>
      <c r="E67" s="14">
        <f>_xll.BDH("XOM US Equity","PX_TO_FREE_CASH_FLOW","FQ1 2009","FQ1 2009","Currency=USD","Period=FQ","BEST_FPERIOD_OVERRIDE=FQ","FILING_STATUS=OR","Sort=A","Dates=H","DateFormat=P","Fill=—","Direction=H","UseDPDF=Y")</f>
        <v>12.723100000000001</v>
      </c>
      <c r="F67" s="14">
        <f>_xll.BDH("XOM US Equity","PX_TO_FREE_CASH_FLOW","FQ2 2009","FQ2 2009","Currency=USD","Period=FQ","BEST_FPERIOD_OVERRIDE=FQ","FILING_STATUS=OR","Sort=A","Dates=H","DateFormat=P","Fill=—","Direction=H","UseDPDF=Y")</f>
        <v>23.187100000000001</v>
      </c>
      <c r="G67" s="14">
        <f>_xll.BDH("XOM US Equity","PX_TO_FREE_CASH_FLOW","FQ3 2009","FQ3 2009","Currency=USD","Period=FQ","BEST_FPERIOD_OVERRIDE=FQ","FILING_STATUS=OR","Sort=A","Dates=H","DateFormat=P","Fill=—","Direction=H","UseDPDF=Y")</f>
        <v>36.159999999999997</v>
      </c>
      <c r="H67" s="14">
        <f>_xll.BDH("XOM US Equity","PX_TO_FREE_CASH_FLOW","FQ4 2009","FQ4 2009","Currency=USD","Period=FQ","BEST_FPERIOD_OVERRIDE=FQ","FILING_STATUS=OR","Sort=A","Dates=H","DateFormat=P","Fill=—","Direction=H","UseDPDF=Y")</f>
        <v>55.564900000000002</v>
      </c>
      <c r="I67" s="14">
        <f>_xll.BDH("XOM US Equity","PX_TO_FREE_CASH_FLOW","FQ1 2010","FQ1 2010","Currency=USD","Period=FQ","BEST_FPERIOD_OVERRIDE=FQ","FILING_STATUS=OR","Sort=A","Dates=H","DateFormat=P","Fill=—","Direction=H","UseDPDF=Y")</f>
        <v>35.015999999999998</v>
      </c>
      <c r="J67" s="14">
        <f>_xll.BDH("XOM US Equity","PX_TO_FREE_CASH_FLOW","FQ2 2010","FQ2 2010","Currency=USD","Period=FQ","BEST_FPERIOD_OVERRIDE=FQ","FILING_STATUS=OR","Sort=A","Dates=H","DateFormat=P","Fill=—","Direction=H","UseDPDF=Y")</f>
        <v>16.9419</v>
      </c>
      <c r="K67" s="14">
        <f>_xll.BDH("XOM US Equity","PX_TO_FREE_CASH_FLOW","FQ3 2010","FQ3 2010","Currency=USD","Period=FQ","BEST_FPERIOD_OVERRIDE=FQ","FILING_STATUS=OR","Sort=A","Dates=H","DateFormat=P","Fill=—","Direction=H","UseDPDF=Y")</f>
        <v>16.652999999999999</v>
      </c>
      <c r="L67" s="14">
        <f>_xll.BDH("XOM US Equity","PX_TO_FREE_CASH_FLOW","FQ4 2010","FQ4 2010","Currency=USD","Period=FQ","BEST_FPERIOD_OVERRIDE=FQ","FILING_STATUS=OR","Sort=A","Dates=H","DateFormat=P","Fill=—","Direction=H","UseDPDF=Y")</f>
        <v>16.514800000000001</v>
      </c>
      <c r="M67" s="14">
        <f>_xll.BDH("XOM US Equity","PX_TO_FREE_CASH_FLOW","FQ1 2011","FQ1 2011","Currency=USD","Period=FQ","BEST_FPERIOD_OVERRIDE=FQ","FILING_STATUS=OR","Sort=A","Dates=H","DateFormat=P","Fill=—","Direction=H","UseDPDF=Y")</f>
        <v>17.313099999999999</v>
      </c>
      <c r="N67" s="14">
        <f>_xll.BDH("XOM US Equity","PX_TO_FREE_CASH_FLOW","FQ2 2011","FQ2 2011","Currency=USD","Period=FQ","BEST_FPERIOD_OVERRIDE=FQ","FILING_STATUS=OR","Sort=A","Dates=H","DateFormat=P","Fill=—","Direction=H","UseDPDF=Y")</f>
        <v>15.8551</v>
      </c>
      <c r="O67" s="14">
        <f>_xll.BDH("XOM US Equity","PX_TO_FREE_CASH_FLOW","FQ3 2011","FQ3 2011","Currency=USD","Period=FQ","BEST_FPERIOD_OVERRIDE=FQ","FILING_STATUS=OR","Sort=A","Dates=H","DateFormat=P","Fill=—","Direction=H","UseDPDF=Y")</f>
        <v>12.9314</v>
      </c>
      <c r="P67" s="14">
        <f>_xll.BDH("XOM US Equity","PX_TO_FREE_CASH_FLOW","FQ4 2011","FQ4 2011","Currency=USD","Period=FQ","BEST_FPERIOD_OVERRIDE=FQ","FILING_STATUS=OR","Sort=A","Dates=H","DateFormat=P","Fill=—","Direction=H","UseDPDF=Y")</f>
        <v>17.029</v>
      </c>
      <c r="Q67" s="14">
        <f>_xll.BDH("XOM US Equity","PX_TO_FREE_CASH_FLOW","FQ1 2012","FQ1 2012","Currency=USD","Period=FQ","BEST_FPERIOD_OVERRIDE=FQ","FILING_STATUS=OR","Sort=A","Dates=H","DateFormat=P","Fill=—","Direction=H","UseDPDF=Y")</f>
        <v>15.9756</v>
      </c>
      <c r="R67" s="14">
        <f>_xll.BDH("XOM US Equity","PX_TO_FREE_CASH_FLOW","FQ2 2012","FQ2 2012","Currency=USD","Period=FQ","BEST_FPERIOD_OVERRIDE=FQ","FILING_STATUS=OR","Sort=A","Dates=H","DateFormat=P","Fill=—","Direction=H","UseDPDF=Y")</f>
        <v>17.8415</v>
      </c>
      <c r="S67" s="14">
        <f>_xll.BDH("XOM US Equity","PX_TO_FREE_CASH_FLOW","FQ3 2012","FQ3 2012","Currency=USD","Period=FQ","BEST_FPERIOD_OVERRIDE=FQ","FILING_STATUS=OR","Sort=A","Dates=H","DateFormat=P","Fill=—","Direction=H","UseDPDF=Y")</f>
        <v>20.5458</v>
      </c>
      <c r="T67" s="14">
        <f>_xll.BDH("XOM US Equity","PX_TO_FREE_CASH_FLOW","FQ4 2012","FQ4 2012","Currency=USD","Period=FQ","BEST_FPERIOD_OVERRIDE=FQ","FILING_STATUS=OR","Sort=A","Dates=H","DateFormat=P","Fill=—","Direction=H","UseDPDF=Y")</f>
        <v>18.385100000000001</v>
      </c>
      <c r="U67" s="14">
        <f>_xll.BDH("XOM US Equity","PX_TO_FREE_CASH_FLOW","FQ1 2013","FQ1 2013","Currency=USD","Period=FQ","BEST_FPERIOD_OVERRIDE=FQ","FILING_STATUS=OR","Sort=A","Dates=H","DateFormat=P","Fill=—","Direction=H","UseDPDF=Y")</f>
        <v>28.872599999999998</v>
      </c>
      <c r="V67" s="14">
        <f>_xll.BDH("XOM US Equity","PX_TO_FREE_CASH_FLOW","FQ2 2013","FQ2 2013","Currency=USD","Period=FQ","BEST_FPERIOD_OVERRIDE=FQ","FILING_STATUS=OR","Sort=A","Dates=H","DateFormat=P","Fill=—","Direction=H","UseDPDF=Y")</f>
        <v>36.132399999999997</v>
      </c>
      <c r="W67" s="14">
        <f>_xll.BDH("XOM US Equity","PX_TO_FREE_CASH_FLOW","FQ3 2013","FQ3 2013","Currency=USD","Period=FQ","BEST_FPERIOD_OVERRIDE=FQ","FILING_STATUS=OR","Sort=A","Dates=H","DateFormat=P","Fill=—","Direction=H","UseDPDF=Y")</f>
        <v>37.274799999999999</v>
      </c>
      <c r="X67" s="14">
        <f>_xll.BDH("XOM US Equity","PX_TO_FREE_CASH_FLOW","FQ4 2013","FQ4 2013","Currency=USD","Period=FQ","BEST_FPERIOD_OVERRIDE=FQ","FILING_STATUS=OR","Sort=A","Dates=H","DateFormat=P","Fill=—","Direction=H","UseDPDF=Y")</f>
        <v>39.9086</v>
      </c>
      <c r="Y67" s="14">
        <f>_xll.BDH("XOM US Equity","PX_TO_FREE_CASH_FLOW","FQ1 2014","FQ1 2014","Currency=USD","Period=FQ","BEST_FPERIOD_OVERRIDE=FQ","FILING_STATUS=OR","Sort=A","Dates=H","DateFormat=P","Fill=—","Direction=H","UseDPDF=Y")</f>
        <v>32.860199999999999</v>
      </c>
      <c r="Z67" s="14">
        <f>_xll.BDH("XOM US Equity","PX_TO_FREE_CASH_FLOW","FQ2 2014","FQ2 2014","Currency=USD","Period=FQ","BEST_FPERIOD_OVERRIDE=FQ","FILING_STATUS=OR","Sort=A","Dates=H","DateFormat=P","Fill=—","Direction=H","UseDPDF=Y")</f>
        <v>28.144300000000001</v>
      </c>
      <c r="AA67" s="14">
        <f>_xll.BDH("XOM US Equity","PX_TO_FREE_CASH_FLOW","FQ3 2014","FQ3 2014","Currency=USD","Period=FQ","BEST_FPERIOD_OVERRIDE=FQ","FILING_STATUS=OR","Sort=A","Dates=H","DateFormat=P","Fill=—","Direction=H","UseDPDF=Y")</f>
        <v>26.3062</v>
      </c>
      <c r="AB67" s="14">
        <f>_xll.BDH("XOM US Equity","PX_TO_FREE_CASH_FLOW","FQ4 2014","FQ4 2014","Currency=USD","Period=FQ","BEST_FPERIOD_OVERRIDE=FQ","FILING_STATUS=OR","Sort=A","Dates=H","DateFormat=P","Fill=—","Direction=H","UseDPDF=Y")</f>
        <v>32.786999999999999</v>
      </c>
      <c r="AC67" s="14">
        <f>_xll.BDH("XOM US Equity","PX_TO_FREE_CASH_FLOW","FQ1 2015","FQ1 2015","Currency=USD","Period=FQ","BEST_FPERIOD_OVERRIDE=FQ","FILING_STATUS=OR","Sort=A","Dates=H","DateFormat=P","Fill=—","Direction=H","UseDPDF=Y")</f>
        <v>65.519800000000004</v>
      </c>
      <c r="AD67" s="14">
        <f>_xll.BDH("XOM US Equity","PX_TO_FREE_CASH_FLOW","FQ2 2015","FQ2 2015","Currency=USD","Period=FQ","BEST_FPERIOD_OVERRIDE=FQ","FILING_STATUS=OR","Sort=A","Dates=H","DateFormat=P","Fill=—","Direction=H","UseDPDF=Y")</f>
        <v>63.4283</v>
      </c>
      <c r="AE67" s="14">
        <f>_xll.BDH("XOM US Equity","PX_TO_FREE_CASH_FLOW","FQ3 2015","FQ3 2015","Currency=USD","Period=FQ","BEST_FPERIOD_OVERRIDE=FQ","FILING_STATUS=OR","Sort=A","Dates=H","DateFormat=P","Fill=—","Direction=H","UseDPDF=Y")</f>
        <v>75.123699999999999</v>
      </c>
      <c r="AF67" s="14">
        <f>_xll.BDH("XOM US Equity","PX_TO_FREE_CASH_FLOW","FQ4 2015","FQ4 2015","Currency=USD","Period=FQ","BEST_FPERIOD_OVERRIDE=FQ","FILING_STATUS=OR","Sort=A","Dates=H","DateFormat=P","Fill=—","Direction=H","UseDPDF=Y")</f>
        <v>85.025999999999996</v>
      </c>
      <c r="AG67" s="14">
        <f>_xll.BDH("XOM US Equity","PX_TO_FREE_CASH_FLOW","FQ1 2016","FQ1 2016","Currency=USD","Period=FQ","BEST_FPERIOD_OVERRIDE=FQ","FILING_STATUS=OR","Sort=A","Dates=H","DateFormat=P","Fill=—","Direction=H","UseDPDF=Y")</f>
        <v>120.57940000000001</v>
      </c>
      <c r="AH67" s="14">
        <f>_xll.BDH("XOM US Equity","PX_TO_FREE_CASH_FLOW","FQ2 2016","FQ2 2016","Currency=USD","Period=FQ","BEST_FPERIOD_OVERRIDE=FQ","FILING_STATUS=OR","Sort=A","Dates=H","DateFormat=P","Fill=—","Direction=H","UseDPDF=Y")</f>
        <v>266.06169999999997</v>
      </c>
      <c r="AI67" s="14">
        <f>_xll.BDH("XOM US Equity","PX_TO_FREE_CASH_FLOW","FQ3 2016","FQ3 2016","Currency=USD","Period=FQ","BEST_FPERIOD_OVERRIDE=FQ","FILING_STATUS=OR","Sort=A","Dates=H","DateFormat=P","Fill=—","Direction=H","UseDPDF=Y")</f>
        <v>554.22789999999998</v>
      </c>
      <c r="AJ67" s="14">
        <f>_xll.BDH("XOM US Equity","PX_TO_FREE_CASH_FLOW","FQ4 2016","FQ4 2016","Currency=USD","Period=FQ","BEST_FPERIOD_OVERRIDE=FQ","FILING_STATUS=OR","Sort=A","Dates=H","DateFormat=P","Fill=—","Direction=H","UseDPDF=Y")</f>
        <v>63.673099999999998</v>
      </c>
      <c r="AK67" s="14">
        <f>_xll.BDH("XOM US Equity","PX_TO_FREE_CASH_FLOW","FQ1 2017","FQ1 2017","Currency=USD","Period=FQ","BEST_FPERIOD_OVERRIDE=FQ","FILING_STATUS=OR","Sort=A","Dates=H","DateFormat=P","Fill=—","Direction=H","UseDPDF=Y")</f>
        <v>31.3248</v>
      </c>
      <c r="AL67" s="14">
        <f>_xll.BDH("XOM US Equity","PX_TO_FREE_CASH_FLOW","FQ2 2017","FQ2 2017","Currency=USD","Period=FQ","BEST_FPERIOD_OVERRIDE=FQ","FILING_STATUS=OR","Sort=A","Dates=H","DateFormat=P","Fill=—","Direction=H","UseDPDF=Y")</f>
        <v>23.336099999999998</v>
      </c>
      <c r="AM67" s="14">
        <f>_xll.BDH("XOM US Equity","PX_TO_FREE_CASH_FLOW","FQ3 2017","FQ3 2017","Currency=USD","Period=FQ","BEST_FPERIOD_OVERRIDE=FQ","FILING_STATUS=OR","Sort=A","Dates=H","DateFormat=P","Fill=—","Direction=H","UseDPDF=Y")</f>
        <v>22.7319</v>
      </c>
      <c r="AN67" s="14">
        <f>_xll.BDH("XOM US Equity","PX_TO_FREE_CASH_FLOW","FQ4 2017","FQ4 2017","Currency=USD","Period=FQ","BEST_FPERIOD_OVERRIDE=FQ","FILING_STATUS=OR","Sort=A","Dates=H","DateFormat=P","Fill=—","Direction=H","UseDPDF=Y")</f>
        <v>24.260300000000001</v>
      </c>
      <c r="AO67" s="14">
        <f>_xll.BDH("XOM US Equity","PX_TO_FREE_CASH_FLOW","FQ1 2018","FQ1 2018","Currency=USD","Period=FQ","BEST_FPERIOD_OVERRIDE=FQ","FILING_STATUS=OR","Sort=A","Dates=H","DateFormat=P","Fill=—","Direction=H","UseDPDF=Y")</f>
        <v>21.896599999999999</v>
      </c>
      <c r="AP67" s="14">
        <f>_xll.BDH("XOM US Equity","PX_TO_FREE_CASH_FLOW","FQ2 2018","FQ2 2018","Currency=USD","Period=FQ","BEST_FPERIOD_OVERRIDE=FQ","FILING_STATUS=OR","Sort=A","Dates=H","DateFormat=P","Fill=—","Direction=H","UseDPDF=Y")</f>
        <v>26.063500000000001</v>
      </c>
    </row>
    <row r="68" spans="1:42" x14ac:dyDescent="0.25">
      <c r="A68" s="10" t="s">
        <v>460</v>
      </c>
      <c r="B68" s="10" t="s">
        <v>461</v>
      </c>
      <c r="C68" s="14">
        <f>_xll.BDH("XOM US Equity","CASH_FLOW_TO_NET_INC","FQ3 2008","FQ3 2008","Currency=USD","Period=FQ","BEST_FPERIOD_OVERRIDE=FQ","FILING_STATUS=OR","FA_ADJUSTED=GAAP","Sort=A","Dates=H","DateFormat=P","Fill=—","Direction=H","UseDPDF=Y")</f>
        <v>0.97119999999999995</v>
      </c>
      <c r="D68" s="14">
        <f>_xll.BDH("XOM US Equity","CASH_FLOW_TO_NET_INC","FQ4 2008","FQ4 2008","Currency=USD","Period=FQ","BEST_FPERIOD_OVERRIDE=FQ","FILING_STATUS=OR","FA_ADJUSTED=GAAP","Sort=A","Dates=H","DateFormat=P","Fill=—","Direction=H","UseDPDF=Y")</f>
        <v>1.3407</v>
      </c>
      <c r="E68" s="14">
        <f>_xll.BDH("XOM US Equity","CASH_FLOW_TO_NET_INC","FQ1 2009","FQ1 2009","Currency=USD","Period=FQ","BEST_FPERIOD_OVERRIDE=FQ","FILING_STATUS=OR","FA_ADJUSTED=GAAP","Sort=A","Dates=H","DateFormat=P","Fill=—","Direction=H","UseDPDF=Y")</f>
        <v>1.9582000000000002</v>
      </c>
      <c r="F68" s="14">
        <f>_xll.BDH("XOM US Equity","CASH_FLOW_TO_NET_INC","FQ2 2009","FQ2 2009","Currency=USD","Period=FQ","BEST_FPERIOD_OVERRIDE=FQ","FILING_STATUS=OR","FA_ADJUSTED=GAAP","Sort=A","Dates=H","DateFormat=P","Fill=—","Direction=H","UseDPDF=Y")</f>
        <v>0.55620000000000003</v>
      </c>
      <c r="G68" s="14">
        <f>_xll.BDH("XOM US Equity","CASH_FLOW_TO_NET_INC","FQ3 2009","FQ3 2009","Currency=USD","Period=FQ","BEST_FPERIOD_OVERRIDE=FQ","FILING_STATUS=OR","FA_ADJUSTED=GAAP","Sort=A","Dates=H","DateFormat=P","Fill=—","Direction=H","UseDPDF=Y")</f>
        <v>1.8662000000000001</v>
      </c>
      <c r="H68" s="14">
        <f>_xll.BDH("XOM US Equity","CASH_FLOW_TO_NET_INC","FQ4 2009","FQ4 2009","Currency=USD","Period=FQ","BEST_FPERIOD_OVERRIDE=FQ","FILING_STATUS=OR","FA_ADJUSTED=GAAP","Sort=A","Dates=H","DateFormat=P","Fill=—","Direction=H","UseDPDF=Y")</f>
        <v>1.4056</v>
      </c>
      <c r="I68" s="14">
        <f>_xll.BDH("XOM US Equity","CASH_FLOW_TO_NET_INC","FQ1 2010","FQ1 2010","Currency=USD","Period=FQ","BEST_FPERIOD_OVERRIDE=FQ","FILING_STATUS=OR","FA_ADJUSTED=GAAP","Sort=A","Dates=H","DateFormat=P","Fill=—","Direction=H","UseDPDF=Y")</f>
        <v>2.0708000000000002</v>
      </c>
      <c r="J68" s="14">
        <f>_xll.BDH("XOM US Equity","CASH_FLOW_TO_NET_INC","FQ2 2010","FQ2 2010","Currency=USD","Period=FQ","BEST_FPERIOD_OVERRIDE=FQ","FILING_STATUS=OR","FA_ADJUSTED=GAAP","Sort=A","Dates=H","DateFormat=P","Fill=—","Direction=H","UseDPDF=Y")</f>
        <v>1.2216</v>
      </c>
      <c r="K68" s="14">
        <f>_xll.BDH("XOM US Equity","CASH_FLOW_TO_NET_INC","FQ3 2010","FQ3 2010","Currency=USD","Period=FQ","BEST_FPERIOD_OVERRIDE=FQ","FILING_STATUS=OR","FA_ADJUSTED=GAAP","Sort=A","Dates=H","DateFormat=P","Fill=—","Direction=H","UseDPDF=Y")</f>
        <v>1.7791999999999999</v>
      </c>
      <c r="L68" s="14">
        <f>_xll.BDH("XOM US Equity","CASH_FLOW_TO_NET_INC","FQ4 2010","FQ4 2010","Currency=USD","Period=FQ","BEST_FPERIOD_OVERRIDE=FQ","FILING_STATUS=OR","FA_ADJUSTED=GAAP","Sort=A","Dates=H","DateFormat=P","Fill=—","Direction=H","UseDPDF=Y")</f>
        <v>1.4114</v>
      </c>
      <c r="M68" s="14">
        <f>_xll.BDH("XOM US Equity","CASH_FLOW_TO_NET_INC","FQ1 2011","FQ1 2011","Currency=USD","Period=FQ","BEST_FPERIOD_OVERRIDE=FQ","FILING_STATUS=OR","FA_ADJUSTED=GAAP","Sort=A","Dates=H","DateFormat=P","Fill=—","Direction=H","UseDPDF=Y")</f>
        <v>1.5827</v>
      </c>
      <c r="N68" s="14">
        <f>_xll.BDH("XOM US Equity","CASH_FLOW_TO_NET_INC","FQ2 2011","FQ2 2011","Currency=USD","Period=FQ","BEST_FPERIOD_OVERRIDE=FQ","FILING_STATUS=OR","FA_ADJUSTED=GAAP","Sort=A","Dates=H","DateFormat=P","Fill=—","Direction=H","UseDPDF=Y")</f>
        <v>1.2068000000000001</v>
      </c>
      <c r="O68" s="14">
        <f>_xll.BDH("XOM US Equity","CASH_FLOW_TO_NET_INC","FQ3 2011","FQ3 2011","Currency=USD","Period=FQ","BEST_FPERIOD_OVERRIDE=FQ","FILING_STATUS=OR","FA_ADJUSTED=GAAP","Sort=A","Dates=H","DateFormat=P","Fill=—","Direction=H","UseDPDF=Y")</f>
        <v>1.4375</v>
      </c>
      <c r="P68" s="14">
        <f>_xll.BDH("XOM US Equity","CASH_FLOW_TO_NET_INC","FQ4 2011","FQ4 2011","Currency=USD","Period=FQ","BEST_FPERIOD_OVERRIDE=FQ","FILING_STATUS=OR","FA_ADJUSTED=GAAP","Sort=A","Dates=H","DateFormat=P","Fill=—","Direction=H","UseDPDF=Y")</f>
        <v>1.1436999999999999</v>
      </c>
      <c r="Q68" s="14">
        <f>_xll.BDH("XOM US Equity","CASH_FLOW_TO_NET_INC","FQ1 2012","FQ1 2012","Currency=USD","Period=FQ","BEST_FPERIOD_OVERRIDE=FQ","FILING_STATUS=OR","FA_ADJUSTED=GAAP","Sort=A","Dates=H","DateFormat=P","Fill=—","Direction=H","UseDPDF=Y")</f>
        <v>2.0409999999999999</v>
      </c>
      <c r="R68" s="14">
        <f>_xll.BDH("XOM US Equity","CASH_FLOW_TO_NET_INC","FQ2 2012","FQ2 2012","Currency=USD","Period=FQ","BEST_FPERIOD_OVERRIDE=FQ","FILING_STATUS=OR","FA_ADJUSTED=GAAP","Sort=A","Dates=H","DateFormat=P","Fill=—","Direction=H","UseDPDF=Y")</f>
        <v>0.64219999999999999</v>
      </c>
      <c r="S68" s="14">
        <f>_xll.BDH("XOM US Equity","CASH_FLOW_TO_NET_INC","FQ3 2012","FQ3 2012","Currency=USD","Period=FQ","BEST_FPERIOD_OVERRIDE=FQ","FILING_STATUS=OR","FA_ADJUSTED=GAAP","Sort=A","Dates=H","DateFormat=P","Fill=—","Direction=H","UseDPDF=Y")</f>
        <v>1.4046000000000001</v>
      </c>
      <c r="T68" s="14">
        <f>_xll.BDH("XOM US Equity","CASH_FLOW_TO_NET_INC","FQ4 2012","FQ4 2012","Currency=USD","Period=FQ","BEST_FPERIOD_OVERRIDE=FQ","FILING_STATUS=OR","FA_ADJUSTED=GAAP","Sort=A","Dates=H","DateFormat=P","Fill=—","Direction=H","UseDPDF=Y")</f>
        <v>1.329</v>
      </c>
      <c r="U68" s="14">
        <f>_xll.BDH("XOM US Equity","CASH_FLOW_TO_NET_INC","FQ1 2013","FQ1 2013","Currency=USD","Period=FQ","BEST_FPERIOD_OVERRIDE=FQ","FILING_STATUS=OR","FA_ADJUSTED=GAAP","Sort=A","Dates=H","DateFormat=P","Fill=—","Direction=H","UseDPDF=Y")</f>
        <v>1.4307000000000001</v>
      </c>
      <c r="V68" s="14">
        <f>_xll.BDH("XOM US Equity","CASH_FLOW_TO_NET_INC","FQ2 2013","FQ2 2013","Currency=USD","Period=FQ","BEST_FPERIOD_OVERRIDE=FQ","FILING_STATUS=OR","FA_ADJUSTED=GAAP","Sort=A","Dates=H","DateFormat=P","Fill=—","Direction=H","UseDPDF=Y")</f>
        <v>1.1200000000000001</v>
      </c>
      <c r="W68" s="14">
        <f>_xll.BDH("XOM US Equity","CASH_FLOW_TO_NET_INC","FQ3 2013","FQ3 2013","Currency=USD","Period=FQ","BEST_FPERIOD_OVERRIDE=FQ","FILING_STATUS=OR","FA_ADJUSTED=GAAP","Sort=A","Dates=H","DateFormat=P","Fill=—","Direction=H","UseDPDF=Y")</f>
        <v>1.7065999999999999</v>
      </c>
      <c r="X68" s="14">
        <f>_xll.BDH("XOM US Equity","CASH_FLOW_TO_NET_INC","FQ4 2013","FQ4 2013","Currency=USD","Period=FQ","BEST_FPERIOD_OVERRIDE=FQ","FILING_STATUS=OR","FA_ADJUSTED=GAAP","Sort=A","Dates=H","DateFormat=P","Fill=—","Direction=H","UseDPDF=Y")</f>
        <v>1.2224999999999999</v>
      </c>
      <c r="Y68" s="14">
        <f>_xll.BDH("XOM US Equity","CASH_FLOW_TO_NET_INC","FQ1 2014","FQ1 2014","Currency=USD","Period=FQ","BEST_FPERIOD_OVERRIDE=FQ","FILING_STATUS=OR","FA_ADJUSTED=GAAP","Sort=A","Dates=H","DateFormat=P","Fill=—","Direction=H","UseDPDF=Y")</f>
        <v>1.6597</v>
      </c>
      <c r="Z68" s="14">
        <f>_xll.BDH("XOM US Equity","CASH_FLOW_TO_NET_INC","FQ2 2014","FQ2 2014","Currency=USD","Period=FQ","BEST_FPERIOD_OVERRIDE=FQ","FILING_STATUS=OR","FA_ADJUSTED=GAAP","Sort=A","Dates=H","DateFormat=P","Fill=—","Direction=H","UseDPDF=Y")</f>
        <v>1.1619999999999999</v>
      </c>
      <c r="AA68" s="14">
        <f>_xll.BDH("XOM US Equity","CASH_FLOW_TO_NET_INC","FQ3 2014","FQ3 2014","Currency=USD","Period=FQ","BEST_FPERIOD_OVERRIDE=FQ","FILING_STATUS=OR","FA_ADJUSTED=GAAP","Sort=A","Dates=H","DateFormat=P","Fill=—","Direction=H","UseDPDF=Y")</f>
        <v>1.5361</v>
      </c>
      <c r="AB68" s="14">
        <f>_xll.BDH("XOM US Equity","CASH_FLOW_TO_NET_INC","FQ4 2014","FQ4 2014","Currency=USD","Period=FQ","BEST_FPERIOD_OVERRIDE=FQ","FILING_STATUS=OR","FA_ADJUSTED=GAAP","Sort=A","Dates=H","DateFormat=P","Fill=—","Direction=H","UseDPDF=Y")</f>
        <v>1.1286</v>
      </c>
      <c r="AC68" s="14">
        <f>_xll.BDH("XOM US Equity","CASH_FLOW_TO_NET_INC","FQ1 2015","FQ1 2015","Currency=USD","Period=FQ","BEST_FPERIOD_OVERRIDE=FQ","FILING_STATUS=OR","FA_ADJUSTED=GAAP","Sort=A","Dates=H","DateFormat=P","Fill=—","Direction=H","UseDPDF=Y")</f>
        <v>1.619</v>
      </c>
      <c r="AD68" s="14">
        <f>_xll.BDH("XOM US Equity","CASH_FLOW_TO_NET_INC","FQ2 2015","FQ2 2015","Currency=USD","Period=FQ","BEST_FPERIOD_OVERRIDE=FQ","FILING_STATUS=OR","FA_ADJUSTED=GAAP","Sort=A","Dates=H","DateFormat=P","Fill=—","Direction=H","UseDPDF=Y")</f>
        <v>2.0983000000000001</v>
      </c>
      <c r="AE68" s="14">
        <f>_xll.BDH("XOM US Equity","CASH_FLOW_TO_NET_INC","FQ3 2015","FQ3 2015","Currency=USD","Period=FQ","BEST_FPERIOD_OVERRIDE=FQ","FILING_STATUS=OR","FA_ADJUSTED=GAAP","Sort=A","Dates=H","DateFormat=P","Fill=—","Direction=H","UseDPDF=Y")</f>
        <v>2.1637</v>
      </c>
      <c r="AF68" s="14">
        <f>_xll.BDH("XOM US Equity","CASH_FLOW_TO_NET_INC","FQ4 2015","FQ4 2015","Currency=USD","Period=FQ","BEST_FPERIOD_OVERRIDE=FQ","FILING_STATUS=OR","FA_ADJUSTED=GAAP","Sort=A","Dates=H","DateFormat=P","Fill=—","Direction=H","UseDPDF=Y")</f>
        <v>1.5754999999999999</v>
      </c>
      <c r="AG68" s="14">
        <f>_xll.BDH("XOM US Equity","CASH_FLOW_TO_NET_INC","FQ1 2016","FQ1 2016","Currency=USD","Period=FQ","BEST_FPERIOD_OVERRIDE=FQ","FILING_STATUS=OR","FA_ADJUSTED=GAAP","Sort=A","Dates=H","DateFormat=P","Fill=—","Direction=H","UseDPDF=Y")</f>
        <v>2.6585999999999999</v>
      </c>
      <c r="AH68" s="14">
        <f>_xll.BDH("XOM US Equity","CASH_FLOW_TO_NET_INC","FQ2 2016","FQ2 2016","Currency=USD","Period=FQ","BEST_FPERIOD_OVERRIDE=FQ","FILING_STATUS=OR","FA_ADJUSTED=GAAP","Sort=A","Dates=H","DateFormat=P","Fill=—","Direction=H","UseDPDF=Y")</f>
        <v>2.6581999999999999</v>
      </c>
      <c r="AI68" s="14">
        <f>_xll.BDH("XOM US Equity","CASH_FLOW_TO_NET_INC","FQ3 2016","FQ3 2016","Currency=USD","Period=FQ","BEST_FPERIOD_OVERRIDE=FQ","FILING_STATUS=OR","FA_ADJUSTED=GAAP","Sort=A","Dates=H","DateFormat=P","Fill=—","Direction=H","UseDPDF=Y")</f>
        <v>2.0207999999999999</v>
      </c>
      <c r="AJ68" s="14">
        <f>_xll.BDH("XOM US Equity","CASH_FLOW_TO_NET_INC","FQ4 2016","FQ4 2016","Currency=USD","Period=FQ","BEST_FPERIOD_OVERRIDE=FQ","FILING_STATUS=OR","FA_ADJUSTED=GAAP","Sort=A","Dates=H","DateFormat=P","Fill=—","Direction=H","UseDPDF=Y")</f>
        <v>4.4024000000000001</v>
      </c>
      <c r="AK68" s="14">
        <f>_xll.BDH("XOM US Equity","CASH_FLOW_TO_NET_INC","FQ1 2017","FQ1 2017","Currency=USD","Period=FQ","BEST_FPERIOD_OVERRIDE=FQ","FILING_STATUS=OR","FA_ADJUSTED=GAAP","Sort=A","Dates=H","DateFormat=P","Fill=—","Direction=H","UseDPDF=Y")</f>
        <v>2.0381999999999998</v>
      </c>
      <c r="AL68" s="14">
        <f>_xll.BDH("XOM US Equity","CASH_FLOW_TO_NET_INC","FQ2 2017","FQ2 2017","Currency=USD","Period=FQ","BEST_FPERIOD_OVERRIDE=FQ","FILING_STATUS=OR","FA_ADJUSTED=GAAP","Sort=A","Dates=H","DateFormat=P","Fill=—","Direction=H","UseDPDF=Y")</f>
        <v>2.0737000000000001</v>
      </c>
      <c r="AM68" s="14">
        <f>_xll.BDH("XOM US Equity","CASH_FLOW_TO_NET_INC","FQ3 2017","FQ3 2017","Currency=USD","Period=FQ","BEST_FPERIOD_OVERRIDE=FQ","FILING_STATUS=OR","FA_ADJUSTED=GAAP","Sort=A","Dates=H","DateFormat=P","Fill=—","Direction=H","UseDPDF=Y")</f>
        <v>1.8980000000000001</v>
      </c>
      <c r="AN68" s="14">
        <f>_xll.BDH("XOM US Equity","CASH_FLOW_TO_NET_INC","FQ4 2017","FQ4 2017","Currency=USD","Period=FQ","BEST_FPERIOD_OVERRIDE=FQ","FILING_STATUS=OR","FA_ADJUSTED=GAAP","Sort=A","Dates=H","DateFormat=P","Fill=—","Direction=H","UseDPDF=Y")</f>
        <v>0.88439999999999996</v>
      </c>
      <c r="AO68" s="14">
        <f>_xll.BDH("XOM US Equity","CASH_FLOW_TO_NET_INC","FQ1 2018","FQ1 2018","Currency=USD","Period=FQ","BEST_FPERIOD_OVERRIDE=FQ","FILING_STATUS=OR","FA_ADJUSTED=GAAP","Sort=A","Dates=H","DateFormat=P","Fill=—","Direction=H","UseDPDF=Y")</f>
        <v>1.8319999999999999</v>
      </c>
      <c r="AP68" s="14">
        <f>_xll.BDH("XOM US Equity","CASH_FLOW_TO_NET_INC","FQ2 2018","FQ2 2018","Currency=USD","Period=FQ","BEST_FPERIOD_OVERRIDE=FQ","FILING_STATUS=OR","FA_ADJUSTED=GAAP","Sort=A","Dates=H","DateFormat=P","Fill=—","Direction=H","UseDPDF=Y")</f>
        <v>1.9696</v>
      </c>
    </row>
    <row r="69" spans="1:42" x14ac:dyDescent="0.25">
      <c r="A69" s="7" t="s">
        <v>203</v>
      </c>
      <c r="B69" s="7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462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10" t="s">
        <v>463</v>
      </c>
      <c r="B6" s="10" t="s">
        <v>336</v>
      </c>
      <c r="C6" s="13">
        <f>_xll.BDH("XOM US Equity","BS_SH_OUT","FQ3 2008","FQ3 2008","Currency=USD","Period=FQ","BEST_FPERIOD_OVERRIDE=FQ","FILING_STATUS=OR","Sort=A","Dates=H","DateFormat=P","Fill=—","Direction=H","UseDPDF=Y")</f>
        <v>5087</v>
      </c>
      <c r="D6" s="13">
        <f>_xll.BDH("XOM US Equity","BS_SH_OUT","FQ4 2008","FQ4 2008","Currency=USD","Period=FQ","BEST_FPERIOD_OVERRIDE=FQ","FILING_STATUS=OR","Sort=A","Dates=H","DateFormat=P","Fill=—","Direction=H","UseDPDF=Y")</f>
        <v>4976</v>
      </c>
      <c r="E6" s="13">
        <f>_xll.BDH("XOM US Equity","BS_SH_OUT","FQ1 2009","FQ1 2009","Currency=USD","Period=FQ","BEST_FPERIOD_OVERRIDE=FQ","FILING_STATUS=OR","Sort=A","Dates=H","DateFormat=P","Fill=—","Direction=H","UseDPDF=Y")</f>
        <v>4880</v>
      </c>
      <c r="F6" s="13">
        <f>_xll.BDH("XOM US Equity","BS_SH_OUT","FQ2 2009","FQ2 2009","Currency=USD","Period=FQ","BEST_FPERIOD_OVERRIDE=FQ","FILING_STATUS=OR","Sort=A","Dates=H","DateFormat=P","Fill=—","Direction=H","UseDPDF=Y")</f>
        <v>4806</v>
      </c>
      <c r="G6" s="13">
        <f>_xll.BDH("XOM US Equity","BS_SH_OUT","FQ3 2009","FQ3 2009","Currency=USD","Period=FQ","BEST_FPERIOD_OVERRIDE=FQ","FILING_STATUS=OR","Sort=A","Dates=H","DateFormat=P","Fill=—","Direction=H","UseDPDF=Y")</f>
        <v>4747</v>
      </c>
      <c r="H6" s="13">
        <f>_xll.BDH("XOM US Equity","BS_SH_OUT","FQ4 2009","FQ4 2009","Currency=USD","Period=FQ","BEST_FPERIOD_OVERRIDE=FQ","FILING_STATUS=OR","Sort=A","Dates=H","DateFormat=P","Fill=—","Direction=H","UseDPDF=Y")</f>
        <v>4727</v>
      </c>
      <c r="I6" s="13">
        <f>_xll.BDH("XOM US Equity","BS_SH_OUT","FQ1 2010","FQ1 2010","Currency=USD","Period=FQ","BEST_FPERIOD_OVERRIDE=FQ","FILING_STATUS=OR","Sort=A","Dates=H","DateFormat=P","Fill=—","Direction=H","UseDPDF=Y")</f>
        <v>4698</v>
      </c>
      <c r="J6" s="13">
        <f>_xll.BDH("XOM US Equity","BS_SH_OUT","FQ2 2010","FQ2 2010","Currency=USD","Period=FQ","BEST_FPERIOD_OVERRIDE=FQ","FILING_STATUS=OR","Sort=A","Dates=H","DateFormat=P","Fill=—","Direction=H","UseDPDF=Y")</f>
        <v>5092</v>
      </c>
      <c r="K6" s="13">
        <f>_xll.BDH("XOM US Equity","BS_SH_OUT","FQ3 2010","FQ3 2010","Currency=USD","Period=FQ","BEST_FPERIOD_OVERRIDE=FQ","FILING_STATUS=OR","Sort=A","Dates=H","DateFormat=P","Fill=—","Direction=H","UseDPDF=Y")</f>
        <v>5043</v>
      </c>
      <c r="L6" s="13">
        <f>_xll.BDH("XOM US Equity","BS_SH_OUT","FQ4 2010","FQ4 2010","Currency=USD","Period=FQ","BEST_FPERIOD_OVERRIDE=FQ","FILING_STATUS=OR","Sort=A","Dates=H","DateFormat=P","Fill=—","Direction=H","UseDPDF=Y")</f>
        <v>4979</v>
      </c>
      <c r="M6" s="13">
        <f>_xll.BDH("XOM US Equity","BS_SH_OUT","FQ1 2011","FQ1 2011","Currency=USD","Period=FQ","BEST_FPERIOD_OVERRIDE=FQ","FILING_STATUS=OR","Sort=A","Dates=H","DateFormat=P","Fill=—","Direction=H","UseDPDF=Y")</f>
        <v>4926</v>
      </c>
      <c r="N6" s="13">
        <f>_xll.BDH("XOM US Equity","BS_SH_OUT","FQ2 2011","FQ2 2011","Currency=USD","Period=FQ","BEST_FPERIOD_OVERRIDE=FQ","FILING_STATUS=OR","Sort=A","Dates=H","DateFormat=P","Fill=—","Direction=H","UseDPDF=Y")</f>
        <v>4862</v>
      </c>
      <c r="O6" s="13">
        <f>_xll.BDH("XOM US Equity","BS_SH_OUT","FQ3 2011","FQ3 2011","Currency=USD","Period=FQ","BEST_FPERIOD_OVERRIDE=FQ","FILING_STATUS=OR","Sort=A","Dates=H","DateFormat=P","Fill=—","Direction=H","UseDPDF=Y")</f>
        <v>4793</v>
      </c>
      <c r="P6" s="13">
        <f>_xll.BDH("XOM US Equity","BS_SH_OUT","FQ4 2011","FQ4 2011","Currency=USD","Period=FQ","BEST_FPERIOD_OVERRIDE=FQ","FILING_STATUS=OR","Sort=A","Dates=H","DateFormat=P","Fill=—","Direction=H","UseDPDF=Y")</f>
        <v>4734</v>
      </c>
      <c r="Q6" s="13">
        <f>_xll.BDH("XOM US Equity","BS_SH_OUT","FQ1 2012","FQ1 2012","Currency=USD","Period=FQ","BEST_FPERIOD_OVERRIDE=FQ","FILING_STATUS=OR","Sort=A","Dates=H","DateFormat=P","Fill=—","Direction=H","UseDPDF=Y")</f>
        <v>4676</v>
      </c>
      <c r="R6" s="13">
        <f>_xll.BDH("XOM US Equity","BS_SH_OUT","FQ2 2012","FQ2 2012","Currency=USD","Period=FQ","BEST_FPERIOD_OVERRIDE=FQ","FILING_STATUS=OR","Sort=A","Dates=H","DateFormat=P","Fill=—","Direction=H","UseDPDF=Y")</f>
        <v>4616</v>
      </c>
      <c r="S6" s="13">
        <f>_xll.BDH("XOM US Equity","BS_SH_OUT","FQ3 2012","FQ3 2012","Currency=USD","Period=FQ","BEST_FPERIOD_OVERRIDE=FQ","FILING_STATUS=OR","Sort=A","Dates=H","DateFormat=P","Fill=—","Direction=H","UseDPDF=Y")</f>
        <v>4559</v>
      </c>
      <c r="T6" s="13">
        <f>_xll.BDH("XOM US Equity","BS_SH_OUT","FQ4 2012","FQ4 2012","Currency=USD","Period=FQ","BEST_FPERIOD_OVERRIDE=FQ","FILING_STATUS=OR","Sort=A","Dates=H","DateFormat=P","Fill=—","Direction=H","UseDPDF=Y")</f>
        <v>4502</v>
      </c>
      <c r="U6" s="13">
        <f>_xll.BDH("XOM US Equity","BS_SH_OUT","FQ1 2013","FQ1 2013","Currency=USD","Period=FQ","BEST_FPERIOD_OVERRIDE=FQ","FILING_STATUS=OR","Sort=A","Dates=H","DateFormat=P","Fill=—","Direction=H","UseDPDF=Y")</f>
        <v>4446</v>
      </c>
      <c r="V6" s="13">
        <f>_xll.BDH("XOM US Equity","BS_SH_OUT","FQ2 2013","FQ2 2013","Currency=USD","Period=FQ","BEST_FPERIOD_OVERRIDE=FQ","FILING_STATUS=OR","Sort=A","Dates=H","DateFormat=P","Fill=—","Direction=H","UseDPDF=Y")</f>
        <v>4402</v>
      </c>
      <c r="W6" s="13">
        <f>_xll.BDH("XOM US Equity","BS_SH_OUT","FQ3 2013","FQ3 2013","Currency=USD","Period=FQ","BEST_FPERIOD_OVERRIDE=FQ","FILING_STATUS=OR","Sort=A","Dates=H","DateFormat=P","Fill=—","Direction=H","UseDPDF=Y")</f>
        <v>4369</v>
      </c>
      <c r="X6" s="13">
        <f>_xll.BDH("XOM US Equity","BS_SH_OUT","FQ4 2013","FQ4 2013","Currency=USD","Period=FQ","BEST_FPERIOD_OVERRIDE=FQ","FILING_STATUS=OR","Sort=A","Dates=H","DateFormat=P","Fill=—","Direction=H","UseDPDF=Y")</f>
        <v>4335</v>
      </c>
      <c r="Y6" s="13">
        <f>_xll.BDH("XOM US Equity","BS_SH_OUT","FQ1 2014","FQ1 2014","Currency=USD","Period=FQ","BEST_FPERIOD_OVERRIDE=FQ","FILING_STATUS=OR","Sort=A","Dates=H","DateFormat=P","Fill=—","Direction=H","UseDPDF=Y")</f>
        <v>4294</v>
      </c>
      <c r="Z6" s="13">
        <f>_xll.BDH("XOM US Equity","BS_SH_OUT","FQ2 2014","FQ2 2014","Currency=USD","Period=FQ","BEST_FPERIOD_OVERRIDE=FQ","FILING_STATUS=OR","Sort=A","Dates=H","DateFormat=P","Fill=—","Direction=H","UseDPDF=Y")</f>
        <v>4265</v>
      </c>
      <c r="AA6" s="13">
        <f>_xll.BDH("XOM US Equity","BS_SH_OUT","FQ3 2014","FQ3 2014","Currency=USD","Period=FQ","BEST_FPERIOD_OVERRIDE=FQ","FILING_STATUS=OR","Sort=A","Dates=H","DateFormat=P","Fill=—","Direction=H","UseDPDF=Y")</f>
        <v>4235</v>
      </c>
      <c r="AB6" s="13">
        <f>_xll.BDH("XOM US Equity","BS_SH_OUT","FQ4 2014","FQ4 2014","Currency=USD","Period=FQ","BEST_FPERIOD_OVERRIDE=FQ","FILING_STATUS=OR","Sort=A","Dates=H","DateFormat=P","Fill=—","Direction=H","UseDPDF=Y")</f>
        <v>4201</v>
      </c>
      <c r="AC6" s="13">
        <f>_xll.BDH("XOM US Equity","BS_SH_OUT","FQ1 2015","FQ1 2015","Currency=USD","Period=FQ","BEST_FPERIOD_OVERRIDE=FQ","FILING_STATUS=OR","Sort=A","Dates=H","DateFormat=P","Fill=—","Direction=H","UseDPDF=Y")</f>
        <v>4181</v>
      </c>
      <c r="AD6" s="13">
        <f>_xll.BDH("XOM US Equity","BS_SH_OUT","FQ2 2015","FQ2 2015","Currency=USD","Period=FQ","BEST_FPERIOD_OVERRIDE=FQ","FILING_STATUS=OR","Sort=A","Dates=H","DateFormat=P","Fill=—","Direction=H","UseDPDF=Y")</f>
        <v>4169</v>
      </c>
      <c r="AE6" s="13">
        <f>_xll.BDH("XOM US Equity","BS_SH_OUT","FQ3 2015","FQ3 2015","Currency=USD","Period=FQ","BEST_FPERIOD_OVERRIDE=FQ","FILING_STATUS=OR","Sort=A","Dates=H","DateFormat=P","Fill=—","Direction=H","UseDPDF=Y")</f>
        <v>4163</v>
      </c>
      <c r="AF6" s="13">
        <f>_xll.BDH("XOM US Equity","BS_SH_OUT","FQ4 2015","FQ4 2015","Currency=USD","Period=FQ","BEST_FPERIOD_OVERRIDE=FQ","FILING_STATUS=OR","Sort=A","Dates=H","DateFormat=P","Fill=—","Direction=H","UseDPDF=Y")</f>
        <v>4156</v>
      </c>
      <c r="AG6" s="13">
        <f>_xll.BDH("XOM US Equity","BS_SH_OUT","FQ1 2016","FQ1 2016","Currency=USD","Period=FQ","BEST_FPERIOD_OVERRIDE=FQ","FILING_STATUS=OR","Sort=A","Dates=H","DateFormat=P","Fill=—","Direction=H","UseDPDF=Y")</f>
        <v>4147</v>
      </c>
      <c r="AH6" s="13">
        <f>_xll.BDH("XOM US Equity","BS_SH_OUT","FQ2 2016","FQ2 2016","Currency=USD","Period=FQ","BEST_FPERIOD_OVERRIDE=FQ","FILING_STATUS=OR","Sort=A","Dates=H","DateFormat=P","Fill=—","Direction=H","UseDPDF=Y")</f>
        <v>4147</v>
      </c>
      <c r="AI6" s="13">
        <f>_xll.BDH("XOM US Equity","BS_SH_OUT","FQ3 2016","FQ3 2016","Currency=USD","Period=FQ","BEST_FPERIOD_OVERRIDE=FQ","FILING_STATUS=OR","Sort=A","Dates=H","DateFormat=P","Fill=—","Direction=H","UseDPDF=Y")</f>
        <v>4147</v>
      </c>
      <c r="AJ6" s="13">
        <f>_xll.BDH("XOM US Equity","BS_SH_OUT","FQ4 2016","FQ4 2016","Currency=USD","Period=FQ","BEST_FPERIOD_OVERRIDE=FQ","FILING_STATUS=OR","Sort=A","Dates=H","DateFormat=P","Fill=—","Direction=H","UseDPDF=Y")</f>
        <v>4148</v>
      </c>
      <c r="AK6" s="13">
        <f>_xll.BDH("XOM US Equity","BS_SH_OUT","FQ1 2017","FQ1 2017","Currency=USD","Period=FQ","BEST_FPERIOD_OVERRIDE=FQ","FILING_STATUS=OR","Sort=A","Dates=H","DateFormat=P","Fill=—","Direction=H","UseDPDF=Y")</f>
        <v>4237</v>
      </c>
      <c r="AL6" s="13">
        <f>_xll.BDH("XOM US Equity","BS_SH_OUT","FQ2 2017","FQ2 2017","Currency=USD","Period=FQ","BEST_FPERIOD_OVERRIDE=FQ","FILING_STATUS=OR","Sort=A","Dates=H","DateFormat=P","Fill=—","Direction=H","UseDPDF=Y")</f>
        <v>4237</v>
      </c>
      <c r="AM6" s="13">
        <f>_xll.BDH("XOM US Equity","BS_SH_OUT","FQ3 2017","FQ3 2017","Currency=USD","Period=FQ","BEST_FPERIOD_OVERRIDE=FQ","FILING_STATUS=OR","Sort=A","Dates=H","DateFormat=P","Fill=—","Direction=H","UseDPDF=Y")</f>
        <v>4237</v>
      </c>
      <c r="AN6" s="13">
        <f>_xll.BDH("XOM US Equity","BS_SH_OUT","FQ4 2017","FQ4 2017","Currency=USD","Period=FQ","BEST_FPERIOD_OVERRIDE=FQ","FILING_STATUS=OR","Sort=A","Dates=H","DateFormat=P","Fill=—","Direction=H","UseDPDF=Y")</f>
        <v>4239</v>
      </c>
      <c r="AO6" s="13">
        <f>_xll.BDH("XOM US Equity","BS_SH_OUT","FQ1 2018","FQ1 2018","Currency=USD","Period=FQ","BEST_FPERIOD_OVERRIDE=FQ","FILING_STATUS=OR","Sort=A","Dates=H","DateFormat=P","Fill=—","Direction=H","UseDPDF=Y")</f>
        <v>4234</v>
      </c>
      <c r="AP6" s="13">
        <f>_xll.BDH("XOM US Equity","BS_SH_OUT","FQ2 2018","FQ2 2018","Currency=USD","Period=FQ","BEST_FPERIOD_OVERRIDE=FQ","FILING_STATUS=OR","Sort=A","Dates=H","DateFormat=P","Fill=—","Direction=H","UseDPDF=Y")</f>
        <v>4234</v>
      </c>
    </row>
    <row r="7" spans="1:42" x14ac:dyDescent="0.25">
      <c r="A7" s="10" t="s">
        <v>173</v>
      </c>
      <c r="B7" s="10" t="s">
        <v>174</v>
      </c>
      <c r="C7" s="13">
        <f>_xll.BDH("XOM US Equity","IS_SH_FOR_DILUTED_EPS","FQ3 2008","FQ3 2008","Currency=USD","Period=FQ","BEST_FPERIOD_OVERRIDE=FQ","FILING_STATUS=OR","Sort=A","Dates=H","DateFormat=P","Fill=—","Direction=H","UseDPDF=Y")</f>
        <v>5160</v>
      </c>
      <c r="D7" s="13">
        <f>_xll.BDH("XOM US Equity","IS_SH_FOR_DILUTED_EPS","FQ4 2008","FQ4 2008","Currency=USD","Period=FQ","BEST_FPERIOD_OVERRIDE=FQ","FILING_STATUS=OR","Sort=A","Dates=H","DateFormat=P","Fill=—","Direction=H","UseDPDF=Y")</f>
        <v>5045</v>
      </c>
      <c r="E7" s="13">
        <f>_xll.BDH("XOM US Equity","IS_SH_FOR_DILUTED_EPS","FQ1 2009","FQ1 2009","Currency=USD","Period=FQ","BEST_FPERIOD_OVERRIDE=FQ","FILING_STATUS=OR","Sort=A","Dates=H","DateFormat=P","Fill=—","Direction=H","UseDPDF=Y")</f>
        <v>4959</v>
      </c>
      <c r="F7" s="13">
        <f>_xll.BDH("XOM US Equity","IS_SH_FOR_DILUTED_EPS","FQ2 2009","FQ2 2009","Currency=USD","Period=FQ","BEST_FPERIOD_OVERRIDE=FQ","FILING_STATUS=OR","Sort=A","Dates=H","DateFormat=P","Fill=—","Direction=H","UseDPDF=Y")</f>
        <v>4871</v>
      </c>
      <c r="G7" s="13">
        <f>_xll.BDH("XOM US Equity","IS_SH_FOR_DILUTED_EPS","FQ3 2009","FQ3 2009","Currency=USD","Period=FQ","BEST_FPERIOD_OVERRIDE=FQ","FILING_STATUS=OR","Sort=A","Dates=H","DateFormat=P","Fill=—","Direction=H","UseDPDF=Y")</f>
        <v>4803</v>
      </c>
      <c r="H7" s="13">
        <f>_xll.BDH("XOM US Equity","IS_SH_FOR_DILUTED_EPS","FQ4 2009","FQ4 2009","Currency=USD","Period=FQ","BEST_FPERIOD_OVERRIDE=FQ","FILING_STATUS=OR","Sort=A","Dates=H","DateFormat=P","Fill=—","Direction=H","UseDPDF=Y")</f>
        <v>4760</v>
      </c>
      <c r="I7" s="13">
        <f>_xll.BDH("XOM US Equity","IS_SH_FOR_DILUTED_EPS","FQ1 2010","FQ1 2010","Currency=USD","Period=FQ","BEST_FPERIOD_OVERRIDE=FQ","FILING_STATUS=OR","Sort=A","Dates=H","DateFormat=P","Fill=—","Direction=H","UseDPDF=Y")</f>
        <v>4736</v>
      </c>
      <c r="J7" s="13">
        <f>_xll.BDH("XOM US Equity","IS_SH_FOR_DILUTED_EPS","FQ2 2010","FQ2 2010","Currency=USD","Period=FQ","BEST_FPERIOD_OVERRIDE=FQ","FILING_STATUS=OR","Sort=A","Dates=H","DateFormat=P","Fill=—","Direction=H","UseDPDF=Y")</f>
        <v>4729</v>
      </c>
      <c r="K7" s="13">
        <f>_xll.BDH("XOM US Equity","IS_SH_FOR_DILUTED_EPS","FQ3 2010","FQ3 2010","Currency=USD","Period=FQ","BEST_FPERIOD_OVERRIDE=FQ","FILING_STATUS=OR","Sort=A","Dates=H","DateFormat=P","Fill=—","Direction=H","UseDPDF=Y")</f>
        <v>5089</v>
      </c>
      <c r="L7" s="13">
        <f>_xll.BDH("XOM US Equity","IS_SH_FOR_DILUTED_EPS","FQ4 2010","FQ4 2010","Currency=USD","Period=FQ","BEST_FPERIOD_OVERRIDE=FQ","FILING_STATUS=OR","Sort=A","Dates=H","DateFormat=P","Fill=—","Direction=H","UseDPDF=Y")</f>
        <v>5031</v>
      </c>
      <c r="M7" s="13">
        <f>_xll.BDH("XOM US Equity","IS_SH_FOR_DILUTED_EPS","FQ1 2011","FQ1 2011","Currency=USD","Period=FQ","BEST_FPERIOD_OVERRIDE=FQ","FILING_STATUS=OR","Sort=A","Dates=H","DateFormat=P","Fill=—","Direction=H","UseDPDF=Y")</f>
        <v>4971</v>
      </c>
      <c r="N7" s="13">
        <f>_xll.BDH("XOM US Equity","IS_SH_FOR_DILUTED_EPS","FQ2 2011","FQ2 2011","Currency=USD","Period=FQ","BEST_FPERIOD_OVERRIDE=FQ","FILING_STATUS=OR","Sort=A","Dates=H","DateFormat=P","Fill=—","Direction=H","UseDPDF=Y")</f>
        <v>4912</v>
      </c>
      <c r="O7" s="13">
        <f>_xll.BDH("XOM US Equity","IS_SH_FOR_DILUTED_EPS","FQ3 2011","FQ3 2011","Currency=USD","Period=FQ","BEST_FPERIOD_OVERRIDE=FQ","FILING_STATUS=OR","Sort=A","Dates=H","DateFormat=P","Fill=—","Direction=H","UseDPDF=Y")</f>
        <v>4843</v>
      </c>
      <c r="P7" s="13">
        <f>_xll.BDH("XOM US Equity","IS_SH_FOR_DILUTED_EPS","FQ4 2011","FQ4 2011","Currency=USD","Period=FQ","BEST_FPERIOD_OVERRIDE=FQ","FILING_STATUS=OR","Sort=A","Dates=H","DateFormat=P","Fill=—","Direction=H","UseDPDF=Y")</f>
        <v>4775</v>
      </c>
      <c r="Q7" s="13">
        <f>_xll.BDH("XOM US Equity","IS_SH_FOR_DILUTED_EPS","FQ1 2012","FQ1 2012","Currency=USD","Period=FQ","BEST_FPERIOD_OVERRIDE=FQ","FILING_STATUS=OR","Sort=A","Dates=H","DateFormat=P","Fill=—","Direction=H","UseDPDF=Y")</f>
        <v>4716</v>
      </c>
      <c r="R7" s="13">
        <f>_xll.BDH("XOM US Equity","IS_SH_FOR_DILUTED_EPS","FQ2 2012","FQ2 2012","Currency=USD","Period=FQ","BEST_FPERIOD_OVERRIDE=FQ","FILING_STATUS=OR","Sort=A","Dates=H","DateFormat=P","Fill=—","Direction=H","UseDPDF=Y")</f>
        <v>4656</v>
      </c>
      <c r="S7" s="13">
        <f>_xll.BDH("XOM US Equity","IS_SH_FOR_DILUTED_EPS","FQ3 2012","FQ3 2012","Currency=USD","Period=FQ","BEST_FPERIOD_OVERRIDE=FQ","FILING_STATUS=OR","Sort=A","Dates=H","DateFormat=P","Fill=—","Direction=H","UseDPDF=Y")</f>
        <v>4597</v>
      </c>
      <c r="T7" s="13">
        <f>_xll.BDH("XOM US Equity","IS_SH_FOR_DILUTED_EPS","FQ4 2012","FQ4 2012","Currency=USD","Period=FQ","BEST_FPERIOD_OVERRIDE=FQ","FILING_STATUS=OR","Sort=A","Dates=H","DateFormat=P","Fill=—","Direction=H","UseDPDF=Y")</f>
        <v>4541</v>
      </c>
      <c r="U7" s="13">
        <f>_xll.BDH("XOM US Equity","IS_SH_FOR_DILUTED_EPS","FQ1 2013","FQ1 2013","Currency=USD","Period=FQ","BEST_FPERIOD_OVERRIDE=FQ","FILING_STATUS=OR","Sort=A","Dates=H","DateFormat=P","Fill=—","Direction=H","UseDPDF=Y")</f>
        <v>4485</v>
      </c>
      <c r="V7" s="13">
        <f>_xll.BDH("XOM US Equity","IS_SH_FOR_DILUTED_EPS","FQ2 2013","FQ2 2013","Currency=USD","Period=FQ","BEST_FPERIOD_OVERRIDE=FQ","FILING_STATUS=OR","Sort=A","Dates=H","DateFormat=P","Fill=—","Direction=H","UseDPDF=Y")</f>
        <v>4433</v>
      </c>
      <c r="W7" s="13">
        <f>_xll.BDH("XOM US Equity","IS_SH_FOR_DILUTED_EPS","FQ3 2013","FQ3 2013","Currency=USD","Period=FQ","BEST_FPERIOD_OVERRIDE=FQ","FILING_STATUS=OR","Sort=A","Dates=H","DateFormat=P","Fill=—","Direction=H","UseDPDF=Y")</f>
        <v>4395</v>
      </c>
      <c r="X7" s="13">
        <f>_xll.BDH("XOM US Equity","IS_SH_FOR_DILUTED_EPS","FQ4 2013","FQ4 2013","Currency=USD","Period=FQ","BEST_FPERIOD_OVERRIDE=FQ","FILING_STATUS=OR","Sort=A","Dates=H","DateFormat=P","Fill=—","Direction=H","UseDPDF=Y")</f>
        <v>4361</v>
      </c>
      <c r="Y7" s="13">
        <f>_xll.BDH("XOM US Equity","IS_SH_FOR_DILUTED_EPS","FQ1 2014","FQ1 2014","Currency=USD","Period=FQ","BEST_FPERIOD_OVERRIDE=FQ","FILING_STATUS=OR","Sort=A","Dates=H","DateFormat=P","Fill=—","Direction=H","UseDPDF=Y")</f>
        <v>4328</v>
      </c>
      <c r="Z7" s="13">
        <f>_xll.BDH("XOM US Equity","IS_SH_FOR_DILUTED_EPS","FQ2 2014","FQ2 2014","Currency=USD","Period=FQ","BEST_FPERIOD_OVERRIDE=FQ","FILING_STATUS=OR","Sort=A","Dates=H","DateFormat=P","Fill=—","Direction=H","UseDPDF=Y")</f>
        <v>4297</v>
      </c>
      <c r="AA7" s="13">
        <f>_xll.BDH("XOM US Equity","IS_SH_FOR_DILUTED_EPS","FQ3 2014","FQ3 2014","Currency=USD","Period=FQ","BEST_FPERIOD_OVERRIDE=FQ","FILING_STATUS=OR","Sort=A","Dates=H","DateFormat=P","Fill=—","Direction=H","UseDPDF=Y")</f>
        <v>4267</v>
      </c>
      <c r="AB7" s="13">
        <f>_xll.BDH("XOM US Equity","IS_SH_FOR_DILUTED_EPS","FQ4 2014","FQ4 2014","Currency=USD","Period=FQ","BEST_FPERIOD_OVERRIDE=FQ","FILING_STATUS=OR","Sort=A","Dates=H","DateFormat=P","Fill=—","Direction=H","UseDPDF=Y")</f>
        <v>4235</v>
      </c>
      <c r="AC7" s="13">
        <f>_xll.BDH("XOM US Equity","IS_SH_FOR_DILUTED_EPS","FQ1 2015","FQ1 2015","Currency=USD","Period=FQ","BEST_FPERIOD_OVERRIDE=FQ","FILING_STATUS=OR","Sort=A","Dates=H","DateFormat=P","Fill=—","Direction=H","UseDPDF=Y")</f>
        <v>4211</v>
      </c>
      <c r="AD7" s="13">
        <f>_xll.BDH("XOM US Equity","IS_SH_FOR_DILUTED_EPS","FQ2 2015","FQ2 2015","Currency=USD","Period=FQ","BEST_FPERIOD_OVERRIDE=FQ","FILING_STATUS=OR","Sort=A","Dates=H","DateFormat=P","Fill=—","Direction=H","UseDPDF=Y")</f>
        <v>4200</v>
      </c>
      <c r="AE7" s="13">
        <f>_xll.BDH("XOM US Equity","IS_SH_FOR_DILUTED_EPS","FQ3 2015","FQ3 2015","Currency=USD","Period=FQ","BEST_FPERIOD_OVERRIDE=FQ","FILING_STATUS=OR","Sort=A","Dates=H","DateFormat=P","Fill=—","Direction=H","UseDPDF=Y")</f>
        <v>4190</v>
      </c>
      <c r="AF7" s="13">
        <f>_xll.BDH("XOM US Equity","IS_SH_FOR_DILUTED_EPS","FQ4 2015","FQ4 2015","Currency=USD","Period=FQ","BEST_FPERIOD_OVERRIDE=FQ","FILING_STATUS=OR","Sort=A","Dates=H","DateFormat=P","Fill=—","Direction=H","UseDPDF=Y")</f>
        <v>4183</v>
      </c>
      <c r="AG7" s="13">
        <f>_xll.BDH("XOM US Equity","IS_SH_FOR_DILUTED_EPS","FQ1 2016","FQ1 2016","Currency=USD","Period=FQ","BEST_FPERIOD_OVERRIDE=FQ","FILING_STATUS=OR","Sort=A","Dates=H","DateFormat=P","Fill=—","Direction=H","UseDPDF=Y")</f>
        <v>4178</v>
      </c>
      <c r="AH7" s="13">
        <f>_xll.BDH("XOM US Equity","IS_SH_FOR_DILUTED_EPS","FQ2 2016","FQ2 2016","Currency=USD","Period=FQ","BEST_FPERIOD_OVERRIDE=FQ","FILING_STATUS=OR","Sort=A","Dates=H","DateFormat=P","Fill=—","Direction=H","UseDPDF=Y")</f>
        <v>4178</v>
      </c>
      <c r="AI7" s="13">
        <f>_xll.BDH("XOM US Equity","IS_SH_FOR_DILUTED_EPS","FQ3 2016","FQ3 2016","Currency=USD","Period=FQ","BEST_FPERIOD_OVERRIDE=FQ","FILING_STATUS=OR","Sort=A","Dates=H","DateFormat=P","Fill=—","Direction=H","UseDPDF=Y")</f>
        <v>4178</v>
      </c>
      <c r="AJ7" s="13">
        <f>_xll.BDH("XOM US Equity","IS_SH_FOR_DILUTED_EPS","FQ4 2016","FQ4 2016","Currency=USD","Period=FQ","BEST_FPERIOD_OVERRIDE=FQ","FILING_STATUS=OR","Sort=A","Dates=H","DateFormat=P","Fill=—","Direction=H","UseDPDF=Y")</f>
        <v>4176</v>
      </c>
      <c r="AK7" s="13">
        <f>_xll.BDH("XOM US Equity","IS_SH_FOR_DILUTED_EPS","FQ1 2017","FQ1 2017","Currency=USD","Period=FQ","BEST_FPERIOD_OVERRIDE=FQ","FILING_STATUS=OR","Sort=A","Dates=H","DateFormat=P","Fill=—","Direction=H","UseDPDF=Y")</f>
        <v>4223</v>
      </c>
      <c r="AL7" s="13">
        <f>_xll.BDH("XOM US Equity","IS_SH_FOR_DILUTED_EPS","FQ2 2017","FQ2 2017","Currency=USD","Period=FQ","BEST_FPERIOD_OVERRIDE=FQ","FILING_STATUS=OR","Sort=A","Dates=H","DateFormat=P","Fill=—","Direction=H","UseDPDF=Y")</f>
        <v>4271</v>
      </c>
      <c r="AM7" s="13">
        <f>_xll.BDH("XOM US Equity","IS_SH_FOR_DILUTED_EPS","FQ3 2017","FQ3 2017","Currency=USD","Period=FQ","BEST_FPERIOD_OVERRIDE=FQ","FILING_STATUS=OR","Sort=A","Dates=H","DateFormat=P","Fill=—","Direction=H","UseDPDF=Y")</f>
        <v>4271</v>
      </c>
      <c r="AN7" s="13">
        <f>_xll.BDH("XOM US Equity","IS_SH_FOR_DILUTED_EPS","FQ4 2017","FQ4 2017","Currency=USD","Period=FQ","BEST_FPERIOD_OVERRIDE=FQ","FILING_STATUS=OR","Sort=A","Dates=H","DateFormat=P","Fill=—","Direction=H","UseDPDF=Y")</f>
        <v>4270</v>
      </c>
      <c r="AO7" s="13">
        <f>_xll.BDH("XOM US Equity","IS_SH_FOR_DILUTED_EPS","FQ1 2018","FQ1 2018","Currency=USD","Period=FQ","BEST_FPERIOD_OVERRIDE=FQ","FILING_STATUS=OR","Sort=A","Dates=H","DateFormat=P","Fill=—","Direction=H","UseDPDF=Y")</f>
        <v>4270</v>
      </c>
      <c r="AP7" s="13">
        <f>_xll.BDH("XOM US Equity","IS_SH_FOR_DILUTED_EPS","FQ2 2018","FQ2 2018","Currency=USD","Period=FQ","BEST_FPERIOD_OVERRIDE=FQ","FILING_STATUS=OR","Sort=A","Dates=H","DateFormat=P","Fill=—","Direction=H","UseDPDF=Y")</f>
        <v>4271</v>
      </c>
    </row>
    <row r="8" spans="1:42" x14ac:dyDescent="0.25">
      <c r="A8" s="10" t="s">
        <v>165</v>
      </c>
      <c r="B8" s="10" t="s">
        <v>166</v>
      </c>
      <c r="C8" s="13">
        <f>_xll.BDH("XOM US Equity","IS_AVG_NUM_SH_FOR_EPS","FQ3 2008","FQ3 2008","Currency=USD","Period=FQ","BEST_FPERIOD_OVERRIDE=FQ","FILING_STATUS=OR","Sort=A","Dates=H","DateFormat=P","Fill=—","Direction=H","UseDPDF=Y")</f>
        <v>5102</v>
      </c>
      <c r="D8" s="13">
        <f>_xll.BDH("XOM US Equity","IS_AVG_NUM_SH_FOR_EPS","FQ4 2008","FQ4 2008","Currency=USD","Period=FQ","BEST_FPERIOD_OVERRIDE=FQ","FILING_STATUS=OR","Sort=A","Dates=H","DateFormat=P","Fill=—","Direction=H","UseDPDF=Y")</f>
        <v>4980.8900000000003</v>
      </c>
      <c r="E8" s="13">
        <f>_xll.BDH("XOM US Equity","IS_AVG_NUM_SH_FOR_EPS","FQ1 2009","FQ1 2009","Currency=USD","Period=FQ","BEST_FPERIOD_OVERRIDE=FQ","FILING_STATUS=OR","Sort=A","Dates=H","DateFormat=P","Fill=—","Direction=H","UseDPDF=Y")</f>
        <v>4937</v>
      </c>
      <c r="F8" s="13">
        <f>_xll.BDH("XOM US Equity","IS_AVG_NUM_SH_FOR_EPS","FQ2 2009","FQ2 2009","Currency=USD","Period=FQ","BEST_FPERIOD_OVERRIDE=FQ","FILING_STATUS=OR","Sort=A","Dates=H","DateFormat=P","Fill=—","Direction=H","UseDPDF=Y")</f>
        <v>4851</v>
      </c>
      <c r="G8" s="13">
        <f>_xll.BDH("XOM US Equity","IS_AVG_NUM_SH_FOR_EPS","FQ3 2009","FQ3 2009","Currency=USD","Period=FQ","BEST_FPERIOD_OVERRIDE=FQ","FILING_STATUS=OR","Sort=A","Dates=H","DateFormat=P","Fill=—","Direction=H","UseDPDF=Y")</f>
        <v>4784</v>
      </c>
      <c r="H8" s="13">
        <f>_xll.BDH("XOM US Equity","IS_AVG_NUM_SH_FOR_EPS","FQ4 2009","FQ4 2009","Currency=USD","Period=FQ","BEST_FPERIOD_OVERRIDE=FQ","FILING_STATUS=OR","Sort=A","Dates=H","DateFormat=P","Fill=—","Direction=H","UseDPDF=Y")</f>
        <v>4760</v>
      </c>
      <c r="I8" s="13">
        <f>_xll.BDH("XOM US Equity","IS_AVG_NUM_SH_FOR_EPS","FQ1 2010","FQ1 2010","Currency=USD","Period=FQ","BEST_FPERIOD_OVERRIDE=FQ","FILING_STATUS=OR","Sort=A","Dates=H","DateFormat=P","Fill=—","Direction=H","UseDPDF=Y")</f>
        <v>4722</v>
      </c>
      <c r="J8" s="13">
        <f>_xll.BDH("XOM US Equity","IS_AVG_NUM_SH_FOR_EPS","FQ2 2010","FQ2 2010","Currency=USD","Period=FQ","BEST_FPERIOD_OVERRIDE=FQ","FILING_STATUS=OR","Sort=A","Dates=H","DateFormat=P","Fill=—","Direction=H","UseDPDF=Y")</f>
        <v>4716</v>
      </c>
      <c r="K8" s="13">
        <f>_xll.BDH("XOM US Equity","IS_AVG_NUM_SH_FOR_EPS","FQ3 2010","FQ3 2010","Currency=USD","Period=FQ","BEST_FPERIOD_OVERRIDE=FQ","FILING_STATUS=OR","Sort=A","Dates=H","DateFormat=P","Fill=—","Direction=H","UseDPDF=Y")</f>
        <v>5076</v>
      </c>
      <c r="L8" s="13">
        <f>_xll.BDH("XOM US Equity","IS_AVG_NUM_SH_FOR_EPS","FQ4 2010","FQ4 2010","Currency=USD","Period=FQ","BEST_FPERIOD_OVERRIDE=FQ","FILING_STATUS=OR","Sort=A","Dates=H","DateFormat=P","Fill=—","Direction=H","UseDPDF=Y")</f>
        <v>4973</v>
      </c>
      <c r="M8" s="13">
        <f>_xll.BDH("XOM US Equity","IS_AVG_NUM_SH_FOR_EPS","FQ1 2011","FQ1 2011","Currency=USD","Period=FQ","BEST_FPERIOD_OVERRIDE=FQ","FILING_STATUS=OR","Sort=A","Dates=H","DateFormat=P","Fill=—","Direction=H","UseDPDF=Y")</f>
        <v>4963</v>
      </c>
      <c r="N8" s="13">
        <f>_xll.BDH("XOM US Equity","IS_AVG_NUM_SH_FOR_EPS","FQ2 2011","FQ2 2011","Currency=USD","Period=FQ","BEST_FPERIOD_OVERRIDE=FQ","FILING_STATUS=OR","Sort=A","Dates=H","DateFormat=P","Fill=—","Direction=H","UseDPDF=Y")</f>
        <v>4906</v>
      </c>
      <c r="O8" s="13">
        <f>_xll.BDH("XOM US Equity","IS_AVG_NUM_SH_FOR_EPS","FQ3 2011","FQ3 2011","Currency=USD","Period=FQ","BEST_FPERIOD_OVERRIDE=FQ","FILING_STATUS=OR","Sort=A","Dates=H","DateFormat=P","Fill=—","Direction=H","UseDPDF=Y")</f>
        <v>4839</v>
      </c>
      <c r="P8" s="13">
        <f>_xll.BDH("XOM US Equity","IS_AVG_NUM_SH_FOR_EPS","FQ4 2011","FQ4 2011","Currency=USD","Period=FQ","BEST_FPERIOD_OVERRIDE=FQ","FILING_STATUS=OR","Sort=A","Dates=H","DateFormat=P","Fill=—","Direction=H","UseDPDF=Y")</f>
        <v>4771.5735999999997</v>
      </c>
      <c r="Q8" s="13">
        <f>_xll.BDH("XOM US Equity","IS_AVG_NUM_SH_FOR_EPS","FQ1 2012","FQ1 2012","Currency=USD","Period=FQ","BEST_FPERIOD_OVERRIDE=FQ","FILING_STATUS=OR","Sort=A","Dates=H","DateFormat=P","Fill=—","Direction=H","UseDPDF=Y")</f>
        <v>4715</v>
      </c>
      <c r="R8" s="13">
        <f>_xll.BDH("XOM US Equity","IS_AVG_NUM_SH_FOR_EPS","FQ2 2012","FQ2 2012","Currency=USD","Period=FQ","BEST_FPERIOD_OVERRIDE=FQ","FILING_STATUS=OR","Sort=A","Dates=H","DateFormat=P","Fill=—","Direction=H","UseDPDF=Y")</f>
        <v>4656</v>
      </c>
      <c r="S8" s="13">
        <f>_xll.BDH("XOM US Equity","IS_AVG_NUM_SH_FOR_EPS","FQ3 2012","FQ3 2012","Currency=USD","Period=FQ","BEST_FPERIOD_OVERRIDE=FQ","FILING_STATUS=OR","Sort=A","Dates=H","DateFormat=P","Fill=—","Direction=H","UseDPDF=Y")</f>
        <v>4597</v>
      </c>
      <c r="T8" s="13">
        <f>_xll.BDH("XOM US Equity","IS_AVG_NUM_SH_FOR_EPS","FQ4 2012","FQ4 2012","Currency=USD","Period=FQ","BEST_FPERIOD_OVERRIDE=FQ","FILING_STATUS=OR","Sort=A","Dates=H","DateFormat=P","Fill=—","Direction=H","UseDPDF=Y")</f>
        <v>4522.7272999999996</v>
      </c>
      <c r="U8" s="13">
        <f>_xll.BDH("XOM US Equity","IS_AVG_NUM_SH_FOR_EPS","FQ1 2013","FQ1 2013","Currency=USD","Period=FQ","BEST_FPERIOD_OVERRIDE=FQ","FILING_STATUS=OR","Sort=A","Dates=H","DateFormat=P","Fill=—","Direction=H","UseDPDF=Y")</f>
        <v>4485</v>
      </c>
      <c r="V8" s="13">
        <f>_xll.BDH("XOM US Equity","IS_AVG_NUM_SH_FOR_EPS","FQ2 2013","FQ2 2013","Currency=USD","Period=FQ","BEST_FPERIOD_OVERRIDE=FQ","FILING_STATUS=OR","Sort=A","Dates=H","DateFormat=P","Fill=—","Direction=H","UseDPDF=Y")</f>
        <v>4433</v>
      </c>
      <c r="W8" s="13">
        <f>_xll.BDH("XOM US Equity","IS_AVG_NUM_SH_FOR_EPS","FQ3 2013","FQ3 2013","Currency=USD","Period=FQ","BEST_FPERIOD_OVERRIDE=FQ","FILING_STATUS=OR","Sort=A","Dates=H","DateFormat=P","Fill=—","Direction=H","UseDPDF=Y")</f>
        <v>4395</v>
      </c>
      <c r="X8" s="13">
        <f>_xll.BDH("XOM US Equity","IS_AVG_NUM_SH_FOR_EPS","FQ4 2013","FQ4 2013","Currency=USD","Period=FQ","BEST_FPERIOD_OVERRIDE=FQ","FILING_STATUS=OR","Sort=A","Dates=H","DateFormat=P","Fill=—","Direction=H","UseDPDF=Y")</f>
        <v>4361</v>
      </c>
      <c r="Y8" s="13">
        <f>_xll.BDH("XOM US Equity","IS_AVG_NUM_SH_FOR_EPS","FQ1 2014","FQ1 2014","Currency=USD","Period=FQ","BEST_FPERIOD_OVERRIDE=FQ","FILING_STATUS=OR","Sort=A","Dates=H","DateFormat=P","Fill=—","Direction=H","UseDPDF=Y")</f>
        <v>4328</v>
      </c>
      <c r="Z8" s="13">
        <f>_xll.BDH("XOM US Equity","IS_AVG_NUM_SH_FOR_EPS","FQ2 2014","FQ2 2014","Currency=USD","Period=FQ","BEST_FPERIOD_OVERRIDE=FQ","FILING_STATUS=OR","Sort=A","Dates=H","DateFormat=P","Fill=—","Direction=H","UseDPDF=Y")</f>
        <v>4297</v>
      </c>
      <c r="AA8" s="13">
        <f>_xll.BDH("XOM US Equity","IS_AVG_NUM_SH_FOR_EPS","FQ3 2014","FQ3 2014","Currency=USD","Period=FQ","BEST_FPERIOD_OVERRIDE=FQ","FILING_STATUS=OR","Sort=A","Dates=H","DateFormat=P","Fill=—","Direction=H","UseDPDF=Y")</f>
        <v>4267</v>
      </c>
      <c r="AB8" s="13">
        <f>_xll.BDH("XOM US Equity","IS_AVG_NUM_SH_FOR_EPS","FQ4 2014","FQ4 2014","Currency=USD","Period=FQ","BEST_FPERIOD_OVERRIDE=FQ","FILING_STATUS=OR","Sort=A","Dates=H","DateFormat=P","Fill=—","Direction=H","UseDPDF=Y")</f>
        <v>4235</v>
      </c>
      <c r="AC8" s="13">
        <f>_xll.BDH("XOM US Equity","IS_AVG_NUM_SH_FOR_EPS","FQ1 2015","FQ1 2015","Currency=USD","Period=FQ","BEST_FPERIOD_OVERRIDE=FQ","FILING_STATUS=OR","Sort=A","Dates=H","DateFormat=P","Fill=—","Direction=H","UseDPDF=Y")</f>
        <v>4211</v>
      </c>
      <c r="AD8" s="13">
        <f>_xll.BDH("XOM US Equity","IS_AVG_NUM_SH_FOR_EPS","FQ2 2015","FQ2 2015","Currency=USD","Period=FQ","BEST_FPERIOD_OVERRIDE=FQ","FILING_STATUS=OR","Sort=A","Dates=H","DateFormat=P","Fill=—","Direction=H","UseDPDF=Y")</f>
        <v>4200</v>
      </c>
      <c r="AE8" s="13">
        <f>_xll.BDH("XOM US Equity","IS_AVG_NUM_SH_FOR_EPS","FQ3 2015","FQ3 2015","Currency=USD","Period=FQ","BEST_FPERIOD_OVERRIDE=FQ","FILING_STATUS=OR","Sort=A","Dates=H","DateFormat=P","Fill=—","Direction=H","UseDPDF=Y")</f>
        <v>4190</v>
      </c>
      <c r="AF8" s="13">
        <f>_xll.BDH("XOM US Equity","IS_AVG_NUM_SH_FOR_EPS","FQ4 2015","FQ4 2015","Currency=USD","Period=FQ","BEST_FPERIOD_OVERRIDE=FQ","FILING_STATUS=OR","Sort=A","Dates=H","DateFormat=P","Fill=—","Direction=H","UseDPDF=Y")</f>
        <v>4183</v>
      </c>
      <c r="AG8" s="13">
        <f>_xll.BDH("XOM US Equity","IS_AVG_NUM_SH_FOR_EPS","FQ1 2016","FQ1 2016","Currency=USD","Period=FQ","BEST_FPERIOD_OVERRIDE=FQ","FILING_STATUS=OR","Sort=A","Dates=H","DateFormat=P","Fill=—","Direction=H","UseDPDF=Y")</f>
        <v>4178</v>
      </c>
      <c r="AH8" s="13">
        <f>_xll.BDH("XOM US Equity","IS_AVG_NUM_SH_FOR_EPS","FQ2 2016","FQ2 2016","Currency=USD","Period=FQ","BEST_FPERIOD_OVERRIDE=FQ","FILING_STATUS=OR","Sort=A","Dates=H","DateFormat=P","Fill=—","Direction=H","UseDPDF=Y")</f>
        <v>4147</v>
      </c>
      <c r="AI8" s="13">
        <f>_xll.BDH("XOM US Equity","IS_AVG_NUM_SH_FOR_EPS","FQ3 2016","FQ3 2016","Currency=USD","Period=FQ","BEST_FPERIOD_OVERRIDE=FQ","FILING_STATUS=OR","Sort=A","Dates=H","DateFormat=P","Fill=—","Direction=H","UseDPDF=Y")</f>
        <v>4178</v>
      </c>
      <c r="AJ8" s="13">
        <f>_xll.BDH("XOM US Equity","IS_AVG_NUM_SH_FOR_EPS","FQ4 2016","FQ4 2016","Currency=USD","Period=FQ","BEST_FPERIOD_OVERRIDE=FQ","FILING_STATUS=OR","Sort=A","Dates=H","DateFormat=P","Fill=—","Direction=H","UseDPDF=Y")</f>
        <v>4176</v>
      </c>
      <c r="AK8" s="13">
        <f>_xll.BDH("XOM US Equity","IS_AVG_NUM_SH_FOR_EPS","FQ1 2017","FQ1 2017","Currency=USD","Period=FQ","BEST_FPERIOD_OVERRIDE=FQ","FILING_STATUS=OR","Sort=A","Dates=H","DateFormat=P","Fill=—","Direction=H","UseDPDF=Y")</f>
        <v>4223</v>
      </c>
      <c r="AL8" s="13">
        <f>_xll.BDH("XOM US Equity","IS_AVG_NUM_SH_FOR_EPS","FQ2 2017","FQ2 2017","Currency=USD","Period=FQ","BEST_FPERIOD_OVERRIDE=FQ","FILING_STATUS=OR","Sort=A","Dates=H","DateFormat=P","Fill=—","Direction=H","UseDPDF=Y")</f>
        <v>4271</v>
      </c>
      <c r="AM8" s="13">
        <f>_xll.BDH("XOM US Equity","IS_AVG_NUM_SH_FOR_EPS","FQ3 2017","FQ3 2017","Currency=USD","Period=FQ","BEST_FPERIOD_OVERRIDE=FQ","FILING_STATUS=OR","Sort=A","Dates=H","DateFormat=P","Fill=—","Direction=H","UseDPDF=Y")</f>
        <v>4271</v>
      </c>
      <c r="AN8" s="13">
        <f>_xll.BDH("XOM US Equity","IS_AVG_NUM_SH_FOR_EPS","FQ4 2017","FQ4 2017","Currency=USD","Period=FQ","BEST_FPERIOD_OVERRIDE=FQ","FILING_STATUS=OR","Sort=A","Dates=H","DateFormat=P","Fill=—","Direction=H","UseDPDF=Y")</f>
        <v>4270</v>
      </c>
      <c r="AO8" s="13">
        <f>_xll.BDH("XOM US Equity","IS_AVG_NUM_SH_FOR_EPS","FQ1 2018","FQ1 2018","Currency=USD","Period=FQ","BEST_FPERIOD_OVERRIDE=FQ","FILING_STATUS=OR","Sort=A","Dates=H","DateFormat=P","Fill=—","Direction=H","UseDPDF=Y")</f>
        <v>4270</v>
      </c>
      <c r="AP8" s="13">
        <f>_xll.BDH("XOM US Equity","IS_AVG_NUM_SH_FOR_EPS","FQ2 2018","FQ2 2018","Currency=USD","Period=FQ","BEST_FPERIOD_OVERRIDE=FQ","FILING_STATUS=OR","Sort=A","Dates=H","DateFormat=P","Fill=—","Direction=H","UseDPDF=Y")</f>
        <v>4271</v>
      </c>
    </row>
    <row r="9" spans="1:42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6" t="s">
        <v>464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x14ac:dyDescent="0.25">
      <c r="A11" s="10" t="s">
        <v>0</v>
      </c>
      <c r="B11" s="10" t="s">
        <v>465</v>
      </c>
      <c r="C11" s="14">
        <f>_xll.BDH("XOM US Equity","REVENUE_PER_SH","FQ3 2008","FQ3 2008","Currency=USD","Period=FQ","BEST_FPERIOD_OVERRIDE=FQ","FILING_STATUS=OR","FA_ADJUSTED=GAAP","Sort=A","Dates=H","DateFormat=P","Fill=—","Direction=H","UseDPDF=Y")</f>
        <v>24.0608</v>
      </c>
      <c r="D11" s="14">
        <f>_xll.BDH("XOM US Equity","REVENUE_PER_SH","FQ4 2008","FQ4 2008","Currency=USD","Period=FQ","BEST_FPERIOD_OVERRIDE=FQ","FILING_STATUS=OR","FA_ADJUSTED=GAAP","Sort=A","Dates=H","DateFormat=P","Fill=—","Direction=H","UseDPDF=Y")</f>
        <v>14.712999999999999</v>
      </c>
      <c r="E11" s="14">
        <f>_xll.BDH("XOM US Equity","REVENUE_PER_SH","FQ1 2009","FQ1 2009","Currency=USD","Period=FQ","BEST_FPERIOD_OVERRIDE=FQ","FILING_STATUS=OR","FA_ADJUSTED=GAAP","Sort=A","Dates=H","DateFormat=P","Fill=—","Direction=H","UseDPDF=Y")</f>
        <v>11.3879</v>
      </c>
      <c r="F11" s="14">
        <f>_xll.BDH("XOM US Equity","REVENUE_PER_SH","FQ2 2009","FQ2 2009","Currency=USD","Period=FQ","BEST_FPERIOD_OVERRIDE=FQ","FILING_STATUS=OR","FA_ADJUSTED=GAAP","Sort=A","Dates=H","DateFormat=P","Fill=—","Direction=H","UseDPDF=Y")</f>
        <v>13.5953</v>
      </c>
      <c r="G11" s="14">
        <f>_xll.BDH("XOM US Equity","REVENUE_PER_SH","FQ3 2009","FQ3 2009","Currency=USD","Period=FQ","BEST_FPERIOD_OVERRIDE=FQ","FILING_STATUS=OR","FA_ADJUSTED=GAAP","Sort=A","Dates=H","DateFormat=P","Fill=—","Direction=H","UseDPDF=Y")</f>
        <v>15.3188</v>
      </c>
      <c r="H11" s="14">
        <f>_xll.BDH("XOM US Equity","REVENUE_PER_SH","FQ4 2009","FQ4 2009","Currency=USD","Period=FQ","BEST_FPERIOD_OVERRIDE=FQ","FILING_STATUS=OR","FA_ADJUSTED=GAAP","Sort=A","Dates=H","DateFormat=P","Fill=—","Direction=H","UseDPDF=Y")</f>
        <v>16.829000000000001</v>
      </c>
      <c r="I11" s="14">
        <f>_xll.BDH("XOM US Equity","REVENUE_PER_SH","FQ1 2010","FQ1 2010","Currency=USD","Period=FQ","BEST_FPERIOD_OVERRIDE=FQ","FILING_STATUS=OR","FA_ADJUSTED=GAAP","Sort=A","Dates=H","DateFormat=P","Fill=—","Direction=H","UseDPDF=Y")</f>
        <v>16.989000000000001</v>
      </c>
      <c r="J11" s="14">
        <f>_xll.BDH("XOM US Equity","REVENUE_PER_SH","FQ2 2010","FQ2 2010","Currency=USD","Period=FQ","BEST_FPERIOD_OVERRIDE=FQ","FILING_STATUS=OR","FA_ADJUSTED=GAAP","Sort=A","Dates=H","DateFormat=P","Fill=—","Direction=H","UseDPDF=Y")</f>
        <v>17.545999999999999</v>
      </c>
      <c r="K11" s="14">
        <f>_xll.BDH("XOM US Equity","REVENUE_PER_SH","FQ3 2010","FQ3 2010","Currency=USD","Period=FQ","BEST_FPERIOD_OVERRIDE=FQ","FILING_STATUS=OR","FA_ADJUSTED=GAAP","Sort=A","Dates=H","DateFormat=P","Fill=—","Direction=H","UseDPDF=Y")</f>
        <v>16.781099999999999</v>
      </c>
      <c r="L11" s="14">
        <f>_xll.BDH("XOM US Equity","REVENUE_PER_SH","FQ4 2010","FQ4 2010","Currency=USD","Period=FQ","BEST_FPERIOD_OVERRIDE=FQ","FILING_STATUS=OR","FA_ADJUSTED=GAAP","Sort=A","Dates=H","DateFormat=P","Fill=—","Direction=H","UseDPDF=Y")</f>
        <v>18.787099999999999</v>
      </c>
      <c r="M11" s="14">
        <f>_xll.BDH("XOM US Equity","REVENUE_PER_SH","FQ1 2011","FQ1 2011","Currency=USD","Period=FQ","BEST_FPERIOD_OVERRIDE=FQ","FILING_STATUS=OR","FA_ADJUSTED=GAAP","Sort=A","Dates=H","DateFormat=P","Fill=—","Direction=H","UseDPDF=Y")</f>
        <v>20.418099999999999</v>
      </c>
      <c r="N11" s="14">
        <f>_xll.BDH("XOM US Equity","REVENUE_PER_SH","FQ2 2011","FQ2 2011","Currency=USD","Period=FQ","BEST_FPERIOD_OVERRIDE=FQ","FILING_STATUS=OR","FA_ADJUSTED=GAAP","Sort=A","Dates=H","DateFormat=P","Fill=—","Direction=H","UseDPDF=Y")</f>
        <v>22.988399999999999</v>
      </c>
      <c r="O11" s="14">
        <f>_xll.BDH("XOM US Equity","REVENUE_PER_SH","FQ3 2011","FQ3 2011","Currency=USD","Period=FQ","BEST_FPERIOD_OVERRIDE=FQ","FILING_STATUS=OR","FA_ADJUSTED=GAAP","Sort=A","Dates=H","DateFormat=P","Fill=—","Direction=H","UseDPDF=Y")</f>
        <v>23.1434</v>
      </c>
      <c r="P11" s="14">
        <f>_xll.BDH("XOM US Equity","REVENUE_PER_SH","FQ4 2011","FQ4 2011","Currency=USD","Period=FQ","BEST_FPERIOD_OVERRIDE=FQ","FILING_STATUS=OR","FA_ADJUSTED=GAAP","Sort=A","Dates=H","DateFormat=P","Fill=—","Direction=H","UseDPDF=Y")</f>
        <v>22.5123</v>
      </c>
      <c r="Q11" s="14">
        <f>_xll.BDH("XOM US Equity","REVENUE_PER_SH","FQ1 2012","FQ1 2012","Currency=USD","Period=FQ","BEST_FPERIOD_OVERRIDE=FQ","FILING_STATUS=OR","FA_ADJUSTED=GAAP","Sort=A","Dates=H","DateFormat=P","Fill=—","Direction=H","UseDPDF=Y")</f>
        <v>23.477399999999999</v>
      </c>
      <c r="R11" s="14">
        <f>_xll.BDH("XOM US Equity","REVENUE_PER_SH","FQ2 2012","FQ2 2012","Currency=USD","Period=FQ","BEST_FPERIOD_OVERRIDE=FQ","FILING_STATUS=OR","FA_ADJUSTED=GAAP","Sort=A","Dates=H","DateFormat=P","Fill=—","Direction=H","UseDPDF=Y")</f>
        <v>22.491</v>
      </c>
      <c r="S11" s="14">
        <f>_xll.BDH("XOM US Equity","REVENUE_PER_SH","FQ3 2012","FQ3 2012","Currency=USD","Period=FQ","BEST_FPERIOD_OVERRIDE=FQ","FILING_STATUS=OR","FA_ADJUSTED=GAAP","Sort=A","Dates=H","DateFormat=P","Fill=—","Direction=H","UseDPDF=Y")</f>
        <v>22.496600000000001</v>
      </c>
      <c r="T11" s="14">
        <f>_xll.BDH("XOM US Equity","REVENUE_PER_SH","FQ4 2012","FQ4 2012","Currency=USD","Period=FQ","BEST_FPERIOD_OVERRIDE=FQ","FILING_STATUS=OR","FA_ADJUSTED=GAAP","Sort=A","Dates=H","DateFormat=P","Fill=—","Direction=H","UseDPDF=Y")</f>
        <v>22.4221</v>
      </c>
      <c r="U11" s="14">
        <f>_xll.BDH("XOM US Equity","REVENUE_PER_SH","FQ1 2013","FQ1 2013","Currency=USD","Period=FQ","BEST_FPERIOD_OVERRIDE=FQ","FILING_STATUS=OR","FA_ADJUSTED=GAAP","Sort=A","Dates=H","DateFormat=P","Fill=—","Direction=H","UseDPDF=Y")</f>
        <v>21.479600000000001</v>
      </c>
      <c r="V11" s="14">
        <f>_xll.BDH("XOM US Equity","REVENUE_PER_SH","FQ2 2013","FQ2 2013","Currency=USD","Period=FQ","BEST_FPERIOD_OVERRIDE=FQ","FILING_STATUS=OR","FA_ADJUSTED=GAAP","Sort=A","Dates=H","DateFormat=P","Fill=—","Direction=H","UseDPDF=Y")</f>
        <v>21.498100000000001</v>
      </c>
      <c r="W11" s="14">
        <f>_xll.BDH("XOM US Equity","REVENUE_PER_SH","FQ3 2013","FQ3 2013","Currency=USD","Period=FQ","BEST_FPERIOD_OVERRIDE=FQ","FILING_STATUS=OR","FA_ADJUSTED=GAAP","Sort=A","Dates=H","DateFormat=P","Fill=—","Direction=H","UseDPDF=Y")</f>
        <v>22.8687</v>
      </c>
      <c r="X11" s="14">
        <f>_xll.BDH("XOM US Equity","REVENUE_PER_SH","FQ4 2013","FQ4 2013","Currency=USD","Period=FQ","BEST_FPERIOD_OVERRIDE=FQ","FILING_STATUS=OR","FA_ADJUSTED=GAAP","Sort=A","Dates=H","DateFormat=P","Fill=—","Direction=H","UseDPDF=Y")</f>
        <v>22.5533</v>
      </c>
      <c r="Y11" s="14">
        <f>_xll.BDH("XOM US Equity","REVENUE_PER_SH","FQ1 2014","FQ1 2014","Currency=USD","Period=FQ","BEST_FPERIOD_OVERRIDE=FQ","FILING_STATUS=OR","FA_ADJUSTED=GAAP","Sort=A","Dates=H","DateFormat=P","Fill=—","Direction=H","UseDPDF=Y")</f>
        <v>21.798500000000001</v>
      </c>
      <c r="Z11" s="14">
        <f>_xll.BDH("XOM US Equity","REVENUE_PER_SH","FQ2 2014","FQ2 2014","Currency=USD","Period=FQ","BEST_FPERIOD_OVERRIDE=FQ","FILING_STATUS=OR","FA_ADJUSTED=GAAP","Sort=A","Dates=H","DateFormat=P","Fill=—","Direction=H","UseDPDF=Y")</f>
        <v>22.8734</v>
      </c>
      <c r="AA11" s="14">
        <f>_xll.BDH("XOM US Equity","REVENUE_PER_SH","FQ3 2014","FQ3 2014","Currency=USD","Period=FQ","BEST_FPERIOD_OVERRIDE=FQ","FILING_STATUS=OR","FA_ADJUSTED=GAAP","Sort=A","Dates=H","DateFormat=P","Fill=—","Direction=H","UseDPDF=Y")</f>
        <v>22.5093</v>
      </c>
      <c r="AB11" s="14">
        <f>_xll.BDH("XOM US Equity","REVENUE_PER_SH","FQ4 2014","FQ4 2014","Currency=USD","Period=FQ","BEST_FPERIOD_OVERRIDE=FQ","FILING_STATUS=OR","FA_ADJUSTED=GAAP","Sort=A","Dates=H","DateFormat=P","Fill=—","Direction=H","UseDPDF=Y")</f>
        <v>17.965800000000002</v>
      </c>
      <c r="AC11" s="14">
        <f>_xll.BDH("XOM US Equity","REVENUE_PER_SH","FQ1 2015","FQ1 2015","Currency=USD","Period=FQ","BEST_FPERIOD_OVERRIDE=FQ","FILING_STATUS=OR","FA_ADJUSTED=GAAP","Sort=A","Dates=H","DateFormat=P","Fill=—","Direction=H","UseDPDF=Y")</f>
        <v>14.065099999999999</v>
      </c>
      <c r="AD11" s="14">
        <f>_xll.BDH("XOM US Equity","REVENUE_PER_SH","FQ2 2015","FQ2 2015","Currency=USD","Period=FQ","BEST_FPERIOD_OVERRIDE=FQ","FILING_STATUS=OR","FA_ADJUSTED=GAAP","Sort=A","Dates=H","DateFormat=P","Fill=—","Direction=H","UseDPDF=Y")</f>
        <v>15.5702</v>
      </c>
      <c r="AE11" s="14">
        <f>_xll.BDH("XOM US Equity","REVENUE_PER_SH","FQ3 2015","FQ3 2015","Currency=USD","Period=FQ","BEST_FPERIOD_OVERRIDE=FQ","FILING_STATUS=OR","FA_ADJUSTED=GAAP","Sort=A","Dates=H","DateFormat=P","Fill=—","Direction=H","UseDPDF=Y")</f>
        <v>14.287800000000001</v>
      </c>
      <c r="AF11" s="14">
        <f>_xll.BDH("XOM US Equity","REVENUE_PER_SH","FQ4 2015","FQ4 2015","Currency=USD","Period=FQ","BEST_FPERIOD_OVERRIDE=FQ","FILING_STATUS=OR","FA_ADJUSTED=GAAP","Sort=A","Dates=H","DateFormat=P","Fill=—","Direction=H","UseDPDF=Y")</f>
        <v>12.507999999999999</v>
      </c>
      <c r="AG11" s="14">
        <f>_xll.BDH("XOM US Equity","REVENUE_PER_SH","FQ1 2016","FQ1 2016","Currency=USD","Period=FQ","BEST_FPERIOD_OVERRIDE=FQ","FILING_STATUS=OR","FA_ADJUSTED=GAAP","Sort=A","Dates=H","DateFormat=P","Fill=—","Direction=H","UseDPDF=Y")</f>
        <v>10.1221</v>
      </c>
      <c r="AH11" s="14">
        <f>_xll.BDH("XOM US Equity","REVENUE_PER_SH","FQ2 2016","FQ2 2016","Currency=USD","Period=FQ","BEST_FPERIOD_OVERRIDE=FQ","FILING_STATUS=OR","FA_ADJUSTED=GAAP","Sort=A","Dates=H","DateFormat=P","Fill=—","Direction=H","UseDPDF=Y")</f>
        <v>12.28</v>
      </c>
      <c r="AI11" s="14">
        <f>_xll.BDH("XOM US Equity","REVENUE_PER_SH","FQ3 2016","FQ3 2016","Currency=USD","Period=FQ","BEST_FPERIOD_OVERRIDE=FQ","FILING_STATUS=OR","FA_ADJUSTED=GAAP","Sort=A","Dates=H","DateFormat=P","Fill=—","Direction=H","UseDPDF=Y")</f>
        <v>12.2858</v>
      </c>
      <c r="AJ11" s="14">
        <f>_xll.BDH("XOM US Equity","REVENUE_PER_SH","FQ4 2016","FQ4 2016","Currency=USD","Period=FQ","BEST_FPERIOD_OVERRIDE=FQ","FILING_STATUS=OR","FA_ADJUSTED=GAAP","Sort=A","Dates=H","DateFormat=P","Fill=—","Direction=H","UseDPDF=Y")</f>
        <v>12.6851</v>
      </c>
      <c r="AK11" s="14">
        <f>_xll.BDH("XOM US Equity","REVENUE_PER_SH","FQ1 2017","FQ1 2017","Currency=USD","Period=FQ","BEST_FPERIOD_OVERRIDE=FQ","FILING_STATUS=OR","FA_ADJUSTED=GAAP","Sort=A","Dates=H","DateFormat=P","Fill=—","Direction=H","UseDPDF=Y")</f>
        <v>13.201000000000001</v>
      </c>
      <c r="AL11" s="14">
        <f>_xll.BDH("XOM US Equity","REVENUE_PER_SH","FQ2 2017","FQ2 2017","Currency=USD","Period=FQ","BEST_FPERIOD_OVERRIDE=FQ","FILING_STATUS=OR","FA_ADJUSTED=GAAP","Sort=A","Dates=H","DateFormat=P","Fill=—","Direction=H","UseDPDF=Y")</f>
        <v>12.9328</v>
      </c>
      <c r="AM11" s="14">
        <f>_xll.BDH("XOM US Equity","REVENUE_PER_SH","FQ3 2017","FQ3 2017","Currency=USD","Period=FQ","BEST_FPERIOD_OVERRIDE=FQ","FILING_STATUS=OR","FA_ADJUSTED=GAAP","Sort=A","Dates=H","DateFormat=P","Fill=—","Direction=H","UseDPDF=Y")</f>
        <v>13.709</v>
      </c>
      <c r="AN11" s="14">
        <f>_xll.BDH("XOM US Equity","REVENUE_PER_SH","FQ4 2017","FQ4 2017","Currency=USD","Period=FQ","BEST_FPERIOD_OVERRIDE=FQ","FILING_STATUS=OR","FA_ADJUSTED=GAAP","Sort=A","Dates=H","DateFormat=P","Fill=—","Direction=H","UseDPDF=Y")</f>
        <v>15.577299999999999</v>
      </c>
      <c r="AO11" s="14">
        <f>_xll.BDH("XOM US Equity","REVENUE_PER_SH","FQ1 2018","FQ1 2018","Currency=USD","Period=FQ","BEST_FPERIOD_OVERRIDE=FQ","FILING_STATUS=OR","FA_ADJUSTED=GAAP","Sort=A","Dates=H","DateFormat=P","Fill=—","Direction=H","UseDPDF=Y")</f>
        <v>15.3246</v>
      </c>
      <c r="AP11" s="14">
        <f>_xll.BDH("XOM US Equity","REVENUE_PER_SH","FQ2 2018","FQ2 2018","Currency=USD","Period=FQ","BEST_FPERIOD_OVERRIDE=FQ","FILING_STATUS=OR","FA_ADJUSTED=GAAP","Sort=A","Dates=H","DateFormat=P","Fill=—","Direction=H","UseDPDF=Y")</f>
        <v>16.730499999999999</v>
      </c>
    </row>
    <row r="12" spans="1:42" x14ac:dyDescent="0.25">
      <c r="A12" s="10" t="s">
        <v>184</v>
      </c>
      <c r="B12" s="10" t="s">
        <v>466</v>
      </c>
      <c r="C12" s="14">
        <f>_xll.BDH("XOM US Equity","EBITDA_PER_SH","FQ3 2008","FQ3 2008","Currency=USD","Period=FQ","BEST_FPERIOD_OVERRIDE=FQ","FILING_STATUS=OR","FA_ADJUSTED=GAAP","Sort=A","Dates=H","DateFormat=P","Fill=—","Direction=H","UseDPDF=Y")</f>
        <v>4.7759999999999998</v>
      </c>
      <c r="D12" s="14">
        <f>_xll.BDH("XOM US Equity","EBITDA_PER_SH","FQ4 2008","FQ4 2008","Currency=USD","Period=FQ","BEST_FPERIOD_OVERRIDE=FQ","FILING_STATUS=OR","FA_ADJUSTED=GAAP","Sort=A","Dates=H","DateFormat=P","Fill=—","Direction=H","UseDPDF=Y")</f>
        <v>2.4234999999999998</v>
      </c>
      <c r="E12" s="14">
        <f>_xll.BDH("XOM US Equity","EBITDA_PER_SH","FQ1 2009","FQ1 2009","Currency=USD","Period=FQ","BEST_FPERIOD_OVERRIDE=FQ","FILING_STATUS=OR","FA_ADJUSTED=GAAP","Sort=A","Dates=H","DateFormat=P","Fill=—","Direction=H","UseDPDF=Y")</f>
        <v>1.7926</v>
      </c>
      <c r="F12" s="14">
        <f>_xll.BDH("XOM US Equity","EBITDA_PER_SH","FQ2 2009","FQ2 2009","Currency=USD","Period=FQ","BEST_FPERIOD_OVERRIDE=FQ","FILING_STATUS=OR","FA_ADJUSTED=GAAP","Sort=A","Dates=H","DateFormat=P","Fill=—","Direction=H","UseDPDF=Y")</f>
        <v>1.7675000000000001</v>
      </c>
      <c r="G12" s="14">
        <f>_xll.BDH("XOM US Equity","EBITDA_PER_SH","FQ3 2009","FQ3 2009","Currency=USD","Period=FQ","BEST_FPERIOD_OVERRIDE=FQ","FILING_STATUS=OR","FA_ADJUSTED=GAAP","Sort=A","Dates=H","DateFormat=P","Fill=—","Direction=H","UseDPDF=Y")</f>
        <v>2.0951</v>
      </c>
      <c r="H12" s="14">
        <f>_xll.BDH("XOM US Equity","EBITDA_PER_SH","FQ4 2009","FQ4 2009","Currency=USD","Period=FQ","BEST_FPERIOD_OVERRIDE=FQ","FILING_STATUS=OR","FA_ADJUSTED=GAAP","Sort=A","Dates=H","DateFormat=P","Fill=—","Direction=H","UseDPDF=Y")</f>
        <v>2.2498</v>
      </c>
      <c r="I12" s="14">
        <f>_xll.BDH("XOM US Equity","EBITDA_PER_SH","FQ1 2010","FQ1 2010","Currency=USD","Period=FQ","BEST_FPERIOD_OVERRIDE=FQ","FILING_STATUS=OR","FA_ADJUSTED=GAAP","Sort=A","Dates=H","DateFormat=P","Fill=—","Direction=H","UseDPDF=Y")</f>
        <v>2.5813000000000001</v>
      </c>
      <c r="J12" s="14">
        <f>_xll.BDH("XOM US Equity","EBITDA_PER_SH","FQ2 2010","FQ2 2010","Currency=USD","Period=FQ","BEST_FPERIOD_OVERRIDE=FQ","FILING_STATUS=OR","FA_ADJUSTED=GAAP","Sort=A","Dates=H","DateFormat=P","Fill=—","Direction=H","UseDPDF=Y")</f>
        <v>2.8242000000000003</v>
      </c>
      <c r="K12" s="14">
        <f>_xll.BDH("XOM US Equity","EBITDA_PER_SH","FQ3 2010","FQ3 2010","Currency=USD","Period=FQ","BEST_FPERIOD_OVERRIDE=FQ","FILING_STATUS=OR","FA_ADJUSTED=GAAP","Sort=A","Dates=H","DateFormat=P","Fill=—","Direction=H","UseDPDF=Y")</f>
        <v>2.7208000000000001</v>
      </c>
      <c r="L12" s="14">
        <f>_xll.BDH("XOM US Equity","EBITDA_PER_SH","FQ4 2010","FQ4 2010","Currency=USD","Period=FQ","BEST_FPERIOD_OVERRIDE=FQ","FILING_STATUS=OR","FA_ADJUSTED=GAAP","Sort=A","Dates=H","DateFormat=P","Fill=—","Direction=H","UseDPDF=Y")</f>
        <v>3.1295000000000002</v>
      </c>
      <c r="M12" s="14">
        <f>_xll.BDH("XOM US Equity","EBITDA_PER_SH","FQ1 2011","FQ1 2011","Currency=USD","Period=FQ","BEST_FPERIOD_OVERRIDE=FQ","FILING_STATUS=OR","FA_ADJUSTED=GAAP","Sort=A","Dates=H","DateFormat=P","Fill=—","Direction=H","UseDPDF=Y")</f>
        <v>3.6175999999999999</v>
      </c>
      <c r="N12" s="14">
        <f>_xll.BDH("XOM US Equity","EBITDA_PER_SH","FQ2 2011","FQ2 2011","Currency=USD","Period=FQ","BEST_FPERIOD_OVERRIDE=FQ","FILING_STATUS=OR","FA_ADJUSTED=GAAP","Sort=A","Dates=H","DateFormat=P","Fill=—","Direction=H","UseDPDF=Y")</f>
        <v>3.7612999999999999</v>
      </c>
      <c r="O12" s="14">
        <f>_xll.BDH("XOM US Equity","EBITDA_PER_SH","FQ3 2011","FQ3 2011","Currency=USD","Period=FQ","BEST_FPERIOD_OVERRIDE=FQ","FILING_STATUS=OR","FA_ADJUSTED=GAAP","Sort=A","Dates=H","DateFormat=P","Fill=—","Direction=H","UseDPDF=Y")</f>
        <v>3.6762000000000001</v>
      </c>
      <c r="P12" s="14">
        <f>_xll.BDH("XOM US Equity","EBITDA_PER_SH","FQ4 2011","FQ4 2011","Currency=USD","Period=FQ","BEST_FPERIOD_OVERRIDE=FQ","FILING_STATUS=OR","FA_ADJUSTED=GAAP","Sort=A","Dates=H","DateFormat=P","Fill=—","Direction=H","UseDPDF=Y")</f>
        <v>3.2465000000000002</v>
      </c>
      <c r="Q12" s="14">
        <f>_xll.BDH("XOM US Equity","EBITDA_PER_SH","FQ1 2012","FQ1 2012","Currency=USD","Period=FQ","BEST_FPERIOD_OVERRIDE=FQ","FILING_STATUS=OR","FA_ADJUSTED=GAAP","Sort=A","Dates=H","DateFormat=P","Fill=—","Direction=H","UseDPDF=Y")</f>
        <v>3.5207000000000002</v>
      </c>
      <c r="R12" s="14">
        <f>_xll.BDH("XOM US Equity","EBITDA_PER_SH","FQ2 2012","FQ2 2012","Currency=USD","Period=FQ","BEST_FPERIOD_OVERRIDE=FQ","FILING_STATUS=OR","FA_ADJUSTED=GAAP","Sort=A","Dates=H","DateFormat=P","Fill=—","Direction=H","UseDPDF=Y")</f>
        <v>3.3338000000000001</v>
      </c>
      <c r="S12" s="14">
        <f>_xll.BDH("XOM US Equity","EBITDA_PER_SH","FQ3 2012","FQ3 2012","Currency=USD","Period=FQ","BEST_FPERIOD_OVERRIDE=FQ","FILING_STATUS=OR","FA_ADJUSTED=GAAP","Sort=A","Dates=H","DateFormat=P","Fill=—","Direction=H","UseDPDF=Y")</f>
        <v>3.7555000000000001</v>
      </c>
      <c r="T12" s="14">
        <f>_xll.BDH("XOM US Equity","EBITDA_PER_SH","FQ4 2012","FQ4 2012","Currency=USD","Period=FQ","BEST_FPERIOD_OVERRIDE=FQ","FILING_STATUS=OR","FA_ADJUSTED=GAAP","Sort=A","Dates=H","DateFormat=P","Fill=—","Direction=H","UseDPDF=Y")</f>
        <v>3.6223999999999998</v>
      </c>
      <c r="U12" s="14">
        <f>_xll.BDH("XOM US Equity","EBITDA_PER_SH","FQ1 2013","FQ1 2013","Currency=USD","Period=FQ","BEST_FPERIOD_OVERRIDE=FQ","FILING_STATUS=OR","FA_ADJUSTED=GAAP","Sort=A","Dates=H","DateFormat=P","Fill=—","Direction=H","UseDPDF=Y")</f>
        <v>3.3875000000000002</v>
      </c>
      <c r="V12" s="14">
        <f>_xll.BDH("XOM US Equity","EBITDA_PER_SH","FQ2 2013","FQ2 2013","Currency=USD","Period=FQ","BEST_FPERIOD_OVERRIDE=FQ","FILING_STATUS=OR","FA_ADJUSTED=GAAP","Sort=A","Dates=H","DateFormat=P","Fill=—","Direction=H","UseDPDF=Y")</f>
        <v>3.0773999999999999</v>
      </c>
      <c r="W12" s="14">
        <f>_xll.BDH("XOM US Equity","EBITDA_PER_SH","FQ3 2013","FQ3 2013","Currency=USD","Period=FQ","BEST_FPERIOD_OVERRIDE=FQ","FILING_STATUS=OR","FA_ADJUSTED=GAAP","Sort=A","Dates=H","DateFormat=P","Fill=—","Direction=H","UseDPDF=Y")</f>
        <v>3.3096999999999999</v>
      </c>
      <c r="X12" s="14">
        <f>_xll.BDH("XOM US Equity","EBITDA_PER_SH","FQ4 2013","FQ4 2013","Currency=USD","Period=FQ","BEST_FPERIOD_OVERRIDE=FQ","FILING_STATUS=OR","FA_ADJUSTED=GAAP","Sort=A","Dates=H","DateFormat=P","Fill=—","Direction=H","UseDPDF=Y")</f>
        <v>3.2336999999999998</v>
      </c>
      <c r="Y12" s="14">
        <f>_xll.BDH("XOM US Equity","EBITDA_PER_SH","FQ1 2014","FQ1 2014","Currency=USD","Period=FQ","BEST_FPERIOD_OVERRIDE=FQ","FILING_STATUS=OR","FA_ADJUSTED=GAAP","Sort=A","Dates=H","DateFormat=P","Fill=—","Direction=H","UseDPDF=Y")</f>
        <v>3.3437999999999999</v>
      </c>
      <c r="Z12" s="14">
        <f>_xll.BDH("XOM US Equity","EBITDA_PER_SH","FQ2 2014","FQ2 2014","Currency=USD","Period=FQ","BEST_FPERIOD_OVERRIDE=FQ","FILING_STATUS=OR","FA_ADJUSTED=GAAP","Sort=A","Dates=H","DateFormat=P","Fill=—","Direction=H","UseDPDF=Y")</f>
        <v>3.0278999999999998</v>
      </c>
      <c r="AA12" s="14">
        <f>_xll.BDH("XOM US Equity","EBITDA_PER_SH","FQ3 2014","FQ3 2014","Currency=USD","Period=FQ","BEST_FPERIOD_OVERRIDE=FQ","FILING_STATUS=OR","FA_ADJUSTED=GAAP","Sort=A","Dates=H","DateFormat=P","Fill=—","Direction=H","UseDPDF=Y")</f>
        <v>3.266</v>
      </c>
      <c r="AB12" s="14">
        <f>_xll.BDH("XOM US Equity","EBITDA_PER_SH","FQ4 2014","FQ4 2014","Currency=USD","Period=FQ","BEST_FPERIOD_OVERRIDE=FQ","FILING_STATUS=OR","FA_ADJUSTED=GAAP","Sort=A","Dates=H","DateFormat=P","Fill=—","Direction=H","UseDPDF=Y")</f>
        <v>2.3517999999999999</v>
      </c>
      <c r="AC12" s="14">
        <f>_xll.BDH("XOM US Equity","EBITDA_PER_SH","FQ1 2015","FQ1 2015","Currency=USD","Period=FQ","BEST_FPERIOD_OVERRIDE=FQ","FILING_STATUS=OR","FA_ADJUSTED=GAAP","Sort=A","Dates=H","DateFormat=P","Fill=—","Direction=H","UseDPDF=Y")</f>
        <v>1.9384999999999999</v>
      </c>
      <c r="AD12" s="14">
        <f>_xll.BDH("XOM US Equity","EBITDA_PER_SH","FQ2 2015","FQ2 2015","Currency=USD","Period=FQ","BEST_FPERIOD_OVERRIDE=FQ","FILING_STATUS=OR","FA_ADJUSTED=GAAP","Sort=A","Dates=H","DateFormat=P","Fill=—","Direction=H","UseDPDF=Y")</f>
        <v>2.0802</v>
      </c>
      <c r="AE12" s="14">
        <f>_xll.BDH("XOM US Equity","EBITDA_PER_SH","FQ3 2015","FQ3 2015","Currency=USD","Period=FQ","BEST_FPERIOD_OVERRIDE=FQ","FILING_STATUS=OR","FA_ADJUSTED=GAAP","Sort=A","Dates=H","DateFormat=P","Fill=—","Direction=H","UseDPDF=Y")</f>
        <v>2.0773000000000001</v>
      </c>
      <c r="AF12" s="14">
        <f>_xll.BDH("XOM US Equity","EBITDA_PER_SH","FQ4 2015","FQ4 2015","Currency=USD","Period=FQ","BEST_FPERIOD_OVERRIDE=FQ","FILING_STATUS=OR","FA_ADJUSTED=GAAP","Sort=A","Dates=H","DateFormat=P","Fill=—","Direction=H","UseDPDF=Y")</f>
        <v>1.2735000000000001</v>
      </c>
      <c r="AG12" s="14">
        <f>_xll.BDH("XOM US Equity","EBITDA_PER_SH","FQ1 2016","FQ1 2016","Currency=USD","Period=FQ","BEST_FPERIOD_OVERRIDE=FQ","FILING_STATUS=OR","FA_ADJUSTED=GAAP","Sort=A","Dates=H","DateFormat=P","Fill=—","Direction=H","UseDPDF=Y")</f>
        <v>1.1896</v>
      </c>
      <c r="AH12" s="14">
        <f>_xll.BDH("XOM US Equity","EBITDA_PER_SH","FQ2 2016","FQ2 2016","Currency=USD","Period=FQ","BEST_FPERIOD_OVERRIDE=FQ","FILING_STATUS=OR","FA_ADJUSTED=GAAP","Sort=A","Dates=H","DateFormat=P","Fill=—","Direction=H","UseDPDF=Y")</f>
        <v>1.4367000000000001</v>
      </c>
      <c r="AI12" s="14">
        <f>_xll.BDH("XOM US Equity","EBITDA_PER_SH","FQ3 2016","FQ3 2016","Currency=USD","Period=FQ","BEST_FPERIOD_OVERRIDE=FQ","FILING_STATUS=OR","FA_ADJUSTED=GAAP","Sort=A","Dates=H","DateFormat=P","Fill=—","Direction=H","UseDPDF=Y")</f>
        <v>1.4426000000000001</v>
      </c>
      <c r="AJ12" s="14">
        <f>_xll.BDH("XOM US Equity","EBITDA_PER_SH","FQ4 2016","FQ4 2016","Currency=USD","Period=FQ","BEST_FPERIOD_OVERRIDE=FQ","FILING_STATUS=OR","FA_ADJUSTED=GAAP","Sort=A","Dates=H","DateFormat=P","Fill=—","Direction=H","UseDPDF=Y")</f>
        <v>1.506</v>
      </c>
      <c r="AK12" s="14">
        <f>_xll.BDH("XOM US Equity","EBITDA_PER_SH","FQ1 2017","FQ1 2017","Currency=USD","Period=FQ","BEST_FPERIOD_OVERRIDE=FQ","FILING_STATUS=OR","FA_ADJUSTED=GAAP","Sort=A","Dates=H","DateFormat=P","Fill=—","Direction=H","UseDPDF=Y")</f>
        <v>1.9858</v>
      </c>
      <c r="AL12" s="14">
        <f>_xll.BDH("XOM US Equity","EBITDA_PER_SH","FQ2 2017","FQ2 2017","Currency=USD","Period=FQ","BEST_FPERIOD_OVERRIDE=FQ","FILING_STATUS=OR","FA_ADJUSTED=GAAP","Sort=A","Dates=H","DateFormat=P","Fill=—","Direction=H","UseDPDF=Y")</f>
        <v>1.6191</v>
      </c>
      <c r="AM12" s="14">
        <f>_xll.BDH("XOM US Equity","EBITDA_PER_SH","FQ3 2017","FQ3 2017","Currency=USD","Period=FQ","BEST_FPERIOD_OVERRIDE=FQ","FILING_STATUS=OR","FA_ADJUSTED=GAAP","Sort=A","Dates=H","DateFormat=P","Fill=—","Direction=H","UseDPDF=Y")</f>
        <v>2.0659999999999998</v>
      </c>
      <c r="AN12" s="14">
        <f>_xll.BDH("XOM US Equity","EBITDA_PER_SH","FQ4 2017","FQ4 2017","Currency=USD","Period=FQ","BEST_FPERIOD_OVERRIDE=FQ","FILING_STATUS=OR","FA_ADJUSTED=GAAP","Sort=A","Dates=H","DateFormat=P","Fill=—","Direction=H","UseDPDF=Y")</f>
        <v>1.8365</v>
      </c>
      <c r="AO12" s="14">
        <f>_xll.BDH("XOM US Equity","EBITDA_PER_SH","FQ1 2018","FQ1 2018","Currency=USD","Period=FQ","BEST_FPERIOD_OVERRIDE=FQ","FILING_STATUS=OR","FA_ADJUSTED=GAAP","Sort=A","Dates=H","DateFormat=P","Fill=—","Direction=H","UseDPDF=Y")</f>
        <v>2.2191999999999998</v>
      </c>
      <c r="AP12" s="14">
        <f>_xll.BDH("XOM US Equity","EBITDA_PER_SH","FQ2 2018","FQ2 2018","Currency=USD","Period=FQ","BEST_FPERIOD_OVERRIDE=FQ","FILING_STATUS=OR","FA_ADJUSTED=GAAP","Sort=A","Dates=H","DateFormat=P","Fill=—","Direction=H","UseDPDF=Y")</f>
        <v>2.1547999999999998</v>
      </c>
    </row>
    <row r="13" spans="1:42" x14ac:dyDescent="0.25">
      <c r="A13" s="10" t="s">
        <v>467</v>
      </c>
      <c r="B13" s="10" t="s">
        <v>468</v>
      </c>
      <c r="C13" s="14">
        <f>_xll.BDH("XOM US Equity","OPER_INC_PER_SH","FQ3 2008","FQ3 2008","Currency=USD","Period=FQ","BEST_FPERIOD_OVERRIDE=FQ","FILING_STATUS=OR","FA_ADJUSTED=GAAP","Sort=A","Dates=H","DateFormat=P","Fill=—","Direction=H","UseDPDF=Y")</f>
        <v>4.1863999999999999</v>
      </c>
      <c r="D13" s="14">
        <f>_xll.BDH("XOM US Equity","OPER_INC_PER_SH","FQ4 2008","FQ4 2008","Currency=USD","Period=FQ","BEST_FPERIOD_OVERRIDE=FQ","FILING_STATUS=OR","FA_ADJUSTED=GAAP","Sort=A","Dates=H","DateFormat=P","Fill=—","Direction=H","UseDPDF=Y")</f>
        <v>1.7856000000000001</v>
      </c>
      <c r="E13" s="14">
        <f>_xll.BDH("XOM US Equity","OPER_INC_PER_SH","FQ1 2009","FQ1 2009","Currency=USD","Period=FQ","BEST_FPERIOD_OVERRIDE=FQ","FILING_STATUS=OR","FA_ADJUSTED=GAAP","Sort=A","Dates=H","DateFormat=P","Fill=—","Direction=H","UseDPDF=Y")</f>
        <v>1.2269000000000001</v>
      </c>
      <c r="F13" s="14">
        <f>_xll.BDH("XOM US Equity","OPER_INC_PER_SH","FQ2 2009","FQ2 2009","Currency=USD","Period=FQ","BEST_FPERIOD_OVERRIDE=FQ","FILING_STATUS=OR","FA_ADJUSTED=GAAP","Sort=A","Dates=H","DateFormat=P","Fill=—","Direction=H","UseDPDF=Y")</f>
        <v>1.1482000000000001</v>
      </c>
      <c r="G13" s="14">
        <f>_xll.BDH("XOM US Equity","OPER_INC_PER_SH","FQ3 2009","FQ3 2009","Currency=USD","Period=FQ","BEST_FPERIOD_OVERRIDE=FQ","FILING_STATUS=OR","FA_ADJUSTED=GAAP","Sort=A","Dates=H","DateFormat=P","Fill=—","Direction=H","UseDPDF=Y")</f>
        <v>1.4833000000000001</v>
      </c>
      <c r="H13" s="14">
        <f>_xll.BDH("XOM US Equity","OPER_INC_PER_SH","FQ4 2009","FQ4 2009","Currency=USD","Period=FQ","BEST_FPERIOD_OVERRIDE=FQ","FILING_STATUS=OR","FA_ADJUSTED=GAAP","Sort=A","Dates=H","DateFormat=P","Fill=—","Direction=H","UseDPDF=Y")</f>
        <v>1.579</v>
      </c>
      <c r="I13" s="14">
        <f>_xll.BDH("XOM US Equity","OPER_INC_PER_SH","FQ1 2010","FQ1 2010","Currency=USD","Period=FQ","BEST_FPERIOD_OVERRIDE=FQ","FILING_STATUS=OR","FA_ADJUSTED=GAAP","Sort=A","Dates=H","DateFormat=P","Fill=—","Direction=H","UseDPDF=Y")</f>
        <v>1.8867</v>
      </c>
      <c r="J13" s="14">
        <f>_xll.BDH("XOM US Equity","OPER_INC_PER_SH","FQ2 2010","FQ2 2010","Currency=USD","Period=FQ","BEST_FPERIOD_OVERRIDE=FQ","FILING_STATUS=OR","FA_ADJUSTED=GAAP","Sort=A","Dates=H","DateFormat=P","Fill=—","Direction=H","UseDPDF=Y")</f>
        <v>2.1105</v>
      </c>
      <c r="K13" s="14">
        <f>_xll.BDH("XOM US Equity","OPER_INC_PER_SH","FQ3 2010","FQ3 2010","Currency=USD","Period=FQ","BEST_FPERIOD_OVERRIDE=FQ","FILING_STATUS=OR","FA_ADJUSTED=GAAP","Sort=A","Dates=H","DateFormat=P","Fill=—","Direction=H","UseDPDF=Y")</f>
        <v>1.9636</v>
      </c>
      <c r="L13" s="14">
        <f>_xll.BDH("XOM US Equity","OPER_INC_PER_SH","FQ4 2010","FQ4 2010","Currency=USD","Period=FQ","BEST_FPERIOD_OVERRIDE=FQ","FILING_STATUS=OR","FA_ADJUSTED=GAAP","Sort=A","Dates=H","DateFormat=P","Fill=—","Direction=H","UseDPDF=Y")</f>
        <v>2.2709000000000001</v>
      </c>
      <c r="M13" s="14">
        <f>_xll.BDH("XOM US Equity","OPER_INC_PER_SH","FQ1 2011","FQ1 2011","Currency=USD","Period=FQ","BEST_FPERIOD_OVERRIDE=FQ","FILING_STATUS=OR","FA_ADJUSTED=GAAP","Sort=A","Dates=H","DateFormat=P","Fill=—","Direction=H","UseDPDF=Y")</f>
        <v>2.8597999999999999</v>
      </c>
      <c r="N13" s="14">
        <f>_xll.BDH("XOM US Equity","OPER_INC_PER_SH","FQ2 2011","FQ2 2011","Currency=USD","Period=FQ","BEST_FPERIOD_OVERRIDE=FQ","FILING_STATUS=OR","FA_ADJUSTED=GAAP","Sort=A","Dates=H","DateFormat=P","Fill=—","Direction=H","UseDPDF=Y")</f>
        <v>2.9702000000000002</v>
      </c>
      <c r="O13" s="14">
        <f>_xll.BDH("XOM US Equity","OPER_INC_PER_SH","FQ3 2011","FQ3 2011","Currency=USD","Period=FQ","BEST_FPERIOD_OVERRIDE=FQ","FILING_STATUS=OR","FA_ADJUSTED=GAAP","Sort=A","Dates=H","DateFormat=P","Fill=—","Direction=H","UseDPDF=Y")</f>
        <v>2.8772000000000002</v>
      </c>
      <c r="P13" s="14">
        <f>_xll.BDH("XOM US Equity","OPER_INC_PER_SH","FQ4 2011","FQ4 2011","Currency=USD","Period=FQ","BEST_FPERIOD_OVERRIDE=FQ","FILING_STATUS=OR","FA_ADJUSTED=GAAP","Sort=A","Dates=H","DateFormat=P","Fill=—","Direction=H","UseDPDF=Y")</f>
        <v>2.3925000000000001</v>
      </c>
      <c r="Q13" s="14">
        <f>_xll.BDH("XOM US Equity","OPER_INC_PER_SH","FQ1 2012","FQ1 2012","Currency=USD","Period=FQ","BEST_FPERIOD_OVERRIDE=FQ","FILING_STATUS=OR","FA_ADJUSTED=GAAP","Sort=A","Dates=H","DateFormat=P","Fill=—","Direction=H","UseDPDF=Y")</f>
        <v>2.7058</v>
      </c>
      <c r="R13" s="14">
        <f>_xll.BDH("XOM US Equity","OPER_INC_PER_SH","FQ2 2012","FQ2 2012","Currency=USD","Period=FQ","BEST_FPERIOD_OVERRIDE=FQ","FILING_STATUS=OR","FA_ADJUSTED=GAAP","Sort=A","Dates=H","DateFormat=P","Fill=—","Direction=H","UseDPDF=Y")</f>
        <v>2.4963000000000002</v>
      </c>
      <c r="S13" s="14">
        <f>_xll.BDH("XOM US Equity","OPER_INC_PER_SH","FQ3 2012","FQ3 2012","Currency=USD","Period=FQ","BEST_FPERIOD_OVERRIDE=FQ","FILING_STATUS=OR","FA_ADJUSTED=GAAP","Sort=A","Dates=H","DateFormat=P","Fill=—","Direction=H","UseDPDF=Y")</f>
        <v>2.8773</v>
      </c>
      <c r="T13" s="14">
        <f>_xll.BDH("XOM US Equity","OPER_INC_PER_SH","FQ4 2012","FQ4 2012","Currency=USD","Period=FQ","BEST_FPERIOD_OVERRIDE=FQ","FILING_STATUS=OR","FA_ADJUSTED=GAAP","Sort=A","Dates=H","DateFormat=P","Fill=—","Direction=H","UseDPDF=Y")</f>
        <v>2.7136</v>
      </c>
      <c r="U13" s="14">
        <f>_xll.BDH("XOM US Equity","OPER_INC_PER_SH","FQ1 2013","FQ1 2013","Currency=USD","Period=FQ","BEST_FPERIOD_OVERRIDE=FQ","FILING_STATUS=OR","FA_ADJUSTED=GAAP","Sort=A","Dates=H","DateFormat=P","Fill=—","Direction=H","UseDPDF=Y")</f>
        <v>2.4710999999999999</v>
      </c>
      <c r="V13" s="14">
        <f>_xll.BDH("XOM US Equity","OPER_INC_PER_SH","FQ2 2013","FQ2 2013","Currency=USD","Period=FQ","BEST_FPERIOD_OVERRIDE=FQ","FILING_STATUS=OR","FA_ADJUSTED=GAAP","Sort=A","Dates=H","DateFormat=P","Fill=—","Direction=H","UseDPDF=Y")</f>
        <v>2.0836999999999999</v>
      </c>
      <c r="W13" s="14">
        <f>_xll.BDH("XOM US Equity","OPER_INC_PER_SH","FQ3 2013","FQ3 2013","Currency=USD","Period=FQ","BEST_FPERIOD_OVERRIDE=FQ","FILING_STATUS=OR","FA_ADJUSTED=GAAP","Sort=A","Dates=H","DateFormat=P","Fill=—","Direction=H","UseDPDF=Y")</f>
        <v>2.3342000000000001</v>
      </c>
      <c r="X13" s="14">
        <f>_xll.BDH("XOM US Equity","OPER_INC_PER_SH","FQ4 2013","FQ4 2013","Currency=USD","Period=FQ","BEST_FPERIOD_OVERRIDE=FQ","FILING_STATUS=OR","FA_ADJUSTED=GAAP","Sort=A","Dates=H","DateFormat=P","Fill=—","Direction=H","UseDPDF=Y")</f>
        <v>2.2292999999999998</v>
      </c>
      <c r="Y13" s="14">
        <f>_xll.BDH("XOM US Equity","OPER_INC_PER_SH","FQ1 2014","FQ1 2014","Currency=USD","Period=FQ","BEST_FPERIOD_OVERRIDE=FQ","FILING_STATUS=OR","FA_ADJUSTED=GAAP","Sort=A","Dates=H","DateFormat=P","Fill=—","Direction=H","UseDPDF=Y")</f>
        <v>2.3752</v>
      </c>
      <c r="Z13" s="14">
        <f>_xll.BDH("XOM US Equity","OPER_INC_PER_SH","FQ2 2014","FQ2 2014","Currency=USD","Period=FQ","BEST_FPERIOD_OVERRIDE=FQ","FILING_STATUS=OR","FA_ADJUSTED=GAAP","Sort=A","Dates=H","DateFormat=P","Fill=—","Direction=H","UseDPDF=Y")</f>
        <v>2.0306999999999999</v>
      </c>
      <c r="AA13" s="14">
        <f>_xll.BDH("XOM US Equity","OPER_INC_PER_SH","FQ3 2014","FQ3 2014","Currency=USD","Period=FQ","BEST_FPERIOD_OVERRIDE=FQ","FILING_STATUS=OR","FA_ADJUSTED=GAAP","Sort=A","Dates=H","DateFormat=P","Fill=—","Direction=H","UseDPDF=Y")</f>
        <v>2.2437</v>
      </c>
      <c r="AB13" s="14">
        <f>_xll.BDH("XOM US Equity","OPER_INC_PER_SH","FQ4 2014","FQ4 2014","Currency=USD","Period=FQ","BEST_FPERIOD_OVERRIDE=FQ","FILING_STATUS=OR","FA_ADJUSTED=GAAP","Sort=A","Dates=H","DateFormat=P","Fill=—","Direction=H","UseDPDF=Y")</f>
        <v>1.2991999999999999</v>
      </c>
      <c r="AC13" s="14">
        <f>_xll.BDH("XOM US Equity","OPER_INC_PER_SH","FQ1 2015","FQ1 2015","Currency=USD","Period=FQ","BEST_FPERIOD_OVERRIDE=FQ","FILING_STATUS=OR","FA_ADJUSTED=GAAP","Sort=A","Dates=H","DateFormat=P","Fill=—","Direction=H","UseDPDF=Y")</f>
        <v>0.91739999999999999</v>
      </c>
      <c r="AD13" s="14">
        <f>_xll.BDH("XOM US Equity","OPER_INC_PER_SH","FQ2 2015","FQ2 2015","Currency=USD","Period=FQ","BEST_FPERIOD_OVERRIDE=FQ","FILING_STATUS=OR","FA_ADJUSTED=GAAP","Sort=A","Dates=H","DateFormat=P","Fill=—","Direction=H","UseDPDF=Y")</f>
        <v>1.0205</v>
      </c>
      <c r="AE13" s="14">
        <f>_xll.BDH("XOM US Equity","OPER_INC_PER_SH","FQ3 2015","FQ3 2015","Currency=USD","Period=FQ","BEST_FPERIOD_OVERRIDE=FQ","FILING_STATUS=OR","FA_ADJUSTED=GAAP","Sort=A","Dates=H","DateFormat=P","Fill=—","Direction=H","UseDPDF=Y")</f>
        <v>0.99329999999999996</v>
      </c>
      <c r="AF13" s="14">
        <f>_xll.BDH("XOM US Equity","OPER_INC_PER_SH","FQ4 2015","FQ4 2015","Currency=USD","Period=FQ","BEST_FPERIOD_OVERRIDE=FQ","FILING_STATUS=OR","FA_ADJUSTED=GAAP","Sort=A","Dates=H","DateFormat=P","Fill=—","Direction=H","UseDPDF=Y")</f>
        <v>0.13669999999999999</v>
      </c>
      <c r="AG13" s="14">
        <f>_xll.BDH("XOM US Equity","OPER_INC_PER_SH","FQ1 2016","FQ1 2016","Currency=USD","Period=FQ","BEST_FPERIOD_OVERRIDE=FQ","FILING_STATUS=OR","FA_ADJUSTED=GAAP","Sort=A","Dates=H","DateFormat=P","Fill=—","Direction=H","UseDPDF=Y")</f>
        <v>4.9099999999999998E-2</v>
      </c>
      <c r="AH13" s="14">
        <f>_xll.BDH("XOM US Equity","OPER_INC_PER_SH","FQ2 2016","FQ2 2016","Currency=USD","Period=FQ","BEST_FPERIOD_OVERRIDE=FQ","FILING_STATUS=OR","FA_ADJUSTED=GAAP","Sort=A","Dates=H","DateFormat=P","Fill=—","Direction=H","UseDPDF=Y")</f>
        <v>0.2742</v>
      </c>
      <c r="AI13" s="14">
        <f>_xll.BDH("XOM US Equity","OPER_INC_PER_SH","FQ3 2016","FQ3 2016","Currency=USD","Period=FQ","BEST_FPERIOD_OVERRIDE=FQ","FILING_STATUS=OR","FA_ADJUSTED=GAAP","Sort=A","Dates=H","DateFormat=P","Fill=—","Direction=H","UseDPDF=Y")</f>
        <v>0.34039999999999998</v>
      </c>
      <c r="AJ13" s="14">
        <f>_xll.BDH("XOM US Equity","OPER_INC_PER_SH","FQ4 2016","FQ4 2016","Currency=USD","Period=FQ","BEST_FPERIOD_OVERRIDE=FQ","FILING_STATUS=OR","FA_ADJUSTED=GAAP","Sort=A","Dates=H","DateFormat=P","Fill=—","Direction=H","UseDPDF=Y")</f>
        <v>-0.43769999999999998</v>
      </c>
      <c r="AK13" s="14">
        <f>_xll.BDH("XOM US Equity","OPER_INC_PER_SH","FQ1 2017","FQ1 2017","Currency=USD","Period=FQ","BEST_FPERIOD_OVERRIDE=FQ","FILING_STATUS=OR","FA_ADJUSTED=GAAP","Sort=A","Dates=H","DateFormat=P","Fill=—","Direction=H","UseDPDF=Y")</f>
        <v>0.91569999999999996</v>
      </c>
      <c r="AL13" s="14">
        <f>_xll.BDH("XOM US Equity","OPER_INC_PER_SH","FQ2 2017","FQ2 2017","Currency=USD","Period=FQ","BEST_FPERIOD_OVERRIDE=FQ","FILING_STATUS=OR","FA_ADJUSTED=GAAP","Sort=A","Dates=H","DateFormat=P","Fill=—","Direction=H","UseDPDF=Y")</f>
        <v>0.52990000000000004</v>
      </c>
      <c r="AM13" s="14">
        <f>_xll.BDH("XOM US Equity","OPER_INC_PER_SH","FQ3 2017","FQ3 2017","Currency=USD","Period=FQ","BEST_FPERIOD_OVERRIDE=FQ","FILING_STATUS=OR","FA_ADJUSTED=GAAP","Sort=A","Dates=H","DateFormat=P","Fill=—","Direction=H","UseDPDF=Y")</f>
        <v>0.9234</v>
      </c>
      <c r="AN13" s="14">
        <f>_xll.BDH("XOM US Equity","OPER_INC_PER_SH","FQ4 2017","FQ4 2017","Currency=USD","Period=FQ","BEST_FPERIOD_OVERRIDE=FQ","FILING_STATUS=OR","FA_ADJUSTED=GAAP","Sort=A","Dates=H","DateFormat=P","Fill=—","Direction=H","UseDPDF=Y")</f>
        <v>0.46839999999999998</v>
      </c>
      <c r="AO13" s="14">
        <f>_xll.BDH("XOM US Equity","OPER_INC_PER_SH","FQ1 2018","FQ1 2018","Currency=USD","Period=FQ","BEST_FPERIOD_OVERRIDE=FQ","FILING_STATUS=OR","FA_ADJUSTED=GAAP","Sort=A","Dates=H","DateFormat=P","Fill=—","Direction=H","UseDPDF=Y")</f>
        <v>1.1724000000000001</v>
      </c>
      <c r="AP13" s="14">
        <f>_xll.BDH("XOM US Equity","OPER_INC_PER_SH","FQ2 2018","FQ2 2018","Currency=USD","Period=FQ","BEST_FPERIOD_OVERRIDE=FQ","FILING_STATUS=OR","FA_ADJUSTED=GAAP","Sort=A","Dates=H","DateFormat=P","Fill=—","Direction=H","UseDPDF=Y")</f>
        <v>1.0803</v>
      </c>
    </row>
    <row r="14" spans="1:42" x14ac:dyDescent="0.25">
      <c r="A14" s="10" t="s">
        <v>469</v>
      </c>
      <c r="B14" s="10" t="s">
        <v>168</v>
      </c>
      <c r="C14" s="14">
        <f>_xll.BDH("XOM US Equity","IS_EPS","FQ3 2008","FQ3 2008","Currency=USD","Period=FQ","BEST_FPERIOD_OVERRIDE=FQ","FILING_STATUS=OR","FA_ADJUSTED=GAAP","Sort=A","Dates=H","DateFormat=P","Fill=—","Direction=H","UseDPDF=Y")</f>
        <v>2.89</v>
      </c>
      <c r="D14" s="14">
        <f>_xll.BDH("XOM US Equity","IS_EPS","FQ4 2008","FQ4 2008","Currency=USD","Period=FQ","BEST_FPERIOD_OVERRIDE=FQ","FILING_STATUS=OR","FA_ADJUSTED=GAAP","Sort=A","Dates=H","DateFormat=P","Fill=—","Direction=H","UseDPDF=Y")</f>
        <v>1.5699999999999998</v>
      </c>
      <c r="E14" s="14">
        <f>_xll.BDH("XOM US Equity","IS_EPS","FQ1 2009","FQ1 2009","Currency=USD","Period=FQ","BEST_FPERIOD_OVERRIDE=FQ","FILING_STATUS=OR","FA_ADJUSTED=GAAP","Sort=A","Dates=H","DateFormat=P","Fill=—","Direction=H","UseDPDF=Y")</f>
        <v>0.92</v>
      </c>
      <c r="F14" s="14">
        <f>_xll.BDH("XOM US Equity","IS_EPS","FQ2 2009","FQ2 2009","Currency=USD","Period=FQ","BEST_FPERIOD_OVERRIDE=FQ","FILING_STATUS=OR","FA_ADJUSTED=GAAP","Sort=A","Dates=H","DateFormat=P","Fill=—","Direction=H","UseDPDF=Y")</f>
        <v>0.82</v>
      </c>
      <c r="G14" s="14">
        <f>_xll.BDH("XOM US Equity","IS_EPS","FQ3 2009","FQ3 2009","Currency=USD","Period=FQ","BEST_FPERIOD_OVERRIDE=FQ","FILING_STATUS=OR","FA_ADJUSTED=GAAP","Sort=A","Dates=H","DateFormat=P","Fill=—","Direction=H","UseDPDF=Y")</f>
        <v>0.98</v>
      </c>
      <c r="H14" s="14">
        <f>_xll.BDH("XOM US Equity","IS_EPS","FQ4 2009","FQ4 2009","Currency=USD","Period=FQ","BEST_FPERIOD_OVERRIDE=FQ","FILING_STATUS=OR","FA_ADJUSTED=GAAP","Sort=A","Dates=H","DateFormat=P","Fill=—","Direction=H","UseDPDF=Y")</f>
        <v>1.27</v>
      </c>
      <c r="I14" s="14">
        <f>_xll.BDH("XOM US Equity","IS_EPS","FQ1 2010","FQ1 2010","Currency=USD","Period=FQ","BEST_FPERIOD_OVERRIDE=FQ","FILING_STATUS=OR","FA_ADJUSTED=GAAP","Sort=A","Dates=H","DateFormat=P","Fill=—","Direction=H","UseDPDF=Y")</f>
        <v>1.33</v>
      </c>
      <c r="J14" s="14">
        <f>_xll.BDH("XOM US Equity","IS_EPS","FQ2 2010","FQ2 2010","Currency=USD","Period=FQ","BEST_FPERIOD_OVERRIDE=FQ","FILING_STATUS=OR","FA_ADJUSTED=GAAP","Sort=A","Dates=H","DateFormat=P","Fill=—","Direction=H","UseDPDF=Y")</f>
        <v>1.6099999999999999</v>
      </c>
      <c r="K14" s="14">
        <f>_xll.BDH("XOM US Equity","IS_EPS","FQ3 2010","FQ3 2010","Currency=USD","Period=FQ","BEST_FPERIOD_OVERRIDE=FQ","FILING_STATUS=OR","FA_ADJUSTED=GAAP","Sort=A","Dates=H","DateFormat=P","Fill=—","Direction=H","UseDPDF=Y")</f>
        <v>1.44</v>
      </c>
      <c r="L14" s="14">
        <f>_xll.BDH("XOM US Equity","IS_EPS","FQ4 2010","FQ4 2010","Currency=USD","Period=FQ","BEST_FPERIOD_OVERRIDE=FQ","FILING_STATUS=OR","FA_ADJUSTED=GAAP","Sort=A","Dates=H","DateFormat=P","Fill=—","Direction=H","UseDPDF=Y")</f>
        <v>1.8599999999999999</v>
      </c>
      <c r="M14" s="14">
        <f>_xll.BDH("XOM US Equity","IS_EPS","FQ1 2011","FQ1 2011","Currency=USD","Period=FQ","BEST_FPERIOD_OVERRIDE=FQ","FILING_STATUS=OR","FA_ADJUSTED=GAAP","Sort=A","Dates=H","DateFormat=P","Fill=—","Direction=H","UseDPDF=Y")</f>
        <v>2.14</v>
      </c>
      <c r="N14" s="14">
        <f>_xll.BDH("XOM US Equity","IS_EPS","FQ2 2011","FQ2 2011","Currency=USD","Period=FQ","BEST_FPERIOD_OVERRIDE=FQ","FILING_STATUS=OR","FA_ADJUSTED=GAAP","Sort=A","Dates=H","DateFormat=P","Fill=—","Direction=H","UseDPDF=Y")</f>
        <v>2.19</v>
      </c>
      <c r="O14" s="14">
        <f>_xll.BDH("XOM US Equity","IS_EPS","FQ3 2011","FQ3 2011","Currency=USD","Period=FQ","BEST_FPERIOD_OVERRIDE=FQ","FILING_STATUS=OR","FA_ADJUSTED=GAAP","Sort=A","Dates=H","DateFormat=P","Fill=—","Direction=H","UseDPDF=Y")</f>
        <v>2.13</v>
      </c>
      <c r="P14" s="14">
        <f>_xll.BDH("XOM US Equity","IS_EPS","FQ4 2011","FQ4 2011","Currency=USD","Period=FQ","BEST_FPERIOD_OVERRIDE=FQ","FILING_STATUS=OR","FA_ADJUSTED=GAAP","Sort=A","Dates=H","DateFormat=P","Fill=—","Direction=H","UseDPDF=Y")</f>
        <v>1.97</v>
      </c>
      <c r="Q14" s="14">
        <f>_xll.BDH("XOM US Equity","IS_EPS","FQ1 2012","FQ1 2012","Currency=USD","Period=FQ","BEST_FPERIOD_OVERRIDE=FQ","FILING_STATUS=OR","FA_ADJUSTED=GAAP","Sort=A","Dates=H","DateFormat=P","Fill=—","Direction=H","UseDPDF=Y")</f>
        <v>2</v>
      </c>
      <c r="R14" s="14">
        <f>_xll.BDH("XOM US Equity","IS_EPS","FQ2 2012","FQ2 2012","Currency=USD","Period=FQ","BEST_FPERIOD_OVERRIDE=FQ","FILING_STATUS=OR","FA_ADJUSTED=GAAP","Sort=A","Dates=H","DateFormat=P","Fill=—","Direction=H","UseDPDF=Y")</f>
        <v>3.41</v>
      </c>
      <c r="S14" s="14">
        <f>_xll.BDH("XOM US Equity","IS_EPS","FQ3 2012","FQ3 2012","Currency=USD","Period=FQ","BEST_FPERIOD_OVERRIDE=FQ","FILING_STATUS=OR","FA_ADJUSTED=GAAP","Sort=A","Dates=H","DateFormat=P","Fill=—","Direction=H","UseDPDF=Y")</f>
        <v>2.09</v>
      </c>
      <c r="T14" s="14">
        <f>_xll.BDH("XOM US Equity","IS_EPS","FQ4 2012","FQ4 2012","Currency=USD","Period=FQ","BEST_FPERIOD_OVERRIDE=FQ","FILING_STATUS=OR","FA_ADJUSTED=GAAP","Sort=A","Dates=H","DateFormat=P","Fill=—","Direction=H","UseDPDF=Y")</f>
        <v>2.2000000000000002</v>
      </c>
      <c r="U14" s="14">
        <f>_xll.BDH("XOM US Equity","IS_EPS","FQ1 2013","FQ1 2013","Currency=USD","Period=FQ","BEST_FPERIOD_OVERRIDE=FQ","FILING_STATUS=OR","FA_ADJUSTED=GAAP","Sort=A","Dates=H","DateFormat=P","Fill=—","Direction=H","UseDPDF=Y")</f>
        <v>2.12</v>
      </c>
      <c r="V14" s="14">
        <f>_xll.BDH("XOM US Equity","IS_EPS","FQ2 2013","FQ2 2013","Currency=USD","Period=FQ","BEST_FPERIOD_OVERRIDE=FQ","FILING_STATUS=OR","FA_ADJUSTED=GAAP","Sort=A","Dates=H","DateFormat=P","Fill=—","Direction=H","UseDPDF=Y")</f>
        <v>1.55</v>
      </c>
      <c r="W14" s="14">
        <f>_xll.BDH("XOM US Equity","IS_EPS","FQ3 2013","FQ3 2013","Currency=USD","Period=FQ","BEST_FPERIOD_OVERRIDE=FQ","FILING_STATUS=OR","FA_ADJUSTED=GAAP","Sort=A","Dates=H","DateFormat=P","Fill=—","Direction=H","UseDPDF=Y")</f>
        <v>1.79</v>
      </c>
      <c r="X14" s="14">
        <f>_xll.BDH("XOM US Equity","IS_EPS","FQ4 2013","FQ4 2013","Currency=USD","Period=FQ","BEST_FPERIOD_OVERRIDE=FQ","FILING_STATUS=OR","FA_ADJUSTED=GAAP","Sort=A","Dates=H","DateFormat=P","Fill=—","Direction=H","UseDPDF=Y")</f>
        <v>1.9100000000000001</v>
      </c>
      <c r="Y14" s="14">
        <f>_xll.BDH("XOM US Equity","IS_EPS","FQ1 2014","FQ1 2014","Currency=USD","Period=FQ","BEST_FPERIOD_OVERRIDE=FQ","FILING_STATUS=OR","FA_ADJUSTED=GAAP","Sort=A","Dates=H","DateFormat=P","Fill=—","Direction=H","UseDPDF=Y")</f>
        <v>2.1</v>
      </c>
      <c r="Z14" s="14">
        <f>_xll.BDH("XOM US Equity","IS_EPS","FQ2 2014","FQ2 2014","Currency=USD","Period=FQ","BEST_FPERIOD_OVERRIDE=FQ","FILING_STATUS=OR","FA_ADJUSTED=GAAP","Sort=A","Dates=H","DateFormat=P","Fill=—","Direction=H","UseDPDF=Y")</f>
        <v>2.0499999999999998</v>
      </c>
      <c r="AA14" s="14">
        <f>_xll.BDH("XOM US Equity","IS_EPS","FQ3 2014","FQ3 2014","Currency=USD","Period=FQ","BEST_FPERIOD_OVERRIDE=FQ","FILING_STATUS=OR","FA_ADJUSTED=GAAP","Sort=A","Dates=H","DateFormat=P","Fill=—","Direction=H","UseDPDF=Y")</f>
        <v>1.8900000000000001</v>
      </c>
      <c r="AB14" s="14">
        <f>_xll.BDH("XOM US Equity","IS_EPS","FQ4 2014","FQ4 2014","Currency=USD","Period=FQ","BEST_FPERIOD_OVERRIDE=FQ","FILING_STATUS=OR","FA_ADJUSTED=GAAP","Sort=A","Dates=H","DateFormat=P","Fill=—","Direction=H","UseDPDF=Y")</f>
        <v>1.56</v>
      </c>
      <c r="AC14" s="14">
        <f>_xll.BDH("XOM US Equity","IS_EPS","FQ1 2015","FQ1 2015","Currency=USD","Period=FQ","BEST_FPERIOD_OVERRIDE=FQ","FILING_STATUS=OR","FA_ADJUSTED=GAAP","Sort=A","Dates=H","DateFormat=P","Fill=—","Direction=H","UseDPDF=Y")</f>
        <v>1.17</v>
      </c>
      <c r="AD14" s="14">
        <f>_xll.BDH("XOM US Equity","IS_EPS","FQ2 2015","FQ2 2015","Currency=USD","Period=FQ","BEST_FPERIOD_OVERRIDE=FQ","FILING_STATUS=OR","FA_ADJUSTED=GAAP","Sort=A","Dates=H","DateFormat=P","Fill=—","Direction=H","UseDPDF=Y")</f>
        <v>1</v>
      </c>
      <c r="AE14" s="14">
        <f>_xll.BDH("XOM US Equity","IS_EPS","FQ3 2015","FQ3 2015","Currency=USD","Period=FQ","BEST_FPERIOD_OVERRIDE=FQ","FILING_STATUS=OR","FA_ADJUSTED=GAAP","Sort=A","Dates=H","DateFormat=P","Fill=—","Direction=H","UseDPDF=Y")</f>
        <v>1.01</v>
      </c>
      <c r="AF14" s="14">
        <f>_xll.BDH("XOM US Equity","IS_EPS","FQ4 2015","FQ4 2015","Currency=USD","Period=FQ","BEST_FPERIOD_OVERRIDE=FQ","FILING_STATUS=OR","FA_ADJUSTED=GAAP","Sort=A","Dates=H","DateFormat=P","Fill=—","Direction=H","UseDPDF=Y")</f>
        <v>0.67</v>
      </c>
      <c r="AG14" s="14">
        <f>_xll.BDH("XOM US Equity","IS_EPS","FQ1 2016","FQ1 2016","Currency=USD","Period=FQ","BEST_FPERIOD_OVERRIDE=FQ","FILING_STATUS=OR","FA_ADJUSTED=GAAP","Sort=A","Dates=H","DateFormat=P","Fill=—","Direction=H","UseDPDF=Y")</f>
        <v>0.43</v>
      </c>
      <c r="AH14" s="14">
        <f>_xll.BDH("XOM US Equity","IS_EPS","FQ2 2016","FQ2 2016","Currency=USD","Period=FQ","BEST_FPERIOD_OVERRIDE=FQ","FILING_STATUS=OR","FA_ADJUSTED=GAAP","Sort=A","Dates=H","DateFormat=P","Fill=—","Direction=H","UseDPDF=Y")</f>
        <v>0.41</v>
      </c>
      <c r="AI14" s="14">
        <f>_xll.BDH("XOM US Equity","IS_EPS","FQ3 2016","FQ3 2016","Currency=USD","Period=FQ","BEST_FPERIOD_OVERRIDE=FQ","FILING_STATUS=OR","FA_ADJUSTED=GAAP","Sort=A","Dates=H","DateFormat=P","Fill=—","Direction=H","UseDPDF=Y")</f>
        <v>0.63</v>
      </c>
      <c r="AJ14" s="14">
        <f>_xll.BDH("XOM US Equity","IS_EPS","FQ4 2016","FQ4 2016","Currency=USD","Period=FQ","BEST_FPERIOD_OVERRIDE=FQ","FILING_STATUS=OR","FA_ADJUSTED=GAAP","Sort=A","Dates=H","DateFormat=P","Fill=—","Direction=H","UseDPDF=Y")</f>
        <v>0.41</v>
      </c>
      <c r="AK14" s="14">
        <f>_xll.BDH("XOM US Equity","IS_EPS","FQ1 2017","FQ1 2017","Currency=USD","Period=FQ","BEST_FPERIOD_OVERRIDE=FQ","FILING_STATUS=OR","FA_ADJUSTED=GAAP","Sort=A","Dates=H","DateFormat=P","Fill=—","Direction=H","UseDPDF=Y")</f>
        <v>0.95</v>
      </c>
      <c r="AL14" s="14">
        <f>_xll.BDH("XOM US Equity","IS_EPS","FQ2 2017","FQ2 2017","Currency=USD","Period=FQ","BEST_FPERIOD_OVERRIDE=FQ","FILING_STATUS=OR","FA_ADJUSTED=GAAP","Sort=A","Dates=H","DateFormat=P","Fill=—","Direction=H","UseDPDF=Y")</f>
        <v>0.78</v>
      </c>
      <c r="AM14" s="14">
        <f>_xll.BDH("XOM US Equity","IS_EPS","FQ3 2017","FQ3 2017","Currency=USD","Period=FQ","BEST_FPERIOD_OVERRIDE=FQ","FILING_STATUS=OR","FA_ADJUSTED=GAAP","Sort=A","Dates=H","DateFormat=P","Fill=—","Direction=H","UseDPDF=Y")</f>
        <v>0.93</v>
      </c>
      <c r="AN14" s="14">
        <f>_xll.BDH("XOM US Equity","IS_EPS","FQ4 2017","FQ4 2017","Currency=USD","Period=FQ","BEST_FPERIOD_OVERRIDE=FQ","FILING_STATUS=OR","FA_ADJUSTED=GAAP","Sort=A","Dates=H","DateFormat=P","Fill=—","Direction=H","UseDPDF=Y")</f>
        <v>1.97</v>
      </c>
      <c r="AO14" s="14">
        <f>_xll.BDH("XOM US Equity","IS_EPS","FQ1 2018","FQ1 2018","Currency=USD","Period=FQ","BEST_FPERIOD_OVERRIDE=FQ","FILING_STATUS=OR","FA_ADJUSTED=GAAP","Sort=A","Dates=H","DateFormat=P","Fill=—","Direction=H","UseDPDF=Y")</f>
        <v>1.0900000000000001</v>
      </c>
      <c r="AP14" s="14">
        <f>_xll.BDH("XOM US Equity","IS_EPS","FQ2 2018","FQ2 2018","Currency=USD","Period=FQ","BEST_FPERIOD_OVERRIDE=FQ","FILING_STATUS=OR","FA_ADJUSTED=GAAP","Sort=A","Dates=H","DateFormat=P","Fill=—","Direction=H","UseDPDF=Y")</f>
        <v>0.92</v>
      </c>
    </row>
    <row r="15" spans="1:42" x14ac:dyDescent="0.25">
      <c r="A15" s="10" t="s">
        <v>470</v>
      </c>
      <c r="B15" s="10" t="s">
        <v>170</v>
      </c>
      <c r="C15" s="14">
        <f>_xll.BDH("XOM US Equity","IS_EARN_BEF_XO_ITEMS_PER_SH","FQ3 2008","FQ3 2008","Currency=USD","Period=FQ","BEST_FPERIOD_OVERRIDE=FQ","FILING_STATUS=OR","Sort=A","Dates=H","DateFormat=P","Fill=—","Direction=H","UseDPDF=Y")</f>
        <v>2.89</v>
      </c>
      <c r="D15" s="14">
        <f>_xll.BDH("XOM US Equity","IS_EARN_BEF_XO_ITEMS_PER_SH","FQ4 2008","FQ4 2008","Currency=USD","Period=FQ","BEST_FPERIOD_OVERRIDE=FQ","FILING_STATUS=OR","Sort=A","Dates=H","DateFormat=P","Fill=—","Direction=H","UseDPDF=Y")</f>
        <v>1.5699999999999998</v>
      </c>
      <c r="E15" s="14">
        <f>_xll.BDH("XOM US Equity","IS_EARN_BEF_XO_ITEMS_PER_SH","FQ1 2009","FQ1 2009","Currency=USD","Period=FQ","BEST_FPERIOD_OVERRIDE=FQ","FILING_STATUS=OR","Sort=A","Dates=H","DateFormat=P","Fill=—","Direction=H","UseDPDF=Y")</f>
        <v>0.92</v>
      </c>
      <c r="F15" s="14">
        <f>_xll.BDH("XOM US Equity","IS_EARN_BEF_XO_ITEMS_PER_SH","FQ2 2009","FQ2 2009","Currency=USD","Period=FQ","BEST_FPERIOD_OVERRIDE=FQ","FILING_STATUS=OR","Sort=A","Dates=H","DateFormat=P","Fill=—","Direction=H","UseDPDF=Y")</f>
        <v>0.82</v>
      </c>
      <c r="G15" s="14">
        <f>_xll.BDH("XOM US Equity","IS_EARN_BEF_XO_ITEMS_PER_SH","FQ3 2009","FQ3 2009","Currency=USD","Period=FQ","BEST_FPERIOD_OVERRIDE=FQ","FILING_STATUS=OR","Sort=A","Dates=H","DateFormat=P","Fill=—","Direction=H","UseDPDF=Y")</f>
        <v>0.98</v>
      </c>
      <c r="H15" s="14">
        <f>_xll.BDH("XOM US Equity","IS_EARN_BEF_XO_ITEMS_PER_SH","FQ4 2009","FQ4 2009","Currency=USD","Period=FQ","BEST_FPERIOD_OVERRIDE=FQ","FILING_STATUS=OR","Sort=A","Dates=H","DateFormat=P","Fill=—","Direction=H","UseDPDF=Y")</f>
        <v>1.27</v>
      </c>
      <c r="I15" s="14">
        <f>_xll.BDH("XOM US Equity","IS_EARN_BEF_XO_ITEMS_PER_SH","FQ1 2010","FQ1 2010","Currency=USD","Period=FQ","BEST_FPERIOD_OVERRIDE=FQ","FILING_STATUS=OR","Sort=A","Dates=H","DateFormat=P","Fill=—","Direction=H","UseDPDF=Y")</f>
        <v>1.33</v>
      </c>
      <c r="J15" s="14">
        <f>_xll.BDH("XOM US Equity","IS_EARN_BEF_XO_ITEMS_PER_SH","FQ2 2010","FQ2 2010","Currency=USD","Period=FQ","BEST_FPERIOD_OVERRIDE=FQ","FILING_STATUS=OR","Sort=A","Dates=H","DateFormat=P","Fill=—","Direction=H","UseDPDF=Y")</f>
        <v>1.6099999999999999</v>
      </c>
      <c r="K15" s="14">
        <f>_xll.BDH("XOM US Equity","IS_EARN_BEF_XO_ITEMS_PER_SH","FQ3 2010","FQ3 2010","Currency=USD","Period=FQ","BEST_FPERIOD_OVERRIDE=FQ","FILING_STATUS=OR","Sort=A","Dates=H","DateFormat=P","Fill=—","Direction=H","UseDPDF=Y")</f>
        <v>1.44</v>
      </c>
      <c r="L15" s="14">
        <f>_xll.BDH("XOM US Equity","IS_EARN_BEF_XO_ITEMS_PER_SH","FQ4 2010","FQ4 2010","Currency=USD","Period=FQ","BEST_FPERIOD_OVERRIDE=FQ","FILING_STATUS=OR","Sort=A","Dates=H","DateFormat=P","Fill=—","Direction=H","UseDPDF=Y")</f>
        <v>1.8599999999999999</v>
      </c>
      <c r="M15" s="14">
        <f>_xll.BDH("XOM US Equity","IS_EARN_BEF_XO_ITEMS_PER_SH","FQ1 2011","FQ1 2011","Currency=USD","Period=FQ","BEST_FPERIOD_OVERRIDE=FQ","FILING_STATUS=OR","Sort=A","Dates=H","DateFormat=P","Fill=—","Direction=H","UseDPDF=Y")</f>
        <v>2.14</v>
      </c>
      <c r="N15" s="14">
        <f>_xll.BDH("XOM US Equity","IS_EARN_BEF_XO_ITEMS_PER_SH","FQ2 2011","FQ2 2011","Currency=USD","Period=FQ","BEST_FPERIOD_OVERRIDE=FQ","FILING_STATUS=OR","Sort=A","Dates=H","DateFormat=P","Fill=—","Direction=H","UseDPDF=Y")</f>
        <v>2.19</v>
      </c>
      <c r="O15" s="14">
        <f>_xll.BDH("XOM US Equity","IS_EARN_BEF_XO_ITEMS_PER_SH","FQ3 2011","FQ3 2011","Currency=USD","Period=FQ","BEST_FPERIOD_OVERRIDE=FQ","FILING_STATUS=OR","Sort=A","Dates=H","DateFormat=P","Fill=—","Direction=H","UseDPDF=Y")</f>
        <v>2.13</v>
      </c>
      <c r="P15" s="14">
        <f>_xll.BDH("XOM US Equity","IS_EARN_BEF_XO_ITEMS_PER_SH","FQ4 2011","FQ4 2011","Currency=USD","Period=FQ","BEST_FPERIOD_OVERRIDE=FQ","FILING_STATUS=OR","Sort=A","Dates=H","DateFormat=P","Fill=—","Direction=H","UseDPDF=Y")</f>
        <v>1.97</v>
      </c>
      <c r="Q15" s="14">
        <f>_xll.BDH("XOM US Equity","IS_EARN_BEF_XO_ITEMS_PER_SH","FQ1 2012","FQ1 2012","Currency=USD","Period=FQ","BEST_FPERIOD_OVERRIDE=FQ","FILING_STATUS=OR","Sort=A","Dates=H","DateFormat=P","Fill=—","Direction=H","UseDPDF=Y")</f>
        <v>2</v>
      </c>
      <c r="R15" s="14">
        <f>_xll.BDH("XOM US Equity","IS_EARN_BEF_XO_ITEMS_PER_SH","FQ2 2012","FQ2 2012","Currency=USD","Period=FQ","BEST_FPERIOD_OVERRIDE=FQ","FILING_STATUS=OR","Sort=A","Dates=H","DateFormat=P","Fill=—","Direction=H","UseDPDF=Y")</f>
        <v>3.41</v>
      </c>
      <c r="S15" s="14">
        <f>_xll.BDH("XOM US Equity","IS_EARN_BEF_XO_ITEMS_PER_SH","FQ3 2012","FQ3 2012","Currency=USD","Period=FQ","BEST_FPERIOD_OVERRIDE=FQ","FILING_STATUS=OR","Sort=A","Dates=H","DateFormat=P","Fill=—","Direction=H","UseDPDF=Y")</f>
        <v>2.09</v>
      </c>
      <c r="T15" s="14">
        <f>_xll.BDH("XOM US Equity","IS_EARN_BEF_XO_ITEMS_PER_SH","FQ4 2012","FQ4 2012","Currency=USD","Period=FQ","BEST_FPERIOD_OVERRIDE=FQ","FILING_STATUS=OR","Sort=A","Dates=H","DateFormat=P","Fill=—","Direction=H","UseDPDF=Y")</f>
        <v>2.2000000000000002</v>
      </c>
      <c r="U15" s="14">
        <f>_xll.BDH("XOM US Equity","IS_EARN_BEF_XO_ITEMS_PER_SH","FQ1 2013","FQ1 2013","Currency=USD","Period=FQ","BEST_FPERIOD_OVERRIDE=FQ","FILING_STATUS=OR","Sort=A","Dates=H","DateFormat=P","Fill=—","Direction=H","UseDPDF=Y")</f>
        <v>2.12</v>
      </c>
      <c r="V15" s="14">
        <f>_xll.BDH("XOM US Equity","IS_EARN_BEF_XO_ITEMS_PER_SH","FQ2 2013","FQ2 2013","Currency=USD","Period=FQ","BEST_FPERIOD_OVERRIDE=FQ","FILING_STATUS=OR","Sort=A","Dates=H","DateFormat=P","Fill=—","Direction=H","UseDPDF=Y")</f>
        <v>1.55</v>
      </c>
      <c r="W15" s="14">
        <f>_xll.BDH("XOM US Equity","IS_EARN_BEF_XO_ITEMS_PER_SH","FQ3 2013","FQ3 2013","Currency=USD","Period=FQ","BEST_FPERIOD_OVERRIDE=FQ","FILING_STATUS=OR","Sort=A","Dates=H","DateFormat=P","Fill=—","Direction=H","UseDPDF=Y")</f>
        <v>1.79</v>
      </c>
      <c r="X15" s="14">
        <f>_xll.BDH("XOM US Equity","IS_EARN_BEF_XO_ITEMS_PER_SH","FQ4 2013","FQ4 2013","Currency=USD","Period=FQ","BEST_FPERIOD_OVERRIDE=FQ","FILING_STATUS=OR","Sort=A","Dates=H","DateFormat=P","Fill=—","Direction=H","UseDPDF=Y")</f>
        <v>1.9100000000000001</v>
      </c>
      <c r="Y15" s="14">
        <f>_xll.BDH("XOM US Equity","IS_EARN_BEF_XO_ITEMS_PER_SH","FQ1 2014","FQ1 2014","Currency=USD","Period=FQ","BEST_FPERIOD_OVERRIDE=FQ","FILING_STATUS=OR","Sort=A","Dates=H","DateFormat=P","Fill=—","Direction=H","UseDPDF=Y")</f>
        <v>2.1</v>
      </c>
      <c r="Z15" s="14">
        <f>_xll.BDH("XOM US Equity","IS_EARN_BEF_XO_ITEMS_PER_SH","FQ2 2014","FQ2 2014","Currency=USD","Period=FQ","BEST_FPERIOD_OVERRIDE=FQ","FILING_STATUS=OR","Sort=A","Dates=H","DateFormat=P","Fill=—","Direction=H","UseDPDF=Y")</f>
        <v>2.0499999999999998</v>
      </c>
      <c r="AA15" s="14">
        <f>_xll.BDH("XOM US Equity","IS_EARN_BEF_XO_ITEMS_PER_SH","FQ3 2014","FQ3 2014","Currency=USD","Period=FQ","BEST_FPERIOD_OVERRIDE=FQ","FILING_STATUS=OR","Sort=A","Dates=H","DateFormat=P","Fill=—","Direction=H","UseDPDF=Y")</f>
        <v>1.8900000000000001</v>
      </c>
      <c r="AB15" s="14">
        <f>_xll.BDH("XOM US Equity","IS_EARN_BEF_XO_ITEMS_PER_SH","FQ4 2014","FQ4 2014","Currency=USD","Period=FQ","BEST_FPERIOD_OVERRIDE=FQ","FILING_STATUS=OR","Sort=A","Dates=H","DateFormat=P","Fill=—","Direction=H","UseDPDF=Y")</f>
        <v>1.56</v>
      </c>
      <c r="AC15" s="14">
        <f>_xll.BDH("XOM US Equity","IS_EARN_BEF_XO_ITEMS_PER_SH","FQ1 2015","FQ1 2015","Currency=USD","Period=FQ","BEST_FPERIOD_OVERRIDE=FQ","FILING_STATUS=OR","Sort=A","Dates=H","DateFormat=P","Fill=—","Direction=H","UseDPDF=Y")</f>
        <v>1.17</v>
      </c>
      <c r="AD15" s="14">
        <f>_xll.BDH("XOM US Equity","IS_EARN_BEF_XO_ITEMS_PER_SH","FQ2 2015","FQ2 2015","Currency=USD","Period=FQ","BEST_FPERIOD_OVERRIDE=FQ","FILING_STATUS=OR","Sort=A","Dates=H","DateFormat=P","Fill=—","Direction=H","UseDPDF=Y")</f>
        <v>1</v>
      </c>
      <c r="AE15" s="14">
        <f>_xll.BDH("XOM US Equity","IS_EARN_BEF_XO_ITEMS_PER_SH","FQ3 2015","FQ3 2015","Currency=USD","Period=FQ","BEST_FPERIOD_OVERRIDE=FQ","FILING_STATUS=OR","Sort=A","Dates=H","DateFormat=P","Fill=—","Direction=H","UseDPDF=Y")</f>
        <v>1.01</v>
      </c>
      <c r="AF15" s="14">
        <f>_xll.BDH("XOM US Equity","IS_EARN_BEF_XO_ITEMS_PER_SH","FQ4 2015","FQ4 2015","Currency=USD","Period=FQ","BEST_FPERIOD_OVERRIDE=FQ","FILING_STATUS=OR","Sort=A","Dates=H","DateFormat=P","Fill=—","Direction=H","UseDPDF=Y")</f>
        <v>0.67</v>
      </c>
      <c r="AG15" s="14">
        <f>_xll.BDH("XOM US Equity","IS_EARN_BEF_XO_ITEMS_PER_SH","FQ1 2016","FQ1 2016","Currency=USD","Period=FQ","BEST_FPERIOD_OVERRIDE=FQ","FILING_STATUS=OR","Sort=A","Dates=H","DateFormat=P","Fill=—","Direction=H","UseDPDF=Y")</f>
        <v>0.43</v>
      </c>
      <c r="AH15" s="14">
        <f>_xll.BDH("XOM US Equity","IS_EARN_BEF_XO_ITEMS_PER_SH","FQ2 2016","FQ2 2016","Currency=USD","Period=FQ","BEST_FPERIOD_OVERRIDE=FQ","FILING_STATUS=OR","Sort=A","Dates=H","DateFormat=P","Fill=—","Direction=H","UseDPDF=Y")</f>
        <v>0.41</v>
      </c>
      <c r="AI15" s="14">
        <f>_xll.BDH("XOM US Equity","IS_EARN_BEF_XO_ITEMS_PER_SH","FQ3 2016","FQ3 2016","Currency=USD","Period=FQ","BEST_FPERIOD_OVERRIDE=FQ","FILING_STATUS=OR","Sort=A","Dates=H","DateFormat=P","Fill=—","Direction=H","UseDPDF=Y")</f>
        <v>0.63</v>
      </c>
      <c r="AJ15" s="14">
        <f>_xll.BDH("XOM US Equity","IS_EARN_BEF_XO_ITEMS_PER_SH","FQ4 2016","FQ4 2016","Currency=USD","Period=FQ","BEST_FPERIOD_OVERRIDE=FQ","FILING_STATUS=OR","Sort=A","Dates=H","DateFormat=P","Fill=—","Direction=H","UseDPDF=Y")</f>
        <v>0.41</v>
      </c>
      <c r="AK15" s="14">
        <f>_xll.BDH("XOM US Equity","IS_EARN_BEF_XO_ITEMS_PER_SH","FQ1 2017","FQ1 2017","Currency=USD","Period=FQ","BEST_FPERIOD_OVERRIDE=FQ","FILING_STATUS=OR","Sort=A","Dates=H","DateFormat=P","Fill=—","Direction=H","UseDPDF=Y")</f>
        <v>0.95</v>
      </c>
      <c r="AL15" s="14">
        <f>_xll.BDH("XOM US Equity","IS_EARN_BEF_XO_ITEMS_PER_SH","FQ2 2017","FQ2 2017","Currency=USD","Period=FQ","BEST_FPERIOD_OVERRIDE=FQ","FILING_STATUS=OR","Sort=A","Dates=H","DateFormat=P","Fill=—","Direction=H","UseDPDF=Y")</f>
        <v>0.78</v>
      </c>
      <c r="AM15" s="14">
        <f>_xll.BDH("XOM US Equity","IS_EARN_BEF_XO_ITEMS_PER_SH","FQ3 2017","FQ3 2017","Currency=USD","Period=FQ","BEST_FPERIOD_OVERRIDE=FQ","FILING_STATUS=OR","Sort=A","Dates=H","DateFormat=P","Fill=—","Direction=H","UseDPDF=Y")</f>
        <v>0.93</v>
      </c>
      <c r="AN15" s="14">
        <f>_xll.BDH("XOM US Equity","IS_EARN_BEF_XO_ITEMS_PER_SH","FQ4 2017","FQ4 2017","Currency=USD","Period=FQ","BEST_FPERIOD_OVERRIDE=FQ","FILING_STATUS=OR","Sort=A","Dates=H","DateFormat=P","Fill=—","Direction=H","UseDPDF=Y")</f>
        <v>1.97</v>
      </c>
      <c r="AO15" s="14">
        <f>_xll.BDH("XOM US Equity","IS_EARN_BEF_XO_ITEMS_PER_SH","FQ1 2018","FQ1 2018","Currency=USD","Period=FQ","BEST_FPERIOD_OVERRIDE=FQ","FILING_STATUS=OR","Sort=A","Dates=H","DateFormat=P","Fill=—","Direction=H","UseDPDF=Y")</f>
        <v>1.0900000000000001</v>
      </c>
      <c r="AP15" s="14">
        <f>_xll.BDH("XOM US Equity","IS_EARN_BEF_XO_ITEMS_PER_SH","FQ2 2018","FQ2 2018","Currency=USD","Period=FQ","BEST_FPERIOD_OVERRIDE=FQ","FILING_STATUS=OR","Sort=A","Dates=H","DateFormat=P","Fill=—","Direction=H","UseDPDF=Y")</f>
        <v>0.92</v>
      </c>
    </row>
    <row r="16" spans="1:42" x14ac:dyDescent="0.25">
      <c r="A16" s="10" t="s">
        <v>471</v>
      </c>
      <c r="B16" s="10" t="s">
        <v>172</v>
      </c>
      <c r="C16" s="14">
        <f>_xll.BDH("XOM US Equity","IS_BASIC_EPS_CONT_OPS","FQ3 2008","FQ3 2008","Currency=USD","Period=FQ","BEST_FPERIOD_OVERRIDE=FQ","FILING_STATUS=OR","Sort=A","Dates=H","DateFormat=P","Fill=—","Direction=H","UseDPDF=Y")</f>
        <v>2.61</v>
      </c>
      <c r="D16" s="14">
        <f>_xll.BDH("XOM US Equity","IS_BASIC_EPS_CONT_OPS","FQ4 2008","FQ4 2008","Currency=USD","Period=FQ","BEST_FPERIOD_OVERRIDE=FQ","FILING_STATUS=OR","Sort=A","Dates=H","DateFormat=P","Fill=—","Direction=H","UseDPDF=Y")</f>
        <v>1.5699999999999998</v>
      </c>
      <c r="E16" s="14">
        <f>_xll.BDH("XOM US Equity","IS_BASIC_EPS_CONT_OPS","FQ1 2009","FQ1 2009","Currency=USD","Period=FQ","BEST_FPERIOD_OVERRIDE=FQ","FILING_STATUS=OR","Sort=A","Dates=H","DateFormat=P","Fill=—","Direction=H","UseDPDF=Y")</f>
        <v>0.92</v>
      </c>
      <c r="F16" s="14">
        <f>_xll.BDH("XOM US Equity","IS_BASIC_EPS_CONT_OPS","FQ2 2009","FQ2 2009","Currency=USD","Period=FQ","BEST_FPERIOD_OVERRIDE=FQ","FILING_STATUS=OR","Sort=A","Dates=H","DateFormat=P","Fill=—","Direction=H","UseDPDF=Y")</f>
        <v>0.84309999999999996</v>
      </c>
      <c r="G16" s="14">
        <f>_xll.BDH("XOM US Equity","IS_BASIC_EPS_CONT_OPS","FQ3 2009","FQ3 2009","Currency=USD","Period=FQ","BEST_FPERIOD_OVERRIDE=FQ","FILING_STATUS=OR","Sort=A","Dates=H","DateFormat=P","Fill=—","Direction=H","UseDPDF=Y")</f>
        <v>0.98</v>
      </c>
      <c r="H16" s="14">
        <f>_xll.BDH("XOM US Equity","IS_BASIC_EPS_CONT_OPS","FQ4 2009","FQ4 2009","Currency=USD","Period=FQ","BEST_FPERIOD_OVERRIDE=FQ","FILING_STATUS=OR","Sort=A","Dates=H","DateFormat=P","Fill=—","Direction=H","UseDPDF=Y")</f>
        <v>1.27</v>
      </c>
      <c r="I16" s="14">
        <f>_xll.BDH("XOM US Equity","IS_BASIC_EPS_CONT_OPS","FQ1 2010","FQ1 2010","Currency=USD","Period=FQ","BEST_FPERIOD_OVERRIDE=FQ","FILING_STATUS=OR","Sort=A","Dates=H","DateFormat=P","Fill=—","Direction=H","UseDPDF=Y")</f>
        <v>1.3765000000000001</v>
      </c>
      <c r="J16" s="14">
        <f>_xll.BDH("XOM US Equity","IS_BASIC_EPS_CONT_OPS","FQ2 2010","FQ2 2010","Currency=USD","Period=FQ","BEST_FPERIOD_OVERRIDE=FQ","FILING_STATUS=OR","Sort=A","Dates=H","DateFormat=P","Fill=—","Direction=H","UseDPDF=Y")</f>
        <v>1.6899</v>
      </c>
      <c r="K16" s="14">
        <f>_xll.BDH("XOM US Equity","IS_BASIC_EPS_CONT_OPS","FQ3 2010","FQ3 2010","Currency=USD","Period=FQ","BEST_FPERIOD_OVERRIDE=FQ","FILING_STATUS=OR","Sort=A","Dates=H","DateFormat=P","Fill=—","Direction=H","UseDPDF=Y")</f>
        <v>1.4481999999999999</v>
      </c>
      <c r="L16" s="14">
        <f>_xll.BDH("XOM US Equity","IS_BASIC_EPS_CONT_OPS","FQ4 2010","FQ4 2010","Currency=USD","Period=FQ","BEST_FPERIOD_OVERRIDE=FQ","FILING_STATUS=OR","Sort=A","Dates=H","DateFormat=P","Fill=—","Direction=H","UseDPDF=Y")</f>
        <v>1.8601999999999999</v>
      </c>
      <c r="M16" s="14">
        <f>_xll.BDH("XOM US Equity","IS_BASIC_EPS_CONT_OPS","FQ1 2011","FQ1 2011","Currency=USD","Period=FQ","BEST_FPERIOD_OVERRIDE=FQ","FILING_STATUS=OR","Sort=A","Dates=H","DateFormat=P","Fill=—","Direction=H","UseDPDF=Y")</f>
        <v>2.14</v>
      </c>
      <c r="N16" s="14">
        <f>_xll.BDH("XOM US Equity","IS_BASIC_EPS_CONT_OPS","FQ2 2011","FQ2 2011","Currency=USD","Period=FQ","BEST_FPERIOD_OVERRIDE=FQ","FILING_STATUS=OR","Sort=A","Dates=H","DateFormat=P","Fill=—","Direction=H","UseDPDF=Y")</f>
        <v>2.19</v>
      </c>
      <c r="O16" s="14">
        <f>_xll.BDH("XOM US Equity","IS_BASIC_EPS_CONT_OPS","FQ3 2011","FQ3 2011","Currency=USD","Period=FQ","BEST_FPERIOD_OVERRIDE=FQ","FILING_STATUS=OR","Sort=A","Dates=H","DateFormat=P","Fill=—","Direction=H","UseDPDF=Y")</f>
        <v>2.13</v>
      </c>
      <c r="P16" s="14">
        <f>_xll.BDH("XOM US Equity","IS_BASIC_EPS_CONT_OPS","FQ4 2011","FQ4 2011","Currency=USD","Period=FQ","BEST_FPERIOD_OVERRIDE=FQ","FILING_STATUS=OR","Sort=A","Dates=H","DateFormat=P","Fill=—","Direction=H","UseDPDF=Y")</f>
        <v>1.97</v>
      </c>
      <c r="Q16" s="14">
        <f>_xll.BDH("XOM US Equity","IS_BASIC_EPS_CONT_OPS","FQ1 2012","FQ1 2012","Currency=USD","Period=FQ","BEST_FPERIOD_OVERRIDE=FQ","FILING_STATUS=OR","Sort=A","Dates=H","DateFormat=P","Fill=—","Direction=H","UseDPDF=Y")</f>
        <v>2</v>
      </c>
      <c r="R16" s="14">
        <f>_xll.BDH("XOM US Equity","IS_BASIC_EPS_CONT_OPS","FQ2 2012","FQ2 2012","Currency=USD","Period=FQ","BEST_FPERIOD_OVERRIDE=FQ","FILING_STATUS=OR","Sort=A","Dates=H","DateFormat=P","Fill=—","Direction=H","UseDPDF=Y")</f>
        <v>1.8063</v>
      </c>
      <c r="S16" s="14">
        <f>_xll.BDH("XOM US Equity","IS_BASIC_EPS_CONT_OPS","FQ3 2012","FQ3 2012","Currency=USD","Period=FQ","BEST_FPERIOD_OVERRIDE=FQ","FILING_STATUS=OR","Sort=A","Dates=H","DateFormat=P","Fill=—","Direction=H","UseDPDF=Y")</f>
        <v>2.09</v>
      </c>
      <c r="T16" s="14">
        <f>_xll.BDH("XOM US Equity","IS_BASIC_EPS_CONT_OPS","FQ4 2012","FQ4 2012","Currency=USD","Period=FQ","BEST_FPERIOD_OVERRIDE=FQ","FILING_STATUS=OR","Sort=A","Dates=H","DateFormat=P","Fill=—","Direction=H","UseDPDF=Y")</f>
        <v>2.0672999999999999</v>
      </c>
      <c r="U16" s="14">
        <f>_xll.BDH("XOM US Equity","IS_BASIC_EPS_CONT_OPS","FQ1 2013","FQ1 2013","Currency=USD","Period=FQ","BEST_FPERIOD_OVERRIDE=FQ","FILING_STATUS=OR","Sort=A","Dates=H","DateFormat=P","Fill=—","Direction=H","UseDPDF=Y")</f>
        <v>2.12</v>
      </c>
      <c r="V16" s="14">
        <f>_xll.BDH("XOM US Equity","IS_BASIC_EPS_CONT_OPS","FQ2 2013","FQ2 2013","Currency=USD","Period=FQ","BEST_FPERIOD_OVERRIDE=FQ","FILING_STATUS=OR","Sort=A","Dates=H","DateFormat=P","Fill=—","Direction=H","UseDPDF=Y")</f>
        <v>1.55</v>
      </c>
      <c r="W16" s="14">
        <f>_xll.BDH("XOM US Equity","IS_BASIC_EPS_CONT_OPS","FQ3 2013","FQ3 2013","Currency=USD","Period=FQ","BEST_FPERIOD_OVERRIDE=FQ","FILING_STATUS=OR","Sort=A","Dates=H","DateFormat=P","Fill=—","Direction=H","UseDPDF=Y")</f>
        <v>1.79</v>
      </c>
      <c r="X16" s="14">
        <f>_xll.BDH("XOM US Equity","IS_BASIC_EPS_CONT_OPS","FQ4 2013","FQ4 2013","Currency=USD","Period=FQ","BEST_FPERIOD_OVERRIDE=FQ","FILING_STATUS=OR","Sort=A","Dates=H","DateFormat=P","Fill=—","Direction=H","UseDPDF=Y")</f>
        <v>1.9100000000000001</v>
      </c>
      <c r="Y16" s="14">
        <f>_xll.BDH("XOM US Equity","IS_BASIC_EPS_CONT_OPS","FQ1 2014","FQ1 2014","Currency=USD","Period=FQ","BEST_FPERIOD_OVERRIDE=FQ","FILING_STATUS=OR","Sort=A","Dates=H","DateFormat=P","Fill=—","Direction=H","UseDPDF=Y")</f>
        <v>2.1</v>
      </c>
      <c r="Z16" s="14">
        <f>_xll.BDH("XOM US Equity","IS_BASIC_EPS_CONT_OPS","FQ2 2014","FQ2 2014","Currency=USD","Period=FQ","BEST_FPERIOD_OVERRIDE=FQ","FILING_STATUS=OR","Sort=A","Dates=H","DateFormat=P","Fill=—","Direction=H","UseDPDF=Y")</f>
        <v>2.0499999999999998</v>
      </c>
      <c r="AA16" s="14">
        <f>_xll.BDH("XOM US Equity","IS_BASIC_EPS_CONT_OPS","FQ3 2014","FQ3 2014","Currency=USD","Period=FQ","BEST_FPERIOD_OVERRIDE=FQ","FILING_STATUS=OR","Sort=A","Dates=H","DateFormat=P","Fill=—","Direction=H","UseDPDF=Y")</f>
        <v>1.8900000000000001</v>
      </c>
      <c r="AB16" s="14">
        <f>_xll.BDH("XOM US Equity","IS_BASIC_EPS_CONT_OPS","FQ4 2014","FQ4 2014","Currency=USD","Period=FQ","BEST_FPERIOD_OVERRIDE=FQ","FILING_STATUS=OR","Sort=A","Dates=H","DateFormat=P","Fill=—","Direction=H","UseDPDF=Y")</f>
        <v>1.4878</v>
      </c>
      <c r="AC16" s="14">
        <f>_xll.BDH("XOM US Equity","IS_BASIC_EPS_CONT_OPS","FQ1 2015","FQ1 2015","Currency=USD","Period=FQ","BEST_FPERIOD_OVERRIDE=FQ","FILING_STATUS=OR","Sort=A","Dates=H","DateFormat=P","Fill=—","Direction=H","UseDPDF=Y")</f>
        <v>1.17</v>
      </c>
      <c r="AD16" s="14">
        <f>_xll.BDH("XOM US Equity","IS_BASIC_EPS_CONT_OPS","FQ2 2015","FQ2 2015","Currency=USD","Period=FQ","BEST_FPERIOD_OVERRIDE=FQ","FILING_STATUS=OR","Sort=A","Dates=H","DateFormat=P","Fill=—","Direction=H","UseDPDF=Y")</f>
        <v>1</v>
      </c>
      <c r="AE16" s="14">
        <f>_xll.BDH("XOM US Equity","IS_BASIC_EPS_CONT_OPS","FQ3 2015","FQ3 2015","Currency=USD","Period=FQ","BEST_FPERIOD_OVERRIDE=FQ","FILING_STATUS=OR","Sort=A","Dates=H","DateFormat=P","Fill=—","Direction=H","UseDPDF=Y")</f>
        <v>1.01</v>
      </c>
      <c r="AF16" s="14">
        <f>_xll.BDH("XOM US Equity","IS_BASIC_EPS_CONT_OPS","FQ4 2015","FQ4 2015","Currency=USD","Period=FQ","BEST_FPERIOD_OVERRIDE=FQ","FILING_STATUS=OR","Sort=A","Dates=H","DateFormat=P","Fill=—","Direction=H","UseDPDF=Y")</f>
        <v>0.67</v>
      </c>
      <c r="AG16" s="14">
        <f>_xll.BDH("XOM US Equity","IS_BASIC_EPS_CONT_OPS","FQ1 2016","FQ1 2016","Currency=USD","Period=FQ","BEST_FPERIOD_OVERRIDE=FQ","FILING_STATUS=OR","Sort=A","Dates=H","DateFormat=P","Fill=—","Direction=H","UseDPDF=Y")</f>
        <v>0.43</v>
      </c>
      <c r="AH16" s="14">
        <f>_xll.BDH("XOM US Equity","IS_BASIC_EPS_CONT_OPS","FQ2 2016","FQ2 2016","Currency=USD","Period=FQ","BEST_FPERIOD_OVERRIDE=FQ","FILING_STATUS=OR","Sort=A","Dates=H","DateFormat=P","Fill=—","Direction=H","UseDPDF=Y")</f>
        <v>0.41</v>
      </c>
      <c r="AI16" s="14">
        <f>_xll.BDH("XOM US Equity","IS_BASIC_EPS_CONT_OPS","FQ3 2016","FQ3 2016","Currency=USD","Period=FQ","BEST_FPERIOD_OVERRIDE=FQ","FILING_STATUS=OR","Sort=A","Dates=H","DateFormat=P","Fill=—","Direction=H","UseDPDF=Y")</f>
        <v>0.63</v>
      </c>
      <c r="AJ16" s="14">
        <f>_xll.BDH("XOM US Equity","IS_BASIC_EPS_CONT_OPS","FQ4 2016","FQ4 2016","Currency=USD","Period=FQ","BEST_FPERIOD_OVERRIDE=FQ","FILING_STATUS=OR","Sort=A","Dates=H","DateFormat=P","Fill=—","Direction=H","UseDPDF=Y")</f>
        <v>0.88770000000000004</v>
      </c>
      <c r="AK16" s="14">
        <f>_xll.BDH("XOM US Equity","IS_BASIC_EPS_CONT_OPS","FQ1 2017","FQ1 2017","Currency=USD","Period=FQ","BEST_FPERIOD_OVERRIDE=FQ","FILING_STATUS=OR","Sort=A","Dates=H","DateFormat=P","Fill=—","Direction=H","UseDPDF=Y")</f>
        <v>0.95</v>
      </c>
      <c r="AL16" s="14">
        <f>_xll.BDH("XOM US Equity","IS_BASIC_EPS_CONT_OPS","FQ2 2017","FQ2 2017","Currency=USD","Period=FQ","BEST_FPERIOD_OVERRIDE=FQ","FILING_STATUS=OR","Sort=A","Dates=H","DateFormat=P","Fill=—","Direction=H","UseDPDF=Y")</f>
        <v>0.78</v>
      </c>
      <c r="AM16" s="14">
        <f>_xll.BDH("XOM US Equity","IS_BASIC_EPS_CONT_OPS","FQ3 2017","FQ3 2017","Currency=USD","Period=FQ","BEST_FPERIOD_OVERRIDE=FQ","FILING_STATUS=OR","Sort=A","Dates=H","DateFormat=P","Fill=—","Direction=H","UseDPDF=Y")</f>
        <v>0.93</v>
      </c>
      <c r="AN16" s="14">
        <f>_xll.BDH("XOM US Equity","IS_BASIC_EPS_CONT_OPS","FQ4 2017","FQ4 2017","Currency=USD","Period=FQ","BEST_FPERIOD_OVERRIDE=FQ","FILING_STATUS=OR","Sort=A","Dates=H","DateFormat=P","Fill=—","Direction=H","UseDPDF=Y")</f>
        <v>0.874</v>
      </c>
      <c r="AO16" s="14">
        <f>_xll.BDH("XOM US Equity","IS_BASIC_EPS_CONT_OPS","FQ1 2018","FQ1 2018","Currency=USD","Period=FQ","BEST_FPERIOD_OVERRIDE=FQ","FILING_STATUS=OR","Sort=A","Dates=H","DateFormat=P","Fill=—","Direction=H","UseDPDF=Y")</f>
        <v>1.0900000000000001</v>
      </c>
      <c r="AP16" s="14">
        <f>_xll.BDH("XOM US Equity","IS_BASIC_EPS_CONT_OPS","FQ2 2018","FQ2 2018","Currency=USD","Period=FQ","BEST_FPERIOD_OVERRIDE=FQ","FILING_STATUS=OR","Sort=A","Dates=H","DateFormat=P","Fill=—","Direction=H","UseDPDF=Y")</f>
        <v>0.92</v>
      </c>
    </row>
    <row r="17" spans="1:42" x14ac:dyDescent="0.25">
      <c r="A17" s="10" t="s">
        <v>472</v>
      </c>
      <c r="B17" s="10" t="s">
        <v>176</v>
      </c>
      <c r="C17" s="14">
        <f>_xll.BDH("XOM US Equity","IS_DILUTED_EPS","FQ3 2008","FQ3 2008","Currency=USD","Period=FQ","BEST_FPERIOD_OVERRIDE=FQ","FILING_STATUS=OR","FA_ADJUSTED=GAAP","Sort=A","Dates=H","DateFormat=P","Fill=—","Direction=H","UseDPDF=Y")</f>
        <v>2.86</v>
      </c>
      <c r="D17" s="14">
        <f>_xll.BDH("XOM US Equity","IS_DILUTED_EPS","FQ4 2008","FQ4 2008","Currency=USD","Period=FQ","BEST_FPERIOD_OVERRIDE=FQ","FILING_STATUS=OR","FA_ADJUSTED=GAAP","Sort=A","Dates=H","DateFormat=P","Fill=—","Direction=H","UseDPDF=Y")</f>
        <v>1.55</v>
      </c>
      <c r="E17" s="14">
        <f>_xll.BDH("XOM US Equity","IS_DILUTED_EPS","FQ1 2009","FQ1 2009","Currency=USD","Period=FQ","BEST_FPERIOD_OVERRIDE=FQ","FILING_STATUS=OR","FA_ADJUSTED=GAAP","Sort=A","Dates=H","DateFormat=P","Fill=—","Direction=H","UseDPDF=Y")</f>
        <v>0.92</v>
      </c>
      <c r="F17" s="14">
        <f>_xll.BDH("XOM US Equity","IS_DILUTED_EPS","FQ2 2009","FQ2 2009","Currency=USD","Period=FQ","BEST_FPERIOD_OVERRIDE=FQ","FILING_STATUS=OR","FA_ADJUSTED=GAAP","Sort=A","Dates=H","DateFormat=P","Fill=—","Direction=H","UseDPDF=Y")</f>
        <v>0.81</v>
      </c>
      <c r="G17" s="14">
        <f>_xll.BDH("XOM US Equity","IS_DILUTED_EPS","FQ3 2009","FQ3 2009","Currency=USD","Period=FQ","BEST_FPERIOD_OVERRIDE=FQ","FILING_STATUS=OR","FA_ADJUSTED=GAAP","Sort=A","Dates=H","DateFormat=P","Fill=—","Direction=H","UseDPDF=Y")</f>
        <v>0.98</v>
      </c>
      <c r="H17" s="14">
        <f>_xll.BDH("XOM US Equity","IS_DILUTED_EPS","FQ4 2009","FQ4 2009","Currency=USD","Period=FQ","BEST_FPERIOD_OVERRIDE=FQ","FILING_STATUS=OR","FA_ADJUSTED=GAAP","Sort=A","Dates=H","DateFormat=P","Fill=—","Direction=H","UseDPDF=Y")</f>
        <v>1.27</v>
      </c>
      <c r="I17" s="14">
        <f>_xll.BDH("XOM US Equity","IS_DILUTED_EPS","FQ1 2010","FQ1 2010","Currency=USD","Period=FQ","BEST_FPERIOD_OVERRIDE=FQ","FILING_STATUS=OR","FA_ADJUSTED=GAAP","Sort=A","Dates=H","DateFormat=P","Fill=—","Direction=H","UseDPDF=Y")</f>
        <v>1.33</v>
      </c>
      <c r="J17" s="14">
        <f>_xll.BDH("XOM US Equity","IS_DILUTED_EPS","FQ2 2010","FQ2 2010","Currency=USD","Period=FQ","BEST_FPERIOD_OVERRIDE=FQ","FILING_STATUS=OR","FA_ADJUSTED=GAAP","Sort=A","Dates=H","DateFormat=P","Fill=—","Direction=H","UseDPDF=Y")</f>
        <v>1.6</v>
      </c>
      <c r="K17" s="14">
        <f>_xll.BDH("XOM US Equity","IS_DILUTED_EPS","FQ3 2010","FQ3 2010","Currency=USD","Period=FQ","BEST_FPERIOD_OVERRIDE=FQ","FILING_STATUS=OR","FA_ADJUSTED=GAAP","Sort=A","Dates=H","DateFormat=P","Fill=—","Direction=H","UseDPDF=Y")</f>
        <v>1.44</v>
      </c>
      <c r="L17" s="14">
        <f>_xll.BDH("XOM US Equity","IS_DILUTED_EPS","FQ4 2010","FQ4 2010","Currency=USD","Period=FQ","BEST_FPERIOD_OVERRIDE=FQ","FILING_STATUS=OR","FA_ADJUSTED=GAAP","Sort=A","Dates=H","DateFormat=P","Fill=—","Direction=H","UseDPDF=Y")</f>
        <v>1.85</v>
      </c>
      <c r="M17" s="14">
        <f>_xll.BDH("XOM US Equity","IS_DILUTED_EPS","FQ1 2011","FQ1 2011","Currency=USD","Period=FQ","BEST_FPERIOD_OVERRIDE=FQ","FILING_STATUS=OR","FA_ADJUSTED=GAAP","Sort=A","Dates=H","DateFormat=P","Fill=—","Direction=H","UseDPDF=Y")</f>
        <v>2.14</v>
      </c>
      <c r="N17" s="14">
        <f>_xll.BDH("XOM US Equity","IS_DILUTED_EPS","FQ2 2011","FQ2 2011","Currency=USD","Period=FQ","BEST_FPERIOD_OVERRIDE=FQ","FILING_STATUS=OR","FA_ADJUSTED=GAAP","Sort=A","Dates=H","DateFormat=P","Fill=—","Direction=H","UseDPDF=Y")</f>
        <v>2.1800000000000002</v>
      </c>
      <c r="O17" s="14">
        <f>_xll.BDH("XOM US Equity","IS_DILUTED_EPS","FQ3 2011","FQ3 2011","Currency=USD","Period=FQ","BEST_FPERIOD_OVERRIDE=FQ","FILING_STATUS=OR","FA_ADJUSTED=GAAP","Sort=A","Dates=H","DateFormat=P","Fill=—","Direction=H","UseDPDF=Y")</f>
        <v>2.13</v>
      </c>
      <c r="P17" s="14">
        <f>_xll.BDH("XOM US Equity","IS_DILUTED_EPS","FQ4 2011","FQ4 2011","Currency=USD","Period=FQ","BEST_FPERIOD_OVERRIDE=FQ","FILING_STATUS=OR","FA_ADJUSTED=GAAP","Sort=A","Dates=H","DateFormat=P","Fill=—","Direction=H","UseDPDF=Y")</f>
        <v>1.97</v>
      </c>
      <c r="Q17" s="14">
        <f>_xll.BDH("XOM US Equity","IS_DILUTED_EPS","FQ1 2012","FQ1 2012","Currency=USD","Period=FQ","BEST_FPERIOD_OVERRIDE=FQ","FILING_STATUS=OR","FA_ADJUSTED=GAAP","Sort=A","Dates=H","DateFormat=P","Fill=—","Direction=H","UseDPDF=Y")</f>
        <v>2</v>
      </c>
      <c r="R17" s="14">
        <f>_xll.BDH("XOM US Equity","IS_DILUTED_EPS","FQ2 2012","FQ2 2012","Currency=USD","Period=FQ","BEST_FPERIOD_OVERRIDE=FQ","FILING_STATUS=OR","FA_ADJUSTED=GAAP","Sort=A","Dates=H","DateFormat=P","Fill=—","Direction=H","UseDPDF=Y")</f>
        <v>3.41</v>
      </c>
      <c r="S17" s="14">
        <f>_xll.BDH("XOM US Equity","IS_DILUTED_EPS","FQ3 2012","FQ3 2012","Currency=USD","Period=FQ","BEST_FPERIOD_OVERRIDE=FQ","FILING_STATUS=OR","FA_ADJUSTED=GAAP","Sort=A","Dates=H","DateFormat=P","Fill=—","Direction=H","UseDPDF=Y")</f>
        <v>2.09</v>
      </c>
      <c r="T17" s="14">
        <f>_xll.BDH("XOM US Equity","IS_DILUTED_EPS","FQ4 2012","FQ4 2012","Currency=USD","Period=FQ","BEST_FPERIOD_OVERRIDE=FQ","FILING_STATUS=OR","FA_ADJUSTED=GAAP","Sort=A","Dates=H","DateFormat=P","Fill=—","Direction=H","UseDPDF=Y")</f>
        <v>2.2000000000000002</v>
      </c>
      <c r="U17" s="14">
        <f>_xll.BDH("XOM US Equity","IS_DILUTED_EPS","FQ1 2013","FQ1 2013","Currency=USD","Period=FQ","BEST_FPERIOD_OVERRIDE=FQ","FILING_STATUS=OR","FA_ADJUSTED=GAAP","Sort=A","Dates=H","DateFormat=P","Fill=—","Direction=H","UseDPDF=Y")</f>
        <v>2.12</v>
      </c>
      <c r="V17" s="14">
        <f>_xll.BDH("XOM US Equity","IS_DILUTED_EPS","FQ2 2013","FQ2 2013","Currency=USD","Period=FQ","BEST_FPERIOD_OVERRIDE=FQ","FILING_STATUS=OR","FA_ADJUSTED=GAAP","Sort=A","Dates=H","DateFormat=P","Fill=—","Direction=H","UseDPDF=Y")</f>
        <v>1.55</v>
      </c>
      <c r="W17" s="14">
        <f>_xll.BDH("XOM US Equity","IS_DILUTED_EPS","FQ3 2013","FQ3 2013","Currency=USD","Period=FQ","BEST_FPERIOD_OVERRIDE=FQ","FILING_STATUS=OR","FA_ADJUSTED=GAAP","Sort=A","Dates=H","DateFormat=P","Fill=—","Direction=H","UseDPDF=Y")</f>
        <v>1.79</v>
      </c>
      <c r="X17" s="14">
        <f>_xll.BDH("XOM US Equity","IS_DILUTED_EPS","FQ4 2013","FQ4 2013","Currency=USD","Period=FQ","BEST_FPERIOD_OVERRIDE=FQ","FILING_STATUS=OR","FA_ADJUSTED=GAAP","Sort=A","Dates=H","DateFormat=P","Fill=—","Direction=H","UseDPDF=Y")</f>
        <v>1.9100000000000001</v>
      </c>
      <c r="Y17" s="14">
        <f>_xll.BDH("XOM US Equity","IS_DILUTED_EPS","FQ1 2014","FQ1 2014","Currency=USD","Period=FQ","BEST_FPERIOD_OVERRIDE=FQ","FILING_STATUS=OR","FA_ADJUSTED=GAAP","Sort=A","Dates=H","DateFormat=P","Fill=—","Direction=H","UseDPDF=Y")</f>
        <v>2.1</v>
      </c>
      <c r="Z17" s="14">
        <f>_xll.BDH("XOM US Equity","IS_DILUTED_EPS","FQ2 2014","FQ2 2014","Currency=USD","Period=FQ","BEST_FPERIOD_OVERRIDE=FQ","FILING_STATUS=OR","FA_ADJUSTED=GAAP","Sort=A","Dates=H","DateFormat=P","Fill=—","Direction=H","UseDPDF=Y")</f>
        <v>2.0499999999999998</v>
      </c>
      <c r="AA17" s="14">
        <f>_xll.BDH("XOM US Equity","IS_DILUTED_EPS","FQ3 2014","FQ3 2014","Currency=USD","Period=FQ","BEST_FPERIOD_OVERRIDE=FQ","FILING_STATUS=OR","FA_ADJUSTED=GAAP","Sort=A","Dates=H","DateFormat=P","Fill=—","Direction=H","UseDPDF=Y")</f>
        <v>1.8900000000000001</v>
      </c>
      <c r="AB17" s="14">
        <f>_xll.BDH("XOM US Equity","IS_DILUTED_EPS","FQ4 2014","FQ4 2014","Currency=USD","Period=FQ","BEST_FPERIOD_OVERRIDE=FQ","FILING_STATUS=OR","FA_ADJUSTED=GAAP","Sort=A","Dates=H","DateFormat=P","Fill=—","Direction=H","UseDPDF=Y")</f>
        <v>1.56</v>
      </c>
      <c r="AC17" s="14">
        <f>_xll.BDH("XOM US Equity","IS_DILUTED_EPS","FQ1 2015","FQ1 2015","Currency=USD","Period=FQ","BEST_FPERIOD_OVERRIDE=FQ","FILING_STATUS=OR","FA_ADJUSTED=GAAP","Sort=A","Dates=H","DateFormat=P","Fill=—","Direction=H","UseDPDF=Y")</f>
        <v>1.17</v>
      </c>
      <c r="AD17" s="14">
        <f>_xll.BDH("XOM US Equity","IS_DILUTED_EPS","FQ2 2015","FQ2 2015","Currency=USD","Period=FQ","BEST_FPERIOD_OVERRIDE=FQ","FILING_STATUS=OR","FA_ADJUSTED=GAAP","Sort=A","Dates=H","DateFormat=P","Fill=—","Direction=H","UseDPDF=Y")</f>
        <v>1</v>
      </c>
      <c r="AE17" s="14">
        <f>_xll.BDH("XOM US Equity","IS_DILUTED_EPS","FQ3 2015","FQ3 2015","Currency=USD","Period=FQ","BEST_FPERIOD_OVERRIDE=FQ","FILING_STATUS=OR","FA_ADJUSTED=GAAP","Sort=A","Dates=H","DateFormat=P","Fill=—","Direction=H","UseDPDF=Y")</f>
        <v>1.01</v>
      </c>
      <c r="AF17" s="14">
        <f>_xll.BDH("XOM US Equity","IS_DILUTED_EPS","FQ4 2015","FQ4 2015","Currency=USD","Period=FQ","BEST_FPERIOD_OVERRIDE=FQ","FILING_STATUS=OR","FA_ADJUSTED=GAAP","Sort=A","Dates=H","DateFormat=P","Fill=—","Direction=H","UseDPDF=Y")</f>
        <v>0.67</v>
      </c>
      <c r="AG17" s="14">
        <f>_xll.BDH("XOM US Equity","IS_DILUTED_EPS","FQ1 2016","FQ1 2016","Currency=USD","Period=FQ","BEST_FPERIOD_OVERRIDE=FQ","FILING_STATUS=OR","FA_ADJUSTED=GAAP","Sort=A","Dates=H","DateFormat=P","Fill=—","Direction=H","UseDPDF=Y")</f>
        <v>0.43</v>
      </c>
      <c r="AH17" s="14">
        <f>_xll.BDH("XOM US Equity","IS_DILUTED_EPS","FQ2 2016","FQ2 2016","Currency=USD","Period=FQ","BEST_FPERIOD_OVERRIDE=FQ","FILING_STATUS=OR","FA_ADJUSTED=GAAP","Sort=A","Dates=H","DateFormat=P","Fill=—","Direction=H","UseDPDF=Y")</f>
        <v>0.41</v>
      </c>
      <c r="AI17" s="14">
        <f>_xll.BDH("XOM US Equity","IS_DILUTED_EPS","FQ3 2016","FQ3 2016","Currency=USD","Period=FQ","BEST_FPERIOD_OVERRIDE=FQ","FILING_STATUS=OR","FA_ADJUSTED=GAAP","Sort=A","Dates=H","DateFormat=P","Fill=—","Direction=H","UseDPDF=Y")</f>
        <v>0.63</v>
      </c>
      <c r="AJ17" s="14">
        <f>_xll.BDH("XOM US Equity","IS_DILUTED_EPS","FQ4 2016","FQ4 2016","Currency=USD","Period=FQ","BEST_FPERIOD_OVERRIDE=FQ","FILING_STATUS=OR","FA_ADJUSTED=GAAP","Sort=A","Dates=H","DateFormat=P","Fill=—","Direction=H","UseDPDF=Y")</f>
        <v>0.41</v>
      </c>
      <c r="AK17" s="14">
        <f>_xll.BDH("XOM US Equity","IS_DILUTED_EPS","FQ1 2017","FQ1 2017","Currency=USD","Period=FQ","BEST_FPERIOD_OVERRIDE=FQ","FILING_STATUS=OR","FA_ADJUSTED=GAAP","Sort=A","Dates=H","DateFormat=P","Fill=—","Direction=H","UseDPDF=Y")</f>
        <v>0.95</v>
      </c>
      <c r="AL17" s="14">
        <f>_xll.BDH("XOM US Equity","IS_DILUTED_EPS","FQ2 2017","FQ2 2017","Currency=USD","Period=FQ","BEST_FPERIOD_OVERRIDE=FQ","FILING_STATUS=OR","FA_ADJUSTED=GAAP","Sort=A","Dates=H","DateFormat=P","Fill=—","Direction=H","UseDPDF=Y")</f>
        <v>0.78</v>
      </c>
      <c r="AM17" s="14">
        <f>_xll.BDH("XOM US Equity","IS_DILUTED_EPS","FQ3 2017","FQ3 2017","Currency=USD","Period=FQ","BEST_FPERIOD_OVERRIDE=FQ","FILING_STATUS=OR","FA_ADJUSTED=GAAP","Sort=A","Dates=H","DateFormat=P","Fill=—","Direction=H","UseDPDF=Y")</f>
        <v>0.93</v>
      </c>
      <c r="AN17" s="14">
        <f>_xll.BDH("XOM US Equity","IS_DILUTED_EPS","FQ4 2017","FQ4 2017","Currency=USD","Period=FQ","BEST_FPERIOD_OVERRIDE=FQ","FILING_STATUS=OR","FA_ADJUSTED=GAAP","Sort=A","Dates=H","DateFormat=P","Fill=—","Direction=H","UseDPDF=Y")</f>
        <v>1.97</v>
      </c>
      <c r="AO17" s="14">
        <f>_xll.BDH("XOM US Equity","IS_DILUTED_EPS","FQ1 2018","FQ1 2018","Currency=USD","Period=FQ","BEST_FPERIOD_OVERRIDE=FQ","FILING_STATUS=OR","FA_ADJUSTED=GAAP","Sort=A","Dates=H","DateFormat=P","Fill=—","Direction=H","UseDPDF=Y")</f>
        <v>1.0900000000000001</v>
      </c>
      <c r="AP17" s="14">
        <f>_xll.BDH("XOM US Equity","IS_DILUTED_EPS","FQ2 2018","FQ2 2018","Currency=USD","Period=FQ","BEST_FPERIOD_OVERRIDE=FQ","FILING_STATUS=OR","FA_ADJUSTED=GAAP","Sort=A","Dates=H","DateFormat=P","Fill=—","Direction=H","UseDPDF=Y")</f>
        <v>0.92</v>
      </c>
    </row>
    <row r="18" spans="1:42" x14ac:dyDescent="0.25">
      <c r="A18" s="10" t="s">
        <v>473</v>
      </c>
      <c r="B18" s="10" t="s">
        <v>178</v>
      </c>
      <c r="C18" s="14">
        <f>_xll.BDH("XOM US Equity","IS_DIL_EPS_BEF_XO","FQ3 2008","FQ3 2008","Currency=USD","Period=FQ","BEST_FPERIOD_OVERRIDE=FQ","FILING_STATUS=OR","Sort=A","Dates=H","DateFormat=P","Fill=—","Direction=H","UseDPDF=Y")</f>
        <v>2.86</v>
      </c>
      <c r="D18" s="14">
        <f>_xll.BDH("XOM US Equity","IS_DIL_EPS_BEF_XO","FQ4 2008","FQ4 2008","Currency=USD","Period=FQ","BEST_FPERIOD_OVERRIDE=FQ","FILING_STATUS=OR","Sort=A","Dates=H","DateFormat=P","Fill=—","Direction=H","UseDPDF=Y")</f>
        <v>1.55</v>
      </c>
      <c r="E18" s="14">
        <f>_xll.BDH("XOM US Equity","IS_DIL_EPS_BEF_XO","FQ1 2009","FQ1 2009","Currency=USD","Period=FQ","BEST_FPERIOD_OVERRIDE=FQ","FILING_STATUS=OR","Sort=A","Dates=H","DateFormat=P","Fill=—","Direction=H","UseDPDF=Y")</f>
        <v>0.92</v>
      </c>
      <c r="F18" s="14">
        <f>_xll.BDH("XOM US Equity","IS_DIL_EPS_BEF_XO","FQ2 2009","FQ2 2009","Currency=USD","Period=FQ","BEST_FPERIOD_OVERRIDE=FQ","FILING_STATUS=OR","Sort=A","Dates=H","DateFormat=P","Fill=—","Direction=H","UseDPDF=Y")</f>
        <v>0.81</v>
      </c>
      <c r="G18" s="14">
        <f>_xll.BDH("XOM US Equity","IS_DIL_EPS_BEF_XO","FQ3 2009","FQ3 2009","Currency=USD","Period=FQ","BEST_FPERIOD_OVERRIDE=FQ","FILING_STATUS=OR","Sort=A","Dates=H","DateFormat=P","Fill=—","Direction=H","UseDPDF=Y")</f>
        <v>0.98</v>
      </c>
      <c r="H18" s="14">
        <f>_xll.BDH("XOM US Equity","IS_DIL_EPS_BEF_XO","FQ4 2009","FQ4 2009","Currency=USD","Period=FQ","BEST_FPERIOD_OVERRIDE=FQ","FILING_STATUS=OR","Sort=A","Dates=H","DateFormat=P","Fill=—","Direction=H","UseDPDF=Y")</f>
        <v>1.27</v>
      </c>
      <c r="I18" s="14">
        <f>_xll.BDH("XOM US Equity","IS_DIL_EPS_BEF_XO","FQ1 2010","FQ1 2010","Currency=USD","Period=FQ","BEST_FPERIOD_OVERRIDE=FQ","FILING_STATUS=OR","Sort=A","Dates=H","DateFormat=P","Fill=—","Direction=H","UseDPDF=Y")</f>
        <v>1.33</v>
      </c>
      <c r="J18" s="14">
        <f>_xll.BDH("XOM US Equity","IS_DIL_EPS_BEF_XO","FQ2 2010","FQ2 2010","Currency=USD","Period=FQ","BEST_FPERIOD_OVERRIDE=FQ","FILING_STATUS=OR","Sort=A","Dates=H","DateFormat=P","Fill=—","Direction=H","UseDPDF=Y")</f>
        <v>1.6</v>
      </c>
      <c r="K18" s="14">
        <f>_xll.BDH("XOM US Equity","IS_DIL_EPS_BEF_XO","FQ3 2010","FQ3 2010","Currency=USD","Period=FQ","BEST_FPERIOD_OVERRIDE=FQ","FILING_STATUS=OR","Sort=A","Dates=H","DateFormat=P","Fill=—","Direction=H","UseDPDF=Y")</f>
        <v>1.44</v>
      </c>
      <c r="L18" s="14">
        <f>_xll.BDH("XOM US Equity","IS_DIL_EPS_BEF_XO","FQ4 2010","FQ4 2010","Currency=USD","Period=FQ","BEST_FPERIOD_OVERRIDE=FQ","FILING_STATUS=OR","Sort=A","Dates=H","DateFormat=P","Fill=—","Direction=H","UseDPDF=Y")</f>
        <v>1.85</v>
      </c>
      <c r="M18" s="14">
        <f>_xll.BDH("XOM US Equity","IS_DIL_EPS_BEF_XO","FQ1 2011","FQ1 2011","Currency=USD","Period=FQ","BEST_FPERIOD_OVERRIDE=FQ","FILING_STATUS=OR","Sort=A","Dates=H","DateFormat=P","Fill=—","Direction=H","UseDPDF=Y")</f>
        <v>2.14</v>
      </c>
      <c r="N18" s="14">
        <f>_xll.BDH("XOM US Equity","IS_DIL_EPS_BEF_XO","FQ2 2011","FQ2 2011","Currency=USD","Period=FQ","BEST_FPERIOD_OVERRIDE=FQ","FILING_STATUS=OR","Sort=A","Dates=H","DateFormat=P","Fill=—","Direction=H","UseDPDF=Y")</f>
        <v>2.1800000000000002</v>
      </c>
      <c r="O18" s="14">
        <f>_xll.BDH("XOM US Equity","IS_DIL_EPS_BEF_XO","FQ3 2011","FQ3 2011","Currency=USD","Period=FQ","BEST_FPERIOD_OVERRIDE=FQ","FILING_STATUS=OR","Sort=A","Dates=H","DateFormat=P","Fill=—","Direction=H","UseDPDF=Y")</f>
        <v>2.13</v>
      </c>
      <c r="P18" s="14">
        <f>_xll.BDH("XOM US Equity","IS_DIL_EPS_BEF_XO","FQ4 2011","FQ4 2011","Currency=USD","Period=FQ","BEST_FPERIOD_OVERRIDE=FQ","FILING_STATUS=OR","Sort=A","Dates=H","DateFormat=P","Fill=—","Direction=H","UseDPDF=Y")</f>
        <v>1.97</v>
      </c>
      <c r="Q18" s="14">
        <f>_xll.BDH("XOM US Equity","IS_DIL_EPS_BEF_XO","FQ1 2012","FQ1 2012","Currency=USD","Period=FQ","BEST_FPERIOD_OVERRIDE=FQ","FILING_STATUS=OR","Sort=A","Dates=H","DateFormat=P","Fill=—","Direction=H","UseDPDF=Y")</f>
        <v>2</v>
      </c>
      <c r="R18" s="14">
        <f>_xll.BDH("XOM US Equity","IS_DIL_EPS_BEF_XO","FQ2 2012","FQ2 2012","Currency=USD","Period=FQ","BEST_FPERIOD_OVERRIDE=FQ","FILING_STATUS=OR","Sort=A","Dates=H","DateFormat=P","Fill=—","Direction=H","UseDPDF=Y")</f>
        <v>3.41</v>
      </c>
      <c r="S18" s="14">
        <f>_xll.BDH("XOM US Equity","IS_DIL_EPS_BEF_XO","FQ3 2012","FQ3 2012","Currency=USD","Period=FQ","BEST_FPERIOD_OVERRIDE=FQ","FILING_STATUS=OR","Sort=A","Dates=H","DateFormat=P","Fill=—","Direction=H","UseDPDF=Y")</f>
        <v>2.09</v>
      </c>
      <c r="T18" s="14">
        <f>_xll.BDH("XOM US Equity","IS_DIL_EPS_BEF_XO","FQ4 2012","FQ4 2012","Currency=USD","Period=FQ","BEST_FPERIOD_OVERRIDE=FQ","FILING_STATUS=OR","Sort=A","Dates=H","DateFormat=P","Fill=—","Direction=H","UseDPDF=Y")</f>
        <v>2.2000000000000002</v>
      </c>
      <c r="U18" s="14">
        <f>_xll.BDH("XOM US Equity","IS_DIL_EPS_BEF_XO","FQ1 2013","FQ1 2013","Currency=USD","Period=FQ","BEST_FPERIOD_OVERRIDE=FQ","FILING_STATUS=OR","Sort=A","Dates=H","DateFormat=P","Fill=—","Direction=H","UseDPDF=Y")</f>
        <v>2.12</v>
      </c>
      <c r="V18" s="14">
        <f>_xll.BDH("XOM US Equity","IS_DIL_EPS_BEF_XO","FQ2 2013","FQ2 2013","Currency=USD","Period=FQ","BEST_FPERIOD_OVERRIDE=FQ","FILING_STATUS=OR","Sort=A","Dates=H","DateFormat=P","Fill=—","Direction=H","UseDPDF=Y")</f>
        <v>1.55</v>
      </c>
      <c r="W18" s="14">
        <f>_xll.BDH("XOM US Equity","IS_DIL_EPS_BEF_XO","FQ3 2013","FQ3 2013","Currency=USD","Period=FQ","BEST_FPERIOD_OVERRIDE=FQ","FILING_STATUS=OR","Sort=A","Dates=H","DateFormat=P","Fill=—","Direction=H","UseDPDF=Y")</f>
        <v>1.79</v>
      </c>
      <c r="X18" s="14">
        <f>_xll.BDH("XOM US Equity","IS_DIL_EPS_BEF_XO","FQ4 2013","FQ4 2013","Currency=USD","Period=FQ","BEST_FPERIOD_OVERRIDE=FQ","FILING_STATUS=OR","Sort=A","Dates=H","DateFormat=P","Fill=—","Direction=H","UseDPDF=Y")</f>
        <v>1.9100000000000001</v>
      </c>
      <c r="Y18" s="14">
        <f>_xll.BDH("XOM US Equity","IS_DIL_EPS_BEF_XO","FQ1 2014","FQ1 2014","Currency=USD","Period=FQ","BEST_FPERIOD_OVERRIDE=FQ","FILING_STATUS=OR","Sort=A","Dates=H","DateFormat=P","Fill=—","Direction=H","UseDPDF=Y")</f>
        <v>2.1</v>
      </c>
      <c r="Z18" s="14">
        <f>_xll.BDH("XOM US Equity","IS_DIL_EPS_BEF_XO","FQ2 2014","FQ2 2014","Currency=USD","Period=FQ","BEST_FPERIOD_OVERRIDE=FQ","FILING_STATUS=OR","Sort=A","Dates=H","DateFormat=P","Fill=—","Direction=H","UseDPDF=Y")</f>
        <v>2.0499999999999998</v>
      </c>
      <c r="AA18" s="14">
        <f>_xll.BDH("XOM US Equity","IS_DIL_EPS_BEF_XO","FQ3 2014","FQ3 2014","Currency=USD","Period=FQ","BEST_FPERIOD_OVERRIDE=FQ","FILING_STATUS=OR","Sort=A","Dates=H","DateFormat=P","Fill=—","Direction=H","UseDPDF=Y")</f>
        <v>1.8900000000000001</v>
      </c>
      <c r="AB18" s="14">
        <f>_xll.BDH("XOM US Equity","IS_DIL_EPS_BEF_XO","FQ4 2014","FQ4 2014","Currency=USD","Period=FQ","BEST_FPERIOD_OVERRIDE=FQ","FILING_STATUS=OR","Sort=A","Dates=H","DateFormat=P","Fill=—","Direction=H","UseDPDF=Y")</f>
        <v>1.56</v>
      </c>
      <c r="AC18" s="14">
        <f>_xll.BDH("XOM US Equity","IS_DIL_EPS_BEF_XO","FQ1 2015","FQ1 2015","Currency=USD","Period=FQ","BEST_FPERIOD_OVERRIDE=FQ","FILING_STATUS=OR","Sort=A","Dates=H","DateFormat=P","Fill=—","Direction=H","UseDPDF=Y")</f>
        <v>1.17</v>
      </c>
      <c r="AD18" s="14">
        <f>_xll.BDH("XOM US Equity","IS_DIL_EPS_BEF_XO","FQ2 2015","FQ2 2015","Currency=USD","Period=FQ","BEST_FPERIOD_OVERRIDE=FQ","FILING_STATUS=OR","Sort=A","Dates=H","DateFormat=P","Fill=—","Direction=H","UseDPDF=Y")</f>
        <v>1</v>
      </c>
      <c r="AE18" s="14">
        <f>_xll.BDH("XOM US Equity","IS_DIL_EPS_BEF_XO","FQ3 2015","FQ3 2015","Currency=USD","Period=FQ","BEST_FPERIOD_OVERRIDE=FQ","FILING_STATUS=OR","Sort=A","Dates=H","DateFormat=P","Fill=—","Direction=H","UseDPDF=Y")</f>
        <v>1.01</v>
      </c>
      <c r="AF18" s="14">
        <f>_xll.BDH("XOM US Equity","IS_DIL_EPS_BEF_XO","FQ4 2015","FQ4 2015","Currency=USD","Period=FQ","BEST_FPERIOD_OVERRIDE=FQ","FILING_STATUS=OR","Sort=A","Dates=H","DateFormat=P","Fill=—","Direction=H","UseDPDF=Y")</f>
        <v>0.67</v>
      </c>
      <c r="AG18" s="14">
        <f>_xll.BDH("XOM US Equity","IS_DIL_EPS_BEF_XO","FQ1 2016","FQ1 2016","Currency=USD","Period=FQ","BEST_FPERIOD_OVERRIDE=FQ","FILING_STATUS=OR","Sort=A","Dates=H","DateFormat=P","Fill=—","Direction=H","UseDPDF=Y")</f>
        <v>0.43</v>
      </c>
      <c r="AH18" s="14">
        <f>_xll.BDH("XOM US Equity","IS_DIL_EPS_BEF_XO","FQ2 2016","FQ2 2016","Currency=USD","Period=FQ","BEST_FPERIOD_OVERRIDE=FQ","FILING_STATUS=OR","Sort=A","Dates=H","DateFormat=P","Fill=—","Direction=H","UseDPDF=Y")</f>
        <v>0.41</v>
      </c>
      <c r="AI18" s="14">
        <f>_xll.BDH("XOM US Equity","IS_DIL_EPS_BEF_XO","FQ3 2016","FQ3 2016","Currency=USD","Period=FQ","BEST_FPERIOD_OVERRIDE=FQ","FILING_STATUS=OR","Sort=A","Dates=H","DateFormat=P","Fill=—","Direction=H","UseDPDF=Y")</f>
        <v>0.63</v>
      </c>
      <c r="AJ18" s="14">
        <f>_xll.BDH("XOM US Equity","IS_DIL_EPS_BEF_XO","FQ4 2016","FQ4 2016","Currency=USD","Period=FQ","BEST_FPERIOD_OVERRIDE=FQ","FILING_STATUS=OR","Sort=A","Dates=H","DateFormat=P","Fill=—","Direction=H","UseDPDF=Y")</f>
        <v>0.41</v>
      </c>
      <c r="AK18" s="14">
        <f>_xll.BDH("XOM US Equity","IS_DIL_EPS_BEF_XO","FQ1 2017","FQ1 2017","Currency=USD","Period=FQ","BEST_FPERIOD_OVERRIDE=FQ","FILING_STATUS=OR","Sort=A","Dates=H","DateFormat=P","Fill=—","Direction=H","UseDPDF=Y")</f>
        <v>0.95</v>
      </c>
      <c r="AL18" s="14">
        <f>_xll.BDH("XOM US Equity","IS_DIL_EPS_BEF_XO","FQ2 2017","FQ2 2017","Currency=USD","Period=FQ","BEST_FPERIOD_OVERRIDE=FQ","FILING_STATUS=OR","Sort=A","Dates=H","DateFormat=P","Fill=—","Direction=H","UseDPDF=Y")</f>
        <v>0.78</v>
      </c>
      <c r="AM18" s="14">
        <f>_xll.BDH("XOM US Equity","IS_DIL_EPS_BEF_XO","FQ3 2017","FQ3 2017","Currency=USD","Period=FQ","BEST_FPERIOD_OVERRIDE=FQ","FILING_STATUS=OR","Sort=A","Dates=H","DateFormat=P","Fill=—","Direction=H","UseDPDF=Y")</f>
        <v>0.93</v>
      </c>
      <c r="AN18" s="14">
        <f>_xll.BDH("XOM US Equity","IS_DIL_EPS_BEF_XO","FQ4 2017","FQ4 2017","Currency=USD","Period=FQ","BEST_FPERIOD_OVERRIDE=FQ","FILING_STATUS=OR","Sort=A","Dates=H","DateFormat=P","Fill=—","Direction=H","UseDPDF=Y")</f>
        <v>1.97</v>
      </c>
      <c r="AO18" s="14">
        <f>_xll.BDH("XOM US Equity","IS_DIL_EPS_BEF_XO","FQ1 2018","FQ1 2018","Currency=USD","Period=FQ","BEST_FPERIOD_OVERRIDE=FQ","FILING_STATUS=OR","Sort=A","Dates=H","DateFormat=P","Fill=—","Direction=H","UseDPDF=Y")</f>
        <v>1.0900000000000001</v>
      </c>
      <c r="AP18" s="14">
        <f>_xll.BDH("XOM US Equity","IS_DIL_EPS_BEF_XO","FQ2 2018","FQ2 2018","Currency=USD","Period=FQ","BEST_FPERIOD_OVERRIDE=FQ","FILING_STATUS=OR","Sort=A","Dates=H","DateFormat=P","Fill=—","Direction=H","UseDPDF=Y")</f>
        <v>0.92</v>
      </c>
    </row>
    <row r="19" spans="1:42" x14ac:dyDescent="0.25">
      <c r="A19" s="10" t="s">
        <v>474</v>
      </c>
      <c r="B19" s="10" t="s">
        <v>180</v>
      </c>
      <c r="C19" s="14">
        <f>_xll.BDH("XOM US Equity","IS_DIL_EPS_CONT_OPS","FQ3 2008","FQ3 2008","Currency=USD","Period=FQ","BEST_FPERIOD_OVERRIDE=FQ","FILING_STATUS=OR","Sort=A","Dates=H","DateFormat=P","Fill=—","Direction=H","UseDPDF=Y")</f>
        <v>2.59</v>
      </c>
      <c r="D19" s="14">
        <f>_xll.BDH("XOM US Equity","IS_DIL_EPS_CONT_OPS","FQ4 2008","FQ4 2008","Currency=USD","Period=FQ","BEST_FPERIOD_OVERRIDE=FQ","FILING_STATUS=OR","Sort=A","Dates=H","DateFormat=P","Fill=—","Direction=H","UseDPDF=Y")</f>
        <v>1.55</v>
      </c>
      <c r="E19" s="14">
        <f>_xll.BDH("XOM US Equity","IS_DIL_EPS_CONT_OPS","FQ1 2009","FQ1 2009","Currency=USD","Period=FQ","BEST_FPERIOD_OVERRIDE=FQ","FILING_STATUS=OR","Sort=A","Dates=H","DateFormat=P","Fill=—","Direction=H","UseDPDF=Y")</f>
        <v>0.92</v>
      </c>
      <c r="F19" s="14">
        <f>_xll.BDH("XOM US Equity","IS_DIL_EPS_CONT_OPS","FQ2 2009","FQ2 2009","Currency=USD","Period=FQ","BEST_FPERIOD_OVERRIDE=FQ","FILING_STATUS=OR","Sort=A","Dates=H","DateFormat=P","Fill=—","Direction=H","UseDPDF=Y")</f>
        <v>0.8387</v>
      </c>
      <c r="G19" s="14">
        <f>_xll.BDH("XOM US Equity","IS_DIL_EPS_CONT_OPS","FQ3 2009","FQ3 2009","Currency=USD","Period=FQ","BEST_FPERIOD_OVERRIDE=FQ","FILING_STATUS=OR","Sort=A","Dates=H","DateFormat=P","Fill=—","Direction=H","UseDPDF=Y")</f>
        <v>0.98</v>
      </c>
      <c r="H19" s="14">
        <f>_xll.BDH("XOM US Equity","IS_DIL_EPS_CONT_OPS","FQ4 2009","FQ4 2009","Currency=USD","Period=FQ","BEST_FPERIOD_OVERRIDE=FQ","FILING_STATUS=OR","Sort=A","Dates=H","DateFormat=P","Fill=—","Direction=H","UseDPDF=Y")</f>
        <v>1.27</v>
      </c>
      <c r="I19" s="14">
        <f>_xll.BDH("XOM US Equity","IS_DIL_EPS_CONT_OPS","FQ1 2010","FQ1 2010","Currency=USD","Period=FQ","BEST_FPERIOD_OVERRIDE=FQ","FILING_STATUS=OR","Sort=A","Dates=H","DateFormat=P","Fill=—","Direction=H","UseDPDF=Y")</f>
        <v>1.3721999999999999</v>
      </c>
      <c r="J19" s="14">
        <f>_xll.BDH("XOM US Equity","IS_DIL_EPS_CONT_OPS","FQ2 2010","FQ2 2010","Currency=USD","Period=FQ","BEST_FPERIOD_OVERRIDE=FQ","FILING_STATUS=OR","Sort=A","Dates=H","DateFormat=P","Fill=—","Direction=H","UseDPDF=Y")</f>
        <v>1.6865999999999999</v>
      </c>
      <c r="K19" s="14">
        <f>_xll.BDH("XOM US Equity","IS_DIL_EPS_CONT_OPS","FQ3 2010","FQ3 2010","Currency=USD","Period=FQ","BEST_FPERIOD_OVERRIDE=FQ","FILING_STATUS=OR","Sort=A","Dates=H","DateFormat=P","Fill=—","Direction=H","UseDPDF=Y")</f>
        <v>1.4403000000000001</v>
      </c>
      <c r="L19" s="14">
        <f>_xll.BDH("XOM US Equity","IS_DIL_EPS_CONT_OPS","FQ4 2010","FQ4 2010","Currency=USD","Period=FQ","BEST_FPERIOD_OVERRIDE=FQ","FILING_STATUS=OR","Sort=A","Dates=H","DateFormat=P","Fill=—","Direction=H","UseDPDF=Y")</f>
        <v>1.8500999999999999</v>
      </c>
      <c r="M19" s="14">
        <f>_xll.BDH("XOM US Equity","IS_DIL_EPS_CONT_OPS","FQ1 2011","FQ1 2011","Currency=USD","Period=FQ","BEST_FPERIOD_OVERRIDE=FQ","FILING_STATUS=OR","Sort=A","Dates=H","DateFormat=P","Fill=—","Direction=H","UseDPDF=Y")</f>
        <v>2.14</v>
      </c>
      <c r="N19" s="14">
        <f>_xll.BDH("XOM US Equity","IS_DIL_EPS_CONT_OPS","FQ2 2011","FQ2 2011","Currency=USD","Period=FQ","BEST_FPERIOD_OVERRIDE=FQ","FILING_STATUS=OR","Sort=A","Dates=H","DateFormat=P","Fill=—","Direction=H","UseDPDF=Y")</f>
        <v>2.1800000000000002</v>
      </c>
      <c r="O19" s="14">
        <f>_xll.BDH("XOM US Equity","IS_DIL_EPS_CONT_OPS","FQ3 2011","FQ3 2011","Currency=USD","Period=FQ","BEST_FPERIOD_OVERRIDE=FQ","FILING_STATUS=OR","Sort=A","Dates=H","DateFormat=P","Fill=—","Direction=H","UseDPDF=Y")</f>
        <v>2.13</v>
      </c>
      <c r="P19" s="14">
        <f>_xll.BDH("XOM US Equity","IS_DIL_EPS_CONT_OPS","FQ4 2011","FQ4 2011","Currency=USD","Period=FQ","BEST_FPERIOD_OVERRIDE=FQ","FILING_STATUS=OR","Sort=A","Dates=H","DateFormat=P","Fill=—","Direction=H","UseDPDF=Y")</f>
        <v>1.97</v>
      </c>
      <c r="Q19" s="14">
        <f>_xll.BDH("XOM US Equity","IS_DIL_EPS_CONT_OPS","FQ1 2012","FQ1 2012","Currency=USD","Period=FQ","BEST_FPERIOD_OVERRIDE=FQ","FILING_STATUS=OR","Sort=A","Dates=H","DateFormat=P","Fill=—","Direction=H","UseDPDF=Y")</f>
        <v>2</v>
      </c>
      <c r="R19" s="14">
        <f>_xll.BDH("XOM US Equity","IS_DIL_EPS_CONT_OPS","FQ2 2012","FQ2 2012","Currency=USD","Period=FQ","BEST_FPERIOD_OVERRIDE=FQ","FILING_STATUS=OR","Sort=A","Dates=H","DateFormat=P","Fill=—","Direction=H","UseDPDF=Y")</f>
        <v>1.7991999999999999</v>
      </c>
      <c r="S19" s="14">
        <f>_xll.BDH("XOM US Equity","IS_DIL_EPS_CONT_OPS","FQ3 2012","FQ3 2012","Currency=USD","Period=FQ","BEST_FPERIOD_OVERRIDE=FQ","FILING_STATUS=OR","Sort=A","Dates=H","DateFormat=P","Fill=—","Direction=H","UseDPDF=Y")</f>
        <v>2.09</v>
      </c>
      <c r="T19" s="14">
        <f>_xll.BDH("XOM US Equity","IS_DIL_EPS_CONT_OPS","FQ4 2012","FQ4 2012","Currency=USD","Period=FQ","BEST_FPERIOD_OVERRIDE=FQ","FILING_STATUS=OR","Sort=A","Dates=H","DateFormat=P","Fill=—","Direction=H","UseDPDF=Y")</f>
        <v>2.0672999999999999</v>
      </c>
      <c r="U19" s="14">
        <f>_xll.BDH("XOM US Equity","IS_DIL_EPS_CONT_OPS","FQ1 2013","FQ1 2013","Currency=USD","Period=FQ","BEST_FPERIOD_OVERRIDE=FQ","FILING_STATUS=OR","Sort=A","Dates=H","DateFormat=P","Fill=—","Direction=H","UseDPDF=Y")</f>
        <v>2.12</v>
      </c>
      <c r="V19" s="14">
        <f>_xll.BDH("XOM US Equity","IS_DIL_EPS_CONT_OPS","FQ2 2013","FQ2 2013","Currency=USD","Period=FQ","BEST_FPERIOD_OVERRIDE=FQ","FILING_STATUS=OR","Sort=A","Dates=H","DateFormat=P","Fill=—","Direction=H","UseDPDF=Y")</f>
        <v>1.55</v>
      </c>
      <c r="W19" s="14">
        <f>_xll.BDH("XOM US Equity","IS_DIL_EPS_CONT_OPS","FQ3 2013","FQ3 2013","Currency=USD","Period=FQ","BEST_FPERIOD_OVERRIDE=FQ","FILING_STATUS=OR","Sort=A","Dates=H","DateFormat=P","Fill=—","Direction=H","UseDPDF=Y")</f>
        <v>1.79</v>
      </c>
      <c r="X19" s="14">
        <f>_xll.BDH("XOM US Equity","IS_DIL_EPS_CONT_OPS","FQ4 2013","FQ4 2013","Currency=USD","Period=FQ","BEST_FPERIOD_OVERRIDE=FQ","FILING_STATUS=OR","Sort=A","Dates=H","DateFormat=P","Fill=—","Direction=H","UseDPDF=Y")</f>
        <v>1.9100000000000001</v>
      </c>
      <c r="Y19" s="14">
        <f>_xll.BDH("XOM US Equity","IS_DIL_EPS_CONT_OPS","FQ1 2014","FQ1 2014","Currency=USD","Period=FQ","BEST_FPERIOD_OVERRIDE=FQ","FILING_STATUS=OR","Sort=A","Dates=H","DateFormat=P","Fill=—","Direction=H","UseDPDF=Y")</f>
        <v>2.1</v>
      </c>
      <c r="Z19" s="14">
        <f>_xll.BDH("XOM US Equity","IS_DIL_EPS_CONT_OPS","FQ2 2014","FQ2 2014","Currency=USD","Period=FQ","BEST_FPERIOD_OVERRIDE=FQ","FILING_STATUS=OR","Sort=A","Dates=H","DateFormat=P","Fill=—","Direction=H","UseDPDF=Y")</f>
        <v>2.0499999999999998</v>
      </c>
      <c r="AA19" s="14">
        <f>_xll.BDH("XOM US Equity","IS_DIL_EPS_CONT_OPS","FQ3 2014","FQ3 2014","Currency=USD","Period=FQ","BEST_FPERIOD_OVERRIDE=FQ","FILING_STATUS=OR","Sort=A","Dates=H","DateFormat=P","Fill=—","Direction=H","UseDPDF=Y")</f>
        <v>1.8900000000000001</v>
      </c>
      <c r="AB19" s="14">
        <f>_xll.BDH("XOM US Equity","IS_DIL_EPS_CONT_OPS","FQ4 2014","FQ4 2014","Currency=USD","Period=FQ","BEST_FPERIOD_OVERRIDE=FQ","FILING_STATUS=OR","Sort=A","Dates=H","DateFormat=P","Fill=—","Direction=H","UseDPDF=Y")</f>
        <v>1.4878</v>
      </c>
      <c r="AC19" s="14">
        <f>_xll.BDH("XOM US Equity","IS_DIL_EPS_CONT_OPS","FQ1 2015","FQ1 2015","Currency=USD","Period=FQ","BEST_FPERIOD_OVERRIDE=FQ","FILING_STATUS=OR","Sort=A","Dates=H","DateFormat=P","Fill=—","Direction=H","UseDPDF=Y")</f>
        <v>1.17</v>
      </c>
      <c r="AD19" s="14">
        <f>_xll.BDH("XOM US Equity","IS_DIL_EPS_CONT_OPS","FQ2 2015","FQ2 2015","Currency=USD","Period=FQ","BEST_FPERIOD_OVERRIDE=FQ","FILING_STATUS=OR","Sort=A","Dates=H","DateFormat=P","Fill=—","Direction=H","UseDPDF=Y")</f>
        <v>1</v>
      </c>
      <c r="AE19" s="14">
        <f>_xll.BDH("XOM US Equity","IS_DIL_EPS_CONT_OPS","FQ3 2015","FQ3 2015","Currency=USD","Period=FQ","BEST_FPERIOD_OVERRIDE=FQ","FILING_STATUS=OR","Sort=A","Dates=H","DateFormat=P","Fill=—","Direction=H","UseDPDF=Y")</f>
        <v>1.01</v>
      </c>
      <c r="AF19" s="14">
        <f>_xll.BDH("XOM US Equity","IS_DIL_EPS_CONT_OPS","FQ4 2015","FQ4 2015","Currency=USD","Period=FQ","BEST_FPERIOD_OVERRIDE=FQ","FILING_STATUS=OR","Sort=A","Dates=H","DateFormat=P","Fill=—","Direction=H","UseDPDF=Y")</f>
        <v>0.67</v>
      </c>
      <c r="AG19" s="14">
        <f>_xll.BDH("XOM US Equity","IS_DIL_EPS_CONT_OPS","FQ1 2016","FQ1 2016","Currency=USD","Period=FQ","BEST_FPERIOD_OVERRIDE=FQ","FILING_STATUS=OR","Sort=A","Dates=H","DateFormat=P","Fill=—","Direction=H","UseDPDF=Y")</f>
        <v>0.43</v>
      </c>
      <c r="AH19" s="14">
        <f>_xll.BDH("XOM US Equity","IS_DIL_EPS_CONT_OPS","FQ2 2016","FQ2 2016","Currency=USD","Period=FQ","BEST_FPERIOD_OVERRIDE=FQ","FILING_STATUS=OR","Sort=A","Dates=H","DateFormat=P","Fill=—","Direction=H","UseDPDF=Y")</f>
        <v>0.41</v>
      </c>
      <c r="AI19" s="14">
        <f>_xll.BDH("XOM US Equity","IS_DIL_EPS_CONT_OPS","FQ3 2016","FQ3 2016","Currency=USD","Period=FQ","BEST_FPERIOD_OVERRIDE=FQ","FILING_STATUS=OR","Sort=A","Dates=H","DateFormat=P","Fill=—","Direction=H","UseDPDF=Y")</f>
        <v>0.63</v>
      </c>
      <c r="AJ19" s="14">
        <f>_xll.BDH("XOM US Equity","IS_DIL_EPS_CONT_OPS","FQ4 2016","FQ4 2016","Currency=USD","Period=FQ","BEST_FPERIOD_OVERRIDE=FQ","FILING_STATUS=OR","Sort=A","Dates=H","DateFormat=P","Fill=—","Direction=H","UseDPDF=Y")</f>
        <v>0.88770000000000004</v>
      </c>
      <c r="AK19" s="14">
        <f>_xll.BDH("XOM US Equity","IS_DIL_EPS_CONT_OPS","FQ1 2017","FQ1 2017","Currency=USD","Period=FQ","BEST_FPERIOD_OVERRIDE=FQ","FILING_STATUS=OR","Sort=A","Dates=H","DateFormat=P","Fill=—","Direction=H","UseDPDF=Y")</f>
        <v>0.95</v>
      </c>
      <c r="AL19" s="14">
        <f>_xll.BDH("XOM US Equity","IS_DIL_EPS_CONT_OPS","FQ2 2017","FQ2 2017","Currency=USD","Period=FQ","BEST_FPERIOD_OVERRIDE=FQ","FILING_STATUS=OR","Sort=A","Dates=H","DateFormat=P","Fill=—","Direction=H","UseDPDF=Y")</f>
        <v>0.78</v>
      </c>
      <c r="AM19" s="14">
        <f>_xll.BDH("XOM US Equity","IS_DIL_EPS_CONT_OPS","FQ3 2017","FQ3 2017","Currency=USD","Period=FQ","BEST_FPERIOD_OVERRIDE=FQ","FILING_STATUS=OR","Sort=A","Dates=H","DateFormat=P","Fill=—","Direction=H","UseDPDF=Y")</f>
        <v>0.93</v>
      </c>
      <c r="AN19" s="14">
        <f>_xll.BDH("XOM US Equity","IS_DIL_EPS_CONT_OPS","FQ4 2017","FQ4 2017","Currency=USD","Period=FQ","BEST_FPERIOD_OVERRIDE=FQ","FILING_STATUS=OR","Sort=A","Dates=H","DateFormat=P","Fill=—","Direction=H","UseDPDF=Y")</f>
        <v>0.874</v>
      </c>
      <c r="AO19" s="14">
        <f>_xll.BDH("XOM US Equity","IS_DIL_EPS_CONT_OPS","FQ1 2018","FQ1 2018","Currency=USD","Period=FQ","BEST_FPERIOD_OVERRIDE=FQ","FILING_STATUS=OR","Sort=A","Dates=H","DateFormat=P","Fill=—","Direction=H","UseDPDF=Y")</f>
        <v>1.0900000000000001</v>
      </c>
      <c r="AP19" s="14">
        <f>_xll.BDH("XOM US Equity","IS_DIL_EPS_CONT_OPS","FQ2 2018","FQ2 2018","Currency=USD","Period=FQ","BEST_FPERIOD_OVERRIDE=FQ","FILING_STATUS=OR","Sort=A","Dates=H","DateFormat=P","Fill=—","Direction=H","UseDPDF=Y")</f>
        <v>0.92</v>
      </c>
    </row>
    <row r="20" spans="1:42" x14ac:dyDescent="0.25">
      <c r="A20" s="10" t="s">
        <v>475</v>
      </c>
      <c r="B20" s="10" t="s">
        <v>198</v>
      </c>
      <c r="C20" s="14">
        <f>_xll.BDH("XOM US Equity","EQY_DPS","FQ3 2008","FQ3 2008","Currency=USD","Period=FQ","BEST_FPERIOD_OVERRIDE=FQ","FILING_STATUS=OR","Sort=A","Dates=H","DateFormat=P","Fill=—","Direction=H","UseDPDF=Y")</f>
        <v>0.4</v>
      </c>
      <c r="D20" s="14">
        <f>_xll.BDH("XOM US Equity","EQY_DPS","FQ4 2008","FQ4 2008","Currency=USD","Period=FQ","BEST_FPERIOD_OVERRIDE=FQ","FILING_STATUS=OR","Sort=A","Dates=H","DateFormat=P","Fill=—","Direction=H","UseDPDF=Y")</f>
        <v>0.4</v>
      </c>
      <c r="E20" s="14">
        <f>_xll.BDH("XOM US Equity","EQY_DPS","FQ1 2009","FQ1 2009","Currency=USD","Period=FQ","BEST_FPERIOD_OVERRIDE=FQ","FILING_STATUS=OR","Sort=A","Dates=H","DateFormat=P","Fill=—","Direction=H","UseDPDF=Y")</f>
        <v>0.4</v>
      </c>
      <c r="F20" s="14">
        <f>_xll.BDH("XOM US Equity","EQY_DPS","FQ2 2009","FQ2 2009","Currency=USD","Period=FQ","BEST_FPERIOD_OVERRIDE=FQ","FILING_STATUS=OR","Sort=A","Dates=H","DateFormat=P","Fill=—","Direction=H","UseDPDF=Y")</f>
        <v>0.42</v>
      </c>
      <c r="G20" s="14">
        <f>_xll.BDH("XOM US Equity","EQY_DPS","FQ3 2009","FQ3 2009","Currency=USD","Period=FQ","BEST_FPERIOD_OVERRIDE=FQ","FILING_STATUS=OR","Sort=A","Dates=H","DateFormat=P","Fill=—","Direction=H","UseDPDF=Y")</f>
        <v>0.42</v>
      </c>
      <c r="H20" s="14">
        <f>_xll.BDH("XOM US Equity","EQY_DPS","FQ4 2009","FQ4 2009","Currency=USD","Period=FQ","BEST_FPERIOD_OVERRIDE=FQ","FILING_STATUS=OR","Sort=A","Dates=H","DateFormat=P","Fill=—","Direction=H","UseDPDF=Y")</f>
        <v>0.42</v>
      </c>
      <c r="I20" s="14">
        <f>_xll.BDH("XOM US Equity","EQY_DPS","FQ1 2010","FQ1 2010","Currency=USD","Period=FQ","BEST_FPERIOD_OVERRIDE=FQ","FILING_STATUS=OR","Sort=A","Dates=H","DateFormat=P","Fill=—","Direction=H","UseDPDF=Y")</f>
        <v>0.42</v>
      </c>
      <c r="J20" s="14">
        <f>_xll.BDH("XOM US Equity","EQY_DPS","FQ2 2010","FQ2 2010","Currency=USD","Period=FQ","BEST_FPERIOD_OVERRIDE=FQ","FILING_STATUS=OR","Sort=A","Dates=H","DateFormat=P","Fill=—","Direction=H","UseDPDF=Y")</f>
        <v>0.44</v>
      </c>
      <c r="K20" s="14">
        <f>_xll.BDH("XOM US Equity","EQY_DPS","FQ3 2010","FQ3 2010","Currency=USD","Period=FQ","BEST_FPERIOD_OVERRIDE=FQ","FILING_STATUS=OR","Sort=A","Dates=H","DateFormat=P","Fill=—","Direction=H","UseDPDF=Y")</f>
        <v>0.44</v>
      </c>
      <c r="L20" s="14">
        <f>_xll.BDH("XOM US Equity","EQY_DPS","FQ4 2010","FQ4 2010","Currency=USD","Period=FQ","BEST_FPERIOD_OVERRIDE=FQ","FILING_STATUS=OR","Sort=A","Dates=H","DateFormat=P","Fill=—","Direction=H","UseDPDF=Y")</f>
        <v>0.44</v>
      </c>
      <c r="M20" s="14">
        <f>_xll.BDH("XOM US Equity","EQY_DPS","FQ1 2011","FQ1 2011","Currency=USD","Period=FQ","BEST_FPERIOD_OVERRIDE=FQ","FILING_STATUS=OR","Sort=A","Dates=H","DateFormat=P","Fill=—","Direction=H","UseDPDF=Y")</f>
        <v>0.44</v>
      </c>
      <c r="N20" s="14">
        <f>_xll.BDH("XOM US Equity","EQY_DPS","FQ2 2011","FQ2 2011","Currency=USD","Period=FQ","BEST_FPERIOD_OVERRIDE=FQ","FILING_STATUS=OR","Sort=A","Dates=H","DateFormat=P","Fill=—","Direction=H","UseDPDF=Y")</f>
        <v>0.47</v>
      </c>
      <c r="O20" s="14">
        <f>_xll.BDH("XOM US Equity","EQY_DPS","FQ3 2011","FQ3 2011","Currency=USD","Period=FQ","BEST_FPERIOD_OVERRIDE=FQ","FILING_STATUS=OR","Sort=A","Dates=H","DateFormat=P","Fill=—","Direction=H","UseDPDF=Y")</f>
        <v>0.47</v>
      </c>
      <c r="P20" s="14">
        <f>_xll.BDH("XOM US Equity","EQY_DPS","FQ4 2011","FQ4 2011","Currency=USD","Period=FQ","BEST_FPERIOD_OVERRIDE=FQ","FILING_STATUS=OR","Sort=A","Dates=H","DateFormat=P","Fill=—","Direction=H","UseDPDF=Y")</f>
        <v>0.47</v>
      </c>
      <c r="Q20" s="14">
        <f>_xll.BDH("XOM US Equity","EQY_DPS","FQ1 2012","FQ1 2012","Currency=USD","Period=FQ","BEST_FPERIOD_OVERRIDE=FQ","FILING_STATUS=OR","Sort=A","Dates=H","DateFormat=P","Fill=—","Direction=H","UseDPDF=Y")</f>
        <v>0.47</v>
      </c>
      <c r="R20" s="14">
        <f>_xll.BDH("XOM US Equity","EQY_DPS","FQ2 2012","FQ2 2012","Currency=USD","Period=FQ","BEST_FPERIOD_OVERRIDE=FQ","FILING_STATUS=OR","Sort=A","Dates=H","DateFormat=P","Fill=—","Direction=H","UseDPDF=Y")</f>
        <v>0.56999999999999995</v>
      </c>
      <c r="S20" s="14">
        <f>_xll.BDH("XOM US Equity","EQY_DPS","FQ3 2012","FQ3 2012","Currency=USD","Period=FQ","BEST_FPERIOD_OVERRIDE=FQ","FILING_STATUS=OR","Sort=A","Dates=H","DateFormat=P","Fill=—","Direction=H","UseDPDF=Y")</f>
        <v>0.56999999999999995</v>
      </c>
      <c r="T20" s="14">
        <f>_xll.BDH("XOM US Equity","EQY_DPS","FQ4 2012","FQ4 2012","Currency=USD","Period=FQ","BEST_FPERIOD_OVERRIDE=FQ","FILING_STATUS=OR","Sort=A","Dates=H","DateFormat=P","Fill=—","Direction=H","UseDPDF=Y")</f>
        <v>0.56999999999999995</v>
      </c>
      <c r="U20" s="14">
        <f>_xll.BDH("XOM US Equity","EQY_DPS","FQ1 2013","FQ1 2013","Currency=USD","Period=FQ","BEST_FPERIOD_OVERRIDE=FQ","FILING_STATUS=OR","Sort=A","Dates=H","DateFormat=P","Fill=—","Direction=H","UseDPDF=Y")</f>
        <v>0.56999999999999995</v>
      </c>
      <c r="V20" s="14">
        <f>_xll.BDH("XOM US Equity","EQY_DPS","FQ2 2013","FQ2 2013","Currency=USD","Period=FQ","BEST_FPERIOD_OVERRIDE=FQ","FILING_STATUS=OR","Sort=A","Dates=H","DateFormat=P","Fill=—","Direction=H","UseDPDF=Y")</f>
        <v>0.63</v>
      </c>
      <c r="W20" s="14">
        <f>_xll.BDH("XOM US Equity","EQY_DPS","FQ3 2013","FQ3 2013","Currency=USD","Period=FQ","BEST_FPERIOD_OVERRIDE=FQ","FILING_STATUS=OR","Sort=A","Dates=H","DateFormat=P","Fill=—","Direction=H","UseDPDF=Y")</f>
        <v>0.63</v>
      </c>
      <c r="X20" s="14">
        <f>_xll.BDH("XOM US Equity","EQY_DPS","FQ4 2013","FQ4 2013","Currency=USD","Period=FQ","BEST_FPERIOD_OVERRIDE=FQ","FILING_STATUS=OR","Sort=A","Dates=H","DateFormat=P","Fill=—","Direction=H","UseDPDF=Y")</f>
        <v>0.63</v>
      </c>
      <c r="Y20" s="14">
        <f>_xll.BDH("XOM US Equity","EQY_DPS","FQ1 2014","FQ1 2014","Currency=USD","Period=FQ","BEST_FPERIOD_OVERRIDE=FQ","FILING_STATUS=OR","Sort=A","Dates=H","DateFormat=P","Fill=—","Direction=H","UseDPDF=Y")</f>
        <v>0.63</v>
      </c>
      <c r="Z20" s="14">
        <f>_xll.BDH("XOM US Equity","EQY_DPS","FQ2 2014","FQ2 2014","Currency=USD","Period=FQ","BEST_FPERIOD_OVERRIDE=FQ","FILING_STATUS=OR","Sort=A","Dates=H","DateFormat=P","Fill=—","Direction=H","UseDPDF=Y")</f>
        <v>0.69</v>
      </c>
      <c r="AA20" s="14">
        <f>_xll.BDH("XOM US Equity","EQY_DPS","FQ3 2014","FQ3 2014","Currency=USD","Period=FQ","BEST_FPERIOD_OVERRIDE=FQ","FILING_STATUS=OR","Sort=A","Dates=H","DateFormat=P","Fill=—","Direction=H","UseDPDF=Y")</f>
        <v>0.69</v>
      </c>
      <c r="AB20" s="14">
        <f>_xll.BDH("XOM US Equity","EQY_DPS","FQ4 2014","FQ4 2014","Currency=USD","Period=FQ","BEST_FPERIOD_OVERRIDE=FQ","FILING_STATUS=OR","Sort=A","Dates=H","DateFormat=P","Fill=—","Direction=H","UseDPDF=Y")</f>
        <v>0.69</v>
      </c>
      <c r="AC20" s="14">
        <f>_xll.BDH("XOM US Equity","EQY_DPS","FQ1 2015","FQ1 2015","Currency=USD","Period=FQ","BEST_FPERIOD_OVERRIDE=FQ","FILING_STATUS=OR","Sort=A","Dates=H","DateFormat=P","Fill=—","Direction=H","UseDPDF=Y")</f>
        <v>0.69</v>
      </c>
      <c r="AD20" s="14">
        <f>_xll.BDH("XOM US Equity","EQY_DPS","FQ2 2015","FQ2 2015","Currency=USD","Period=FQ","BEST_FPERIOD_OVERRIDE=FQ","FILING_STATUS=OR","Sort=A","Dates=H","DateFormat=P","Fill=—","Direction=H","UseDPDF=Y")</f>
        <v>0.73</v>
      </c>
      <c r="AE20" s="14">
        <f>_xll.BDH("XOM US Equity","EQY_DPS","FQ3 2015","FQ3 2015","Currency=USD","Period=FQ","BEST_FPERIOD_OVERRIDE=FQ","FILING_STATUS=OR","Sort=A","Dates=H","DateFormat=P","Fill=—","Direction=H","UseDPDF=Y")</f>
        <v>0.73</v>
      </c>
      <c r="AF20" s="14">
        <f>_xll.BDH("XOM US Equity","EQY_DPS","FQ4 2015","FQ4 2015","Currency=USD","Period=FQ","BEST_FPERIOD_OVERRIDE=FQ","FILING_STATUS=OR","Sort=A","Dates=H","DateFormat=P","Fill=—","Direction=H","UseDPDF=Y")</f>
        <v>0.73</v>
      </c>
      <c r="AG20" s="14">
        <f>_xll.BDH("XOM US Equity","EQY_DPS","FQ1 2016","FQ1 2016","Currency=USD","Period=FQ","BEST_FPERIOD_OVERRIDE=FQ","FILING_STATUS=OR","Sort=A","Dates=H","DateFormat=P","Fill=—","Direction=H","UseDPDF=Y")</f>
        <v>0.73</v>
      </c>
      <c r="AH20" s="14">
        <f>_xll.BDH("XOM US Equity","EQY_DPS","FQ2 2016","FQ2 2016","Currency=USD","Period=FQ","BEST_FPERIOD_OVERRIDE=FQ","FILING_STATUS=OR","Sort=A","Dates=H","DateFormat=P","Fill=—","Direction=H","UseDPDF=Y")</f>
        <v>0.75</v>
      </c>
      <c r="AI20" s="14">
        <f>_xll.BDH("XOM US Equity","EQY_DPS","FQ3 2016","FQ3 2016","Currency=USD","Period=FQ","BEST_FPERIOD_OVERRIDE=FQ","FILING_STATUS=OR","Sort=A","Dates=H","DateFormat=P","Fill=—","Direction=H","UseDPDF=Y")</f>
        <v>0.75</v>
      </c>
      <c r="AJ20" s="14">
        <f>_xll.BDH("XOM US Equity","EQY_DPS","FQ4 2016","FQ4 2016","Currency=USD","Period=FQ","BEST_FPERIOD_OVERRIDE=FQ","FILING_STATUS=OR","Sort=A","Dates=H","DateFormat=P","Fill=—","Direction=H","UseDPDF=Y")</f>
        <v>0.75</v>
      </c>
      <c r="AK20" s="14">
        <f>_xll.BDH("XOM US Equity","EQY_DPS","FQ1 2017","FQ1 2017","Currency=USD","Period=FQ","BEST_FPERIOD_OVERRIDE=FQ","FILING_STATUS=OR","Sort=A","Dates=H","DateFormat=P","Fill=—","Direction=H","UseDPDF=Y")</f>
        <v>0.75</v>
      </c>
      <c r="AL20" s="14">
        <f>_xll.BDH("XOM US Equity","EQY_DPS","FQ2 2017","FQ2 2017","Currency=USD","Period=FQ","BEST_FPERIOD_OVERRIDE=FQ","FILING_STATUS=OR","Sort=A","Dates=H","DateFormat=P","Fill=—","Direction=H","UseDPDF=Y")</f>
        <v>0.77</v>
      </c>
      <c r="AM20" s="14">
        <f>_xll.BDH("XOM US Equity","EQY_DPS","FQ3 2017","FQ3 2017","Currency=USD","Period=FQ","BEST_FPERIOD_OVERRIDE=FQ","FILING_STATUS=OR","Sort=A","Dates=H","DateFormat=P","Fill=—","Direction=H","UseDPDF=Y")</f>
        <v>0.77</v>
      </c>
      <c r="AN20" s="14">
        <f>_xll.BDH("XOM US Equity","EQY_DPS","FQ4 2017","FQ4 2017","Currency=USD","Period=FQ","BEST_FPERIOD_OVERRIDE=FQ","FILING_STATUS=OR","Sort=A","Dates=H","DateFormat=P","Fill=—","Direction=H","UseDPDF=Y")</f>
        <v>0.77</v>
      </c>
      <c r="AO20" s="14">
        <f>_xll.BDH("XOM US Equity","EQY_DPS","FQ1 2018","FQ1 2018","Currency=USD","Period=FQ","BEST_FPERIOD_OVERRIDE=FQ","FILING_STATUS=OR","Sort=A","Dates=H","DateFormat=P","Fill=—","Direction=H","UseDPDF=Y")</f>
        <v>0.77</v>
      </c>
      <c r="AP20" s="14">
        <f>_xll.BDH("XOM US Equity","EQY_DPS","FQ2 2018","FQ2 2018","Currency=USD","Period=FQ","BEST_FPERIOD_OVERRIDE=FQ","FILING_STATUS=OR","Sort=A","Dates=H","DateFormat=P","Fill=—","Direction=H","UseDPDF=Y")</f>
        <v>0.82</v>
      </c>
    </row>
    <row r="21" spans="1:42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25">
      <c r="A22" s="10" t="s">
        <v>476</v>
      </c>
      <c r="B22" s="10" t="s">
        <v>477</v>
      </c>
      <c r="C22" s="14">
        <f>_xll.BDH("XOM US Equity","CASH_FLOW_PER_SH","FQ3 2008","FQ3 2008","Currency=USD","Period=FQ","BEST_FPERIOD_OVERRIDE=FQ","FILING_STATUS=OR","Sort=A","Dates=H","DateFormat=P","Fill=—","Direction=H","UseDPDF=Y")</f>
        <v>2.823</v>
      </c>
      <c r="D22" s="14">
        <f>_xll.BDH("XOM US Equity","CASH_FLOW_PER_SH","FQ4 2008","FQ4 2008","Currency=USD","Period=FQ","BEST_FPERIOD_OVERRIDE=FQ","FILING_STATUS=OR","Sort=A","Dates=H","DateFormat=P","Fill=—","Direction=H","UseDPDF=Y")</f>
        <v>2.1048</v>
      </c>
      <c r="E22" s="14">
        <f>_xll.BDH("XOM US Equity","CASH_FLOW_PER_SH","FQ1 2009","FQ1 2009","Currency=USD","Period=FQ","BEST_FPERIOD_OVERRIDE=FQ","FILING_STATUS=OR","Sort=A","Dates=H","DateFormat=P","Fill=—","Direction=H","UseDPDF=Y")</f>
        <v>1.8047</v>
      </c>
      <c r="F22" s="14">
        <f>_xll.BDH("XOM US Equity","CASH_FLOW_PER_SH","FQ2 2009","FQ2 2009","Currency=USD","Period=FQ","BEST_FPERIOD_OVERRIDE=FQ","FILING_STATUS=OR","Sort=A","Dates=H","DateFormat=P","Fill=—","Direction=H","UseDPDF=Y")</f>
        <v>0.45290000000000002</v>
      </c>
      <c r="G22" s="14">
        <f>_xll.BDH("XOM US Equity","CASH_FLOW_PER_SH","FQ3 2009","FQ3 2009","Currency=USD","Period=FQ","BEST_FPERIOD_OVERRIDE=FQ","FILING_STATUS=OR","Sort=A","Dates=H","DateFormat=P","Fill=—","Direction=H","UseDPDF=Y")</f>
        <v>1.8451</v>
      </c>
      <c r="H22" s="14">
        <f>_xll.BDH("XOM US Equity","CASH_FLOW_PER_SH","FQ4 2009","FQ4 2009","Currency=USD","Period=FQ","BEST_FPERIOD_OVERRIDE=FQ","FILING_STATUS=OR","Sort=A","Dates=H","DateFormat=P","Fill=—","Direction=H","UseDPDF=Y")</f>
        <v>1.7866</v>
      </c>
      <c r="I22" s="14">
        <f>_xll.BDH("XOM US Equity","CASH_FLOW_PER_SH","FQ1 2010","FQ1 2010","Currency=USD","Period=FQ","BEST_FPERIOD_OVERRIDE=FQ","FILING_STATUS=OR","Sort=A","Dates=H","DateFormat=P","Fill=—","Direction=H","UseDPDF=Y")</f>
        <v>2.7627999999999999</v>
      </c>
      <c r="J22" s="14">
        <f>_xll.BDH("XOM US Equity","CASH_FLOW_PER_SH","FQ2 2010","FQ2 2010","Currency=USD","Period=FQ","BEST_FPERIOD_OVERRIDE=FQ","FILING_STATUS=OR","Sort=A","Dates=H","DateFormat=P","Fill=—","Direction=H","UseDPDF=Y")</f>
        <v>1.9582000000000002</v>
      </c>
      <c r="K22" s="14">
        <f>_xll.BDH("XOM US Equity","CASH_FLOW_PER_SH","FQ3 2010","FQ3 2010","Currency=USD","Period=FQ","BEST_FPERIOD_OVERRIDE=FQ","FILING_STATUS=OR","Sort=A","Dates=H","DateFormat=P","Fill=—","Direction=H","UseDPDF=Y")</f>
        <v>2.5762</v>
      </c>
      <c r="L22" s="14">
        <f>_xll.BDH("XOM US Equity","CASH_FLOW_PER_SH","FQ4 2010","FQ4 2010","Currency=USD","Period=FQ","BEST_FPERIOD_OVERRIDE=FQ","FILING_STATUS=OR","Sort=A","Dates=H","DateFormat=P","Fill=—","Direction=H","UseDPDF=Y")</f>
        <v>2.6252</v>
      </c>
      <c r="M22" s="14">
        <f>_xll.BDH("XOM US Equity","CASH_FLOW_PER_SH","FQ1 2011","FQ1 2011","Currency=USD","Period=FQ","BEST_FPERIOD_OVERRIDE=FQ","FILING_STATUS=OR","Sort=A","Dates=H","DateFormat=P","Fill=—","Direction=H","UseDPDF=Y")</f>
        <v>3.3963000000000001</v>
      </c>
      <c r="N22" s="14">
        <f>_xll.BDH("XOM US Equity","CASH_FLOW_PER_SH","FQ2 2011","FQ2 2011","Currency=USD","Period=FQ","BEST_FPERIOD_OVERRIDE=FQ","FILING_STATUS=OR","Sort=A","Dates=H","DateFormat=P","Fill=—","Direction=H","UseDPDF=Y")</f>
        <v>2.6272000000000002</v>
      </c>
      <c r="O22" s="14">
        <f>_xll.BDH("XOM US Equity","CASH_FLOW_PER_SH","FQ3 2011","FQ3 2011","Currency=USD","Period=FQ","BEST_FPERIOD_OVERRIDE=FQ","FILING_STATUS=OR","Sort=A","Dates=H","DateFormat=P","Fill=—","Direction=H","UseDPDF=Y")</f>
        <v>3.0686</v>
      </c>
      <c r="P22" s="14">
        <f>_xll.BDH("XOM US Equity","CASH_FLOW_PER_SH","FQ4 2011","FQ4 2011","Currency=USD","Period=FQ","BEST_FPERIOD_OVERRIDE=FQ","FILING_STATUS=OR","Sort=A","Dates=H","DateFormat=P","Fill=—","Direction=H","UseDPDF=Y")</f>
        <v>2.2530999999999999</v>
      </c>
      <c r="Q22" s="14">
        <f>_xll.BDH("XOM US Equity","CASH_FLOW_PER_SH","FQ1 2012","FQ1 2012","Currency=USD","Period=FQ","BEST_FPERIOD_OVERRIDE=FQ","FILING_STATUS=OR","Sort=A","Dates=H","DateFormat=P","Fill=—","Direction=H","UseDPDF=Y")</f>
        <v>4.0906000000000002</v>
      </c>
      <c r="R22" s="14">
        <f>_xll.BDH("XOM US Equity","CASH_FLOW_PER_SH","FQ2 2012","FQ2 2012","Currency=USD","Period=FQ","BEST_FPERIOD_OVERRIDE=FQ","FILING_STATUS=OR","Sort=A","Dates=H","DateFormat=P","Fill=—","Direction=H","UseDPDF=Y")</f>
        <v>2.1943999999999999</v>
      </c>
      <c r="S22" s="14">
        <f>_xll.BDH("XOM US Equity","CASH_FLOW_PER_SH","FQ3 2012","FQ3 2012","Currency=USD","Period=FQ","BEST_FPERIOD_OVERRIDE=FQ","FILING_STATUS=OR","Sort=A","Dates=H","DateFormat=P","Fill=—","Direction=H","UseDPDF=Y")</f>
        <v>2.9241000000000001</v>
      </c>
      <c r="T22" s="14">
        <f>_xll.BDH("XOM US Equity","CASH_FLOW_PER_SH","FQ4 2012","FQ4 2012","Currency=USD","Period=FQ","BEST_FPERIOD_OVERRIDE=FQ","FILING_STATUS=OR","Sort=A","Dates=H","DateFormat=P","Fill=—","Direction=H","UseDPDF=Y")</f>
        <v>2.9239000000000002</v>
      </c>
      <c r="U22" s="14">
        <f>_xll.BDH("XOM US Equity","CASH_FLOW_PER_SH","FQ1 2013","FQ1 2013","Currency=USD","Period=FQ","BEST_FPERIOD_OVERRIDE=FQ","FILING_STATUS=OR","Sort=A","Dates=H","DateFormat=P","Fill=—","Direction=H","UseDPDF=Y")</f>
        <v>3.0305</v>
      </c>
      <c r="V22" s="14">
        <f>_xll.BDH("XOM US Equity","CASH_FLOW_PER_SH","FQ2 2013","FQ2 2013","Currency=USD","Period=FQ","BEST_FPERIOD_OVERRIDE=FQ","FILING_STATUS=OR","Sort=A","Dates=H","DateFormat=P","Fill=—","Direction=H","UseDPDF=Y")</f>
        <v>1.7330999999999999</v>
      </c>
      <c r="W22" s="14">
        <f>_xll.BDH("XOM US Equity","CASH_FLOW_PER_SH","FQ3 2013","FQ3 2013","Currency=USD","Period=FQ","BEST_FPERIOD_OVERRIDE=FQ","FILING_STATUS=OR","Sort=A","Dates=H","DateFormat=P","Fill=—","Direction=H","UseDPDF=Y")</f>
        <v>3.056</v>
      </c>
      <c r="X22" s="14">
        <f>_xll.BDH("XOM US Equity","CASH_FLOW_PER_SH","FQ4 2013","FQ4 2013","Currency=USD","Period=FQ","BEST_FPERIOD_OVERRIDE=FQ","FILING_STATUS=OR","Sort=A","Dates=H","DateFormat=P","Fill=—","Direction=H","UseDPDF=Y")</f>
        <v>2.3407</v>
      </c>
      <c r="Y22" s="14">
        <f>_xll.BDH("XOM US Equity","CASH_FLOW_PER_SH","FQ1 2014","FQ1 2014","Currency=USD","Period=FQ","BEST_FPERIOD_OVERRIDE=FQ","FILING_STATUS=OR","Sort=A","Dates=H","DateFormat=P","Fill=—","Direction=H","UseDPDF=Y")</f>
        <v>3.4895999999999998</v>
      </c>
      <c r="Z22" s="14">
        <f>_xll.BDH("XOM US Equity","CASH_FLOW_PER_SH","FQ2 2014","FQ2 2014","Currency=USD","Period=FQ","BEST_FPERIOD_OVERRIDE=FQ","FILING_STATUS=OR","Sort=A","Dates=H","DateFormat=P","Fill=—","Direction=H","UseDPDF=Y")</f>
        <v>2.3742000000000001</v>
      </c>
      <c r="AA22" s="14">
        <f>_xll.BDH("XOM US Equity","CASH_FLOW_PER_SH","FQ3 2014","FQ3 2014","Currency=USD","Period=FQ","BEST_FPERIOD_OVERRIDE=FQ","FILING_STATUS=OR","Sort=A","Dates=H","DateFormat=P","Fill=—","Direction=H","UseDPDF=Y")</f>
        <v>2.9051</v>
      </c>
      <c r="AB22" s="14">
        <f>_xll.BDH("XOM US Equity","CASH_FLOW_PER_SH","FQ4 2014","FQ4 2014","Currency=USD","Period=FQ","BEST_FPERIOD_OVERRIDE=FQ","FILING_STATUS=OR","Sort=A","Dates=H","DateFormat=P","Fill=—","Direction=H","UseDPDF=Y")</f>
        <v>1.7509000000000001</v>
      </c>
      <c r="AC22" s="14">
        <f>_xll.BDH("XOM US Equity","CASH_FLOW_PER_SH","FQ1 2015","FQ1 2015","Currency=USD","Period=FQ","BEST_FPERIOD_OVERRIDE=FQ","FILING_STATUS=OR","Sort=A","Dates=H","DateFormat=P","Fill=—","Direction=H","UseDPDF=Y")</f>
        <v>1.8993</v>
      </c>
      <c r="AD22" s="14">
        <f>_xll.BDH("XOM US Equity","CASH_FLOW_PER_SH","FQ2 2015","FQ2 2015","Currency=USD","Period=FQ","BEST_FPERIOD_OVERRIDE=FQ","FILING_STATUS=OR","Sort=A","Dates=H","DateFormat=P","Fill=—","Direction=H","UseDPDF=Y")</f>
        <v>2.0933000000000002</v>
      </c>
      <c r="AE22" s="14">
        <f>_xll.BDH("XOM US Equity","CASH_FLOW_PER_SH","FQ3 2015","FQ3 2015","Currency=USD","Period=FQ","BEST_FPERIOD_OVERRIDE=FQ","FILING_STATUS=OR","Sort=A","Dates=H","DateFormat=P","Fill=—","Direction=H","UseDPDF=Y")</f>
        <v>2.1894999999999998</v>
      </c>
      <c r="AF22" s="14">
        <f>_xll.BDH("XOM US Equity","CASH_FLOW_PER_SH","FQ4 2015","FQ4 2015","Currency=USD","Period=FQ","BEST_FPERIOD_OVERRIDE=FQ","FILING_STATUS=OR","Sort=A","Dates=H","DateFormat=P","Fill=—","Direction=H","UseDPDF=Y")</f>
        <v>1.0470999999999999</v>
      </c>
      <c r="AG22" s="14">
        <f>_xll.BDH("XOM US Equity","CASH_FLOW_PER_SH","FQ1 2016","FQ1 2016","Currency=USD","Period=FQ","BEST_FPERIOD_OVERRIDE=FQ","FILING_STATUS=OR","Sort=A","Dates=H","DateFormat=P","Fill=—","Direction=H","UseDPDF=Y")</f>
        <v>1.1516999999999999</v>
      </c>
      <c r="AH22" s="14">
        <f>_xll.BDH("XOM US Equity","CASH_FLOW_PER_SH","FQ2 2016","FQ2 2016","Currency=USD","Period=FQ","BEST_FPERIOD_OVERRIDE=FQ","FILING_STATUS=OR","Sort=A","Dates=H","DateFormat=P","Fill=—","Direction=H","UseDPDF=Y")</f>
        <v>1.0897000000000001</v>
      </c>
      <c r="AI22" s="14">
        <f>_xll.BDH("XOM US Equity","CASH_FLOW_PER_SH","FQ3 2016","FQ3 2016","Currency=USD","Period=FQ","BEST_FPERIOD_OVERRIDE=FQ","FILING_STATUS=OR","Sort=A","Dates=H","DateFormat=P","Fill=—","Direction=H","UseDPDF=Y")</f>
        <v>1.2817000000000001</v>
      </c>
      <c r="AJ22" s="14">
        <f>_xll.BDH("XOM US Equity","CASH_FLOW_PER_SH","FQ4 2016","FQ4 2016","Currency=USD","Period=FQ","BEST_FPERIOD_OVERRIDE=FQ","FILING_STATUS=OR","Sort=A","Dates=H","DateFormat=P","Fill=—","Direction=H","UseDPDF=Y")</f>
        <v>1.7711000000000001</v>
      </c>
      <c r="AK22" s="14">
        <f>_xll.BDH("XOM US Equity","CASH_FLOW_PER_SH","FQ1 2017","FQ1 2017","Currency=USD","Period=FQ","BEST_FPERIOD_OVERRIDE=FQ","FILING_STATUS=OR","Sort=A","Dates=H","DateFormat=P","Fill=—","Direction=H","UseDPDF=Y")</f>
        <v>1.9354</v>
      </c>
      <c r="AL22" s="14">
        <f>_xll.BDH("XOM US Equity","CASH_FLOW_PER_SH","FQ2 2017","FQ2 2017","Currency=USD","Period=FQ","BEST_FPERIOD_OVERRIDE=FQ","FILING_STATUS=OR","Sort=A","Dates=H","DateFormat=P","Fill=—","Direction=H","UseDPDF=Y")</f>
        <v>1.6266</v>
      </c>
      <c r="AM22" s="14">
        <f>_xll.BDH("XOM US Equity","CASH_FLOW_PER_SH","FQ3 2017","FQ3 2017","Currency=USD","Period=FQ","BEST_FPERIOD_OVERRIDE=FQ","FILING_STATUS=OR","Sort=A","Dates=H","DateFormat=P","Fill=—","Direction=H","UseDPDF=Y")</f>
        <v>1.7642</v>
      </c>
      <c r="AN22" s="14">
        <f>_xll.BDH("XOM US Equity","CASH_FLOW_PER_SH","FQ4 2017","FQ4 2017","Currency=USD","Period=FQ","BEST_FPERIOD_OVERRIDE=FQ","FILING_STATUS=OR","Sort=A","Dates=H","DateFormat=P","Fill=—","Direction=H","UseDPDF=Y")</f>
        <v>1.7356</v>
      </c>
      <c r="AO22" s="14">
        <f>_xll.BDH("XOM US Equity","CASH_FLOW_PER_SH","FQ1 2018","FQ1 2018","Currency=USD","Period=FQ","BEST_FPERIOD_OVERRIDE=FQ","FILING_STATUS=OR","Sort=A","Dates=H","DateFormat=P","Fill=—","Direction=H","UseDPDF=Y")</f>
        <v>1.9950999999999999</v>
      </c>
      <c r="AP22" s="14">
        <f>_xll.BDH("XOM US Equity","CASH_FLOW_PER_SH","FQ2 2018","FQ2 2018","Currency=USD","Period=FQ","BEST_FPERIOD_OVERRIDE=FQ","FILING_STATUS=OR","Sort=A","Dates=H","DateFormat=P","Fill=—","Direction=H","UseDPDF=Y")</f>
        <v>1.8216000000000001</v>
      </c>
    </row>
    <row r="23" spans="1:42" x14ac:dyDescent="0.25">
      <c r="A23" s="10" t="s">
        <v>450</v>
      </c>
      <c r="B23" s="10" t="s">
        <v>457</v>
      </c>
      <c r="C23" s="14">
        <f>_xll.BDH("XOM US Equity","FREE_CASH_FLOW_PER_SH","FQ3 2008","FQ3 2008","Currency=USD","Period=FQ","BEST_FPERIOD_OVERRIDE=FQ","FILING_STATUS=OR","Sort=A","Dates=H","DateFormat=P","Fill=—","Direction=H","UseDPDF=Y")</f>
        <v>1.8151999999999999</v>
      </c>
      <c r="D23" s="14">
        <f>_xll.BDH("XOM US Equity","FREE_CASH_FLOW_PER_SH","FQ4 2008","FQ4 2008","Currency=USD","Period=FQ","BEST_FPERIOD_OVERRIDE=FQ","FILING_STATUS=OR","Sort=A","Dates=H","DateFormat=P","Fill=—","Direction=H","UseDPDF=Y")</f>
        <v>1.0358000000000001</v>
      </c>
      <c r="E23" s="14">
        <f>_xll.BDH("XOM US Equity","FREE_CASH_FLOW_PER_SH","FQ1 2009","FQ1 2009","Currency=USD","Period=FQ","BEST_FPERIOD_OVERRIDE=FQ","FILING_STATUS=OR","Sort=A","Dates=H","DateFormat=P","Fill=—","Direction=H","UseDPDF=Y")</f>
        <v>0.85819999999999996</v>
      </c>
      <c r="F23" s="14">
        <f>_xll.BDH("XOM US Equity","FREE_CASH_FLOW_PER_SH","FQ2 2009","FQ2 2009","Currency=USD","Period=FQ","BEST_FPERIOD_OVERRIDE=FQ","FILING_STATUS=OR","Sort=A","Dates=H","DateFormat=P","Fill=—","Direction=H","UseDPDF=Y")</f>
        <v>-0.69430000000000003</v>
      </c>
      <c r="G23" s="14">
        <f>_xll.BDH("XOM US Equity","FREE_CASH_FLOW_PER_SH","FQ3 2009","FQ3 2009","Currency=USD","Period=FQ","BEST_FPERIOD_OVERRIDE=FQ","FILING_STATUS=OR","Sort=A","Dates=H","DateFormat=P","Fill=—","Direction=H","UseDPDF=Y")</f>
        <v>0.69750000000000001</v>
      </c>
      <c r="H23" s="14">
        <f>_xll.BDH("XOM US Equity","FREE_CASH_FLOW_PER_SH","FQ4 2009","FQ4 2009","Currency=USD","Period=FQ","BEST_FPERIOD_OVERRIDE=FQ","FILING_STATUS=OR","Sort=A","Dates=H","DateFormat=P","Fill=—","Direction=H","UseDPDF=Y")</f>
        <v>0.36580000000000001</v>
      </c>
      <c r="I23" s="14">
        <f>_xll.BDH("XOM US Equity","FREE_CASH_FLOW_PER_SH","FQ1 2010","FQ1 2010","Currency=USD","Period=FQ","BEST_FPERIOD_OVERRIDE=FQ","FILING_STATUS=OR","Sort=A","Dates=H","DateFormat=P","Fill=—","Direction=H","UseDPDF=Y")</f>
        <v>1.5438000000000001</v>
      </c>
      <c r="J23" s="14">
        <f>_xll.BDH("XOM US Equity","FREE_CASH_FLOW_PER_SH","FQ2 2010","FQ2 2010","Currency=USD","Period=FQ","BEST_FPERIOD_OVERRIDE=FQ","FILING_STATUS=OR","Sort=A","Dates=H","DateFormat=P","Fill=—","Direction=H","UseDPDF=Y")</f>
        <v>0.76149999999999995</v>
      </c>
      <c r="K23" s="14">
        <f>_xll.BDH("XOM US Equity","FREE_CASH_FLOW_PER_SH","FQ3 2010","FQ3 2010","Currency=USD","Period=FQ","BEST_FPERIOD_OVERRIDE=FQ","FILING_STATUS=OR","Sort=A","Dates=H","DateFormat=P","Fill=—","Direction=H","UseDPDF=Y")</f>
        <v>1.0394000000000001</v>
      </c>
      <c r="L23" s="14">
        <f>_xll.BDH("XOM US Equity","FREE_CASH_FLOW_PER_SH","FQ4 2010","FQ4 2010","Currency=USD","Period=FQ","BEST_FPERIOD_OVERRIDE=FQ","FILING_STATUS=OR","Sort=A","Dates=H","DateFormat=P","Fill=—","Direction=H","UseDPDF=Y")</f>
        <v>1.0828</v>
      </c>
      <c r="M23" s="14">
        <f>_xll.BDH("XOM US Equity","FREE_CASH_FLOW_PER_SH","FQ1 2011","FQ1 2011","Currency=USD","Period=FQ","BEST_FPERIOD_OVERRIDE=FQ","FILING_STATUS=OR","Sort=A","Dates=H","DateFormat=P","Fill=—","Direction=H","UseDPDF=Y")</f>
        <v>1.9756</v>
      </c>
      <c r="N23" s="14">
        <f>_xll.BDH("XOM US Equity","FREE_CASH_FLOW_PER_SH","FQ2 2011","FQ2 2011","Currency=USD","Period=FQ","BEST_FPERIOD_OVERRIDE=FQ","FILING_STATUS=OR","Sort=A","Dates=H","DateFormat=P","Fill=—","Direction=H","UseDPDF=Y")</f>
        <v>1.0348999999999999</v>
      </c>
      <c r="O23" s="14">
        <f>_xll.BDH("XOM US Equity","FREE_CASH_FLOW_PER_SH","FQ3 2011","FQ3 2011","Currency=USD","Period=FQ","BEST_FPERIOD_OVERRIDE=FQ","FILING_STATUS=OR","Sort=A","Dates=H","DateFormat=P","Fill=—","Direction=H","UseDPDF=Y")</f>
        <v>1.5232000000000001</v>
      </c>
      <c r="P23" s="14">
        <f>_xll.BDH("XOM US Equity","FREE_CASH_FLOW_PER_SH","FQ4 2011","FQ4 2011","Currency=USD","Period=FQ","BEST_FPERIOD_OVERRIDE=FQ","FILING_STATUS=OR","Sort=A","Dates=H","DateFormat=P","Fill=—","Direction=H","UseDPDF=Y")</f>
        <v>0.44369999999999998</v>
      </c>
      <c r="Q23" s="14">
        <f>_xll.BDH("XOM US Equity","FREE_CASH_FLOW_PER_SH","FQ1 2012","FQ1 2012","Currency=USD","Period=FQ","BEST_FPERIOD_OVERRIDE=FQ","FILING_STATUS=OR","Sort=A","Dates=H","DateFormat=P","Fill=—","Direction=H","UseDPDF=Y")</f>
        <v>2.4270999999999998</v>
      </c>
      <c r="R23" s="14">
        <f>_xll.BDH("XOM US Equity","FREE_CASH_FLOW_PER_SH","FQ2 2012","FQ2 2012","Currency=USD","Period=FQ","BEST_FPERIOD_OVERRIDE=FQ","FILING_STATUS=OR","Sort=A","Dates=H","DateFormat=P","Fill=—","Direction=H","UseDPDF=Y")</f>
        <v>0.40210000000000001</v>
      </c>
      <c r="S23" s="14">
        <f>_xll.BDH("XOM US Equity","FREE_CASH_FLOW_PER_SH","FQ3 2012","FQ3 2012","Currency=USD","Period=FQ","BEST_FPERIOD_OVERRIDE=FQ","FILING_STATUS=OR","Sort=A","Dates=H","DateFormat=P","Fill=—","Direction=H","UseDPDF=Y")</f>
        <v>1.1781999999999999</v>
      </c>
      <c r="T23" s="14">
        <f>_xll.BDH("XOM US Equity","FREE_CASH_FLOW_PER_SH","FQ4 2012","FQ4 2012","Currency=USD","Period=FQ","BEST_FPERIOD_OVERRIDE=FQ","FILING_STATUS=OR","Sort=A","Dates=H","DateFormat=P","Fill=—","Direction=H","UseDPDF=Y")</f>
        <v>0.70020000000000004</v>
      </c>
      <c r="U23" s="14">
        <f>_xll.BDH("XOM US Equity","FREE_CASH_FLOW_PER_SH","FQ1 2013","FQ1 2013","Currency=USD","Period=FQ","BEST_FPERIOD_OVERRIDE=FQ","FILING_STATUS=OR","Sort=A","Dates=H","DateFormat=P","Fill=—","Direction=H","UseDPDF=Y")</f>
        <v>1.3595999999999999</v>
      </c>
      <c r="V23" s="14">
        <f>_xll.BDH("XOM US Equity","FREE_CASH_FLOW_PER_SH","FQ2 2013","FQ2 2013","Currency=USD","Period=FQ","BEST_FPERIOD_OVERRIDE=FQ","FILING_STATUS=OR","Sort=A","Dates=H","DateFormat=P","Fill=—","Direction=H","UseDPDF=Y")</f>
        <v>-0.21840000000000001</v>
      </c>
      <c r="W23" s="14">
        <f>_xll.BDH("XOM US Equity","FREE_CASH_FLOW_PER_SH","FQ3 2013","FQ3 2013","Currency=USD","Period=FQ","BEST_FPERIOD_OVERRIDE=FQ","FILING_STATUS=OR","Sort=A","Dates=H","DateFormat=P","Fill=—","Direction=H","UseDPDF=Y")</f>
        <v>0.9859</v>
      </c>
      <c r="X23" s="14">
        <f>_xll.BDH("XOM US Equity","FREE_CASH_FLOW_PER_SH","FQ4 2013","FQ4 2013","Currency=USD","Period=FQ","BEST_FPERIOD_OVERRIDE=FQ","FILING_STATUS=OR","Sort=A","Dates=H","DateFormat=P","Fill=—","Direction=H","UseDPDF=Y")</f>
        <v>0.40860000000000002</v>
      </c>
      <c r="Y23" s="14">
        <f>_xll.BDH("XOM US Equity","FREE_CASH_FLOW_PER_SH","FQ1 2014","FQ1 2014","Currency=USD","Period=FQ","BEST_FPERIOD_OVERRIDE=FQ","FILING_STATUS=OR","Sort=A","Dates=H","DateFormat=P","Fill=—","Direction=H","UseDPDF=Y")</f>
        <v>1.7964</v>
      </c>
      <c r="Z23" s="14">
        <f>_xll.BDH("XOM US Equity","FREE_CASH_FLOW_PER_SH","FQ2 2014","FQ2 2014","Currency=USD","Period=FQ","BEST_FPERIOD_OVERRIDE=FQ","FILING_STATUS=OR","Sort=A","Dates=H","DateFormat=P","Fill=—","Direction=H","UseDPDF=Y")</f>
        <v>0.38629999999999998</v>
      </c>
      <c r="AA23" s="14">
        <f>_xll.BDH("XOM US Equity","FREE_CASH_FLOW_PER_SH","FQ3 2014","FQ3 2014","Currency=USD","Period=FQ","BEST_FPERIOD_OVERRIDE=FQ","FILING_STATUS=OR","Sort=A","Dates=H","DateFormat=P","Fill=—","Direction=H","UseDPDF=Y")</f>
        <v>0.98380000000000001</v>
      </c>
      <c r="AB23" s="14">
        <f>_xll.BDH("XOM US Equity","FREE_CASH_FLOW_PER_SH","FQ4 2014","FQ4 2014","Currency=USD","Period=FQ","BEST_FPERIOD_OVERRIDE=FQ","FILING_STATUS=OR","Sort=A","Dates=H","DateFormat=P","Fill=—","Direction=H","UseDPDF=Y")</f>
        <v>-0.34689999999999999</v>
      </c>
      <c r="AC23" s="14">
        <f>_xll.BDH("XOM US Equity","FREE_CASH_FLOW_PER_SH","FQ1 2015","FQ1 2015","Currency=USD","Period=FQ","BEST_FPERIOD_OVERRIDE=FQ","FILING_STATUS=OR","Sort=A","Dates=H","DateFormat=P","Fill=—","Direction=H","UseDPDF=Y")</f>
        <v>0.27400000000000002</v>
      </c>
      <c r="AD23" s="14">
        <f>_xll.BDH("XOM US Equity","FREE_CASH_FLOW_PER_SH","FQ2 2015","FQ2 2015","Currency=USD","Period=FQ","BEST_FPERIOD_OVERRIDE=FQ","FILING_STATUS=OR","Sort=A","Dates=H","DateFormat=P","Fill=—","Direction=H","UseDPDF=Y")</f>
        <v>0.4007</v>
      </c>
      <c r="AE23" s="14">
        <f>_xll.BDH("XOM US Equity","FREE_CASH_FLOW_PER_SH","FQ3 2015","FQ3 2015","Currency=USD","Period=FQ","BEST_FPERIOD_OVERRIDE=FQ","FILING_STATUS=OR","Sort=A","Dates=H","DateFormat=P","Fill=—","Direction=H","UseDPDF=Y")</f>
        <v>0.66180000000000005</v>
      </c>
      <c r="AF23" s="14">
        <f>_xll.BDH("XOM US Equity","FREE_CASH_FLOW_PER_SH","FQ4 2015","FQ4 2015","Currency=USD","Period=FQ","BEST_FPERIOD_OVERRIDE=FQ","FILING_STATUS=OR","Sort=A","Dates=H","DateFormat=P","Fill=—","Direction=H","UseDPDF=Y")</f>
        <v>-0.41980000000000001</v>
      </c>
      <c r="AG23" s="14">
        <f>_xll.BDH("XOM US Equity","FREE_CASH_FLOW_PER_SH","FQ1 2016","FQ1 2016","Currency=USD","Period=FQ","BEST_FPERIOD_OVERRIDE=FQ","FILING_STATUS=OR","Sort=A","Dates=H","DateFormat=P","Fill=—","Direction=H","UseDPDF=Y")</f>
        <v>5.0500000000000003E-2</v>
      </c>
      <c r="AH23" s="14">
        <f>_xll.BDH("XOM US Equity","FREE_CASH_FLOW_PER_SH","FQ2 2016","FQ2 2016","Currency=USD","Period=FQ","BEST_FPERIOD_OVERRIDE=FQ","FILING_STATUS=OR","Sort=A","Dates=H","DateFormat=P","Fill=—","Direction=H","UseDPDF=Y")</f>
        <v>5.9799999999999999E-2</v>
      </c>
      <c r="AI23" s="14">
        <f>_xll.BDH("XOM US Equity","FREE_CASH_FLOW_PER_SH","FQ3 2016","FQ3 2016","Currency=USD","Period=FQ","BEST_FPERIOD_OVERRIDE=FQ","FILING_STATUS=OR","Sort=A","Dates=H","DateFormat=P","Fill=—","Direction=H","UseDPDF=Y")</f>
        <v>0.46700000000000003</v>
      </c>
      <c r="AJ23" s="14">
        <f>_xll.BDH("XOM US Equity","FREE_CASH_FLOW_PER_SH","FQ4 2016","FQ4 2016","Currency=USD","Period=FQ","BEST_FPERIOD_OVERRIDE=FQ","FILING_STATUS=OR","Sort=A","Dates=H","DateFormat=P","Fill=—","Direction=H","UseDPDF=Y")</f>
        <v>0.84030000000000005</v>
      </c>
      <c r="AK23" s="14">
        <f>_xll.BDH("XOM US Equity","FREE_CASH_FLOW_PER_SH","FQ1 2017","FQ1 2017","Currency=USD","Period=FQ","BEST_FPERIOD_OVERRIDE=FQ","FILING_STATUS=OR","Sort=A","Dates=H","DateFormat=P","Fill=—","Direction=H","UseDPDF=Y")</f>
        <v>1.2509999999999999</v>
      </c>
      <c r="AL23" s="14">
        <f>_xll.BDH("XOM US Equity","FREE_CASH_FLOW_PER_SH","FQ2 2017","FQ2 2017","Currency=USD","Period=FQ","BEST_FPERIOD_OVERRIDE=FQ","FILING_STATUS=OR","Sort=A","Dates=H","DateFormat=P","Fill=—","Direction=H","UseDPDF=Y")</f>
        <v>0.9012</v>
      </c>
      <c r="AM23" s="14">
        <f>_xll.BDH("XOM US Equity","FREE_CASH_FLOW_PER_SH","FQ3 2017","FQ3 2017","Currency=USD","Period=FQ","BEST_FPERIOD_OVERRIDE=FQ","FILING_STATUS=OR","Sort=A","Dates=H","DateFormat=P","Fill=—","Direction=H","UseDPDF=Y")</f>
        <v>0.6139</v>
      </c>
      <c r="AN23" s="14">
        <f>_xll.BDH("XOM US Equity","FREE_CASH_FLOW_PER_SH","FQ4 2017","FQ4 2017","Currency=USD","Period=FQ","BEST_FPERIOD_OVERRIDE=FQ","FILING_STATUS=OR","Sort=A","Dates=H","DateFormat=P","Fill=—","Direction=H","UseDPDF=Y")</f>
        <v>0.68149999999999999</v>
      </c>
      <c r="AO23" s="14">
        <f>_xll.BDH("XOM US Equity","FREE_CASH_FLOW_PER_SH","FQ1 2018","FQ1 2018","Currency=USD","Period=FQ","BEST_FPERIOD_OVERRIDE=FQ","FILING_STATUS=OR","Sort=A","Dates=H","DateFormat=P","Fill=—","Direction=H","UseDPDF=Y")</f>
        <v>1.2107999999999999</v>
      </c>
      <c r="AP23" s="14">
        <f>_xll.BDH("XOM US Equity","FREE_CASH_FLOW_PER_SH","FQ2 2018","FQ2 2018","Currency=USD","Period=FQ","BEST_FPERIOD_OVERRIDE=FQ","FILING_STATUS=OR","Sort=A","Dates=H","DateFormat=P","Fill=—","Direction=H","UseDPDF=Y")</f>
        <v>0.66800000000000004</v>
      </c>
    </row>
    <row r="24" spans="1:42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5">
      <c r="A25" s="10" t="s">
        <v>2</v>
      </c>
      <c r="B25" s="10" t="s">
        <v>478</v>
      </c>
      <c r="C25" s="14">
        <f>_xll.BDH("XOM US Equity","CASH_ST_INVESTMENTS_PER_SH","FQ3 2008","FQ3 2008","Currency=USD","Period=FQ","BEST_FPERIOD_OVERRIDE=FQ","FILING_STATUS=OR","Sort=A","Dates=H","DateFormat=P","Fill=—","Direction=H","UseDPDF=Y")</f>
        <v>7.5552999999999999</v>
      </c>
      <c r="D25" s="14">
        <f>_xll.BDH("XOM US Equity","CASH_ST_INVESTMENTS_PER_SH","FQ4 2008","FQ4 2008","Currency=USD","Period=FQ","BEST_FPERIOD_OVERRIDE=FQ","FILING_STATUS=OR","Sort=A","Dates=H","DateFormat=P","Fill=—","Direction=H","UseDPDF=Y")</f>
        <v>6.4322999999999997</v>
      </c>
      <c r="E25" s="14">
        <f>_xll.BDH("XOM US Equity","CASH_ST_INVESTMENTS_PER_SH","FQ1 2009","FQ1 2009","Currency=USD","Period=FQ","BEST_FPERIOD_OVERRIDE=FQ","FILING_STATUS=OR","Sort=A","Dates=H","DateFormat=P","Fill=—","Direction=H","UseDPDF=Y")</f>
        <v>5.1516000000000002</v>
      </c>
      <c r="F25" s="14">
        <f>_xll.BDH("XOM US Equity","CASH_ST_INVESTMENTS_PER_SH","FQ2 2009","FQ2 2009","Currency=USD","Period=FQ","BEST_FPERIOD_OVERRIDE=FQ","FILING_STATUS=OR","Sort=A","Dates=H","DateFormat=P","Fill=—","Direction=H","UseDPDF=Y")</f>
        <v>3.2728000000000002</v>
      </c>
      <c r="G25" s="14">
        <f>_xll.BDH("XOM US Equity","CASH_ST_INVESTMENTS_PER_SH","FQ3 2009","FQ3 2009","Currency=USD","Period=FQ","BEST_FPERIOD_OVERRIDE=FQ","FILING_STATUS=OR","Sort=A","Dates=H","DateFormat=P","Fill=—","Direction=H","UseDPDF=Y")</f>
        <v>2.6592000000000002</v>
      </c>
      <c r="H25" s="14">
        <f>_xll.BDH("XOM US Equity","CASH_ST_INVESTMENTS_PER_SH","FQ4 2009","FQ4 2009","Currency=USD","Period=FQ","BEST_FPERIOD_OVERRIDE=FQ","FILING_STATUS=OR","Sort=A","Dates=H","DateFormat=P","Fill=—","Direction=H","UseDPDF=Y")</f>
        <v>2.2978999999999998</v>
      </c>
      <c r="I25" s="14">
        <f>_xll.BDH("XOM US Equity","CASH_ST_INVESTMENTS_PER_SH","FQ1 2010","FQ1 2010","Currency=USD","Period=FQ","BEST_FPERIOD_OVERRIDE=FQ","FILING_STATUS=OR","Sort=A","Dates=H","DateFormat=P","Fill=—","Direction=H","UseDPDF=Y")</f>
        <v>2.9432</v>
      </c>
      <c r="J25" s="14">
        <f>_xll.BDH("XOM US Equity","CASH_ST_INVESTMENTS_PER_SH","FQ2 2010","FQ2 2010","Currency=USD","Period=FQ","BEST_FPERIOD_OVERRIDE=FQ","FILING_STATUS=OR","Sort=A","Dates=H","DateFormat=P","Fill=—","Direction=H","UseDPDF=Y")</f>
        <v>2.6055000000000001</v>
      </c>
      <c r="K25" s="14">
        <f>_xll.BDH("XOM US Equity","CASH_ST_INVESTMENTS_PER_SH","FQ3 2010","FQ3 2010","Currency=USD","Period=FQ","BEST_FPERIOD_OVERRIDE=FQ","FILING_STATUS=OR","Sort=A","Dates=H","DateFormat=P","Fill=—","Direction=H","UseDPDF=Y")</f>
        <v>2.4308999999999998</v>
      </c>
      <c r="L25" s="14">
        <f>_xll.BDH("XOM US Equity","CASH_ST_INVESTMENTS_PER_SH","FQ4 2010","FQ4 2010","Currency=USD","Period=FQ","BEST_FPERIOD_OVERRIDE=FQ","FILING_STATUS=OR","Sort=A","Dates=H","DateFormat=P","Fill=—","Direction=H","UseDPDF=Y")</f>
        <v>1.5720000000000001</v>
      </c>
      <c r="M25" s="14">
        <f>_xll.BDH("XOM US Equity","CASH_ST_INVESTMENTS_PER_SH","FQ1 2011","FQ1 2011","Currency=USD","Period=FQ","BEST_FPERIOD_OVERRIDE=FQ","FILING_STATUS=OR","Sort=A","Dates=H","DateFormat=P","Fill=—","Direction=H","UseDPDF=Y")</f>
        <v>2.6052</v>
      </c>
      <c r="N25" s="14">
        <f>_xll.BDH("XOM US Equity","CASH_ST_INVESTMENTS_PER_SH","FQ2 2011","FQ2 2011","Currency=USD","Period=FQ","BEST_FPERIOD_OVERRIDE=FQ","FILING_STATUS=OR","Sort=A","Dates=H","DateFormat=P","Fill=—","Direction=H","UseDPDF=Y")</f>
        <v>2.0651999999999999</v>
      </c>
      <c r="O25" s="14">
        <f>_xll.BDH("XOM US Equity","CASH_ST_INVESTMENTS_PER_SH","FQ3 2011","FQ3 2011","Currency=USD","Period=FQ","BEST_FPERIOD_OVERRIDE=FQ","FILING_STATUS=OR","Sort=A","Dates=H","DateFormat=P","Fill=—","Direction=H","UseDPDF=Y")</f>
        <v>2.2995999999999999</v>
      </c>
      <c r="P25" s="14">
        <f>_xll.BDH("XOM US Equity","CASH_ST_INVESTMENTS_PER_SH","FQ4 2011","FQ4 2011","Currency=USD","Period=FQ","BEST_FPERIOD_OVERRIDE=FQ","FILING_STATUS=OR","Sort=A","Dates=H","DateFormat=P","Fill=—","Direction=H","UseDPDF=Y")</f>
        <v>2.6751</v>
      </c>
      <c r="Q25" s="14">
        <f>_xll.BDH("XOM US Equity","CASH_ST_INVESTMENTS_PER_SH","FQ1 2012","FQ1 2012","Currency=USD","Period=FQ","BEST_FPERIOD_OVERRIDE=FQ","FILING_STATUS=OR","Sort=A","Dates=H","DateFormat=P","Fill=—","Direction=H","UseDPDF=Y")</f>
        <v>3.9927000000000001</v>
      </c>
      <c r="R25" s="14">
        <f>_xll.BDH("XOM US Equity","CASH_ST_INVESTMENTS_PER_SH","FQ2 2012","FQ2 2012","Currency=USD","Period=FQ","BEST_FPERIOD_OVERRIDE=FQ","FILING_STATUS=OR","Sort=A","Dates=H","DateFormat=P","Fill=—","Direction=H","UseDPDF=Y")</f>
        <v>3.8566000000000003</v>
      </c>
      <c r="S25" s="14">
        <f>_xll.BDH("XOM US Equity","CASH_ST_INVESTMENTS_PER_SH","FQ3 2012","FQ3 2012","Currency=USD","Period=FQ","BEST_FPERIOD_OVERRIDE=FQ","FILING_STATUS=OR","Sort=A","Dates=H","DateFormat=P","Fill=—","Direction=H","UseDPDF=Y")</f>
        <v>2.8635999999999999</v>
      </c>
      <c r="T25" s="14">
        <f>_xll.BDH("XOM US Equity","CASH_ST_INVESTMENTS_PER_SH","FQ4 2012","FQ4 2012","Currency=USD","Period=FQ","BEST_FPERIOD_OVERRIDE=FQ","FILING_STATUS=OR","Sort=A","Dates=H","DateFormat=P","Fill=—","Direction=H","UseDPDF=Y")</f>
        <v>2.1284000000000001</v>
      </c>
      <c r="U25" s="14">
        <f>_xll.BDH("XOM US Equity","CASH_ST_INVESTMENTS_PER_SH","FQ1 2013","FQ1 2013","Currency=USD","Period=FQ","BEST_FPERIOD_OVERRIDE=FQ","FILING_STATUS=OR","Sort=A","Dates=H","DateFormat=P","Fill=—","Direction=H","UseDPDF=Y")</f>
        <v>1.3976999999999999</v>
      </c>
      <c r="V25" s="14">
        <f>_xll.BDH("XOM US Equity","CASH_ST_INVESTMENTS_PER_SH","FQ2 2013","FQ2 2013","Currency=USD","Period=FQ","BEST_FPERIOD_OVERRIDE=FQ","FILING_STATUS=OR","Sort=A","Dates=H","DateFormat=P","Fill=—","Direction=H","UseDPDF=Y")</f>
        <v>1.0469999999999999</v>
      </c>
      <c r="W25" s="14">
        <f>_xll.BDH("XOM US Equity","CASH_ST_INVESTMENTS_PER_SH","FQ3 2013","FQ3 2013","Currency=USD","Period=FQ","BEST_FPERIOD_OVERRIDE=FQ","FILING_STATUS=OR","Sort=A","Dates=H","DateFormat=P","Fill=—","Direction=H","UseDPDF=Y")</f>
        <v>1.2154</v>
      </c>
      <c r="X25" s="14">
        <f>_xll.BDH("XOM US Equity","CASH_ST_INVESTMENTS_PER_SH","FQ4 2013","FQ4 2013","Currency=USD","Period=FQ","BEST_FPERIOD_OVERRIDE=FQ","FILING_STATUS=OR","Sort=A","Dates=H","DateFormat=P","Fill=—","Direction=H","UseDPDF=Y")</f>
        <v>1.0712999999999999</v>
      </c>
      <c r="Y25" s="14">
        <f>_xll.BDH("XOM US Equity","CASH_ST_INVESTMENTS_PER_SH","FQ1 2014","FQ1 2014","Currency=USD","Period=FQ","BEST_FPERIOD_OVERRIDE=FQ","FILING_STATUS=OR","Sort=A","Dates=H","DateFormat=P","Fill=—","Direction=H","UseDPDF=Y")</f>
        <v>1.3044</v>
      </c>
      <c r="Z25" s="14">
        <f>_xll.BDH("XOM US Equity","CASH_ST_INVESTMENTS_PER_SH","FQ2 2014","FQ2 2014","Currency=USD","Period=FQ","BEST_FPERIOD_OVERRIDE=FQ","FILING_STATUS=OR","Sort=A","Dates=H","DateFormat=P","Fill=—","Direction=H","UseDPDF=Y")</f>
        <v>1.4262999999999999</v>
      </c>
      <c r="AA25" s="14">
        <f>_xll.BDH("XOM US Equity","CASH_ST_INVESTMENTS_PER_SH","FQ3 2014","FQ3 2014","Currency=USD","Period=FQ","BEST_FPERIOD_OVERRIDE=FQ","FILING_STATUS=OR","Sort=A","Dates=H","DateFormat=P","Fill=—","Direction=H","UseDPDF=Y")</f>
        <v>1.1717</v>
      </c>
      <c r="AB25" s="14">
        <f>_xll.BDH("XOM US Equity","CASH_ST_INVESTMENTS_PER_SH","FQ4 2014","FQ4 2014","Currency=USD","Period=FQ","BEST_FPERIOD_OVERRIDE=FQ","FILING_STATUS=OR","Sort=A","Dates=H","DateFormat=P","Fill=—","Direction=H","UseDPDF=Y")</f>
        <v>1.0988</v>
      </c>
      <c r="AC25" s="14">
        <f>_xll.BDH("XOM US Equity","CASH_ST_INVESTMENTS_PER_SH","FQ1 2015","FQ1 2015","Currency=USD","Period=FQ","BEST_FPERIOD_OVERRIDE=FQ","FILING_STATUS=OR","Sort=A","Dates=H","DateFormat=P","Fill=—","Direction=H","UseDPDF=Y")</f>
        <v>1.2399</v>
      </c>
      <c r="AD25" s="14">
        <f>_xll.BDH("XOM US Equity","CASH_ST_INVESTMENTS_PER_SH","FQ2 2015","FQ2 2015","Currency=USD","Period=FQ","BEST_FPERIOD_OVERRIDE=FQ","FILING_STATUS=OR","Sort=A","Dates=H","DateFormat=P","Fill=—","Direction=H","UseDPDF=Y")</f>
        <v>1.0417000000000001</v>
      </c>
      <c r="AE25" s="14">
        <f>_xll.BDH("XOM US Equity","CASH_ST_INVESTMENTS_PER_SH","FQ3 2015","FQ3 2015","Currency=USD","Period=FQ","BEST_FPERIOD_OVERRIDE=FQ","FILING_STATUS=OR","Sort=A","Dates=H","DateFormat=P","Fill=—","Direction=H","UseDPDF=Y")</f>
        <v>1.0319</v>
      </c>
      <c r="AF25" s="14">
        <f>_xll.BDH("XOM US Equity","CASH_ST_INVESTMENTS_PER_SH","FQ4 2015","FQ4 2015","Currency=USD","Period=FQ","BEST_FPERIOD_OVERRIDE=FQ","FILING_STATUS=OR","Sort=A","Dates=H","DateFormat=P","Fill=—","Direction=H","UseDPDF=Y")</f>
        <v>0.89149999999999996</v>
      </c>
      <c r="AG25" s="14">
        <f>_xll.BDH("XOM US Equity","CASH_ST_INVESTMENTS_PER_SH","FQ1 2016","FQ1 2016","Currency=USD","Period=FQ","BEST_FPERIOD_OVERRIDE=FQ","FILING_STATUS=OR","Sort=A","Dates=H","DateFormat=P","Fill=—","Direction=H","UseDPDF=Y")</f>
        <v>1.1686000000000001</v>
      </c>
      <c r="AH25" s="14">
        <f>_xll.BDH("XOM US Equity","CASH_ST_INVESTMENTS_PER_SH","FQ2 2016","FQ2 2016","Currency=USD","Period=FQ","BEST_FPERIOD_OVERRIDE=FQ","FILING_STATUS=OR","Sort=A","Dates=H","DateFormat=P","Fill=—","Direction=H","UseDPDF=Y")</f>
        <v>1.0508999999999999</v>
      </c>
      <c r="AI25" s="14">
        <f>_xll.BDH("XOM US Equity","CASH_ST_INVESTMENTS_PER_SH","FQ3 2016","FQ3 2016","Currency=USD","Period=FQ","BEST_FPERIOD_OVERRIDE=FQ","FILING_STATUS=OR","Sort=A","Dates=H","DateFormat=P","Fill=—","Direction=H","UseDPDF=Y")</f>
        <v>1.2281</v>
      </c>
      <c r="AJ25" s="14">
        <f>_xll.BDH("XOM US Equity","CASH_ST_INVESTMENTS_PER_SH","FQ4 2016","FQ4 2016","Currency=USD","Period=FQ","BEST_FPERIOD_OVERRIDE=FQ","FILING_STATUS=OR","Sort=A","Dates=H","DateFormat=P","Fill=—","Direction=H","UseDPDF=Y")</f>
        <v>0.88160000000000005</v>
      </c>
      <c r="AK25" s="14">
        <f>_xll.BDH("XOM US Equity","CASH_ST_INVESTMENTS_PER_SH","FQ1 2017","FQ1 2017","Currency=USD","Period=FQ","BEST_FPERIOD_OVERRIDE=FQ","FILING_STATUS=OR","Sort=A","Dates=H","DateFormat=P","Fill=—","Direction=H","UseDPDF=Y")</f>
        <v>1.1557999999999999</v>
      </c>
      <c r="AL25" s="14">
        <f>_xll.BDH("XOM US Equity","CASH_ST_INVESTMENTS_PER_SH","FQ2 2017","FQ2 2017","Currency=USD","Period=FQ","BEST_FPERIOD_OVERRIDE=FQ","FILING_STATUS=OR","Sort=A","Dates=H","DateFormat=P","Fill=—","Direction=H","UseDPDF=Y")</f>
        <v>0.95399999999999996</v>
      </c>
      <c r="AM25" s="14">
        <f>_xll.BDH("XOM US Equity","CASH_ST_INVESTMENTS_PER_SH","FQ3 2017","FQ3 2017","Currency=USD","Period=FQ","BEST_FPERIOD_OVERRIDE=FQ","FILING_STATUS=OR","Sort=A","Dates=H","DateFormat=P","Fill=—","Direction=H","UseDPDF=Y")</f>
        <v>1.0067999999999999</v>
      </c>
      <c r="AN25" s="14">
        <f>_xll.BDH("XOM US Equity","CASH_ST_INVESTMENTS_PER_SH","FQ4 2017","FQ4 2017","Currency=USD","Period=FQ","BEST_FPERIOD_OVERRIDE=FQ","FILING_STATUS=OR","Sort=A","Dates=H","DateFormat=P","Fill=—","Direction=H","UseDPDF=Y")</f>
        <v>0.74950000000000006</v>
      </c>
      <c r="AO25" s="14">
        <f>_xll.BDH("XOM US Equity","CASH_ST_INVESTMENTS_PER_SH","FQ1 2018","FQ1 2018","Currency=USD","Period=FQ","BEST_FPERIOD_OVERRIDE=FQ","FILING_STATUS=OR","Sort=A","Dates=H","DateFormat=P","Fill=—","Direction=H","UseDPDF=Y")</f>
        <v>0.97430000000000005</v>
      </c>
      <c r="AP25" s="14">
        <f>_xll.BDH("XOM US Equity","CASH_ST_INVESTMENTS_PER_SH","FQ2 2018","FQ2 2018","Currency=USD","Period=FQ","BEST_FPERIOD_OVERRIDE=FQ","FILING_STATUS=OR","Sort=A","Dates=H","DateFormat=P","Fill=—","Direction=H","UseDPDF=Y")</f>
        <v>0.81010000000000004</v>
      </c>
    </row>
    <row r="26" spans="1:42" x14ac:dyDescent="0.25">
      <c r="A26" s="10" t="s">
        <v>479</v>
      </c>
      <c r="B26" s="10" t="s">
        <v>480</v>
      </c>
      <c r="C26" s="14">
        <f>_xll.BDH("XOM US Equity","BOOK_VAL_PER_SH","FQ3 2008","FQ3 2008","Currency=USD","Period=FQ","BEST_FPERIOD_OVERRIDE=FQ","FILING_STATUS=OR","Sort=A","Dates=H","DateFormat=P","Fill=—","Direction=H","UseDPDF=Y")</f>
        <v>24.628699999999998</v>
      </c>
      <c r="D26" s="14">
        <f>_xll.BDH("XOM US Equity","BOOK_VAL_PER_SH","FQ4 2008","FQ4 2008","Currency=USD","Period=FQ","BEST_FPERIOD_OVERRIDE=FQ","FILING_STATUS=OR","Sort=A","Dates=H","DateFormat=P","Fill=—","Direction=H","UseDPDF=Y")</f>
        <v>22.701999999999998</v>
      </c>
      <c r="E26" s="14">
        <f>_xll.BDH("XOM US Equity","BOOK_VAL_PER_SH","FQ1 2009","FQ1 2009","Currency=USD","Period=FQ","BEST_FPERIOD_OVERRIDE=FQ","FILING_STATUS=OR","Sort=A","Dates=H","DateFormat=P","Fill=—","Direction=H","UseDPDF=Y")</f>
        <v>21.9268</v>
      </c>
      <c r="F26" s="14">
        <f>_xll.BDH("XOM US Equity","BOOK_VAL_PER_SH","FQ2 2009","FQ2 2009","Currency=USD","Period=FQ","BEST_FPERIOD_OVERRIDE=FQ","FILING_STATUS=OR","Sort=A","Dates=H","DateFormat=P","Fill=—","Direction=H","UseDPDF=Y")</f>
        <v>22.178899999999999</v>
      </c>
      <c r="G26" s="14">
        <f>_xll.BDH("XOM US Equity","BOOK_VAL_PER_SH","FQ3 2009","FQ3 2009","Currency=USD","Period=FQ","BEST_FPERIOD_OVERRIDE=FQ","FILING_STATUS=OR","Sort=A","Dates=H","DateFormat=P","Fill=—","Direction=H","UseDPDF=Y")</f>
        <v>22.596399999999999</v>
      </c>
      <c r="H26" s="14">
        <f>_xll.BDH("XOM US Equity","BOOK_VAL_PER_SH","FQ4 2009","FQ4 2009","Currency=USD","Period=FQ","BEST_FPERIOD_OVERRIDE=FQ","FILING_STATUS=OR","Sort=A","Dates=H","DateFormat=P","Fill=—","Direction=H","UseDPDF=Y")</f>
        <v>23.390899999999998</v>
      </c>
      <c r="I26" s="14">
        <f>_xll.BDH("XOM US Equity","BOOK_VAL_PER_SH","FQ1 2010","FQ1 2010","Currency=USD","Period=FQ","BEST_FPERIOD_OVERRIDE=FQ","FILING_STATUS=OR","Sort=A","Dates=H","DateFormat=P","Fill=—","Direction=H","UseDPDF=Y")</f>
        <v>23.955100000000002</v>
      </c>
      <c r="J26" s="14">
        <f>_xll.BDH("XOM US Equity","BOOK_VAL_PER_SH","FQ2 2010","FQ2 2010","Currency=USD","Period=FQ","BEST_FPERIOD_OVERRIDE=FQ","FILING_STATUS=OR","Sort=A","Dates=H","DateFormat=P","Fill=—","Direction=H","UseDPDF=Y")</f>
        <v>27.527899999999999</v>
      </c>
      <c r="K26" s="14">
        <f>_xll.BDH("XOM US Equity","BOOK_VAL_PER_SH","FQ3 2010","FQ3 2010","Currency=USD","Period=FQ","BEST_FPERIOD_OVERRIDE=FQ","FILING_STATUS=OR","Sort=A","Dates=H","DateFormat=P","Fill=—","Direction=H","UseDPDF=Y")</f>
        <v>28.758900000000001</v>
      </c>
      <c r="L26" s="14">
        <f>_xll.BDH("XOM US Equity","BOOK_VAL_PER_SH","FQ4 2010","FQ4 2010","Currency=USD","Period=FQ","BEST_FPERIOD_OVERRIDE=FQ","FILING_STATUS=OR","Sort=A","Dates=H","DateFormat=P","Fill=—","Direction=H","UseDPDF=Y")</f>
        <v>29.491700000000002</v>
      </c>
      <c r="M26" s="14">
        <f>_xll.BDH("XOM US Equity","BOOK_VAL_PER_SH","FQ1 2011","FQ1 2011","Currency=USD","Period=FQ","BEST_FPERIOD_OVERRIDE=FQ","FILING_STATUS=OR","Sort=A","Dates=H","DateFormat=P","Fill=—","Direction=H","UseDPDF=Y")</f>
        <v>30.751100000000001</v>
      </c>
      <c r="N26" s="14">
        <f>_xll.BDH("XOM US Equity","BOOK_VAL_PER_SH","FQ2 2011","FQ2 2011","Currency=USD","Period=FQ","BEST_FPERIOD_OVERRIDE=FQ","FILING_STATUS=OR","Sort=A","Dates=H","DateFormat=P","Fill=—","Direction=H","UseDPDF=Y")</f>
        <v>31.993200000000002</v>
      </c>
      <c r="O26" s="14">
        <f>_xll.BDH("XOM US Equity","BOOK_VAL_PER_SH","FQ3 2011","FQ3 2011","Currency=USD","Period=FQ","BEST_FPERIOD_OVERRIDE=FQ","FILING_STATUS=OR","Sort=A","Dates=H","DateFormat=P","Fill=—","Direction=H","UseDPDF=Y")</f>
        <v>32.534700000000001</v>
      </c>
      <c r="P26" s="14">
        <f>_xll.BDH("XOM US Equity","BOOK_VAL_PER_SH","FQ4 2011","FQ4 2011","Currency=USD","Period=FQ","BEST_FPERIOD_OVERRIDE=FQ","FILING_STATUS=OR","Sort=A","Dates=H","DateFormat=P","Fill=—","Direction=H","UseDPDF=Y")</f>
        <v>32.6143</v>
      </c>
      <c r="Q26" s="14">
        <f>_xll.BDH("XOM US Equity","BOOK_VAL_PER_SH","FQ1 2012","FQ1 2012","Currency=USD","Period=FQ","BEST_FPERIOD_OVERRIDE=FQ","FILING_STATUS=OR","Sort=A","Dates=H","DateFormat=P","Fill=—","Direction=H","UseDPDF=Y")</f>
        <v>33.578299999999999</v>
      </c>
      <c r="R26" s="14">
        <f>_xll.BDH("XOM US Equity","BOOK_VAL_PER_SH","FQ2 2012","FQ2 2012","Currency=USD","Period=FQ","BEST_FPERIOD_OVERRIDE=FQ","FILING_STATUS=OR","Sort=A","Dates=H","DateFormat=P","Fill=—","Direction=H","UseDPDF=Y")</f>
        <v>35.271000000000001</v>
      </c>
      <c r="S26" s="14">
        <f>_xll.BDH("XOM US Equity","BOOK_VAL_PER_SH","FQ3 2012","FQ3 2012","Currency=USD","Period=FQ","BEST_FPERIOD_OVERRIDE=FQ","FILING_STATUS=OR","Sort=A","Dates=H","DateFormat=P","Fill=—","Direction=H","UseDPDF=Y")</f>
        <v>36.567900000000002</v>
      </c>
      <c r="T26" s="14">
        <f>_xll.BDH("XOM US Equity","BOOK_VAL_PER_SH","FQ4 2012","FQ4 2012","Currency=USD","Period=FQ","BEST_FPERIOD_OVERRIDE=FQ","FILING_STATUS=OR","Sort=A","Dates=H","DateFormat=P","Fill=—","Direction=H","UseDPDF=Y")</f>
        <v>36.842100000000002</v>
      </c>
      <c r="U26" s="14">
        <f>_xll.BDH("XOM US Equity","BOOK_VAL_PER_SH","FQ1 2013","FQ1 2013","Currency=USD","Period=FQ","BEST_FPERIOD_OVERRIDE=FQ","FILING_STATUS=OR","Sort=A","Dates=H","DateFormat=P","Fill=—","Direction=H","UseDPDF=Y")</f>
        <v>37.562100000000001</v>
      </c>
      <c r="V26" s="14">
        <f>_xll.BDH("XOM US Equity","BOOK_VAL_PER_SH","FQ2 2013","FQ2 2013","Currency=USD","Period=FQ","BEST_FPERIOD_OVERRIDE=FQ","FILING_STATUS=OR","Sort=A","Dates=H","DateFormat=P","Fill=—","Direction=H","UseDPDF=Y")</f>
        <v>37.629899999999999</v>
      </c>
      <c r="W26" s="14">
        <f>_xll.BDH("XOM US Equity","BOOK_VAL_PER_SH","FQ3 2013","FQ3 2013","Currency=USD","Period=FQ","BEST_FPERIOD_OVERRIDE=FQ","FILING_STATUS=OR","Sort=A","Dates=H","DateFormat=P","Fill=—","Direction=H","UseDPDF=Y")</f>
        <v>38.737699999999997</v>
      </c>
      <c r="X26" s="14">
        <f>_xll.BDH("XOM US Equity","BOOK_VAL_PER_SH","FQ4 2013","FQ4 2013","Currency=USD","Period=FQ","BEST_FPERIOD_OVERRIDE=FQ","FILING_STATUS=OR","Sort=A","Dates=H","DateFormat=P","Fill=—","Direction=H","UseDPDF=Y")</f>
        <v>40.139099999999999</v>
      </c>
      <c r="Y26" s="14">
        <f>_xll.BDH("XOM US Equity","BOOK_VAL_PER_SH","FQ1 2014","FQ1 2014","Currency=USD","Period=FQ","BEST_FPERIOD_OVERRIDE=FQ","FILING_STATUS=OR","Sort=A","Dates=H","DateFormat=P","Fill=—","Direction=H","UseDPDF=Y")</f>
        <v>41.080100000000002</v>
      </c>
      <c r="Z26" s="14">
        <f>_xll.BDH("XOM US Equity","BOOK_VAL_PER_SH","FQ2 2014","FQ2 2014","Currency=USD","Period=FQ","BEST_FPERIOD_OVERRIDE=FQ","FILING_STATUS=OR","Sort=A","Dates=H","DateFormat=P","Fill=—","Direction=H","UseDPDF=Y")</f>
        <v>42.474800000000002</v>
      </c>
      <c r="AA26" s="14">
        <f>_xll.BDH("XOM US Equity","BOOK_VAL_PER_SH","FQ3 2014","FQ3 2014","Currency=USD","Period=FQ","BEST_FPERIOD_OVERRIDE=FQ","FILING_STATUS=OR","Sort=A","Dates=H","DateFormat=P","Fill=—","Direction=H","UseDPDF=Y")</f>
        <v>42.641599999999997</v>
      </c>
      <c r="AB26" s="14">
        <f>_xll.BDH("XOM US Equity","BOOK_VAL_PER_SH","FQ4 2014","FQ4 2014","Currency=USD","Period=FQ","BEST_FPERIOD_OVERRIDE=FQ","FILING_STATUS=OR","Sort=A","Dates=H","DateFormat=P","Fill=—","Direction=H","UseDPDF=Y")</f>
        <v>41.5137</v>
      </c>
      <c r="AC26" s="14">
        <f>_xll.BDH("XOM US Equity","BOOK_VAL_PER_SH","FQ1 2015","FQ1 2015","Currency=USD","Period=FQ","BEST_FPERIOD_OVERRIDE=FQ","FILING_STATUS=OR","Sort=A","Dates=H","DateFormat=P","Fill=—","Direction=H","UseDPDF=Y")</f>
        <v>40.953600000000002</v>
      </c>
      <c r="AD26" s="14">
        <f>_xll.BDH("XOM US Equity","BOOK_VAL_PER_SH","FQ2 2015","FQ2 2015","Currency=USD","Period=FQ","BEST_FPERIOD_OVERRIDE=FQ","FILING_STATUS=OR","Sort=A","Dates=H","DateFormat=P","Fill=—","Direction=H","UseDPDF=Y")</f>
        <v>41.417099999999998</v>
      </c>
      <c r="AE26" s="14">
        <f>_xll.BDH("XOM US Equity","BOOK_VAL_PER_SH","FQ3 2015","FQ3 2015","Currency=USD","Period=FQ","BEST_FPERIOD_OVERRIDE=FQ","FILING_STATUS=OR","Sort=A","Dates=H","DateFormat=P","Fill=—","Direction=H","UseDPDF=Y")</f>
        <v>41.009599999999999</v>
      </c>
      <c r="AF26" s="14">
        <f>_xll.BDH("XOM US Equity","BOOK_VAL_PER_SH","FQ4 2015","FQ4 2015","Currency=USD","Period=FQ","BEST_FPERIOD_OVERRIDE=FQ","FILING_STATUS=OR","Sort=A","Dates=H","DateFormat=P","Fill=—","Direction=H","UseDPDF=Y")</f>
        <v>41.099899999999998</v>
      </c>
      <c r="AG26" s="14">
        <f>_xll.BDH("XOM US Equity","BOOK_VAL_PER_SH","FQ1 2016","FQ1 2016","Currency=USD","Period=FQ","BEST_FPERIOD_OVERRIDE=FQ","FILING_STATUS=OR","Sort=A","Dates=H","DateFormat=P","Fill=—","Direction=H","UseDPDF=Y")</f>
        <v>41.520899999999997</v>
      </c>
      <c r="AH26" s="14">
        <f>_xll.BDH("XOM US Equity","BOOK_VAL_PER_SH","FQ2 2016","FQ2 2016","Currency=USD","Period=FQ","BEST_FPERIOD_OVERRIDE=FQ","FILING_STATUS=OR","Sort=A","Dates=H","DateFormat=P","Fill=—","Direction=H","UseDPDF=Y")</f>
        <v>41.136000000000003</v>
      </c>
      <c r="AI26" s="14">
        <f>_xll.BDH("XOM US Equity","BOOK_VAL_PER_SH","FQ3 2016","FQ3 2016","Currency=USD","Period=FQ","BEST_FPERIOD_OVERRIDE=FQ","FILING_STATUS=OR","Sort=A","Dates=H","DateFormat=P","Fill=—","Direction=H","UseDPDF=Y")</f>
        <v>41.1374</v>
      </c>
      <c r="AJ26" s="14">
        <f>_xll.BDH("XOM US Equity","BOOK_VAL_PER_SH","FQ4 2016","FQ4 2016","Currency=USD","Period=FQ","BEST_FPERIOD_OVERRIDE=FQ","FILING_STATUS=OR","Sort=A","Dates=H","DateFormat=P","Fill=—","Direction=H","UseDPDF=Y")</f>
        <v>40.338700000000003</v>
      </c>
      <c r="AK26" s="14">
        <f>_xll.BDH("XOM US Equity","BOOK_VAL_PER_SH","FQ1 2017","FQ1 2017","Currency=USD","Period=FQ","BEST_FPERIOD_OVERRIDE=FQ","FILING_STATUS=OR","Sort=A","Dates=H","DateFormat=P","Fill=—","Direction=H","UseDPDF=Y")</f>
        <v>41.810499999999998</v>
      </c>
      <c r="AL26" s="14">
        <f>_xll.BDH("XOM US Equity","BOOK_VAL_PER_SH","FQ2 2017","FQ2 2017","Currency=USD","Period=FQ","BEST_FPERIOD_OVERRIDE=FQ","FILING_STATUS=OR","Sort=A","Dates=H","DateFormat=P","Fill=—","Direction=H","UseDPDF=Y")</f>
        <v>42.288899999999998</v>
      </c>
      <c r="AM26" s="14">
        <f>_xll.BDH("XOM US Equity","BOOK_VAL_PER_SH","FQ3 2017","FQ3 2017","Currency=USD","Period=FQ","BEST_FPERIOD_OVERRIDE=FQ","FILING_STATUS=OR","Sort=A","Dates=H","DateFormat=P","Fill=—","Direction=H","UseDPDF=Y")</f>
        <v>43.020099999999999</v>
      </c>
      <c r="AN26" s="14">
        <f>_xll.BDH("XOM US Equity","BOOK_VAL_PER_SH","FQ4 2017","FQ4 2017","Currency=USD","Period=FQ","BEST_FPERIOD_OVERRIDE=FQ","FILING_STATUS=OR","Sort=A","Dates=H","DateFormat=P","Fill=—","Direction=H","UseDPDF=Y")</f>
        <v>44.276499999999999</v>
      </c>
      <c r="AO26" s="14">
        <f>_xll.BDH("XOM US Equity","BOOK_VAL_PER_SH","FQ1 2018","FQ1 2018","Currency=USD","Period=FQ","BEST_FPERIOD_OVERRIDE=FQ","FILING_STATUS=OR","Sort=A","Dates=H","DateFormat=P","Fill=—","Direction=H","UseDPDF=Y")</f>
        <v>44.448500000000003</v>
      </c>
      <c r="AP26" s="14">
        <f>_xll.BDH("XOM US Equity","BOOK_VAL_PER_SH","FQ2 2018","FQ2 2018","Currency=USD","Period=FQ","BEST_FPERIOD_OVERRIDE=FQ","FILING_STATUS=OR","Sort=A","Dates=H","DateFormat=P","Fill=—","Direction=H","UseDPDF=Y")</f>
        <v>44.218699999999998</v>
      </c>
    </row>
    <row r="27" spans="1:42" x14ac:dyDescent="0.25">
      <c r="A27" s="10" t="s">
        <v>481</v>
      </c>
      <c r="B27" s="10" t="s">
        <v>482</v>
      </c>
      <c r="C27" s="14">
        <f>_xll.BDH("XOM US Equity","TANG_BOOK_VAL_PER_SH","FQ3 2008","FQ3 2008","Currency=USD","Period=FQ","BEST_FPERIOD_OVERRIDE=FQ","FILING_STATUS=OR","Sort=A","Dates=H","DateFormat=P","Fill=—","Direction=H","UseDPDF=Y")</f>
        <v>24.628699999999998</v>
      </c>
      <c r="D27" s="14">
        <f>_xll.BDH("XOM US Equity","TANG_BOOK_VAL_PER_SH","FQ4 2008","FQ4 2008","Currency=USD","Period=FQ","BEST_FPERIOD_OVERRIDE=FQ","FILING_STATUS=OR","Sort=A","Dates=H","DateFormat=P","Fill=—","Direction=H","UseDPDF=Y")</f>
        <v>22.701999999999998</v>
      </c>
      <c r="E27" s="14" t="str">
        <f>_xll.BDH("XOM US Equity","TANG_BOOK_VAL_PER_SH","FQ1 2009","FQ1 2009","Currency=USD","Period=FQ","BEST_FPERIOD_OVERRIDE=FQ","FILING_STATUS=OR","Sort=A","Dates=H","DateFormat=P","Fill=—","Direction=H","UseDPDF=Y")</f>
        <v>—</v>
      </c>
      <c r="F27" s="14" t="str">
        <f>_xll.BDH("XOM US Equity","TANG_BOOK_VAL_PER_SH","FQ2 2009","FQ2 2009","Currency=USD","Period=FQ","BEST_FPERIOD_OVERRIDE=FQ","FILING_STATUS=OR","Sort=A","Dates=H","DateFormat=P","Fill=—","Direction=H","UseDPDF=Y")</f>
        <v>—</v>
      </c>
      <c r="G27" s="14" t="str">
        <f>_xll.BDH("XOM US Equity","TANG_BOOK_VAL_PER_SH","FQ3 2009","FQ3 2009","Currency=USD","Period=FQ","BEST_FPERIOD_OVERRIDE=FQ","FILING_STATUS=OR","Sort=A","Dates=H","DateFormat=P","Fill=—","Direction=H","UseDPDF=Y")</f>
        <v>—</v>
      </c>
      <c r="H27" s="14">
        <f>_xll.BDH("XOM US Equity","TANG_BOOK_VAL_PER_SH","FQ4 2009","FQ4 2009","Currency=USD","Period=FQ","BEST_FPERIOD_OVERRIDE=FQ","FILING_STATUS=OR","Sort=A","Dates=H","DateFormat=P","Fill=—","Direction=H","UseDPDF=Y")</f>
        <v>23.390899999999998</v>
      </c>
      <c r="I27" s="14" t="str">
        <f>_xll.BDH("XOM US Equity","TANG_BOOK_VAL_PER_SH","FQ1 2010","FQ1 2010","Currency=USD","Period=FQ","BEST_FPERIOD_OVERRIDE=FQ","FILING_STATUS=OR","Sort=A","Dates=H","DateFormat=P","Fill=—","Direction=H","UseDPDF=Y")</f>
        <v>—</v>
      </c>
      <c r="J27" s="14" t="str">
        <f>_xll.BDH("XOM US Equity","TANG_BOOK_VAL_PER_SH","FQ2 2010","FQ2 2010","Currency=USD","Period=FQ","BEST_FPERIOD_OVERRIDE=FQ","FILING_STATUS=OR","Sort=A","Dates=H","DateFormat=P","Fill=—","Direction=H","UseDPDF=Y")</f>
        <v>—</v>
      </c>
      <c r="K27" s="14" t="str">
        <f>_xll.BDH("XOM US Equity","TANG_BOOK_VAL_PER_SH","FQ3 2010","FQ3 2010","Currency=USD","Period=FQ","BEST_FPERIOD_OVERRIDE=FQ","FILING_STATUS=OR","Sort=A","Dates=H","DateFormat=P","Fill=—","Direction=H","UseDPDF=Y")</f>
        <v>—</v>
      </c>
      <c r="L27" s="14">
        <f>_xll.BDH("XOM US Equity","TANG_BOOK_VAL_PER_SH","FQ4 2010","FQ4 2010","Currency=USD","Period=FQ","BEST_FPERIOD_OVERRIDE=FQ","FILING_STATUS=OR","Sort=A","Dates=H","DateFormat=P","Fill=—","Direction=H","UseDPDF=Y")</f>
        <v>29.491700000000002</v>
      </c>
      <c r="M27" s="14" t="str">
        <f>_xll.BDH("XOM US Equity","TANG_BOOK_VAL_PER_SH","FQ1 2011","FQ1 2011","Currency=USD","Period=FQ","BEST_FPERIOD_OVERRIDE=FQ","FILING_STATUS=OR","Sort=A","Dates=H","DateFormat=P","Fill=—","Direction=H","UseDPDF=Y")</f>
        <v>—</v>
      </c>
      <c r="N27" s="14" t="str">
        <f>_xll.BDH("XOM US Equity","TANG_BOOK_VAL_PER_SH","FQ2 2011","FQ2 2011","Currency=USD","Period=FQ","BEST_FPERIOD_OVERRIDE=FQ","FILING_STATUS=OR","Sort=A","Dates=H","DateFormat=P","Fill=—","Direction=H","UseDPDF=Y")</f>
        <v>—</v>
      </c>
      <c r="O27" s="14" t="str">
        <f>_xll.BDH("XOM US Equity","TANG_BOOK_VAL_PER_SH","FQ3 2011","FQ3 2011","Currency=USD","Period=FQ","BEST_FPERIOD_OVERRIDE=FQ","FILING_STATUS=OR","Sort=A","Dates=H","DateFormat=P","Fill=—","Direction=H","UseDPDF=Y")</f>
        <v>—</v>
      </c>
      <c r="P27" s="14">
        <f>_xll.BDH("XOM US Equity","TANG_BOOK_VAL_PER_SH","FQ4 2011","FQ4 2011","Currency=USD","Period=FQ","BEST_FPERIOD_OVERRIDE=FQ","FILING_STATUS=OR","Sort=A","Dates=H","DateFormat=P","Fill=—","Direction=H","UseDPDF=Y")</f>
        <v>32.6143</v>
      </c>
      <c r="Q27" s="14" t="str">
        <f>_xll.BDH("XOM US Equity","TANG_BOOK_VAL_PER_SH","FQ1 2012","FQ1 2012","Currency=USD","Period=FQ","BEST_FPERIOD_OVERRIDE=FQ","FILING_STATUS=OR","Sort=A","Dates=H","DateFormat=P","Fill=—","Direction=H","UseDPDF=Y")</f>
        <v>—</v>
      </c>
      <c r="R27" s="14" t="str">
        <f>_xll.BDH("XOM US Equity","TANG_BOOK_VAL_PER_SH","FQ2 2012","FQ2 2012","Currency=USD","Period=FQ","BEST_FPERIOD_OVERRIDE=FQ","FILING_STATUS=OR","Sort=A","Dates=H","DateFormat=P","Fill=—","Direction=H","UseDPDF=Y")</f>
        <v>—</v>
      </c>
      <c r="S27" s="14" t="str">
        <f>_xll.BDH("XOM US Equity","TANG_BOOK_VAL_PER_SH","FQ3 2012","FQ3 2012","Currency=USD","Period=FQ","BEST_FPERIOD_OVERRIDE=FQ","FILING_STATUS=OR","Sort=A","Dates=H","DateFormat=P","Fill=—","Direction=H","UseDPDF=Y")</f>
        <v>—</v>
      </c>
      <c r="T27" s="14">
        <f>_xll.BDH("XOM US Equity","TANG_BOOK_VAL_PER_SH","FQ4 2012","FQ4 2012","Currency=USD","Period=FQ","BEST_FPERIOD_OVERRIDE=FQ","FILING_STATUS=OR","Sort=A","Dates=H","DateFormat=P","Fill=—","Direction=H","UseDPDF=Y")</f>
        <v>36.842100000000002</v>
      </c>
      <c r="U27" s="14" t="str">
        <f>_xll.BDH("XOM US Equity","TANG_BOOK_VAL_PER_SH","FQ1 2013","FQ1 2013","Currency=USD","Period=FQ","BEST_FPERIOD_OVERRIDE=FQ","FILING_STATUS=OR","Sort=A","Dates=H","DateFormat=P","Fill=—","Direction=H","UseDPDF=Y")</f>
        <v>—</v>
      </c>
      <c r="V27" s="14" t="str">
        <f>_xll.BDH("XOM US Equity","TANG_BOOK_VAL_PER_SH","FQ2 2013","FQ2 2013","Currency=USD","Period=FQ","BEST_FPERIOD_OVERRIDE=FQ","FILING_STATUS=OR","Sort=A","Dates=H","DateFormat=P","Fill=—","Direction=H","UseDPDF=Y")</f>
        <v>—</v>
      </c>
      <c r="W27" s="14" t="str">
        <f>_xll.BDH("XOM US Equity","TANG_BOOK_VAL_PER_SH","FQ3 2013","FQ3 2013","Currency=USD","Period=FQ","BEST_FPERIOD_OVERRIDE=FQ","FILING_STATUS=OR","Sort=A","Dates=H","DateFormat=P","Fill=—","Direction=H","UseDPDF=Y")</f>
        <v>—</v>
      </c>
      <c r="X27" s="14">
        <f>_xll.BDH("XOM US Equity","TANG_BOOK_VAL_PER_SH","FQ4 2013","FQ4 2013","Currency=USD","Period=FQ","BEST_FPERIOD_OVERRIDE=FQ","FILING_STATUS=OR","Sort=A","Dates=H","DateFormat=P","Fill=—","Direction=H","UseDPDF=Y")</f>
        <v>40.139099999999999</v>
      </c>
      <c r="Y27" s="14" t="str">
        <f>_xll.BDH("XOM US Equity","TANG_BOOK_VAL_PER_SH","FQ1 2014","FQ1 2014","Currency=USD","Period=FQ","BEST_FPERIOD_OVERRIDE=FQ","FILING_STATUS=OR","Sort=A","Dates=H","DateFormat=P","Fill=—","Direction=H","UseDPDF=Y")</f>
        <v>—</v>
      </c>
      <c r="Z27" s="14" t="str">
        <f>_xll.BDH("XOM US Equity","TANG_BOOK_VAL_PER_SH","FQ2 2014","FQ2 2014","Currency=USD","Period=FQ","BEST_FPERIOD_OVERRIDE=FQ","FILING_STATUS=OR","Sort=A","Dates=H","DateFormat=P","Fill=—","Direction=H","UseDPDF=Y")</f>
        <v>—</v>
      </c>
      <c r="AA27" s="14" t="str">
        <f>_xll.BDH("XOM US Equity","TANG_BOOK_VAL_PER_SH","FQ3 2014","FQ3 2014","Currency=USD","Period=FQ","BEST_FPERIOD_OVERRIDE=FQ","FILING_STATUS=OR","Sort=A","Dates=H","DateFormat=P","Fill=—","Direction=H","UseDPDF=Y")</f>
        <v>—</v>
      </c>
      <c r="AB27" s="14">
        <f>_xll.BDH("XOM US Equity","TANG_BOOK_VAL_PER_SH","FQ4 2014","FQ4 2014","Currency=USD","Period=FQ","BEST_FPERIOD_OVERRIDE=FQ","FILING_STATUS=OR","Sort=A","Dates=H","DateFormat=P","Fill=—","Direction=H","UseDPDF=Y")</f>
        <v>41.5137</v>
      </c>
      <c r="AC27" s="14" t="str">
        <f>_xll.BDH("XOM US Equity","TANG_BOOK_VAL_PER_SH","FQ1 2015","FQ1 2015","Currency=USD","Period=FQ","BEST_FPERIOD_OVERRIDE=FQ","FILING_STATUS=OR","Sort=A","Dates=H","DateFormat=P","Fill=—","Direction=H","UseDPDF=Y")</f>
        <v>—</v>
      </c>
      <c r="AD27" s="14" t="str">
        <f>_xll.BDH("XOM US Equity","TANG_BOOK_VAL_PER_SH","FQ2 2015","FQ2 2015","Currency=USD","Period=FQ","BEST_FPERIOD_OVERRIDE=FQ","FILING_STATUS=OR","Sort=A","Dates=H","DateFormat=P","Fill=—","Direction=H","UseDPDF=Y")</f>
        <v>—</v>
      </c>
      <c r="AE27" s="14" t="str">
        <f>_xll.BDH("XOM US Equity","TANG_BOOK_VAL_PER_SH","FQ3 2015","FQ3 2015","Currency=USD","Period=FQ","BEST_FPERIOD_OVERRIDE=FQ","FILING_STATUS=OR","Sort=A","Dates=H","DateFormat=P","Fill=—","Direction=H","UseDPDF=Y")</f>
        <v>—</v>
      </c>
      <c r="AF27" s="14">
        <f>_xll.BDH("XOM US Equity","TANG_BOOK_VAL_PER_SH","FQ4 2015","FQ4 2015","Currency=USD","Period=FQ","BEST_FPERIOD_OVERRIDE=FQ","FILING_STATUS=OR","Sort=A","Dates=H","DateFormat=P","Fill=—","Direction=H","UseDPDF=Y")</f>
        <v>41.099899999999998</v>
      </c>
      <c r="AG27" s="14" t="str">
        <f>_xll.BDH("XOM US Equity","TANG_BOOK_VAL_PER_SH","FQ1 2016","FQ1 2016","Currency=USD","Period=FQ","BEST_FPERIOD_OVERRIDE=FQ","FILING_STATUS=OR","Sort=A","Dates=H","DateFormat=P","Fill=—","Direction=H","UseDPDF=Y")</f>
        <v>—</v>
      </c>
      <c r="AH27" s="14" t="str">
        <f>_xll.BDH("XOM US Equity","TANG_BOOK_VAL_PER_SH","FQ2 2016","FQ2 2016","Currency=USD","Period=FQ","BEST_FPERIOD_OVERRIDE=FQ","FILING_STATUS=OR","Sort=A","Dates=H","DateFormat=P","Fill=—","Direction=H","UseDPDF=Y")</f>
        <v>—</v>
      </c>
      <c r="AI27" s="14" t="str">
        <f>_xll.BDH("XOM US Equity","TANG_BOOK_VAL_PER_SH","FQ3 2016","FQ3 2016","Currency=USD","Period=FQ","BEST_FPERIOD_OVERRIDE=FQ","FILING_STATUS=OR","Sort=A","Dates=H","DateFormat=P","Fill=—","Direction=H","UseDPDF=Y")</f>
        <v>—</v>
      </c>
      <c r="AJ27" s="14">
        <f>_xll.BDH("XOM US Equity","TANG_BOOK_VAL_PER_SH","FQ4 2016","FQ4 2016","Currency=USD","Period=FQ","BEST_FPERIOD_OVERRIDE=FQ","FILING_STATUS=OR","Sort=A","Dates=H","DateFormat=P","Fill=—","Direction=H","UseDPDF=Y")</f>
        <v>40.338700000000003</v>
      </c>
      <c r="AK27" s="14" t="str">
        <f>_xll.BDH("XOM US Equity","TANG_BOOK_VAL_PER_SH","FQ1 2017","FQ1 2017","Currency=USD","Period=FQ","BEST_FPERIOD_OVERRIDE=FQ","FILING_STATUS=OR","Sort=A","Dates=H","DateFormat=P","Fill=—","Direction=H","UseDPDF=Y")</f>
        <v>—</v>
      </c>
      <c r="AL27" s="14" t="str">
        <f>_xll.BDH("XOM US Equity","TANG_BOOK_VAL_PER_SH","FQ2 2017","FQ2 2017","Currency=USD","Period=FQ","BEST_FPERIOD_OVERRIDE=FQ","FILING_STATUS=OR","Sort=A","Dates=H","DateFormat=P","Fill=—","Direction=H","UseDPDF=Y")</f>
        <v>—</v>
      </c>
      <c r="AM27" s="14" t="str">
        <f>_xll.BDH("XOM US Equity","TANG_BOOK_VAL_PER_SH","FQ3 2017","FQ3 2017","Currency=USD","Period=FQ","BEST_FPERIOD_OVERRIDE=FQ","FILING_STATUS=OR","Sort=A","Dates=H","DateFormat=P","Fill=—","Direction=H","UseDPDF=Y")</f>
        <v>—</v>
      </c>
      <c r="AN27" s="14">
        <f>_xll.BDH("XOM US Equity","TANG_BOOK_VAL_PER_SH","FQ4 2017","FQ4 2017","Currency=USD","Period=FQ","BEST_FPERIOD_OVERRIDE=FQ","FILING_STATUS=OR","Sort=A","Dates=H","DateFormat=P","Fill=—","Direction=H","UseDPDF=Y")</f>
        <v>44.276499999999999</v>
      </c>
      <c r="AO27" s="14" t="str">
        <f>_xll.BDH("XOM US Equity","TANG_BOOK_VAL_PER_SH","FQ1 2018","FQ1 2018","Currency=USD","Period=FQ","BEST_FPERIOD_OVERRIDE=FQ","FILING_STATUS=OR","Sort=A","Dates=H","DateFormat=P","Fill=—","Direction=H","UseDPDF=Y")</f>
        <v>—</v>
      </c>
      <c r="AP27" s="14" t="str">
        <f>_xll.BDH("XOM US Equity","TANG_BOOK_VAL_PER_SH","FQ2 2018","FQ2 2018","Currency=USD","Period=FQ","BEST_FPERIOD_OVERRIDE=FQ","FILING_STATUS=OR","Sort=A","Dates=H","DateFormat=P","Fill=—","Direction=H","UseDPDF=Y")</f>
        <v>—</v>
      </c>
    </row>
    <row r="28" spans="1:42" x14ac:dyDescent="0.25">
      <c r="A28" s="7" t="s">
        <v>203</v>
      </c>
      <c r="B28" s="7"/>
      <c r="C28" s="7" t="s">
        <v>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483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484</v>
      </c>
      <c r="B6" s="6" t="s">
        <v>485</v>
      </c>
      <c r="C6" s="17">
        <f>_xll.BDH("XOM US Equity","PX_LAST","FQ3 2008","FQ3 2008","Currency=USD","Period=FQ","BEST_FPERIOD_OVERRIDE=FQ","FILING_STATUS=OR","Sort=A","Dates=H","DateFormat=P","Fill=—","Direction=H","UseDPDF=Y")</f>
        <v>77.66</v>
      </c>
      <c r="D6" s="17">
        <f>_xll.BDH("XOM US Equity","PX_LAST","FQ4 2008","FQ4 2008","Currency=USD","Period=FQ","BEST_FPERIOD_OVERRIDE=FQ","FILING_STATUS=OR","Sort=A","Dates=H","DateFormat=P","Fill=—","Direction=H","UseDPDF=Y")</f>
        <v>79.83</v>
      </c>
      <c r="E6" s="17">
        <f>_xll.BDH("XOM US Equity","PX_LAST","FQ1 2009","FQ1 2009","Currency=USD","Period=FQ","BEST_FPERIOD_OVERRIDE=FQ","FILING_STATUS=OR","Sort=A","Dates=H","DateFormat=P","Fill=—","Direction=H","UseDPDF=Y")</f>
        <v>68.099999999999994</v>
      </c>
      <c r="F6" s="17">
        <f>_xll.BDH("XOM US Equity","PX_LAST","FQ2 2009","FQ2 2009","Currency=USD","Period=FQ","BEST_FPERIOD_OVERRIDE=FQ","FILING_STATUS=OR","Sort=A","Dates=H","DateFormat=P","Fill=—","Direction=H","UseDPDF=Y")</f>
        <v>69.91</v>
      </c>
      <c r="G6" s="17">
        <f>_xll.BDH("XOM US Equity","PX_LAST","FQ3 2009","FQ3 2009","Currency=USD","Period=FQ","BEST_FPERIOD_OVERRIDE=FQ","FILING_STATUS=OR","Sort=A","Dates=H","DateFormat=P","Fill=—","Direction=H","UseDPDF=Y")</f>
        <v>68.61</v>
      </c>
      <c r="H6" s="17">
        <f>_xll.BDH("XOM US Equity","PX_LAST","FQ4 2009","FQ4 2009","Currency=USD","Period=FQ","BEST_FPERIOD_OVERRIDE=FQ","FILING_STATUS=OR","Sort=A","Dates=H","DateFormat=P","Fill=—","Direction=H","UseDPDF=Y")</f>
        <v>68.19</v>
      </c>
      <c r="I6" s="17">
        <f>_xll.BDH("XOM US Equity","PX_LAST","FQ1 2010","FQ1 2010","Currency=USD","Period=FQ","BEST_FPERIOD_OVERRIDE=FQ","FILING_STATUS=OR","Sort=A","Dates=H","DateFormat=P","Fill=—","Direction=H","UseDPDF=Y")</f>
        <v>66.98</v>
      </c>
      <c r="J6" s="17">
        <f>_xll.BDH("XOM US Equity","PX_LAST","FQ2 2010","FQ2 2010","Currency=USD","Period=FQ","BEST_FPERIOD_OVERRIDE=FQ","FILING_STATUS=OR","Sort=A","Dates=H","DateFormat=P","Fill=—","Direction=H","UseDPDF=Y")</f>
        <v>57.07</v>
      </c>
      <c r="K6" s="17">
        <f>_xll.BDH("XOM US Equity","PX_LAST","FQ3 2010","FQ3 2010","Currency=USD","Period=FQ","BEST_FPERIOD_OVERRIDE=FQ","FILING_STATUS=OR","Sort=A","Dates=H","DateFormat=P","Fill=—","Direction=H","UseDPDF=Y")</f>
        <v>61.79</v>
      </c>
      <c r="L6" s="17">
        <f>_xll.BDH("XOM US Equity","PX_LAST","FQ4 2010","FQ4 2010","Currency=USD","Period=FQ","BEST_FPERIOD_OVERRIDE=FQ","FILING_STATUS=OR","Sort=A","Dates=H","DateFormat=P","Fill=—","Direction=H","UseDPDF=Y")</f>
        <v>73.12</v>
      </c>
      <c r="M6" s="17">
        <f>_xll.BDH("XOM US Equity","PX_LAST","FQ1 2011","FQ1 2011","Currency=USD","Period=FQ","BEST_FPERIOD_OVERRIDE=FQ","FILING_STATUS=OR","Sort=A","Dates=H","DateFormat=P","Fill=—","Direction=H","UseDPDF=Y")</f>
        <v>84.13</v>
      </c>
      <c r="N6" s="17">
        <f>_xll.BDH("XOM US Equity","PX_LAST","FQ2 2011","FQ2 2011","Currency=USD","Period=FQ","BEST_FPERIOD_OVERRIDE=FQ","FILING_STATUS=OR","Sort=A","Dates=H","DateFormat=P","Fill=—","Direction=H","UseDPDF=Y")</f>
        <v>81.38</v>
      </c>
      <c r="O6" s="17">
        <f>_xll.BDH("XOM US Equity","PX_LAST","FQ3 2011","FQ3 2011","Currency=USD","Period=FQ","BEST_FPERIOD_OVERRIDE=FQ","FILING_STATUS=OR","Sort=A","Dates=H","DateFormat=P","Fill=—","Direction=H","UseDPDF=Y")</f>
        <v>72.63</v>
      </c>
      <c r="P6" s="17">
        <f>_xll.BDH("XOM US Equity","PX_LAST","FQ4 2011","FQ4 2011","Currency=USD","Period=FQ","BEST_FPERIOD_OVERRIDE=FQ","FILING_STATUS=OR","Sort=A","Dates=H","DateFormat=P","Fill=—","Direction=H","UseDPDF=Y")</f>
        <v>84.76</v>
      </c>
      <c r="Q6" s="17">
        <f>_xll.BDH("XOM US Equity","PX_LAST","FQ1 2012","FQ1 2012","Currency=USD","Period=FQ","BEST_FPERIOD_OVERRIDE=FQ","FILING_STATUS=OR","Sort=A","Dates=H","DateFormat=P","Fill=—","Direction=H","UseDPDF=Y")</f>
        <v>86.73</v>
      </c>
      <c r="R6" s="17">
        <f>_xll.BDH("XOM US Equity","PX_LAST","FQ2 2012","FQ2 2012","Currency=USD","Period=FQ","BEST_FPERIOD_OVERRIDE=FQ","FILING_STATUS=OR","Sort=A","Dates=H","DateFormat=P","Fill=—","Direction=H","UseDPDF=Y")</f>
        <v>85.57</v>
      </c>
      <c r="S6" s="17">
        <f>_xll.BDH("XOM US Equity","PX_LAST","FQ3 2012","FQ3 2012","Currency=USD","Period=FQ","BEST_FPERIOD_OVERRIDE=FQ","FILING_STATUS=OR","Sort=A","Dates=H","DateFormat=P","Fill=—","Direction=H","UseDPDF=Y")</f>
        <v>91.45</v>
      </c>
      <c r="T6" s="17">
        <f>_xll.BDH("XOM US Equity","PX_LAST","FQ4 2012","FQ4 2012","Currency=USD","Period=FQ","BEST_FPERIOD_OVERRIDE=FQ","FILING_STATUS=OR","Sort=A","Dates=H","DateFormat=P","Fill=—","Direction=H","UseDPDF=Y")</f>
        <v>86.55</v>
      </c>
      <c r="U6" s="17">
        <f>_xll.BDH("XOM US Equity","PX_LAST","FQ1 2013","FQ1 2013","Currency=USD","Period=FQ","BEST_FPERIOD_OVERRIDE=FQ","FILING_STATUS=OR","Sort=A","Dates=H","DateFormat=P","Fill=—","Direction=H","UseDPDF=Y")</f>
        <v>90.11</v>
      </c>
      <c r="V6" s="17">
        <f>_xll.BDH("XOM US Equity","PX_LAST","FQ2 2013","FQ2 2013","Currency=USD","Period=FQ","BEST_FPERIOD_OVERRIDE=FQ","FILING_STATUS=OR","Sort=A","Dates=H","DateFormat=P","Fill=—","Direction=H","UseDPDF=Y")</f>
        <v>90.35</v>
      </c>
      <c r="W6" s="17">
        <f>_xll.BDH("XOM US Equity","PX_LAST","FQ3 2013","FQ3 2013","Currency=USD","Period=FQ","BEST_FPERIOD_OVERRIDE=FQ","FILING_STATUS=OR","Sort=A","Dates=H","DateFormat=P","Fill=—","Direction=H","UseDPDF=Y")</f>
        <v>86.04</v>
      </c>
      <c r="X6" s="17">
        <f>_xll.BDH("XOM US Equity","PX_LAST","FQ4 2013","FQ4 2013","Currency=USD","Period=FQ","BEST_FPERIOD_OVERRIDE=FQ","FILING_STATUS=OR","Sort=A","Dates=H","DateFormat=P","Fill=—","Direction=H","UseDPDF=Y")</f>
        <v>101.2</v>
      </c>
      <c r="Y6" s="17">
        <f>_xll.BDH("XOM US Equity","PX_LAST","FQ1 2014","FQ1 2014","Currency=USD","Period=FQ","BEST_FPERIOD_OVERRIDE=FQ","FILING_STATUS=OR","Sort=A","Dates=H","DateFormat=P","Fill=—","Direction=H","UseDPDF=Y")</f>
        <v>97.68</v>
      </c>
      <c r="Z6" s="17">
        <f>_xll.BDH("XOM US Equity","PX_LAST","FQ2 2014","FQ2 2014","Currency=USD","Period=FQ","BEST_FPERIOD_OVERRIDE=FQ","FILING_STATUS=OR","Sort=A","Dates=H","DateFormat=P","Fill=—","Direction=H","UseDPDF=Y")</f>
        <v>100.68</v>
      </c>
      <c r="AA6" s="17">
        <f>_xll.BDH("XOM US Equity","PX_LAST","FQ3 2014","FQ3 2014","Currency=USD","Period=FQ","BEST_FPERIOD_OVERRIDE=FQ","FILING_STATUS=OR","Sort=A","Dates=H","DateFormat=P","Fill=—","Direction=H","UseDPDF=Y")</f>
        <v>94.05</v>
      </c>
      <c r="AB6" s="17">
        <f>_xll.BDH("XOM US Equity","PX_LAST","FQ4 2014","FQ4 2014","Currency=USD","Period=FQ","BEST_FPERIOD_OVERRIDE=FQ","FILING_STATUS=OR","Sort=A","Dates=H","DateFormat=P","Fill=—","Direction=H","UseDPDF=Y")</f>
        <v>92.45</v>
      </c>
      <c r="AC6" s="17">
        <f>_xll.BDH("XOM US Equity","PX_LAST","FQ1 2015","FQ1 2015","Currency=USD","Period=FQ","BEST_FPERIOD_OVERRIDE=FQ","FILING_STATUS=OR","Sort=A","Dates=H","DateFormat=P","Fill=—","Direction=H","UseDPDF=Y")</f>
        <v>85</v>
      </c>
      <c r="AD6" s="17">
        <f>_xll.BDH("XOM US Equity","PX_LAST","FQ2 2015","FQ2 2015","Currency=USD","Period=FQ","BEST_FPERIOD_OVERRIDE=FQ","FILING_STATUS=OR","Sort=A","Dates=H","DateFormat=P","Fill=—","Direction=H","UseDPDF=Y")</f>
        <v>83.2</v>
      </c>
      <c r="AE6" s="17">
        <f>_xll.BDH("XOM US Equity","PX_LAST","FQ3 2015","FQ3 2015","Currency=USD","Period=FQ","BEST_FPERIOD_OVERRIDE=FQ","FILING_STATUS=OR","Sort=A","Dates=H","DateFormat=P","Fill=—","Direction=H","UseDPDF=Y")</f>
        <v>74.349999999999994</v>
      </c>
      <c r="AF6" s="17">
        <f>_xll.BDH("XOM US Equity","PX_LAST","FQ4 2015","FQ4 2015","Currency=USD","Period=FQ","BEST_FPERIOD_OVERRIDE=FQ","FILING_STATUS=OR","Sort=A","Dates=H","DateFormat=P","Fill=—","Direction=H","UseDPDF=Y")</f>
        <v>77.95</v>
      </c>
      <c r="AG6" s="17">
        <f>_xll.BDH("XOM US Equity","PX_LAST","FQ1 2016","FQ1 2016","Currency=USD","Period=FQ","BEST_FPERIOD_OVERRIDE=FQ","FILING_STATUS=OR","Sort=A","Dates=H","DateFormat=P","Fill=—","Direction=H","UseDPDF=Y")</f>
        <v>83.59</v>
      </c>
      <c r="AH6" s="17">
        <f>_xll.BDH("XOM US Equity","PX_LAST","FQ2 2016","FQ2 2016","Currency=USD","Period=FQ","BEST_FPERIOD_OVERRIDE=FQ","FILING_STATUS=OR","Sort=A","Dates=H","DateFormat=P","Fill=—","Direction=H","UseDPDF=Y")</f>
        <v>93.74</v>
      </c>
      <c r="AI6" s="17">
        <f>_xll.BDH("XOM US Equity","PX_LAST","FQ3 2016","FQ3 2016","Currency=USD","Period=FQ","BEST_FPERIOD_OVERRIDE=FQ","FILING_STATUS=OR","Sort=A","Dates=H","DateFormat=P","Fill=—","Direction=H","UseDPDF=Y")</f>
        <v>87.28</v>
      </c>
      <c r="AJ6" s="17">
        <f>_xll.BDH("XOM US Equity","PX_LAST","FQ4 2016","FQ4 2016","Currency=USD","Period=FQ","BEST_FPERIOD_OVERRIDE=FQ","FILING_STATUS=OR","Sort=A","Dates=H","DateFormat=P","Fill=—","Direction=H","UseDPDF=Y")</f>
        <v>90.26</v>
      </c>
      <c r="AK6" s="17">
        <f>_xll.BDH("XOM US Equity","PX_LAST","FQ1 2017","FQ1 2017","Currency=USD","Period=FQ","BEST_FPERIOD_OVERRIDE=FQ","FILING_STATUS=OR","Sort=A","Dates=H","DateFormat=P","Fill=—","Direction=H","UseDPDF=Y")</f>
        <v>82.01</v>
      </c>
      <c r="AL6" s="17">
        <f>_xll.BDH("XOM US Equity","PX_LAST","FQ2 2017","FQ2 2017","Currency=USD","Period=FQ","BEST_FPERIOD_OVERRIDE=FQ","FILING_STATUS=OR","Sort=A","Dates=H","DateFormat=P","Fill=—","Direction=H","UseDPDF=Y")</f>
        <v>80.73</v>
      </c>
      <c r="AM6" s="17">
        <f>_xll.BDH("XOM US Equity","PX_LAST","FQ3 2017","FQ3 2017","Currency=USD","Period=FQ","BEST_FPERIOD_OVERRIDE=FQ","FILING_STATUS=OR","Sort=A","Dates=H","DateFormat=P","Fill=—","Direction=H","UseDPDF=Y")</f>
        <v>81.98</v>
      </c>
      <c r="AN6" s="17">
        <f>_xll.BDH("XOM US Equity","PX_LAST","FQ4 2017","FQ4 2017","Currency=USD","Period=FQ","BEST_FPERIOD_OVERRIDE=FQ","FILING_STATUS=OR","Sort=A","Dates=H","DateFormat=P","Fill=—","Direction=H","UseDPDF=Y")</f>
        <v>83.64</v>
      </c>
      <c r="AO6" s="17">
        <f>_xll.BDH("XOM US Equity","PX_LAST","FQ1 2018","FQ1 2018","Currency=USD","Period=FQ","BEST_FPERIOD_OVERRIDE=FQ","FILING_STATUS=OR","Sort=A","Dates=H","DateFormat=P","Fill=—","Direction=H","UseDPDF=Y")</f>
        <v>74.61</v>
      </c>
      <c r="AP6" s="17">
        <f>_xll.BDH("XOM US Equity","PX_LAST","FQ2 2018","FQ2 2018","Currency=USD","Period=FQ","BEST_FPERIOD_OVERRIDE=FQ","FILING_STATUS=OR","Sort=A","Dates=H","DateFormat=P","Fill=—","Direction=H","UseDPDF=Y")</f>
        <v>82.73</v>
      </c>
    </row>
    <row r="7" spans="1:42" x14ac:dyDescent="0.25">
      <c r="A7" s="11" t="s">
        <v>486</v>
      </c>
      <c r="B7" s="11" t="s">
        <v>487</v>
      </c>
      <c r="C7" s="19">
        <f>_xll.BDH("XOM US Equity","CHG_PCT_PERIOD","FQ3 2008","FQ3 2008","Currency=USD","Period=FQ","BEST_FPERIOD_OVERRIDE=FQ","FILING_STATUS=OR","Sort=A","Dates=H","DateFormat=P","Fill=—","Direction=H","UseDPDF=Y")</f>
        <v>-11.8802</v>
      </c>
      <c r="D7" s="19">
        <f>_xll.BDH("XOM US Equity","CHG_PCT_PERIOD","FQ4 2008","FQ4 2008","Currency=USD","Period=FQ","BEST_FPERIOD_OVERRIDE=FQ","FILING_STATUS=OR","Sort=A","Dates=H","DateFormat=P","Fill=—","Direction=H","UseDPDF=Y")</f>
        <v>2.7942</v>
      </c>
      <c r="E7" s="19">
        <f>_xll.BDH("XOM US Equity","CHG_PCT_PERIOD","FQ1 2009","FQ1 2009","Currency=USD","Period=FQ","BEST_FPERIOD_OVERRIDE=FQ","FILING_STATUS=OR","Sort=A","Dates=H","DateFormat=P","Fill=—","Direction=H","UseDPDF=Y")</f>
        <v>-14.6937</v>
      </c>
      <c r="F7" s="19">
        <f>_xll.BDH("XOM US Equity","CHG_PCT_PERIOD","FQ2 2009","FQ2 2009","Currency=USD","Period=FQ","BEST_FPERIOD_OVERRIDE=FQ","FILING_STATUS=OR","Sort=A","Dates=H","DateFormat=P","Fill=—","Direction=H","UseDPDF=Y")</f>
        <v>2.6579000000000002</v>
      </c>
      <c r="G7" s="19">
        <f>_xll.BDH("XOM US Equity","CHG_PCT_PERIOD","FQ3 2009","FQ3 2009","Currency=USD","Period=FQ","BEST_FPERIOD_OVERRIDE=FQ","FILING_STATUS=OR","Sort=A","Dates=H","DateFormat=P","Fill=—","Direction=H","UseDPDF=Y")</f>
        <v>-1.8595000000000002</v>
      </c>
      <c r="H7" s="19">
        <f>_xll.BDH("XOM US Equity","CHG_PCT_PERIOD","FQ4 2009","FQ4 2009","Currency=USD","Period=FQ","BEST_FPERIOD_OVERRIDE=FQ","FILING_STATUS=OR","Sort=A","Dates=H","DateFormat=P","Fill=—","Direction=H","UseDPDF=Y")</f>
        <v>-0.61219999999999997</v>
      </c>
      <c r="I7" s="19">
        <f>_xll.BDH("XOM US Equity","CHG_PCT_PERIOD","FQ1 2010","FQ1 2010","Currency=USD","Period=FQ","BEST_FPERIOD_OVERRIDE=FQ","FILING_STATUS=OR","Sort=A","Dates=H","DateFormat=P","Fill=—","Direction=H","UseDPDF=Y")</f>
        <v>-1.7745</v>
      </c>
      <c r="J7" s="19">
        <f>_xll.BDH("XOM US Equity","CHG_PCT_PERIOD","FQ2 2010","FQ2 2010","Currency=USD","Period=FQ","BEST_FPERIOD_OVERRIDE=FQ","FILING_STATUS=OR","Sort=A","Dates=H","DateFormat=P","Fill=—","Direction=H","UseDPDF=Y")</f>
        <v>-14.795500000000001</v>
      </c>
      <c r="K7" s="19">
        <f>_xll.BDH("XOM US Equity","CHG_PCT_PERIOD","FQ3 2010","FQ3 2010","Currency=USD","Period=FQ","BEST_FPERIOD_OVERRIDE=FQ","FILING_STATUS=OR","Sort=A","Dates=H","DateFormat=P","Fill=—","Direction=H","UseDPDF=Y")</f>
        <v>8.2705000000000002</v>
      </c>
      <c r="L7" s="19">
        <f>_xll.BDH("XOM US Equity","CHG_PCT_PERIOD","FQ4 2010","FQ4 2010","Currency=USD","Period=FQ","BEST_FPERIOD_OVERRIDE=FQ","FILING_STATUS=OR","Sort=A","Dates=H","DateFormat=P","Fill=—","Direction=H","UseDPDF=Y")</f>
        <v>18.336300000000001</v>
      </c>
      <c r="M7" s="19">
        <f>_xll.BDH("XOM US Equity","CHG_PCT_PERIOD","FQ1 2011","FQ1 2011","Currency=USD","Period=FQ","BEST_FPERIOD_OVERRIDE=FQ","FILING_STATUS=OR","Sort=A","Dates=H","DateFormat=P","Fill=—","Direction=H","UseDPDF=Y")</f>
        <v>15.057399999999999</v>
      </c>
      <c r="N7" s="19">
        <f>_xll.BDH("XOM US Equity","CHG_PCT_PERIOD","FQ2 2011","FQ2 2011","Currency=USD","Period=FQ","BEST_FPERIOD_OVERRIDE=FQ","FILING_STATUS=OR","Sort=A","Dates=H","DateFormat=P","Fill=—","Direction=H","UseDPDF=Y")</f>
        <v>-3.2688000000000001</v>
      </c>
      <c r="O7" s="19">
        <f>_xll.BDH("XOM US Equity","CHG_PCT_PERIOD","FQ3 2011","FQ3 2011","Currency=USD","Period=FQ","BEST_FPERIOD_OVERRIDE=FQ","FILING_STATUS=OR","Sort=A","Dates=H","DateFormat=P","Fill=—","Direction=H","UseDPDF=Y")</f>
        <v>-10.752000000000001</v>
      </c>
      <c r="P7" s="19">
        <f>_xll.BDH("XOM US Equity","CHG_PCT_PERIOD","FQ4 2011","FQ4 2011","Currency=USD","Period=FQ","BEST_FPERIOD_OVERRIDE=FQ","FILING_STATUS=OR","Sort=A","Dates=H","DateFormat=P","Fill=—","Direction=H","UseDPDF=Y")</f>
        <v>16.7011</v>
      </c>
      <c r="Q7" s="19">
        <f>_xll.BDH("XOM US Equity","CHG_PCT_PERIOD","FQ1 2012","FQ1 2012","Currency=USD","Period=FQ","BEST_FPERIOD_OVERRIDE=FQ","FILING_STATUS=OR","Sort=A","Dates=H","DateFormat=P","Fill=—","Direction=H","UseDPDF=Y")</f>
        <v>2.3241999999999998</v>
      </c>
      <c r="R7" s="19">
        <f>_xll.BDH("XOM US Equity","CHG_PCT_PERIOD","FQ2 2012","FQ2 2012","Currency=USD","Period=FQ","BEST_FPERIOD_OVERRIDE=FQ","FILING_STATUS=OR","Sort=A","Dates=H","DateFormat=P","Fill=—","Direction=H","UseDPDF=Y")</f>
        <v>-1.3374999999999999</v>
      </c>
      <c r="S7" s="19">
        <f>_xll.BDH("XOM US Equity","CHG_PCT_PERIOD","FQ3 2012","FQ3 2012","Currency=USD","Period=FQ","BEST_FPERIOD_OVERRIDE=FQ","FILING_STATUS=OR","Sort=A","Dates=H","DateFormat=P","Fill=—","Direction=H","UseDPDF=Y")</f>
        <v>6.8715999999999999</v>
      </c>
      <c r="T7" s="19" t="str">
        <f>_xll.BDH("XOM US Equity","CHG_PCT_PERIOD","FQ4 2012","FQ4 2012","Currency=USD","Period=FQ","BEST_FPERIOD_OVERRIDE=FQ","FILING_STATUS=OR","Sort=A","Dates=H","DateFormat=P","Fill=—","Direction=H","UseDPDF=Y")</f>
        <v>—</v>
      </c>
      <c r="U7" s="19">
        <f>_xll.BDH("XOM US Equity","CHG_PCT_PERIOD","FQ1 2013","FQ1 2013","Currency=USD","Period=FQ","BEST_FPERIOD_OVERRIDE=FQ","FILING_STATUS=OR","Sort=A","Dates=H","DateFormat=P","Fill=—","Direction=H","UseDPDF=Y")</f>
        <v>4.1132</v>
      </c>
      <c r="V7" s="19" t="str">
        <f>_xll.BDH("XOM US Equity","CHG_PCT_PERIOD","FQ2 2013","FQ2 2013","Currency=USD","Period=FQ","BEST_FPERIOD_OVERRIDE=FQ","FILING_STATUS=OR","Sort=A","Dates=H","DateFormat=P","Fill=—","Direction=H","UseDPDF=Y")</f>
        <v>—</v>
      </c>
      <c r="W7" s="19" t="str">
        <f>_xll.BDH("XOM US Equity","CHG_PCT_PERIOD","FQ3 2013","FQ3 2013","Currency=USD","Period=FQ","BEST_FPERIOD_OVERRIDE=FQ","FILING_STATUS=OR","Sort=A","Dates=H","DateFormat=P","Fill=—","Direction=H","UseDPDF=Y")</f>
        <v>—</v>
      </c>
      <c r="X7" s="19">
        <f>_xll.BDH("XOM US Equity","CHG_PCT_PERIOD","FQ4 2013","FQ4 2013","Currency=USD","Period=FQ","BEST_FPERIOD_OVERRIDE=FQ","FILING_STATUS=OR","Sort=A","Dates=H","DateFormat=P","Fill=—","Direction=H","UseDPDF=Y")</f>
        <v>17.619700000000002</v>
      </c>
      <c r="Y7" s="19">
        <f>_xll.BDH("XOM US Equity","CHG_PCT_PERIOD","FQ1 2014","FQ1 2014","Currency=USD","Period=FQ","BEST_FPERIOD_OVERRIDE=FQ","FILING_STATUS=OR","Sort=A","Dates=H","DateFormat=P","Fill=—","Direction=H","UseDPDF=Y")</f>
        <v>-3.4782999999999999</v>
      </c>
      <c r="Z7" s="19">
        <f>_xll.BDH("XOM US Equity","CHG_PCT_PERIOD","FQ2 2014","FQ2 2014","Currency=USD","Period=FQ","BEST_FPERIOD_OVERRIDE=FQ","FILING_STATUS=OR","Sort=A","Dates=H","DateFormat=P","Fill=—","Direction=H","UseDPDF=Y")</f>
        <v>3.0712999999999999</v>
      </c>
      <c r="AA7" s="19">
        <f>_xll.BDH("XOM US Equity","CHG_PCT_PERIOD","FQ3 2014","FQ3 2014","Currency=USD","Period=FQ","BEST_FPERIOD_OVERRIDE=FQ","FILING_STATUS=OR","Sort=A","Dates=H","DateFormat=P","Fill=—","Direction=H","UseDPDF=Y")</f>
        <v>-6.5852000000000004</v>
      </c>
      <c r="AB7" s="19">
        <f>_xll.BDH("XOM US Equity","CHG_PCT_PERIOD","FQ4 2014","FQ4 2014","Currency=USD","Period=FQ","BEST_FPERIOD_OVERRIDE=FQ","FILING_STATUS=OR","Sort=A","Dates=H","DateFormat=P","Fill=—","Direction=H","UseDPDF=Y")</f>
        <v>-1.7012</v>
      </c>
      <c r="AC7" s="19">
        <f>_xll.BDH("XOM US Equity","CHG_PCT_PERIOD","FQ1 2015","FQ1 2015","Currency=USD","Period=FQ","BEST_FPERIOD_OVERRIDE=FQ","FILING_STATUS=OR","Sort=A","Dates=H","DateFormat=P","Fill=—","Direction=H","UseDPDF=Y")</f>
        <v>-8.0584000000000007</v>
      </c>
      <c r="AD7" s="19">
        <f>_xll.BDH("XOM US Equity","CHG_PCT_PERIOD","FQ2 2015","FQ2 2015","Currency=USD","Period=FQ","BEST_FPERIOD_OVERRIDE=FQ","FILING_STATUS=OR","Sort=A","Dates=H","DateFormat=P","Fill=—","Direction=H","UseDPDF=Y")</f>
        <v>-2.1175999999999999</v>
      </c>
      <c r="AE7" s="19">
        <f>_xll.BDH("XOM US Equity","CHG_PCT_PERIOD","FQ3 2015","FQ3 2015","Currency=USD","Period=FQ","BEST_FPERIOD_OVERRIDE=FQ","FILING_STATUS=OR","Sort=A","Dates=H","DateFormat=P","Fill=—","Direction=H","UseDPDF=Y")</f>
        <v>-10.637</v>
      </c>
      <c r="AF7" s="19">
        <f>_xll.BDH("XOM US Equity","CHG_PCT_PERIOD","FQ4 2015","FQ4 2015","Currency=USD","Period=FQ","BEST_FPERIOD_OVERRIDE=FQ","FILING_STATUS=OR","Sort=A","Dates=H","DateFormat=P","Fill=—","Direction=H","UseDPDF=Y")</f>
        <v>4.8419999999999996</v>
      </c>
      <c r="AG7" s="19">
        <f>_xll.BDH("XOM US Equity","CHG_PCT_PERIOD","FQ1 2016","FQ1 2016","Currency=USD","Period=FQ","BEST_FPERIOD_OVERRIDE=FQ","FILING_STATUS=OR","Sort=A","Dates=H","DateFormat=P","Fill=—","Direction=H","UseDPDF=Y")</f>
        <v>7.2354000000000003</v>
      </c>
      <c r="AH7" s="19">
        <f>_xll.BDH("XOM US Equity","CHG_PCT_PERIOD","FQ2 2016","FQ2 2016","Currency=USD","Period=FQ","BEST_FPERIOD_OVERRIDE=FQ","FILING_STATUS=OR","Sort=A","Dates=H","DateFormat=P","Fill=—","Direction=H","UseDPDF=Y")</f>
        <v>12.1426</v>
      </c>
      <c r="AI7" s="19">
        <f>_xll.BDH("XOM US Equity","CHG_PCT_PERIOD","FQ3 2016","FQ3 2016","Currency=USD","Period=FQ","BEST_FPERIOD_OVERRIDE=FQ","FILING_STATUS=OR","Sort=A","Dates=H","DateFormat=P","Fill=—","Direction=H","UseDPDF=Y")</f>
        <v>-6.8914</v>
      </c>
      <c r="AJ7" s="19">
        <f>_xll.BDH("XOM US Equity","CHG_PCT_PERIOD","FQ4 2016","FQ4 2016","Currency=USD","Period=FQ","BEST_FPERIOD_OVERRIDE=FQ","FILING_STATUS=OR","Sort=A","Dates=H","DateFormat=P","Fill=—","Direction=H","UseDPDF=Y")</f>
        <v>3.4142999999999999</v>
      </c>
      <c r="AK7" s="19">
        <f>_xll.BDH("XOM US Equity","CHG_PCT_PERIOD","FQ1 2017","FQ1 2017","Currency=USD","Period=FQ","BEST_FPERIOD_OVERRIDE=FQ","FILING_STATUS=OR","Sort=A","Dates=H","DateFormat=P","Fill=—","Direction=H","UseDPDF=Y")</f>
        <v>-9.1402999999999999</v>
      </c>
      <c r="AL7" s="19">
        <f>_xll.BDH("XOM US Equity","CHG_PCT_PERIOD","FQ2 2017","FQ2 2017","Currency=USD","Period=FQ","BEST_FPERIOD_OVERRIDE=FQ","FILING_STATUS=OR","Sort=A","Dates=H","DateFormat=P","Fill=—","Direction=H","UseDPDF=Y")</f>
        <v>-1.5608</v>
      </c>
      <c r="AM7" s="19">
        <f>_xll.BDH("XOM US Equity","CHG_PCT_PERIOD","FQ3 2017","FQ3 2017","Currency=USD","Period=FQ","BEST_FPERIOD_OVERRIDE=FQ","FILING_STATUS=OR","Sort=A","Dates=H","DateFormat=P","Fill=—","Direction=H","UseDPDF=Y")</f>
        <v>1.5484</v>
      </c>
      <c r="AN7" s="19">
        <f>_xll.BDH("XOM US Equity","CHG_PCT_PERIOD","FQ4 2017","FQ4 2017","Currency=USD","Period=FQ","BEST_FPERIOD_OVERRIDE=FQ","FILING_STATUS=OR","Sort=A","Dates=H","DateFormat=P","Fill=—","Direction=H","UseDPDF=Y")</f>
        <v>2.0249000000000001</v>
      </c>
      <c r="AO7" s="19">
        <f>_xll.BDH("XOM US Equity","CHG_PCT_PERIOD","FQ1 2018","FQ1 2018","Currency=USD","Period=FQ","BEST_FPERIOD_OVERRIDE=FQ","FILING_STATUS=OR","Sort=A","Dates=H","DateFormat=P","Fill=—","Direction=H","UseDPDF=Y")</f>
        <v>-10.7963</v>
      </c>
      <c r="AP7" s="19">
        <f>_xll.BDH("XOM US Equity","CHG_PCT_PERIOD","FQ2 2018","FQ2 2018","Currency=USD","Period=FQ","BEST_FPERIOD_OVERRIDE=FQ","FILING_STATUS=OR","Sort=A","Dates=H","DateFormat=P","Fill=—","Direction=H","UseDPDF=Y")</f>
        <v>10.8833</v>
      </c>
    </row>
    <row r="8" spans="1:42" x14ac:dyDescent="0.25">
      <c r="A8" s="10" t="s">
        <v>488</v>
      </c>
      <c r="B8" s="10" t="s">
        <v>489</v>
      </c>
      <c r="C8" s="14">
        <f>_xll.BDH("XOM US Equity","PX_OPEN","FQ3 2008","FQ3 2008","Currency=USD","Period=FQ","BEST_FPERIOD_OVERRIDE=FQ","FILING_STATUS=OR","Sort=A","Dates=H","DateFormat=P","Fill=—","Direction=H","UseDPDF=Y")</f>
        <v>87.87</v>
      </c>
      <c r="D8" s="14">
        <f>_xll.BDH("XOM US Equity","PX_OPEN","FQ4 2008","FQ4 2008","Currency=USD","Period=FQ","BEST_FPERIOD_OVERRIDE=FQ","FILING_STATUS=OR","Sort=A","Dates=H","DateFormat=P","Fill=—","Direction=H","UseDPDF=Y")</f>
        <v>77.19</v>
      </c>
      <c r="E8" s="14">
        <f>_xll.BDH("XOM US Equity","PX_OPEN","FQ1 2009","FQ1 2009","Currency=USD","Period=FQ","BEST_FPERIOD_OVERRIDE=FQ","FILING_STATUS=OR","Sort=A","Dates=H","DateFormat=P","Fill=—","Direction=H","UseDPDF=Y")</f>
        <v>80.06</v>
      </c>
      <c r="F8" s="14">
        <f>_xll.BDH("XOM US Equity","PX_OPEN","FQ2 2009","FQ2 2009","Currency=USD","Period=FQ","BEST_FPERIOD_OVERRIDE=FQ","FILING_STATUS=OR","Sort=A","Dates=H","DateFormat=P","Fill=—","Direction=H","UseDPDF=Y")</f>
        <v>67.040000000000006</v>
      </c>
      <c r="G8" s="14">
        <f>_xll.BDH("XOM US Equity","PX_OPEN","FQ3 2009","FQ3 2009","Currency=USD","Period=FQ","BEST_FPERIOD_OVERRIDE=FQ","FILING_STATUS=OR","Sort=A","Dates=H","DateFormat=P","Fill=—","Direction=H","UseDPDF=Y")</f>
        <v>70.67</v>
      </c>
      <c r="H8" s="14">
        <f>_xll.BDH("XOM US Equity","PX_OPEN","FQ4 2009","FQ4 2009","Currency=USD","Period=FQ","BEST_FPERIOD_OVERRIDE=FQ","FILING_STATUS=OR","Sort=A","Dates=H","DateFormat=P","Fill=—","Direction=H","UseDPDF=Y")</f>
        <v>68.39</v>
      </c>
      <c r="I8" s="14">
        <f>_xll.BDH("XOM US Equity","PX_OPEN","FQ1 2010","FQ1 2010","Currency=USD","Period=FQ","BEST_FPERIOD_OVERRIDE=FQ","FILING_STATUS=OR","Sort=A","Dates=H","DateFormat=P","Fill=—","Direction=H","UseDPDF=Y")</f>
        <v>68.72</v>
      </c>
      <c r="J8" s="14">
        <f>_xll.BDH("XOM US Equity","PX_OPEN","FQ2 2010","FQ2 2010","Currency=USD","Period=FQ","BEST_FPERIOD_OVERRIDE=FQ","FILING_STATUS=OR","Sort=A","Dates=H","DateFormat=P","Fill=—","Direction=H","UseDPDF=Y")</f>
        <v>67.27</v>
      </c>
      <c r="K8" s="14">
        <f>_xll.BDH("XOM US Equity","PX_OPEN","FQ3 2010","FQ3 2010","Currency=USD","Period=FQ","BEST_FPERIOD_OVERRIDE=FQ","FILING_STATUS=OR","Sort=A","Dates=H","DateFormat=P","Fill=—","Direction=H","UseDPDF=Y")</f>
        <v>56.98</v>
      </c>
      <c r="L8" s="14">
        <f>_xll.BDH("XOM US Equity","PX_OPEN","FQ4 2010","FQ4 2010","Currency=USD","Period=FQ","BEST_FPERIOD_OVERRIDE=FQ","FILING_STATUS=OR","Sort=A","Dates=H","DateFormat=P","Fill=—","Direction=H","UseDPDF=Y")</f>
        <v>62.32</v>
      </c>
      <c r="M8" s="14">
        <f>_xll.BDH("XOM US Equity","PX_OPEN","FQ1 2011","FQ1 2011","Currency=USD","Period=FQ","BEST_FPERIOD_OVERRIDE=FQ","FILING_STATUS=OR","Sort=A","Dates=H","DateFormat=P","Fill=—","Direction=H","UseDPDF=Y")</f>
        <v>73.72</v>
      </c>
      <c r="N8" s="14">
        <f>_xll.BDH("XOM US Equity","PX_OPEN","FQ2 2011","FQ2 2011","Currency=USD","Period=FQ","BEST_FPERIOD_OVERRIDE=FQ","FILING_STATUS=OR","Sort=A","Dates=H","DateFormat=P","Fill=—","Direction=H","UseDPDF=Y")</f>
        <v>84.72</v>
      </c>
      <c r="O8" s="14">
        <f>_xll.BDH("XOM US Equity","PX_OPEN","FQ3 2011","FQ3 2011","Currency=USD","Period=FQ","BEST_FPERIOD_OVERRIDE=FQ","FILING_STATUS=OR","Sort=A","Dates=H","DateFormat=P","Fill=—","Direction=H","UseDPDF=Y")</f>
        <v>81.19</v>
      </c>
      <c r="P8" s="14">
        <f>_xll.BDH("XOM US Equity","PX_OPEN","FQ4 2011","FQ4 2011","Currency=USD","Period=FQ","BEST_FPERIOD_OVERRIDE=FQ","FILING_STATUS=OR","Sort=A","Dates=H","DateFormat=P","Fill=—","Direction=H","UseDPDF=Y")</f>
        <v>72.05</v>
      </c>
      <c r="Q8" s="14">
        <f>_xll.BDH("XOM US Equity","PX_OPEN","FQ1 2012","FQ1 2012","Currency=USD","Period=FQ","BEST_FPERIOD_OVERRIDE=FQ","FILING_STATUS=OR","Sort=A","Dates=H","DateFormat=P","Fill=—","Direction=H","UseDPDF=Y")</f>
        <v>85.97</v>
      </c>
      <c r="R8" s="14">
        <f>_xll.BDH("XOM US Equity","PX_OPEN","FQ2 2012","FQ2 2012","Currency=USD","Period=FQ","BEST_FPERIOD_OVERRIDE=FQ","FILING_STATUS=OR","Sort=A","Dates=H","DateFormat=P","Fill=—","Direction=H","UseDPDF=Y")</f>
        <v>86.6</v>
      </c>
      <c r="S8" s="14">
        <f>_xll.BDH("XOM US Equity","PX_OPEN","FQ3 2012","FQ3 2012","Currency=USD","Period=FQ","BEST_FPERIOD_OVERRIDE=FQ","FILING_STATUS=OR","Sort=A","Dates=H","DateFormat=P","Fill=—","Direction=H","UseDPDF=Y")</f>
        <v>85.44</v>
      </c>
      <c r="T8" s="14">
        <f>_xll.BDH("XOM US Equity","PX_OPEN","FQ4 2012","FQ4 2012","Currency=USD","Period=FQ","BEST_FPERIOD_OVERRIDE=FQ","FILING_STATUS=OR","Sort=A","Dates=H","DateFormat=P","Fill=—","Direction=H","UseDPDF=Y")</f>
        <v>91.79</v>
      </c>
      <c r="U8" s="14">
        <f>_xll.BDH("XOM US Equity","PX_OPEN","FQ1 2013","FQ1 2013","Currency=USD","Period=FQ","BEST_FPERIOD_OVERRIDE=FQ","FILING_STATUS=OR","Sort=A","Dates=H","DateFormat=P","Fill=—","Direction=H","UseDPDF=Y")</f>
        <v>87.79</v>
      </c>
      <c r="V8" s="14">
        <f>_xll.BDH("XOM US Equity","PX_OPEN","FQ2 2013","FQ2 2013","Currency=USD","Period=FQ","BEST_FPERIOD_OVERRIDE=FQ","FILING_STATUS=OR","Sort=A","Dates=H","DateFormat=P","Fill=—","Direction=H","UseDPDF=Y")</f>
        <v>90.13</v>
      </c>
      <c r="W8" s="14">
        <f>_xll.BDH("XOM US Equity","PX_OPEN","FQ3 2013","FQ3 2013","Currency=USD","Period=FQ","BEST_FPERIOD_OVERRIDE=FQ","FILING_STATUS=OR","Sort=A","Dates=H","DateFormat=P","Fill=—","Direction=H","UseDPDF=Y")</f>
        <v>90.39</v>
      </c>
      <c r="X8" s="14">
        <f>_xll.BDH("XOM US Equity","PX_OPEN","FQ4 2013","FQ4 2013","Currency=USD","Period=FQ","BEST_FPERIOD_OVERRIDE=FQ","FILING_STATUS=OR","Sort=A","Dates=H","DateFormat=P","Fill=—","Direction=H","UseDPDF=Y")</f>
        <v>85.99</v>
      </c>
      <c r="Y8" s="14">
        <f>_xll.BDH("XOM US Equity","PX_OPEN","FQ1 2014","FQ1 2014","Currency=USD","Period=FQ","BEST_FPERIOD_OVERRIDE=FQ","FILING_STATUS=OR","Sort=A","Dates=H","DateFormat=P","Fill=—","Direction=H","UseDPDF=Y")</f>
        <v>100.6</v>
      </c>
      <c r="Z8" s="14">
        <f>_xll.BDH("XOM US Equity","PX_OPEN","FQ2 2014","FQ2 2014","Currency=USD","Period=FQ","BEST_FPERIOD_OVERRIDE=FQ","FILING_STATUS=OR","Sort=A","Dates=H","DateFormat=P","Fill=—","Direction=H","UseDPDF=Y")</f>
        <v>97.65</v>
      </c>
      <c r="AA8" s="14">
        <f>_xll.BDH("XOM US Equity","PX_OPEN","FQ3 2014","FQ3 2014","Currency=USD","Period=FQ","BEST_FPERIOD_OVERRIDE=FQ","FILING_STATUS=OR","Sort=A","Dates=H","DateFormat=P","Fill=—","Direction=H","UseDPDF=Y")</f>
        <v>101.15</v>
      </c>
      <c r="AB8" s="14">
        <f>_xll.BDH("XOM US Equity","PX_OPEN","FQ4 2014","FQ4 2014","Currency=USD","Period=FQ","BEST_FPERIOD_OVERRIDE=FQ","FILING_STATUS=OR","Sort=A","Dates=H","DateFormat=P","Fill=—","Direction=H","UseDPDF=Y")</f>
        <v>94.11</v>
      </c>
      <c r="AC8" s="14">
        <f>_xll.BDH("XOM US Equity","PX_OPEN","FQ1 2015","FQ1 2015","Currency=USD","Period=FQ","BEST_FPERIOD_OVERRIDE=FQ","FILING_STATUS=OR","Sort=A","Dates=H","DateFormat=P","Fill=—","Direction=H","UseDPDF=Y")</f>
        <v>92.25</v>
      </c>
      <c r="AD8" s="14">
        <f>_xll.BDH("XOM US Equity","PX_OPEN","FQ2 2015","FQ2 2015","Currency=USD","Period=FQ","BEST_FPERIOD_OVERRIDE=FQ","FILING_STATUS=OR","Sort=A","Dates=H","DateFormat=P","Fill=—","Direction=H","UseDPDF=Y")</f>
        <v>85.7</v>
      </c>
      <c r="AE8" s="14">
        <f>_xll.BDH("XOM US Equity","PX_OPEN","FQ3 2015","FQ3 2015","Currency=USD","Period=FQ","BEST_FPERIOD_OVERRIDE=FQ","FILING_STATUS=OR","Sort=A","Dates=H","DateFormat=P","Fill=—","Direction=H","UseDPDF=Y")</f>
        <v>83.28</v>
      </c>
      <c r="AF8" s="14">
        <f>_xll.BDH("XOM US Equity","PX_OPEN","FQ4 2015","FQ4 2015","Currency=USD","Period=FQ","BEST_FPERIOD_OVERRIDE=FQ","FILING_STATUS=OR","Sort=A","Dates=H","DateFormat=P","Fill=—","Direction=H","UseDPDF=Y")</f>
        <v>75.2</v>
      </c>
      <c r="AG8" s="14">
        <f>_xll.BDH("XOM US Equity","PX_OPEN","FQ1 2016","FQ1 2016","Currency=USD","Period=FQ","BEST_FPERIOD_OVERRIDE=FQ","FILING_STATUS=OR","Sort=A","Dates=H","DateFormat=P","Fill=—","Direction=H","UseDPDF=Y")</f>
        <v>77.5</v>
      </c>
      <c r="AH8" s="14">
        <f>_xll.BDH("XOM US Equity","PX_OPEN","FQ2 2016","FQ2 2016","Currency=USD","Period=FQ","BEST_FPERIOD_OVERRIDE=FQ","FILING_STATUS=OR","Sort=A","Dates=H","DateFormat=P","Fill=—","Direction=H","UseDPDF=Y")</f>
        <v>82.4</v>
      </c>
      <c r="AI8" s="14">
        <f>_xll.BDH("XOM US Equity","PX_OPEN","FQ3 2016","FQ3 2016","Currency=USD","Period=FQ","BEST_FPERIOD_OVERRIDE=FQ","FILING_STATUS=OR","Sort=A","Dates=H","DateFormat=P","Fill=—","Direction=H","UseDPDF=Y")</f>
        <v>93.36</v>
      </c>
      <c r="AJ8" s="14">
        <f>_xll.BDH("XOM US Equity","PX_OPEN","FQ4 2016","FQ4 2016","Currency=USD","Period=FQ","BEST_FPERIOD_OVERRIDE=FQ","FILING_STATUS=OR","Sort=A","Dates=H","DateFormat=P","Fill=—","Direction=H","UseDPDF=Y")</f>
        <v>86.94</v>
      </c>
      <c r="AK8" s="14">
        <f>_xll.BDH("XOM US Equity","PX_OPEN","FQ1 2017","FQ1 2017","Currency=USD","Period=FQ","BEST_FPERIOD_OVERRIDE=FQ","FILING_STATUS=OR","Sort=A","Dates=H","DateFormat=P","Fill=—","Direction=H","UseDPDF=Y")</f>
        <v>90.94</v>
      </c>
      <c r="AL8" s="14">
        <f>_xll.BDH("XOM US Equity","PX_OPEN","FQ2 2017","FQ2 2017","Currency=USD","Period=FQ","BEST_FPERIOD_OVERRIDE=FQ","FILING_STATUS=OR","Sort=A","Dates=H","DateFormat=P","Fill=—","Direction=H","UseDPDF=Y")</f>
        <v>82.02</v>
      </c>
      <c r="AM8" s="14">
        <f>_xll.BDH("XOM US Equity","PX_OPEN","FQ3 2017","FQ3 2017","Currency=USD","Period=FQ","BEST_FPERIOD_OVERRIDE=FQ","FILING_STATUS=OR","Sort=A","Dates=H","DateFormat=P","Fill=—","Direction=H","UseDPDF=Y")</f>
        <v>80.790000000000006</v>
      </c>
      <c r="AN8" s="14">
        <f>_xll.BDH("XOM US Equity","PX_OPEN","FQ4 2017","FQ4 2017","Currency=USD","Period=FQ","BEST_FPERIOD_OVERRIDE=FQ","FILING_STATUS=OR","Sort=A","Dates=H","DateFormat=P","Fill=—","Direction=H","UseDPDF=Y")</f>
        <v>81.3</v>
      </c>
      <c r="AO8" s="14">
        <f>_xll.BDH("XOM US Equity","PX_OPEN","FQ1 2018","FQ1 2018","Currency=USD","Period=FQ","BEST_FPERIOD_OVERRIDE=FQ","FILING_STATUS=OR","Sort=A","Dates=H","DateFormat=P","Fill=—","Direction=H","UseDPDF=Y")</f>
        <v>83.82</v>
      </c>
      <c r="AP8" s="14">
        <f>_xll.BDH("XOM US Equity","PX_OPEN","FQ2 2018","FQ2 2018","Currency=USD","Period=FQ","BEST_FPERIOD_OVERRIDE=FQ","FILING_STATUS=OR","Sort=A","Dates=H","DateFormat=P","Fill=—","Direction=H","UseDPDF=Y")</f>
        <v>74.27</v>
      </c>
    </row>
    <row r="9" spans="1:42" x14ac:dyDescent="0.25">
      <c r="A9" s="10" t="s">
        <v>490</v>
      </c>
      <c r="B9" s="10" t="s">
        <v>491</v>
      </c>
      <c r="C9" s="14">
        <f>_xll.BDH("XOM US Equity","PX_HIGH","FQ3 2008","FQ3 2008","Currency=USD","Period=FQ","BEST_FPERIOD_OVERRIDE=FQ","FILING_STATUS=OR","Sort=A","Dates=H","DateFormat=P","Fill=—","Direction=H","UseDPDF=Y")</f>
        <v>89.63</v>
      </c>
      <c r="D9" s="14">
        <f>_xll.BDH("XOM US Equity","PX_HIGH","FQ4 2008","FQ4 2008","Currency=USD","Period=FQ","BEST_FPERIOD_OVERRIDE=FQ","FILING_STATUS=OR","Sort=A","Dates=H","DateFormat=P","Fill=—","Direction=H","UseDPDF=Y")</f>
        <v>83.64</v>
      </c>
      <c r="E9" s="14">
        <f>_xll.BDH("XOM US Equity","PX_HIGH","FQ1 2009","FQ1 2009","Currency=USD","Period=FQ","BEST_FPERIOD_OVERRIDE=FQ","FILING_STATUS=OR","Sort=A","Dates=H","DateFormat=P","Fill=—","Direction=H","UseDPDF=Y")</f>
        <v>82.73</v>
      </c>
      <c r="F9" s="14">
        <f>_xll.BDH("XOM US Equity","PX_HIGH","FQ2 2009","FQ2 2009","Currency=USD","Period=FQ","BEST_FPERIOD_OVERRIDE=FQ","FILING_STATUS=OR","Sort=A","Dates=H","DateFormat=P","Fill=—","Direction=H","UseDPDF=Y")</f>
        <v>74.83</v>
      </c>
      <c r="G9" s="14">
        <f>_xll.BDH("XOM US Equity","PX_HIGH","FQ3 2009","FQ3 2009","Currency=USD","Period=FQ","BEST_FPERIOD_OVERRIDE=FQ","FILING_STATUS=OR","Sort=A","Dates=H","DateFormat=P","Fill=—","Direction=H","UseDPDF=Y")</f>
        <v>72.790000000000006</v>
      </c>
      <c r="H9" s="14">
        <f>_xll.BDH("XOM US Equity","PX_HIGH","FQ4 2009","FQ4 2009","Currency=USD","Period=FQ","BEST_FPERIOD_OVERRIDE=FQ","FILING_STATUS=OR","Sort=A","Dates=H","DateFormat=P","Fill=—","Direction=H","UseDPDF=Y")</f>
        <v>76.540000000000006</v>
      </c>
      <c r="I9" s="14">
        <f>_xll.BDH("XOM US Equity","PX_HIGH","FQ1 2010","FQ1 2010","Currency=USD","Period=FQ","BEST_FPERIOD_OVERRIDE=FQ","FILING_STATUS=OR","Sort=A","Dates=H","DateFormat=P","Fill=—","Direction=H","UseDPDF=Y")</f>
        <v>70.599999999999994</v>
      </c>
      <c r="J9" s="14">
        <f>_xll.BDH("XOM US Equity","PX_HIGH","FQ2 2010","FQ2 2010","Currency=USD","Period=FQ","BEST_FPERIOD_OVERRIDE=FQ","FILING_STATUS=OR","Sort=A","Dates=H","DateFormat=P","Fill=—","Direction=H","UseDPDF=Y")</f>
        <v>70</v>
      </c>
      <c r="K9" s="14">
        <f>_xll.BDH("XOM US Equity","PX_HIGH","FQ3 2010","FQ3 2010","Currency=USD","Period=FQ","BEST_FPERIOD_OVERRIDE=FQ","FILING_STATUS=OR","Sort=A","Dates=H","DateFormat=P","Fill=—","Direction=H","UseDPDF=Y")</f>
        <v>62.99</v>
      </c>
      <c r="L9" s="14">
        <f>_xll.BDH("XOM US Equity","PX_HIGH","FQ4 2010","FQ4 2010","Currency=USD","Period=FQ","BEST_FPERIOD_OVERRIDE=FQ","FILING_STATUS=OR","Sort=A","Dates=H","DateFormat=P","Fill=—","Direction=H","UseDPDF=Y")</f>
        <v>73.69</v>
      </c>
      <c r="M9" s="14">
        <f>_xll.BDH("XOM US Equity","PX_HIGH","FQ1 2011","FQ1 2011","Currency=USD","Period=FQ","BEST_FPERIOD_OVERRIDE=FQ","FILING_STATUS=OR","Sort=A","Dates=H","DateFormat=P","Fill=—","Direction=H","UseDPDF=Y")</f>
        <v>88.23</v>
      </c>
      <c r="N9" s="14">
        <f>_xll.BDH("XOM US Equity","PX_HIGH","FQ2 2011","FQ2 2011","Currency=USD","Period=FQ","BEST_FPERIOD_OVERRIDE=FQ","FILING_STATUS=OR","Sort=A","Dates=H","DateFormat=P","Fill=—","Direction=H","UseDPDF=Y")</f>
        <v>88.13</v>
      </c>
      <c r="O9" s="14">
        <f>_xll.BDH("XOM US Equity","PX_HIGH","FQ3 2011","FQ3 2011","Currency=USD","Period=FQ","BEST_FPERIOD_OVERRIDE=FQ","FILING_STATUS=OR","Sort=A","Dates=H","DateFormat=P","Fill=—","Direction=H","UseDPDF=Y")</f>
        <v>85.41</v>
      </c>
      <c r="P9" s="14">
        <f>_xll.BDH("XOM US Equity","PX_HIGH","FQ4 2011","FQ4 2011","Currency=USD","Period=FQ","BEST_FPERIOD_OVERRIDE=FQ","FILING_STATUS=OR","Sort=A","Dates=H","DateFormat=P","Fill=—","Direction=H","UseDPDF=Y")</f>
        <v>85.63</v>
      </c>
      <c r="Q9" s="14">
        <f>_xll.BDH("XOM US Equity","PX_HIGH","FQ1 2012","FQ1 2012","Currency=USD","Period=FQ","BEST_FPERIOD_OVERRIDE=FQ","FILING_STATUS=OR","Sort=A","Dates=H","DateFormat=P","Fill=—","Direction=H","UseDPDF=Y")</f>
        <v>87.94</v>
      </c>
      <c r="R9" s="14">
        <f>_xll.BDH("XOM US Equity","PX_HIGH","FQ2 2012","FQ2 2012","Currency=USD","Period=FQ","BEST_FPERIOD_OVERRIDE=FQ","FILING_STATUS=OR","Sort=A","Dates=H","DateFormat=P","Fill=—","Direction=H","UseDPDF=Y")</f>
        <v>87.67</v>
      </c>
      <c r="S9" s="14">
        <f>_xll.BDH("XOM US Equity","PX_HIGH","FQ3 2012","FQ3 2012","Currency=USD","Period=FQ","BEST_FPERIOD_OVERRIDE=FQ","FILING_STATUS=OR","Sort=A","Dates=H","DateFormat=P","Fill=—","Direction=H","UseDPDF=Y")</f>
        <v>92.57</v>
      </c>
      <c r="T9" s="14">
        <f>_xll.BDH("XOM US Equity","PX_HIGH","FQ4 2012","FQ4 2012","Currency=USD","Period=FQ","BEST_FPERIOD_OVERRIDE=FQ","FILING_STATUS=OR","Sort=A","Dates=H","DateFormat=P","Fill=—","Direction=H","UseDPDF=Y")</f>
        <v>93.67</v>
      </c>
      <c r="U9" s="14">
        <f>_xll.BDH("XOM US Equity","PX_HIGH","FQ1 2013","FQ1 2013","Currency=USD","Period=FQ","BEST_FPERIOD_OVERRIDE=FQ","FILING_STATUS=OR","Sort=A","Dates=H","DateFormat=P","Fill=—","Direction=H","UseDPDF=Y")</f>
        <v>91.93</v>
      </c>
      <c r="V9" s="14">
        <f>_xll.BDH("XOM US Equity","PX_HIGH","FQ2 2013","FQ2 2013","Currency=USD","Period=FQ","BEST_FPERIOD_OVERRIDE=FQ","FILING_STATUS=OR","Sort=A","Dates=H","DateFormat=P","Fill=—","Direction=H","UseDPDF=Y")</f>
        <v>93.5</v>
      </c>
      <c r="W9" s="14">
        <f>_xll.BDH("XOM US Equity","PX_HIGH","FQ3 2013","FQ3 2013","Currency=USD","Period=FQ","BEST_FPERIOD_OVERRIDE=FQ","FILING_STATUS=OR","Sort=A","Dates=H","DateFormat=P","Fill=—","Direction=H","UseDPDF=Y")</f>
        <v>95.49</v>
      </c>
      <c r="X9" s="14">
        <f>_xll.BDH("XOM US Equity","PX_HIGH","FQ4 2013","FQ4 2013","Currency=USD","Period=FQ","BEST_FPERIOD_OVERRIDE=FQ","FILING_STATUS=OR","Sort=A","Dates=H","DateFormat=P","Fill=—","Direction=H","UseDPDF=Y")</f>
        <v>101.74</v>
      </c>
      <c r="Y9" s="14">
        <f>_xll.BDH("XOM US Equity","PX_HIGH","FQ1 2014","FQ1 2014","Currency=USD","Period=FQ","BEST_FPERIOD_OVERRIDE=FQ","FILING_STATUS=OR","Sort=A","Dates=H","DateFormat=P","Fill=—","Direction=H","UseDPDF=Y")</f>
        <v>101.215</v>
      </c>
      <c r="Z9" s="14">
        <f>_xll.BDH("XOM US Equity","PX_HIGH","FQ2 2014","FQ2 2014","Currency=USD","Period=FQ","BEST_FPERIOD_OVERRIDE=FQ","FILING_STATUS=OR","Sort=A","Dates=H","DateFormat=P","Fill=—","Direction=H","UseDPDF=Y")</f>
        <v>104.61</v>
      </c>
      <c r="AA9" s="14">
        <f>_xll.BDH("XOM US Equity","PX_HIGH","FQ3 2014","FQ3 2014","Currency=USD","Period=FQ","BEST_FPERIOD_OVERRIDE=FQ","FILING_STATUS=OR","Sort=A","Dates=H","DateFormat=P","Fill=—","Direction=H","UseDPDF=Y")</f>
        <v>104.76</v>
      </c>
      <c r="AB9" s="14">
        <f>_xll.BDH("XOM US Equity","PX_HIGH","FQ4 2014","FQ4 2014","Currency=USD","Period=FQ","BEST_FPERIOD_OVERRIDE=FQ","FILING_STATUS=OR","Sort=A","Dates=H","DateFormat=P","Fill=—","Direction=H","UseDPDF=Y")</f>
        <v>97.2</v>
      </c>
      <c r="AC9" s="14">
        <f>_xll.BDH("XOM US Equity","PX_HIGH","FQ1 2015","FQ1 2015","Currency=USD","Period=FQ","BEST_FPERIOD_OVERRIDE=FQ","FILING_STATUS=OR","Sort=A","Dates=H","DateFormat=P","Fill=—","Direction=H","UseDPDF=Y")</f>
        <v>93.45</v>
      </c>
      <c r="AD9" s="14">
        <f>_xll.BDH("XOM US Equity","PX_HIGH","FQ2 2015","FQ2 2015","Currency=USD","Period=FQ","BEST_FPERIOD_OVERRIDE=FQ","FILING_STATUS=OR","Sort=A","Dates=H","DateFormat=P","Fill=—","Direction=H","UseDPDF=Y")</f>
        <v>90.09</v>
      </c>
      <c r="AE9" s="14">
        <f>_xll.BDH("XOM US Equity","PX_HIGH","FQ3 2015","FQ3 2015","Currency=USD","Period=FQ","BEST_FPERIOD_OVERRIDE=FQ","FILING_STATUS=OR","Sort=A","Dates=H","DateFormat=P","Fill=—","Direction=H","UseDPDF=Y")</f>
        <v>83.53</v>
      </c>
      <c r="AF9" s="14">
        <f>_xll.BDH("XOM US Equity","PX_HIGH","FQ4 2015","FQ4 2015","Currency=USD","Period=FQ","BEST_FPERIOD_OVERRIDE=FQ","FILING_STATUS=OR","Sort=A","Dates=H","DateFormat=P","Fill=—","Direction=H","UseDPDF=Y")</f>
        <v>87.435000000000002</v>
      </c>
      <c r="AG9" s="14">
        <f>_xll.BDH("XOM US Equity","PX_HIGH","FQ1 2016","FQ1 2016","Currency=USD","Period=FQ","BEST_FPERIOD_OVERRIDE=FQ","FILING_STATUS=OR","Sort=A","Dates=H","DateFormat=P","Fill=—","Direction=H","UseDPDF=Y")</f>
        <v>85.1</v>
      </c>
      <c r="AH9" s="14">
        <f>_xll.BDH("XOM US Equity","PX_HIGH","FQ2 2016","FQ2 2016","Currency=USD","Period=FQ","BEST_FPERIOD_OVERRIDE=FQ","FILING_STATUS=OR","Sort=A","Dates=H","DateFormat=P","Fill=—","Direction=H","UseDPDF=Y")</f>
        <v>93.827299999999994</v>
      </c>
      <c r="AI9" s="14">
        <f>_xll.BDH("XOM US Equity","PX_HIGH","FQ3 2016","FQ3 2016","Currency=USD","Period=FQ","BEST_FPERIOD_OVERRIDE=FQ","FILING_STATUS=OR","Sort=A","Dates=H","DateFormat=P","Fill=—","Direction=H","UseDPDF=Y")</f>
        <v>95.55</v>
      </c>
      <c r="AJ9" s="14">
        <f>_xll.BDH("XOM US Equity","PX_HIGH","FQ4 2016","FQ4 2016","Currency=USD","Period=FQ","BEST_FPERIOD_OVERRIDE=FQ","FILING_STATUS=OR","Sort=A","Dates=H","DateFormat=P","Fill=—","Direction=H","UseDPDF=Y")</f>
        <v>93.215000000000003</v>
      </c>
      <c r="AK9" s="14">
        <f>_xll.BDH("XOM US Equity","PX_HIGH","FQ1 2017","FQ1 2017","Currency=USD","Period=FQ","BEST_FPERIOD_OVERRIDE=FQ","FILING_STATUS=OR","Sort=A","Dates=H","DateFormat=P","Fill=—","Direction=H","UseDPDF=Y")</f>
        <v>91.34</v>
      </c>
      <c r="AL9" s="14">
        <f>_xll.BDH("XOM US Equity","PX_HIGH","FQ2 2017","FQ2 2017","Currency=USD","Period=FQ","BEST_FPERIOD_OVERRIDE=FQ","FILING_STATUS=OR","Sort=A","Dates=H","DateFormat=P","Fill=—","Direction=H","UseDPDF=Y")</f>
        <v>83.69</v>
      </c>
      <c r="AM9" s="14">
        <f>_xll.BDH("XOM US Equity","PX_HIGH","FQ3 2017","FQ3 2017","Currency=USD","Period=FQ","BEST_FPERIOD_OVERRIDE=FQ","FILING_STATUS=OR","Sort=A","Dates=H","DateFormat=P","Fill=—","Direction=H","UseDPDF=Y")</f>
        <v>82.49</v>
      </c>
      <c r="AN9" s="14">
        <f>_xll.BDH("XOM US Equity","PX_HIGH","FQ4 2017","FQ4 2017","Currency=USD","Period=FQ","BEST_FPERIOD_OVERRIDE=FQ","FILING_STATUS=OR","Sort=A","Dates=H","DateFormat=P","Fill=—","Direction=H","UseDPDF=Y")</f>
        <v>84.36</v>
      </c>
      <c r="AO9" s="14">
        <f>_xll.BDH("XOM US Equity","PX_HIGH","FQ1 2018","FQ1 2018","Currency=USD","Period=FQ","BEST_FPERIOD_OVERRIDE=FQ","FILING_STATUS=OR","Sort=A","Dates=H","DateFormat=P","Fill=—","Direction=H","UseDPDF=Y")</f>
        <v>89.3</v>
      </c>
      <c r="AP9" s="14">
        <f>_xll.BDH("XOM US Equity","PX_HIGH","FQ2 2018","FQ2 2018","Currency=USD","Period=FQ","BEST_FPERIOD_OVERRIDE=FQ","FILING_STATUS=OR","Sort=A","Dates=H","DateFormat=P","Fill=—","Direction=H","UseDPDF=Y")</f>
        <v>83.79</v>
      </c>
    </row>
    <row r="10" spans="1:42" x14ac:dyDescent="0.25">
      <c r="A10" s="10" t="s">
        <v>492</v>
      </c>
      <c r="B10" s="10" t="s">
        <v>493</v>
      </c>
      <c r="C10" s="14">
        <f>_xll.BDH("XOM US Equity","PX_LOW","FQ3 2008","FQ3 2008","Currency=USD","Period=FQ","BEST_FPERIOD_OVERRIDE=FQ","FILING_STATUS=OR","Sort=A","Dates=H","DateFormat=P","Fill=—","Direction=H","UseDPDF=Y")</f>
        <v>71.510000000000005</v>
      </c>
      <c r="D10" s="14">
        <f>_xll.BDH("XOM US Equity","PX_LOW","FQ4 2008","FQ4 2008","Currency=USD","Period=FQ","BEST_FPERIOD_OVERRIDE=FQ","FILING_STATUS=OR","Sort=A","Dates=H","DateFormat=P","Fill=—","Direction=H","UseDPDF=Y")</f>
        <v>56.51</v>
      </c>
      <c r="E10" s="14">
        <f>_xll.BDH("XOM US Equity","PX_LOW","FQ1 2009","FQ1 2009","Currency=USD","Period=FQ","BEST_FPERIOD_OVERRIDE=FQ","FILING_STATUS=OR","Sort=A","Dates=H","DateFormat=P","Fill=—","Direction=H","UseDPDF=Y")</f>
        <v>61.86</v>
      </c>
      <c r="F10" s="14">
        <f>_xll.BDH("XOM US Equity","PX_LOW","FQ2 2009","FQ2 2009","Currency=USD","Period=FQ","BEST_FPERIOD_OVERRIDE=FQ","FILING_STATUS=OR","Sort=A","Dates=H","DateFormat=P","Fill=—","Direction=H","UseDPDF=Y")</f>
        <v>64.5</v>
      </c>
      <c r="G10" s="14">
        <f>_xll.BDH("XOM US Equity","PX_LOW","FQ3 2009","FQ3 2009","Currency=USD","Period=FQ","BEST_FPERIOD_OVERRIDE=FQ","FILING_STATUS=OR","Sort=A","Dates=H","DateFormat=P","Fill=—","Direction=H","UseDPDF=Y")</f>
        <v>64.459999999999994</v>
      </c>
      <c r="H10" s="14">
        <f>_xll.BDH("XOM US Equity","PX_LOW","FQ4 2009","FQ4 2009","Currency=USD","Period=FQ","BEST_FPERIOD_OVERRIDE=FQ","FILING_STATUS=OR","Sort=A","Dates=H","DateFormat=P","Fill=—","Direction=H","UseDPDF=Y")</f>
        <v>66.11</v>
      </c>
      <c r="I10" s="14">
        <f>_xll.BDH("XOM US Equity","PX_LOW","FQ1 2010","FQ1 2010","Currency=USD","Period=FQ","BEST_FPERIOD_OVERRIDE=FQ","FILING_STATUS=OR","Sort=A","Dates=H","DateFormat=P","Fill=—","Direction=H","UseDPDF=Y")</f>
        <v>63.56</v>
      </c>
      <c r="J10" s="14">
        <f>_xll.BDH("XOM US Equity","PX_LOW","FQ2 2010","FQ2 2010","Currency=USD","Period=FQ","BEST_FPERIOD_OVERRIDE=FQ","FILING_STATUS=OR","Sort=A","Dates=H","DateFormat=P","Fill=—","Direction=H","UseDPDF=Y")</f>
        <v>56.92</v>
      </c>
      <c r="K10" s="14">
        <f>_xll.BDH("XOM US Equity","PX_LOW","FQ3 2010","FQ3 2010","Currency=USD","Period=FQ","BEST_FPERIOD_OVERRIDE=FQ","FILING_STATUS=OR","Sort=A","Dates=H","DateFormat=P","Fill=—","Direction=H","UseDPDF=Y")</f>
        <v>55.94</v>
      </c>
      <c r="L10" s="14">
        <f>_xll.BDH("XOM US Equity","PX_LOW","FQ4 2010","FQ4 2010","Currency=USD","Period=FQ","BEST_FPERIOD_OVERRIDE=FQ","FILING_STATUS=OR","Sort=A","Dates=H","DateFormat=P","Fill=—","Direction=H","UseDPDF=Y")</f>
        <v>61.8</v>
      </c>
      <c r="M10" s="14">
        <f>_xll.BDH("XOM US Equity","PX_LOW","FQ1 2011","FQ1 2011","Currency=USD","Period=FQ","BEST_FPERIOD_OVERRIDE=FQ","FILING_STATUS=OR","Sort=A","Dates=H","DateFormat=P","Fill=—","Direction=H","UseDPDF=Y")</f>
        <v>73.64</v>
      </c>
      <c r="N10" s="14">
        <f>_xll.BDH("XOM US Equity","PX_LOW","FQ2 2011","FQ2 2011","Currency=USD","Period=FQ","BEST_FPERIOD_OVERRIDE=FQ","FILING_STATUS=OR","Sort=A","Dates=H","DateFormat=P","Fill=—","Direction=H","UseDPDF=Y")</f>
        <v>76.72</v>
      </c>
      <c r="O10" s="14">
        <f>_xll.BDH("XOM US Equity","PX_LOW","FQ3 2011","FQ3 2011","Currency=USD","Period=FQ","BEST_FPERIOD_OVERRIDE=FQ","FILING_STATUS=OR","Sort=A","Dates=H","DateFormat=P","Fill=—","Direction=H","UseDPDF=Y")</f>
        <v>67.03</v>
      </c>
      <c r="P10" s="14">
        <f>_xll.BDH("XOM US Equity","PX_LOW","FQ4 2011","FQ4 2011","Currency=USD","Period=FQ","BEST_FPERIOD_OVERRIDE=FQ","FILING_STATUS=OR","Sort=A","Dates=H","DateFormat=P","Fill=—","Direction=H","UseDPDF=Y")</f>
        <v>69.209999999999994</v>
      </c>
      <c r="Q10" s="14">
        <f>_xll.BDH("XOM US Equity","PX_LOW","FQ1 2012","FQ1 2012","Currency=USD","Period=FQ","BEST_FPERIOD_OVERRIDE=FQ","FILING_STATUS=OR","Sort=A","Dates=H","DateFormat=P","Fill=—","Direction=H","UseDPDF=Y")</f>
        <v>83.19</v>
      </c>
      <c r="R10" s="14">
        <f>_xll.BDH("XOM US Equity","PX_LOW","FQ2 2012","FQ2 2012","Currency=USD","Period=FQ","BEST_FPERIOD_OVERRIDE=FQ","FILING_STATUS=OR","Sort=A","Dates=H","DateFormat=P","Fill=—","Direction=H","UseDPDF=Y")</f>
        <v>77.13</v>
      </c>
      <c r="S10" s="14">
        <f>_xll.BDH("XOM US Equity","PX_LOW","FQ3 2012","FQ3 2012","Currency=USD","Period=FQ","BEST_FPERIOD_OVERRIDE=FQ","FILING_STATUS=OR","Sort=A","Dates=H","DateFormat=P","Fill=—","Direction=H","UseDPDF=Y")</f>
        <v>82.83</v>
      </c>
      <c r="T10" s="14">
        <f>_xll.BDH("XOM US Equity","PX_LOW","FQ4 2012","FQ4 2012","Currency=USD","Period=FQ","BEST_FPERIOD_OVERRIDE=FQ","FILING_STATUS=OR","Sort=A","Dates=H","DateFormat=P","Fill=—","Direction=H","UseDPDF=Y")</f>
        <v>84.7</v>
      </c>
      <c r="U10" s="14">
        <f>_xll.BDH("XOM US Equity","PX_LOW","FQ1 2013","FQ1 2013","Currency=USD","Period=FQ","BEST_FPERIOD_OVERRIDE=FQ","FILING_STATUS=OR","Sort=A","Dates=H","DateFormat=P","Fill=—","Direction=H","UseDPDF=Y")</f>
        <v>86.587500000000006</v>
      </c>
      <c r="V10" s="14">
        <f>_xll.BDH("XOM US Equity","PX_LOW","FQ2 2013","FQ2 2013","Currency=USD","Period=FQ","BEST_FPERIOD_OVERRIDE=FQ","FILING_STATUS=OR","Sort=A","Dates=H","DateFormat=P","Fill=—","Direction=H","UseDPDF=Y")</f>
        <v>85.02</v>
      </c>
      <c r="W10" s="14">
        <f>_xll.BDH("XOM US Equity","PX_LOW","FQ3 2013","FQ3 2013","Currency=USD","Period=FQ","BEST_FPERIOD_OVERRIDE=FQ","FILING_STATUS=OR","Sort=A","Dates=H","DateFormat=P","Fill=—","Direction=H","UseDPDF=Y")</f>
        <v>85.61</v>
      </c>
      <c r="X10" s="14">
        <f>_xll.BDH("XOM US Equity","PX_LOW","FQ4 2013","FQ4 2013","Currency=USD","Period=FQ","BEST_FPERIOD_OVERRIDE=FQ","FILING_STATUS=OR","Sort=A","Dates=H","DateFormat=P","Fill=—","Direction=H","UseDPDF=Y")</f>
        <v>84.79</v>
      </c>
      <c r="Y10" s="14">
        <f>_xll.BDH("XOM US Equity","PX_LOW","FQ1 2014","FQ1 2014","Currency=USD","Period=FQ","BEST_FPERIOD_OVERRIDE=FQ","FILING_STATUS=OR","Sort=A","Dates=H","DateFormat=P","Fill=—","Direction=H","UseDPDF=Y")</f>
        <v>89.25</v>
      </c>
      <c r="Z10" s="14">
        <f>_xll.BDH("XOM US Equity","PX_LOW","FQ2 2014","FQ2 2014","Currency=USD","Period=FQ","BEST_FPERIOD_OVERRIDE=FQ","FILING_STATUS=OR","Sort=A","Dates=H","DateFormat=P","Fill=—","Direction=H","UseDPDF=Y")</f>
        <v>96.234999999999999</v>
      </c>
      <c r="AA10" s="14">
        <f>_xll.BDH("XOM US Equity","PX_LOW","FQ3 2014","FQ3 2014","Currency=USD","Period=FQ","BEST_FPERIOD_OVERRIDE=FQ","FILING_STATUS=OR","Sort=A","Dates=H","DateFormat=P","Fill=—","Direction=H","UseDPDF=Y")</f>
        <v>93.62</v>
      </c>
      <c r="AB10" s="14">
        <f>_xll.BDH("XOM US Equity","PX_LOW","FQ4 2014","FQ4 2014","Currency=USD","Period=FQ","BEST_FPERIOD_OVERRIDE=FQ","FILING_STATUS=OR","Sort=A","Dates=H","DateFormat=P","Fill=—","Direction=H","UseDPDF=Y")</f>
        <v>86.19</v>
      </c>
      <c r="AC10" s="14">
        <f>_xll.BDH("XOM US Equity","PX_LOW","FQ1 2015","FQ1 2015","Currency=USD","Period=FQ","BEST_FPERIOD_OVERRIDE=FQ","FILING_STATUS=OR","Sort=A","Dates=H","DateFormat=P","Fill=—","Direction=H","UseDPDF=Y")</f>
        <v>82.68</v>
      </c>
      <c r="AD10" s="14">
        <f>_xll.BDH("XOM US Equity","PX_LOW","FQ2 2015","FQ2 2015","Currency=USD","Period=FQ","BEST_FPERIOD_OVERRIDE=FQ","FILING_STATUS=OR","Sort=A","Dates=H","DateFormat=P","Fill=—","Direction=H","UseDPDF=Y")</f>
        <v>82.8</v>
      </c>
      <c r="AE10" s="14">
        <f>_xll.BDH("XOM US Equity","PX_LOW","FQ3 2015","FQ3 2015","Currency=USD","Period=FQ","BEST_FPERIOD_OVERRIDE=FQ","FILING_STATUS=OR","Sort=A","Dates=H","DateFormat=P","Fill=—","Direction=H","UseDPDF=Y")</f>
        <v>66.55</v>
      </c>
      <c r="AF10" s="14">
        <f>_xll.BDH("XOM US Equity","PX_LOW","FQ4 2015","FQ4 2015","Currency=USD","Period=FQ","BEST_FPERIOD_OVERRIDE=FQ","FILING_STATUS=OR","Sort=A","Dates=H","DateFormat=P","Fill=—","Direction=H","UseDPDF=Y")</f>
        <v>73.03</v>
      </c>
      <c r="AG10" s="14">
        <f>_xll.BDH("XOM US Equity","PX_LOW","FQ1 2016","FQ1 2016","Currency=USD","Period=FQ","BEST_FPERIOD_OVERRIDE=FQ","FILING_STATUS=OR","Sort=A","Dates=H","DateFormat=P","Fill=—","Direction=H","UseDPDF=Y")</f>
        <v>71.55</v>
      </c>
      <c r="AH10" s="14">
        <f>_xll.BDH("XOM US Equity","PX_LOW","FQ2 2016","FQ2 2016","Currency=USD","Period=FQ","BEST_FPERIOD_OVERRIDE=FQ","FILING_STATUS=OR","Sort=A","Dates=H","DateFormat=P","Fill=—","Direction=H","UseDPDF=Y")</f>
        <v>81.99</v>
      </c>
      <c r="AI10" s="14">
        <f>_xll.BDH("XOM US Equity","PX_LOW","FQ3 2016","FQ3 2016","Currency=USD","Period=FQ","BEST_FPERIOD_OVERRIDE=FQ","FILING_STATUS=OR","Sort=A","Dates=H","DateFormat=P","Fill=—","Direction=H","UseDPDF=Y")</f>
        <v>82.29</v>
      </c>
      <c r="AJ10" s="14">
        <f>_xll.BDH("XOM US Equity","PX_LOW","FQ4 2016","FQ4 2016","Currency=USD","Period=FQ","BEST_FPERIOD_OVERRIDE=FQ","FILING_STATUS=OR","Sort=A","Dates=H","DateFormat=P","Fill=—","Direction=H","UseDPDF=Y")</f>
        <v>82.76</v>
      </c>
      <c r="AK10" s="14">
        <f>_xll.BDH("XOM US Equity","PX_LOW","FQ1 2017","FQ1 2017","Currency=USD","Period=FQ","BEST_FPERIOD_OVERRIDE=FQ","FILING_STATUS=OR","Sort=A","Dates=H","DateFormat=P","Fill=—","Direction=H","UseDPDF=Y")</f>
        <v>80.31</v>
      </c>
      <c r="AL10" s="14">
        <f>_xll.BDH("XOM US Equity","PX_LOW","FQ2 2017","FQ2 2017","Currency=USD","Period=FQ","BEST_FPERIOD_OVERRIDE=FQ","FILING_STATUS=OR","Sort=A","Dates=H","DateFormat=P","Fill=—","Direction=H","UseDPDF=Y")</f>
        <v>79.260000000000005</v>
      </c>
      <c r="AM10" s="14">
        <f>_xll.BDH("XOM US Equity","PX_LOW","FQ3 2017","FQ3 2017","Currency=USD","Period=FQ","BEST_FPERIOD_OVERRIDE=FQ","FILING_STATUS=OR","Sort=A","Dates=H","DateFormat=P","Fill=—","Direction=H","UseDPDF=Y")</f>
        <v>76.05</v>
      </c>
      <c r="AN10" s="14">
        <f>_xll.BDH("XOM US Equity","PX_LOW","FQ4 2017","FQ4 2017","Currency=USD","Period=FQ","BEST_FPERIOD_OVERRIDE=FQ","FILING_STATUS=OR","Sort=A","Dates=H","DateFormat=P","Fill=—","Direction=H","UseDPDF=Y")</f>
        <v>80.010000000000005</v>
      </c>
      <c r="AO10" s="14">
        <f>_xll.BDH("XOM US Equity","PX_LOW","FQ1 2018","FQ1 2018","Currency=USD","Period=FQ","BEST_FPERIOD_OVERRIDE=FQ","FILING_STATUS=OR","Sort=A","Dates=H","DateFormat=P","Fill=—","Direction=H","UseDPDF=Y")</f>
        <v>72.67</v>
      </c>
      <c r="AP10" s="14">
        <f>_xll.BDH("XOM US Equity","PX_LOW","FQ2 2018","FQ2 2018","Currency=USD","Period=FQ","BEST_FPERIOD_OVERRIDE=FQ","FILING_STATUS=OR","Sort=A","Dates=H","DateFormat=P","Fill=—","Direction=H","UseDPDF=Y")</f>
        <v>72.155000000000001</v>
      </c>
    </row>
    <row r="11" spans="1:42" x14ac:dyDescent="0.25">
      <c r="A11" s="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x14ac:dyDescent="0.25">
      <c r="A12" s="6" t="s">
        <v>494</v>
      </c>
      <c r="B12" s="6" t="s">
        <v>495</v>
      </c>
      <c r="C12" s="16">
        <f>_xll.BDH("XOM US Equity","HISTORICAL_MARKET_CAP","FQ3 2008","FQ3 2008","Currency=USD","Period=FQ","BEST_FPERIOD_OVERRIDE=FQ","FILING_STATUS=OR","SCALING_FORMAT=MLN","Sort=A","Dates=H","DateFormat=P","Fill=—","Direction=H","UseDPDF=Y")</f>
        <v>395056.42</v>
      </c>
      <c r="D12" s="16">
        <f>_xll.BDH("XOM US Equity","HISTORICAL_MARKET_CAP","FQ4 2008","FQ4 2008","Currency=USD","Period=FQ","BEST_FPERIOD_OVERRIDE=FQ","FILING_STATUS=OR","SCALING_FORMAT=MLN","Sort=A","Dates=H","DateFormat=P","Fill=—","Direction=H","UseDPDF=Y")</f>
        <v>397234.08</v>
      </c>
      <c r="E12" s="16">
        <f>_xll.BDH("XOM US Equity","HISTORICAL_MARKET_CAP","FQ1 2009","FQ1 2009","Currency=USD","Period=FQ","BEST_FPERIOD_OVERRIDE=FQ","FILING_STATUS=OR","SCALING_FORMAT=MLN","Sort=A","Dates=H","DateFormat=P","Fill=—","Direction=H","UseDPDF=Y")</f>
        <v>332328</v>
      </c>
      <c r="F12" s="16">
        <f>_xll.BDH("XOM US Equity","HISTORICAL_MARKET_CAP","FQ2 2009","FQ2 2009","Currency=USD","Period=FQ","BEST_FPERIOD_OVERRIDE=FQ","FILING_STATUS=OR","SCALING_FORMAT=MLN","Sort=A","Dates=H","DateFormat=P","Fill=—","Direction=H","UseDPDF=Y")</f>
        <v>335987.46</v>
      </c>
      <c r="G12" s="16">
        <f>_xll.BDH("XOM US Equity","HISTORICAL_MARKET_CAP","FQ3 2009","FQ3 2009","Currency=USD","Period=FQ","BEST_FPERIOD_OVERRIDE=FQ","FILING_STATUS=OR","SCALING_FORMAT=MLN","Sort=A","Dates=H","DateFormat=P","Fill=—","Direction=H","UseDPDF=Y")</f>
        <v>325691.67</v>
      </c>
      <c r="H12" s="16">
        <f>_xll.BDH("XOM US Equity","HISTORICAL_MARKET_CAP","FQ4 2009","FQ4 2009","Currency=USD","Period=FQ","BEST_FPERIOD_OVERRIDE=FQ","FILING_STATUS=OR","SCALING_FORMAT=MLN","Sort=A","Dates=H","DateFormat=P","Fill=—","Direction=H","UseDPDF=Y")</f>
        <v>322334.13</v>
      </c>
      <c r="I12" s="16">
        <f>_xll.BDH("XOM US Equity","HISTORICAL_MARKET_CAP","FQ1 2010","FQ1 2010","Currency=USD","Period=FQ","BEST_FPERIOD_OVERRIDE=FQ","FILING_STATUS=OR","SCALING_FORMAT=MLN","Sort=A","Dates=H","DateFormat=P","Fill=—","Direction=H","UseDPDF=Y")</f>
        <v>314672.03999999998</v>
      </c>
      <c r="J12" s="16">
        <f>_xll.BDH("XOM US Equity","HISTORICAL_MARKET_CAP","FQ2 2010","FQ2 2010","Currency=USD","Period=FQ","BEST_FPERIOD_OVERRIDE=FQ","FILING_STATUS=OR","SCALING_FORMAT=MLN","Sort=A","Dates=H","DateFormat=P","Fill=—","Direction=H","UseDPDF=Y")</f>
        <v>290600.44</v>
      </c>
      <c r="K12" s="16">
        <f>_xll.BDH("XOM US Equity","HISTORICAL_MARKET_CAP","FQ3 2010","FQ3 2010","Currency=USD","Period=FQ","BEST_FPERIOD_OVERRIDE=FQ","FILING_STATUS=OR","SCALING_FORMAT=MLN","Sort=A","Dates=H","DateFormat=P","Fill=—","Direction=H","UseDPDF=Y")</f>
        <v>311606.96999999997</v>
      </c>
      <c r="L12" s="16">
        <f>_xll.BDH("XOM US Equity","HISTORICAL_MARKET_CAP","FQ4 2010","FQ4 2010","Currency=USD","Period=FQ","BEST_FPERIOD_OVERRIDE=FQ","FILING_STATUS=OR","SCALING_FORMAT=MLN","Sort=A","Dates=H","DateFormat=P","Fill=—","Direction=H","UseDPDF=Y")</f>
        <v>364064.48</v>
      </c>
      <c r="M12" s="16">
        <f>_xll.BDH("XOM US Equity","HISTORICAL_MARKET_CAP","FQ1 2011","FQ1 2011","Currency=USD","Period=FQ","BEST_FPERIOD_OVERRIDE=FQ","FILING_STATUS=OR","SCALING_FORMAT=MLN","Sort=A","Dates=H","DateFormat=P","Fill=—","Direction=H","UseDPDF=Y")</f>
        <v>414424.38</v>
      </c>
      <c r="N12" s="16">
        <f>_xll.BDH("XOM US Equity","HISTORICAL_MARKET_CAP","FQ2 2011","FQ2 2011","Currency=USD","Period=FQ","BEST_FPERIOD_OVERRIDE=FQ","FILING_STATUS=OR","SCALING_FORMAT=MLN","Sort=A","Dates=H","DateFormat=P","Fill=—","Direction=H","UseDPDF=Y")</f>
        <v>395669.56</v>
      </c>
      <c r="O12" s="16">
        <f>_xll.BDH("XOM US Equity","HISTORICAL_MARKET_CAP","FQ3 2011","FQ3 2011","Currency=USD","Period=FQ","BEST_FPERIOD_OVERRIDE=FQ","FILING_STATUS=OR","SCALING_FORMAT=MLN","Sort=A","Dates=H","DateFormat=P","Fill=—","Direction=H","UseDPDF=Y")</f>
        <v>348115.59</v>
      </c>
      <c r="P12" s="16">
        <f>_xll.BDH("XOM US Equity","HISTORICAL_MARKET_CAP","FQ4 2011","FQ4 2011","Currency=USD","Period=FQ","BEST_FPERIOD_OVERRIDE=FQ","FILING_STATUS=OR","SCALING_FORMAT=MLN","Sort=A","Dates=H","DateFormat=P","Fill=—","Direction=H","UseDPDF=Y")</f>
        <v>401253.84</v>
      </c>
      <c r="Q12" s="16">
        <f>_xll.BDH("XOM US Equity","HISTORICAL_MARKET_CAP","FQ1 2012","FQ1 2012","Currency=USD","Period=FQ","BEST_FPERIOD_OVERRIDE=FQ","FILING_STATUS=OR","SCALING_FORMAT=MLN","Sort=A","Dates=H","DateFormat=P","Fill=—","Direction=H","UseDPDF=Y")</f>
        <v>405549.48</v>
      </c>
      <c r="R12" s="16">
        <f>_xll.BDH("XOM US Equity","HISTORICAL_MARKET_CAP","FQ2 2012","FQ2 2012","Currency=USD","Period=FQ","BEST_FPERIOD_OVERRIDE=FQ","FILING_STATUS=OR","SCALING_FORMAT=MLN","Sort=A","Dates=H","DateFormat=P","Fill=—","Direction=H","UseDPDF=Y")</f>
        <v>394991.12</v>
      </c>
      <c r="S12" s="16">
        <f>_xll.BDH("XOM US Equity","HISTORICAL_MARKET_CAP","FQ3 2012","FQ3 2012","Currency=USD","Period=FQ","BEST_FPERIOD_OVERRIDE=FQ","FILING_STATUS=OR","SCALING_FORMAT=MLN","Sort=A","Dates=H","DateFormat=P","Fill=—","Direction=H","UseDPDF=Y")</f>
        <v>416920.55</v>
      </c>
      <c r="T12" s="16">
        <f>_xll.BDH("XOM US Equity","HISTORICAL_MARKET_CAP","FQ4 2012","FQ4 2012","Currency=USD","Period=FQ","BEST_FPERIOD_OVERRIDE=FQ","FILING_STATUS=OR","SCALING_FORMAT=MLN","Sort=A","Dates=H","DateFormat=P","Fill=—","Direction=H","UseDPDF=Y")</f>
        <v>389648.1</v>
      </c>
      <c r="U12" s="16">
        <f>_xll.BDH("XOM US Equity","HISTORICAL_MARKET_CAP","FQ1 2013","FQ1 2013","Currency=USD","Period=FQ","BEST_FPERIOD_OVERRIDE=FQ","FILING_STATUS=OR","SCALING_FORMAT=MLN","Sort=A","Dates=H","DateFormat=P","Fill=—","Direction=H","UseDPDF=Y")</f>
        <v>400629.06</v>
      </c>
      <c r="V12" s="16">
        <f>_xll.BDH("XOM US Equity","HISTORICAL_MARKET_CAP","FQ2 2013","FQ2 2013","Currency=USD","Period=FQ","BEST_FPERIOD_OVERRIDE=FQ","FILING_STATUS=OR","SCALING_FORMAT=MLN","Sort=A","Dates=H","DateFormat=P","Fill=—","Direction=H","UseDPDF=Y")</f>
        <v>397720.7</v>
      </c>
      <c r="W12" s="16">
        <f>_xll.BDH("XOM US Equity","HISTORICAL_MARKET_CAP","FQ3 2013","FQ3 2013","Currency=USD","Period=FQ","BEST_FPERIOD_OVERRIDE=FQ","FILING_STATUS=OR","SCALING_FORMAT=MLN","Sort=A","Dates=H","DateFormat=P","Fill=—","Direction=H","UseDPDF=Y")</f>
        <v>375908.76</v>
      </c>
      <c r="X12" s="16">
        <f>_xll.BDH("XOM US Equity","HISTORICAL_MARKET_CAP","FQ4 2013","FQ4 2013","Currency=USD","Period=FQ","BEST_FPERIOD_OVERRIDE=FQ","FILING_STATUS=OR","SCALING_FORMAT=MLN","Sort=A","Dates=H","DateFormat=P","Fill=—","Direction=H","UseDPDF=Y")</f>
        <v>438702</v>
      </c>
      <c r="Y12" s="16">
        <f>_xll.BDH("XOM US Equity","HISTORICAL_MARKET_CAP","FQ1 2014","FQ1 2014","Currency=USD","Period=FQ","BEST_FPERIOD_OVERRIDE=FQ","FILING_STATUS=OR","SCALING_FORMAT=MLN","Sort=A","Dates=H","DateFormat=P","Fill=—","Direction=H","UseDPDF=Y")</f>
        <v>419437.92</v>
      </c>
      <c r="Z12" s="16">
        <f>_xll.BDH("XOM US Equity","HISTORICAL_MARKET_CAP","FQ2 2014","FQ2 2014","Currency=USD","Period=FQ","BEST_FPERIOD_OVERRIDE=FQ","FILING_STATUS=OR","SCALING_FORMAT=MLN","Sort=A","Dates=H","DateFormat=P","Fill=—","Direction=H","UseDPDF=Y")</f>
        <v>429400.2</v>
      </c>
      <c r="AA12" s="16">
        <f>_xll.BDH("XOM US Equity","HISTORICAL_MARKET_CAP","FQ3 2014","FQ3 2014","Currency=USD","Period=FQ","BEST_FPERIOD_OVERRIDE=FQ","FILING_STATUS=OR","SCALING_FORMAT=MLN","Sort=A","Dates=H","DateFormat=P","Fill=—","Direction=H","UseDPDF=Y")</f>
        <v>398301.75</v>
      </c>
      <c r="AB12" s="16">
        <f>_xll.BDH("XOM US Equity","HISTORICAL_MARKET_CAP","FQ4 2014","FQ4 2014","Currency=USD","Period=FQ","BEST_FPERIOD_OVERRIDE=FQ","FILING_STATUS=OR","SCALING_FORMAT=MLN","Sort=A","Dates=H","DateFormat=P","Fill=—","Direction=H","UseDPDF=Y")</f>
        <v>388382.45</v>
      </c>
      <c r="AC12" s="16">
        <f>_xll.BDH("XOM US Equity","HISTORICAL_MARKET_CAP","FQ1 2015","FQ1 2015","Currency=USD","Period=FQ","BEST_FPERIOD_OVERRIDE=FQ","FILING_STATUS=OR","SCALING_FORMAT=MLN","Sort=A","Dates=H","DateFormat=P","Fill=—","Direction=H","UseDPDF=Y")</f>
        <v>355385</v>
      </c>
      <c r="AD12" s="16">
        <f>_xll.BDH("XOM US Equity","HISTORICAL_MARKET_CAP","FQ2 2015","FQ2 2015","Currency=USD","Period=FQ","BEST_FPERIOD_OVERRIDE=FQ","FILING_STATUS=OR","SCALING_FORMAT=MLN","Sort=A","Dates=H","DateFormat=P","Fill=—","Direction=H","UseDPDF=Y")</f>
        <v>346860.79999999999</v>
      </c>
      <c r="AE12" s="16">
        <f>_xll.BDH("XOM US Equity","HISTORICAL_MARKET_CAP","FQ3 2015","FQ3 2015","Currency=USD","Period=FQ","BEST_FPERIOD_OVERRIDE=FQ","FILING_STATUS=OR","SCALING_FORMAT=MLN","Sort=A","Dates=H","DateFormat=P","Fill=—","Direction=H","UseDPDF=Y")</f>
        <v>309519.05</v>
      </c>
      <c r="AF12" s="16">
        <f>_xll.BDH("XOM US Equity","HISTORICAL_MARKET_CAP","FQ4 2015","FQ4 2015","Currency=USD","Period=FQ","BEST_FPERIOD_OVERRIDE=FQ","FILING_STATUS=OR","SCALING_FORMAT=MLN","Sort=A","Dates=H","DateFormat=P","Fill=—","Direction=H","UseDPDF=Y")</f>
        <v>323960.2</v>
      </c>
      <c r="AG12" s="16">
        <f>_xll.BDH("XOM US Equity","HISTORICAL_MARKET_CAP","FQ1 2016","FQ1 2016","Currency=USD","Period=FQ","BEST_FPERIOD_OVERRIDE=FQ","FILING_STATUS=OR","SCALING_FORMAT=MLN","Sort=A","Dates=H","DateFormat=P","Fill=—","Direction=H","UseDPDF=Y")</f>
        <v>346647.73</v>
      </c>
      <c r="AH12" s="16">
        <f>_xll.BDH("XOM US Equity","HISTORICAL_MARKET_CAP","FQ2 2016","FQ2 2016","Currency=USD","Period=FQ","BEST_FPERIOD_OVERRIDE=FQ","FILING_STATUS=OR","SCALING_FORMAT=MLN","Sort=A","Dates=H","DateFormat=P","Fill=—","Direction=H","UseDPDF=Y")</f>
        <v>388739.78</v>
      </c>
      <c r="AI12" s="16">
        <f>_xll.BDH("XOM US Equity","HISTORICAL_MARKET_CAP","FQ3 2016","FQ3 2016","Currency=USD","Period=FQ","BEST_FPERIOD_OVERRIDE=FQ","FILING_STATUS=OR","SCALING_FORMAT=MLN","Sort=A","Dates=H","DateFormat=P","Fill=—","Direction=H","UseDPDF=Y")</f>
        <v>361950.16</v>
      </c>
      <c r="AJ12" s="16">
        <f>_xll.BDH("XOM US Equity","HISTORICAL_MARKET_CAP","FQ4 2016","FQ4 2016","Currency=USD","Period=FQ","BEST_FPERIOD_OVERRIDE=FQ","FILING_STATUS=OR","SCALING_FORMAT=MLN","Sort=A","Dates=H","DateFormat=P","Fill=—","Direction=H","UseDPDF=Y")</f>
        <v>374398.48</v>
      </c>
      <c r="AK12" s="16">
        <f>_xll.BDH("XOM US Equity","HISTORICAL_MARKET_CAP","FQ1 2017","FQ1 2017","Currency=USD","Period=FQ","BEST_FPERIOD_OVERRIDE=FQ","FILING_STATUS=OR","SCALING_FORMAT=MLN","Sort=A","Dates=H","DateFormat=P","Fill=—","Direction=H","UseDPDF=Y")</f>
        <v>347476.37</v>
      </c>
      <c r="AL12" s="16">
        <f>_xll.BDH("XOM US Equity","HISTORICAL_MARKET_CAP","FQ2 2017","FQ2 2017","Currency=USD","Period=FQ","BEST_FPERIOD_OVERRIDE=FQ","FILING_STATUS=OR","SCALING_FORMAT=MLN","Sort=A","Dates=H","DateFormat=P","Fill=—","Direction=H","UseDPDF=Y")</f>
        <v>342053.01</v>
      </c>
      <c r="AM12" s="16">
        <f>_xll.BDH("XOM US Equity","HISTORICAL_MARKET_CAP","FQ3 2017","FQ3 2017","Currency=USD","Period=FQ","BEST_FPERIOD_OVERRIDE=FQ","FILING_STATUS=OR","SCALING_FORMAT=MLN","Sort=A","Dates=H","DateFormat=P","Fill=—","Direction=H","UseDPDF=Y")</f>
        <v>347349.26</v>
      </c>
      <c r="AN12" s="16">
        <f>_xll.BDH("XOM US Equity","HISTORICAL_MARKET_CAP","FQ4 2017","FQ4 2017","Currency=USD","Period=FQ","BEST_FPERIOD_OVERRIDE=FQ","FILING_STATUS=OR","SCALING_FORMAT=MLN","Sort=A","Dates=H","DateFormat=P","Fill=—","Direction=H","UseDPDF=Y")</f>
        <v>354549.96</v>
      </c>
      <c r="AO12" s="16">
        <f>_xll.BDH("XOM US Equity","HISTORICAL_MARKET_CAP","FQ1 2018","FQ1 2018","Currency=USD","Period=FQ","BEST_FPERIOD_OVERRIDE=FQ","FILING_STATUS=OR","SCALING_FORMAT=MLN","Sort=A","Dates=H","DateFormat=P","Fill=—","Direction=H","UseDPDF=Y")</f>
        <v>315898.74</v>
      </c>
      <c r="AP12" s="16">
        <f>_xll.BDH("XOM US Equity","HISTORICAL_MARKET_CAP","FQ2 2018","FQ2 2018","Currency=USD","Period=FQ","BEST_FPERIOD_OVERRIDE=FQ","FILING_STATUS=OR","SCALING_FORMAT=MLN","Sort=A","Dates=H","DateFormat=P","Fill=—","Direction=H","UseDPDF=Y")</f>
        <v>350278.82</v>
      </c>
    </row>
    <row r="13" spans="1:42" x14ac:dyDescent="0.25">
      <c r="A13" s="10" t="s">
        <v>496</v>
      </c>
      <c r="B13" s="10" t="s">
        <v>497</v>
      </c>
      <c r="C13" s="14">
        <f>_xll.BDH("XOM US Equity","EQY_SH_OUT","FQ3 2008","FQ3 2008","Currency=USD","Period=FQ","BEST_FPERIOD_OVERRIDE=FQ","FILING_STATUS=OR","Sort=A","Dates=H","DateFormat=P","Fill=—","Direction=H","UseDPDF=Y")</f>
        <v>5194.0029999999997</v>
      </c>
      <c r="D13" s="14">
        <f>_xll.BDH("XOM US Equity","EQY_SH_OUT","FQ4 2008","FQ4 2008","Currency=USD","Period=FQ","BEST_FPERIOD_OVERRIDE=FQ","FILING_STATUS=OR","Sort=A","Dates=H","DateFormat=P","Fill=—","Direction=H","UseDPDF=Y")</f>
        <v>5086.6490000000003</v>
      </c>
      <c r="E13" s="14">
        <f>_xll.BDH("XOM US Equity","EQY_SH_OUT","FQ1 2009","FQ1 2009","Currency=USD","Period=FQ","BEST_FPERIOD_OVERRIDE=FQ","FILING_STATUS=OR","Sort=A","Dates=H","DateFormat=P","Fill=—","Direction=H","UseDPDF=Y")</f>
        <v>4941.63</v>
      </c>
      <c r="F13" s="14">
        <f>_xll.BDH("XOM US Equity","EQY_SH_OUT","FQ2 2009","FQ2 2009","Currency=USD","Period=FQ","BEST_FPERIOD_OVERRIDE=FQ","FILING_STATUS=OR","Sort=A","Dates=H","DateFormat=P","Fill=—","Direction=H","UseDPDF=Y")</f>
        <v>4879.71</v>
      </c>
      <c r="G13" s="14">
        <f>_xll.BDH("XOM US Equity","EQY_SH_OUT","FQ3 2009","FQ3 2009","Currency=USD","Period=FQ","BEST_FPERIOD_OVERRIDE=FQ","FILING_STATUS=OR","Sort=A","Dates=H","DateFormat=P","Fill=—","Direction=H","UseDPDF=Y")</f>
        <v>4805.79</v>
      </c>
      <c r="H13" s="14">
        <f>_xll.BDH("XOM US Equity","EQY_SH_OUT","FQ4 2009","FQ4 2009","Currency=USD","Period=FQ","BEST_FPERIOD_OVERRIDE=FQ","FILING_STATUS=OR","Sort=A","Dates=H","DateFormat=P","Fill=—","Direction=H","UseDPDF=Y")</f>
        <v>4747.2839999999997</v>
      </c>
      <c r="I13" s="14">
        <f>_xll.BDH("XOM US Equity","EQY_SH_OUT","FQ1 2010","FQ1 2010","Currency=USD","Period=FQ","BEST_FPERIOD_OVERRIDE=FQ","FILING_STATUS=OR","Sort=A","Dates=H","DateFormat=P","Fill=—","Direction=H","UseDPDF=Y")</f>
        <v>4721.2730000000001</v>
      </c>
      <c r="J13" s="14">
        <f>_xll.BDH("XOM US Equity","EQY_SH_OUT","FQ2 2010","FQ2 2010","Currency=USD","Period=FQ","BEST_FPERIOD_OVERRIDE=FQ","FILING_STATUS=OR","Sort=A","Dates=H","DateFormat=P","Fill=—","Direction=H","UseDPDF=Y")</f>
        <v>5114.5540000000001</v>
      </c>
      <c r="K13" s="14">
        <f>_xll.BDH("XOM US Equity","EQY_SH_OUT","FQ3 2010","FQ3 2010","Currency=USD","Period=FQ","BEST_FPERIOD_OVERRIDE=FQ","FILING_STATUS=OR","Sort=A","Dates=H","DateFormat=P","Fill=—","Direction=H","UseDPDF=Y")</f>
        <v>5091.8040000000001</v>
      </c>
      <c r="L13" s="14">
        <f>_xll.BDH("XOM US Equity","EQY_SH_OUT","FQ4 2010","FQ4 2010","Currency=USD","Period=FQ","BEST_FPERIOD_OVERRIDE=FQ","FILING_STATUS=OR","Sort=A","Dates=H","DateFormat=P","Fill=—","Direction=H","UseDPDF=Y")</f>
        <v>5042.5569999999998</v>
      </c>
      <c r="M13" s="14">
        <f>_xll.BDH("XOM US Equity","EQY_SH_OUT","FQ1 2011","FQ1 2011","Currency=USD","Period=FQ","BEST_FPERIOD_OVERRIDE=FQ","FILING_STATUS=OR","Sort=A","Dates=H","DateFormat=P","Fill=—","Direction=H","UseDPDF=Y")</f>
        <v>4958.598</v>
      </c>
      <c r="N13" s="14">
        <f>_xll.BDH("XOM US Equity","EQY_SH_OUT","FQ2 2011","FQ2 2011","Currency=USD","Period=FQ","BEST_FPERIOD_OVERRIDE=FQ","FILING_STATUS=OR","Sort=A","Dates=H","DateFormat=P","Fill=—","Direction=H","UseDPDF=Y")</f>
        <v>4926.0860000000002</v>
      </c>
      <c r="O13" s="14">
        <f>_xll.BDH("XOM US Equity","EQY_SH_OUT","FQ3 2011","FQ3 2011","Currency=USD","Period=FQ","BEST_FPERIOD_OVERRIDE=FQ","FILING_STATUS=OR","Sort=A","Dates=H","DateFormat=P","Fill=—","Direction=H","UseDPDF=Y")</f>
        <v>4862.1149999999998</v>
      </c>
      <c r="P13" s="14">
        <f>_xll.BDH("XOM US Equity","EQY_SH_OUT","FQ4 2011","FQ4 2011","Currency=USD","Period=FQ","BEST_FPERIOD_OVERRIDE=FQ","FILING_STATUS=OR","Sort=A","Dates=H","DateFormat=P","Fill=—","Direction=H","UseDPDF=Y")</f>
        <v>4793.2079999999996</v>
      </c>
      <c r="Q13" s="14">
        <f>_xll.BDH("XOM US Equity","EQY_SH_OUT","FQ1 2012","FQ1 2012","Currency=USD","Period=FQ","BEST_FPERIOD_OVERRIDE=FQ","FILING_STATUS=OR","Sort=A","Dates=H","DateFormat=P","Fill=—","Direction=H","UseDPDF=Y")</f>
        <v>4713.2209999999995</v>
      </c>
      <c r="R13" s="14">
        <f>_xll.BDH("XOM US Equity","EQY_SH_OUT","FQ2 2012","FQ2 2012","Currency=USD","Period=FQ","BEST_FPERIOD_OVERRIDE=FQ","FILING_STATUS=OR","Sort=A","Dates=H","DateFormat=P","Fill=—","Direction=H","UseDPDF=Y")</f>
        <v>4676.1660000000002</v>
      </c>
      <c r="S13" s="14">
        <f>_xll.BDH("XOM US Equity","EQY_SH_OUT","FQ3 2012","FQ3 2012","Currency=USD","Period=FQ","BEST_FPERIOD_OVERRIDE=FQ","FILING_STATUS=OR","Sort=A","Dates=H","DateFormat=P","Fill=—","Direction=H","UseDPDF=Y")</f>
        <v>4615.9390000000003</v>
      </c>
      <c r="T13" s="14">
        <f>_xll.BDH("XOM US Equity","EQY_SH_OUT","FQ4 2012","FQ4 2012","Currency=USD","Period=FQ","BEST_FPERIOD_OVERRIDE=FQ","FILING_STATUS=OR","Sort=A","Dates=H","DateFormat=P","Fill=—","Direction=H","UseDPDF=Y")</f>
        <v>4559.3429999999998</v>
      </c>
      <c r="U13" s="14">
        <f>_xll.BDH("XOM US Equity","EQY_SH_OUT","FQ1 2013","FQ1 2013","Currency=USD","Period=FQ","BEST_FPERIOD_OVERRIDE=FQ","FILING_STATUS=OR","Sort=A","Dates=H","DateFormat=P","Fill=—","Direction=H","UseDPDF=Y")</f>
        <v>4480.45</v>
      </c>
      <c r="V13" s="14">
        <f>_xll.BDH("XOM US Equity","EQY_SH_OUT","FQ2 2013","FQ2 2013","Currency=USD","Period=FQ","BEST_FPERIOD_OVERRIDE=FQ","FILING_STATUS=OR","Sort=A","Dates=H","DateFormat=P","Fill=—","Direction=H","UseDPDF=Y")</f>
        <v>4446.3760000000002</v>
      </c>
      <c r="W13" s="14">
        <f>_xll.BDH("XOM US Equity","EQY_SH_OUT","FQ3 2013","FQ3 2013","Currency=USD","Period=FQ","BEST_FPERIOD_OVERRIDE=FQ","FILING_STATUS=OR","Sort=A","Dates=H","DateFormat=P","Fill=—","Direction=H","UseDPDF=Y")</f>
        <v>4401.6319999999996</v>
      </c>
      <c r="X13" s="14">
        <f>_xll.BDH("XOM US Equity","EQY_SH_OUT","FQ4 2013","FQ4 2013","Currency=USD","Period=FQ","BEST_FPERIOD_OVERRIDE=FQ","FILING_STATUS=OR","Sort=A","Dates=H","DateFormat=P","Fill=—","Direction=H","UseDPDF=Y")</f>
        <v>4368.5140000000001</v>
      </c>
      <c r="Y13" s="14">
        <f>_xll.BDH("XOM US Equity","EQY_SH_OUT","FQ1 2014","FQ1 2014","Currency=USD","Period=FQ","BEST_FPERIOD_OVERRIDE=FQ","FILING_STATUS=OR","Sort=A","Dates=H","DateFormat=P","Fill=—","Direction=H","UseDPDF=Y")</f>
        <v>4321.2389999999996</v>
      </c>
      <c r="Z13" s="14">
        <f>_xll.BDH("XOM US Equity","EQY_SH_OUT","FQ2 2014","FQ2 2014","Currency=USD","Period=FQ","BEST_FPERIOD_OVERRIDE=FQ","FILING_STATUS=OR","Sort=A","Dates=H","DateFormat=P","Fill=—","Direction=H","UseDPDF=Y")</f>
        <v>4294.375</v>
      </c>
      <c r="AA13" s="14">
        <f>_xll.BDH("XOM US Equity","EQY_SH_OUT","FQ3 2014","FQ3 2014","Currency=USD","Period=FQ","BEST_FPERIOD_OVERRIDE=FQ","FILING_STATUS=OR","Sort=A","Dates=H","DateFormat=P","Fill=—","Direction=H","UseDPDF=Y")</f>
        <v>4264.692</v>
      </c>
      <c r="AB13" s="14">
        <f>_xll.BDH("XOM US Equity","EQY_SH_OUT","FQ4 2014","FQ4 2014","Currency=USD","Period=FQ","BEST_FPERIOD_OVERRIDE=FQ","FILING_STATUS=OR","Sort=A","Dates=H","DateFormat=P","Fill=—","Direction=H","UseDPDF=Y")</f>
        <v>4234.5290000000005</v>
      </c>
      <c r="AC13" s="14">
        <f>_xll.BDH("XOM US Equity","EQY_SH_OUT","FQ1 2015","FQ1 2015","Currency=USD","Period=FQ","BEST_FPERIOD_OVERRIDE=FQ","FILING_STATUS=OR","Sort=A","Dates=H","DateFormat=P","Fill=—","Direction=H","UseDPDF=Y")</f>
        <v>4194.6899999999996</v>
      </c>
      <c r="AD13" s="14">
        <f>_xll.BDH("XOM US Equity","EQY_SH_OUT","FQ2 2015","FQ2 2015","Currency=USD","Period=FQ","BEST_FPERIOD_OVERRIDE=FQ","FILING_STATUS=OR","Sort=A","Dates=H","DateFormat=P","Fill=—","Direction=H","UseDPDF=Y")</f>
        <v>4181.1080000000002</v>
      </c>
      <c r="AE13" s="14">
        <f>_xll.BDH("XOM US Equity","EQY_SH_OUT","FQ3 2015","FQ3 2015","Currency=USD","Period=FQ","BEST_FPERIOD_OVERRIDE=FQ","FILING_STATUS=OR","Sort=A","Dates=H","DateFormat=P","Fill=—","Direction=H","UseDPDF=Y")</f>
        <v>4169.4489999999996</v>
      </c>
      <c r="AF13" s="14">
        <f>_xll.BDH("XOM US Equity","EQY_SH_OUT","FQ4 2015","FQ4 2015","Currency=USD","Period=FQ","BEST_FPERIOD_OVERRIDE=FQ","FILING_STATUS=OR","Sort=A","Dates=H","DateFormat=P","Fill=—","Direction=H","UseDPDF=Y")</f>
        <v>4162.9380000000001</v>
      </c>
      <c r="AG13" s="14">
        <f>_xll.BDH("XOM US Equity","EQY_SH_OUT","FQ1 2016","FQ1 2016","Currency=USD","Period=FQ","BEST_FPERIOD_OVERRIDE=FQ","FILING_STATUS=OR","Sort=A","Dates=H","DateFormat=P","Fill=—","Direction=H","UseDPDF=Y")</f>
        <v>4152.7569999999996</v>
      </c>
      <c r="AH13" s="14">
        <f>_xll.BDH("XOM US Equity","EQY_SH_OUT","FQ2 2016","FQ2 2016","Currency=USD","Period=FQ","BEST_FPERIOD_OVERRIDE=FQ","FILING_STATUS=OR","Sort=A","Dates=H","DateFormat=P","Fill=—","Direction=H","UseDPDF=Y")</f>
        <v>4146.6109999999999</v>
      </c>
      <c r="AI13" s="14">
        <f>_xll.BDH("XOM US Equity","EQY_SH_OUT","FQ3 2016","FQ3 2016","Currency=USD","Period=FQ","BEST_FPERIOD_OVERRIDE=FQ","FILING_STATUS=OR","Sort=A","Dates=H","DateFormat=P","Fill=—","Direction=H","UseDPDF=Y")</f>
        <v>4146.6499999999996</v>
      </c>
      <c r="AJ13" s="14">
        <f>_xll.BDH("XOM US Equity","EQY_SH_OUT","FQ4 2016","FQ4 2016","Currency=USD","Period=FQ","BEST_FPERIOD_OVERRIDE=FQ","FILING_STATUS=OR","Sort=A","Dates=H","DateFormat=P","Fill=—","Direction=H","UseDPDF=Y")</f>
        <v>4146.6930000000002</v>
      </c>
      <c r="AK13" s="14">
        <f>_xll.BDH("XOM US Equity","EQY_SH_OUT","FQ1 2017","FQ1 2017","Currency=USD","Period=FQ","BEST_FPERIOD_OVERRIDE=FQ","FILING_STATUS=OR","Sort=A","Dates=H","DateFormat=P","Fill=—","Direction=H","UseDPDF=Y")</f>
        <v>4146.5140000000001</v>
      </c>
      <c r="AL13" s="14">
        <f>_xll.BDH("XOM US Equity","EQY_SH_OUT","FQ2 2017","FQ2 2017","Currency=USD","Period=FQ","BEST_FPERIOD_OVERRIDE=FQ","FILING_STATUS=OR","Sort=A","Dates=H","DateFormat=P","Fill=—","Direction=H","UseDPDF=Y")</f>
        <v>4237.2659999999996</v>
      </c>
      <c r="AM13" s="14">
        <f>_xll.BDH("XOM US Equity","EQY_SH_OUT","FQ3 2017","FQ3 2017","Currency=USD","Period=FQ","BEST_FPERIOD_OVERRIDE=FQ","FILING_STATUS=OR","Sort=A","Dates=H","DateFormat=P","Fill=—","Direction=H","UseDPDF=Y")</f>
        <v>4237.1059999999998</v>
      </c>
      <c r="AN13" s="14">
        <f>_xll.BDH("XOM US Equity","EQY_SH_OUT","FQ4 2017","FQ4 2017","Currency=USD","Period=FQ","BEST_FPERIOD_OVERRIDE=FQ","FILING_STATUS=OR","Sort=A","Dates=H","DateFormat=P","Fill=—","Direction=H","UseDPDF=Y")</f>
        <v>4237.1059999999998</v>
      </c>
      <c r="AO13" s="14">
        <f>_xll.BDH("XOM US Equity","EQY_SH_OUT","FQ1 2018","FQ1 2018","Currency=USD","Period=FQ","BEST_FPERIOD_OVERRIDE=FQ","FILING_STATUS=OR","Sort=A","Dates=H","DateFormat=P","Fill=—","Direction=H","UseDPDF=Y")</f>
        <v>4237.4620000000004</v>
      </c>
      <c r="AP13" s="14">
        <f>_xll.BDH("XOM US Equity","EQY_SH_OUT","FQ2 2018","FQ2 2018","Currency=USD","Period=FQ","BEST_FPERIOD_OVERRIDE=FQ","FILING_STATUS=OR","Sort=A","Dates=H","DateFormat=P","Fill=—","Direction=H","UseDPDF=Y")</f>
        <v>4233.8339999999998</v>
      </c>
    </row>
    <row r="14" spans="1:42" x14ac:dyDescent="0.25">
      <c r="A14" s="10" t="s">
        <v>498</v>
      </c>
      <c r="B14" s="10" t="s">
        <v>499</v>
      </c>
      <c r="C14" s="14">
        <f>_xll.BDH("XOM US Equity","EQY_FLOAT","FQ3 2008","FQ3 2008","Currency=USD","Period=FQ","BEST_FPERIOD_OVERRIDE=FQ","FILING_STATUS=OR","Sort=A","Dates=H","DateFormat=P","Fill=—","Direction=H","UseDPDF=Y")</f>
        <v>5183.348</v>
      </c>
      <c r="D14" s="14">
        <f>_xll.BDH("XOM US Equity","EQY_FLOAT","FQ4 2008","FQ4 2008","Currency=USD","Period=FQ","BEST_FPERIOD_OVERRIDE=FQ","FILING_STATUS=OR","Sort=A","Dates=H","DateFormat=P","Fill=—","Direction=H","UseDPDF=Y")</f>
        <v>5074.951</v>
      </c>
      <c r="E14" s="14">
        <f>_xll.BDH("XOM US Equity","EQY_FLOAT","FQ1 2009","FQ1 2009","Currency=USD","Period=FQ","BEST_FPERIOD_OVERRIDE=FQ","FILING_STATUS=OR","Sort=A","Dates=H","DateFormat=P","Fill=—","Direction=H","UseDPDF=Y")</f>
        <v>4929.7969999999996</v>
      </c>
      <c r="F14" s="14">
        <f>_xll.BDH("XOM US Equity","EQY_FLOAT","FQ2 2009","FQ2 2009","Currency=USD","Period=FQ","BEST_FPERIOD_OVERRIDE=FQ","FILING_STATUS=OR","Sort=A","Dates=H","DateFormat=P","Fill=—","Direction=H","UseDPDF=Y")</f>
        <v>4867.4679999999998</v>
      </c>
      <c r="G14" s="14">
        <f>_xll.BDH("XOM US Equity","EQY_FLOAT","FQ3 2009","FQ3 2009","Currency=USD","Period=FQ","BEST_FPERIOD_OVERRIDE=FQ","FILING_STATUS=OR","Sort=A","Dates=H","DateFormat=P","Fill=—","Direction=H","UseDPDF=Y")</f>
        <v>4798.3469999999998</v>
      </c>
      <c r="H14" s="14">
        <f>_xll.BDH("XOM US Equity","EQY_FLOAT","FQ4 2009","FQ4 2009","Currency=USD","Period=FQ","BEST_FPERIOD_OVERRIDE=FQ","FILING_STATUS=OR","Sort=A","Dates=H","DateFormat=P","Fill=—","Direction=H","UseDPDF=Y")</f>
        <v>4738.7219999999998</v>
      </c>
      <c r="I14" s="14">
        <f>_xll.BDH("XOM US Equity","EQY_FLOAT","FQ1 2010","FQ1 2010","Currency=USD","Period=FQ","BEST_FPERIOD_OVERRIDE=FQ","FILING_STATUS=OR","Sort=A","Dates=H","DateFormat=P","Fill=—","Direction=H","UseDPDF=Y")</f>
        <v>4712.5069999999996</v>
      </c>
      <c r="J14" s="14">
        <f>_xll.BDH("XOM US Equity","EQY_FLOAT","FQ2 2010","FQ2 2010","Currency=USD","Period=FQ","BEST_FPERIOD_OVERRIDE=FQ","FILING_STATUS=OR","Sort=A","Dates=H","DateFormat=P","Fill=—","Direction=H","UseDPDF=Y")</f>
        <v>5105.57</v>
      </c>
      <c r="K14" s="14">
        <f>_xll.BDH("XOM US Equity","EQY_FLOAT","FQ3 2010","FQ3 2010","Currency=USD","Period=FQ","BEST_FPERIOD_OVERRIDE=FQ","FILING_STATUS=OR","Sort=A","Dates=H","DateFormat=P","Fill=—","Direction=H","UseDPDF=Y")</f>
        <v>5082.47</v>
      </c>
      <c r="L14" s="14">
        <f>_xll.BDH("XOM US Equity","EQY_FLOAT","FQ4 2010","FQ4 2010","Currency=USD","Period=FQ","BEST_FPERIOD_OVERRIDE=FQ","FILING_STATUS=OR","Sort=A","Dates=H","DateFormat=P","Fill=—","Direction=H","UseDPDF=Y")</f>
        <v>5032.3459999999995</v>
      </c>
      <c r="M14" s="14">
        <f>_xll.BDH("XOM US Equity","EQY_FLOAT","FQ1 2011","FQ1 2011","Currency=USD","Period=FQ","BEST_FPERIOD_OVERRIDE=FQ","FILING_STATUS=OR","Sort=A","Dates=H","DateFormat=P","Fill=—","Direction=H","UseDPDF=Y")</f>
        <v>4948.49</v>
      </c>
      <c r="N14" s="14">
        <f>_xll.BDH("XOM US Equity","EQY_FLOAT","FQ2 2011","FQ2 2011","Currency=USD","Period=FQ","BEST_FPERIOD_OVERRIDE=FQ","FILING_STATUS=OR","Sort=A","Dates=H","DateFormat=P","Fill=—","Direction=H","UseDPDF=Y")</f>
        <v>4915.8770000000004</v>
      </c>
      <c r="O14" s="14">
        <f>_xll.BDH("XOM US Equity","EQY_FLOAT","FQ3 2011","FQ3 2011","Currency=USD","Period=FQ","BEST_FPERIOD_OVERRIDE=FQ","FILING_STATUS=OR","Sort=A","Dates=H","DateFormat=P","Fill=—","Direction=H","UseDPDF=Y")</f>
        <v>4852.8459999999995</v>
      </c>
      <c r="P14" s="14">
        <f>_xll.BDH("XOM US Equity","EQY_FLOAT","FQ4 2011","FQ4 2011","Currency=USD","Period=FQ","BEST_FPERIOD_OVERRIDE=FQ","FILING_STATUS=OR","Sort=A","Dates=H","DateFormat=P","Fill=—","Direction=H","UseDPDF=Y")</f>
        <v>4782.9040000000005</v>
      </c>
      <c r="Q14" s="14">
        <f>_xll.BDH("XOM US Equity","EQY_FLOAT","FQ1 2012","FQ1 2012","Currency=USD","Period=FQ","BEST_FPERIOD_OVERRIDE=FQ","FILING_STATUS=OR","Sort=A","Dates=H","DateFormat=P","Fill=—","Direction=H","UseDPDF=Y")</f>
        <v>4702.9229999999998</v>
      </c>
      <c r="R14" s="14">
        <f>_xll.BDH("XOM US Equity","EQY_FLOAT","FQ2 2012","FQ2 2012","Currency=USD","Period=FQ","BEST_FPERIOD_OVERRIDE=FQ","FILING_STATUS=OR","Sort=A","Dates=H","DateFormat=P","Fill=—","Direction=H","UseDPDF=Y")</f>
        <v>4665.7809999999999</v>
      </c>
      <c r="S14" s="14">
        <f>_xll.BDH("XOM US Equity","EQY_FLOAT","FQ3 2012","FQ3 2012","Currency=USD","Period=FQ","BEST_FPERIOD_OVERRIDE=FQ","FILING_STATUS=OR","Sort=A","Dates=H","DateFormat=P","Fill=—","Direction=H","UseDPDF=Y")</f>
        <v>4605.6040000000003</v>
      </c>
      <c r="T14" s="14">
        <f>_xll.BDH("XOM US Equity","EQY_FLOAT","FQ4 2012","FQ4 2012","Currency=USD","Period=FQ","BEST_FPERIOD_OVERRIDE=FQ","FILING_STATUS=OR","Sort=A","Dates=H","DateFormat=P","Fill=—","Direction=H","UseDPDF=Y")</f>
        <v>4548.5290000000005</v>
      </c>
      <c r="U14" s="14">
        <f>_xll.BDH("XOM US Equity","EQY_FLOAT","FQ1 2013","FQ1 2013","Currency=USD","Period=FQ","BEST_FPERIOD_OVERRIDE=FQ","FILING_STATUS=OR","Sort=A","Dates=H","DateFormat=P","Fill=—","Direction=H","UseDPDF=Y")</f>
        <v>4469.5379999999996</v>
      </c>
      <c r="V14" s="14">
        <f>_xll.BDH("XOM US Equity","EQY_FLOAT","FQ2 2013","FQ2 2013","Currency=USD","Period=FQ","BEST_FPERIOD_OVERRIDE=FQ","FILING_STATUS=OR","Sort=A","Dates=H","DateFormat=P","Fill=—","Direction=H","UseDPDF=Y")</f>
        <v>4436.0469999999996</v>
      </c>
      <c r="W14" s="14">
        <f>_xll.BDH("XOM US Equity","EQY_FLOAT","FQ3 2013","FQ3 2013","Currency=USD","Period=FQ","BEST_FPERIOD_OVERRIDE=FQ","FILING_STATUS=OR","Sort=A","Dates=H","DateFormat=P","Fill=—","Direction=H","UseDPDF=Y")</f>
        <v>4391.3109999999997</v>
      </c>
      <c r="X14" s="14">
        <f>_xll.BDH("XOM US Equity","EQY_FLOAT","FQ4 2013","FQ4 2013","Currency=USD","Period=FQ","BEST_FPERIOD_OVERRIDE=FQ","FILING_STATUS=OR","Sort=A","Dates=H","DateFormat=P","Fill=—","Direction=H","UseDPDF=Y")</f>
        <v>4357.3729999999996</v>
      </c>
      <c r="Y14" s="14">
        <f>_xll.BDH("XOM US Equity","EQY_FLOAT","FQ1 2014","FQ1 2014","Currency=USD","Period=FQ","BEST_FPERIOD_OVERRIDE=FQ","FILING_STATUS=OR","Sort=A","Dates=H","DateFormat=P","Fill=—","Direction=H","UseDPDF=Y")</f>
        <v>4310.0820000000003</v>
      </c>
      <c r="Z14" s="14">
        <f>_xll.BDH("XOM US Equity","EQY_FLOAT","FQ2 2014","FQ2 2014","Currency=USD","Period=FQ","BEST_FPERIOD_OVERRIDE=FQ","FILING_STATUS=OR","Sort=A","Dates=H","DateFormat=P","Fill=—","Direction=H","UseDPDF=Y")</f>
        <v>4283.2330000000002</v>
      </c>
      <c r="AA14" s="14">
        <f>_xll.BDH("XOM US Equity","EQY_FLOAT","FQ3 2014","FQ3 2014","Currency=USD","Period=FQ","BEST_FPERIOD_OVERRIDE=FQ","FILING_STATUS=OR","Sort=A","Dates=H","DateFormat=P","Fill=—","Direction=H","UseDPDF=Y")</f>
        <v>4253.2250000000004</v>
      </c>
      <c r="AB14" s="14">
        <f>_xll.BDH("XOM US Equity","EQY_FLOAT","FQ4 2014","FQ4 2014","Currency=USD","Period=FQ","BEST_FPERIOD_OVERRIDE=FQ","FILING_STATUS=OR","Sort=A","Dates=H","DateFormat=P","Fill=—","Direction=H","UseDPDF=Y")</f>
        <v>4224.7439999999997</v>
      </c>
      <c r="AC14" s="14">
        <f>_xll.BDH("XOM US Equity","EQY_FLOAT","FQ1 2015","FQ1 2015","Currency=USD","Period=FQ","BEST_FPERIOD_OVERRIDE=FQ","FILING_STATUS=OR","Sort=A","Dates=H","DateFormat=P","Fill=—","Direction=H","UseDPDF=Y")</f>
        <v>4184.4480000000003</v>
      </c>
      <c r="AD14" s="14">
        <f>_xll.BDH("XOM US Equity","EQY_FLOAT","FQ2 2015","FQ2 2015","Currency=USD","Period=FQ","BEST_FPERIOD_OVERRIDE=FQ","FILING_STATUS=OR","Sort=A","Dates=H","DateFormat=P","Fill=—","Direction=H","UseDPDF=Y")</f>
        <v>4170.8649999999998</v>
      </c>
      <c r="AE14" s="14">
        <f>_xll.BDH("XOM US Equity","EQY_FLOAT","FQ3 2015","FQ3 2015","Currency=USD","Period=FQ","BEST_FPERIOD_OVERRIDE=FQ","FILING_STATUS=OR","Sort=A","Dates=H","DateFormat=P","Fill=—","Direction=H","UseDPDF=Y")</f>
        <v>4159.9750000000004</v>
      </c>
      <c r="AF14" s="14">
        <f>_xll.BDH("XOM US Equity","EQY_FLOAT","FQ4 2015","FQ4 2015","Currency=USD","Period=FQ","BEST_FPERIOD_OVERRIDE=FQ","FILING_STATUS=OR","Sort=A","Dates=H","DateFormat=P","Fill=—","Direction=H","UseDPDF=Y")</f>
        <v>4151.9849999999997</v>
      </c>
      <c r="AG14" s="14">
        <f>_xll.BDH("XOM US Equity","EQY_FLOAT","FQ1 2016","FQ1 2016","Currency=USD","Period=FQ","BEST_FPERIOD_OVERRIDE=FQ","FILING_STATUS=OR","Sort=A","Dates=H","DateFormat=P","Fill=—","Direction=H","UseDPDF=Y")</f>
        <v>4141.8249999999998</v>
      </c>
      <c r="AH14" s="14">
        <f>_xll.BDH("XOM US Equity","EQY_FLOAT","FQ2 2016","FQ2 2016","Currency=USD","Period=FQ","BEST_FPERIOD_OVERRIDE=FQ","FILING_STATUS=OR","Sort=A","Dates=H","DateFormat=P","Fill=—","Direction=H","UseDPDF=Y")</f>
        <v>4136.9070000000002</v>
      </c>
      <c r="AI14" s="14">
        <f>_xll.BDH("XOM US Equity","EQY_FLOAT","FQ3 2016","FQ3 2016","Currency=USD","Period=FQ","BEST_FPERIOD_OVERRIDE=FQ","FILING_STATUS=OR","Sort=A","Dates=H","DateFormat=P","Fill=—","Direction=H","UseDPDF=Y")</f>
        <v>4136.8050000000003</v>
      </c>
      <c r="AJ14" s="14">
        <f>_xll.BDH("XOM US Equity","EQY_FLOAT","FQ4 2016","FQ4 2016","Currency=USD","Period=FQ","BEST_FPERIOD_OVERRIDE=FQ","FILING_STATUS=OR","Sort=A","Dates=H","DateFormat=P","Fill=—","Direction=H","UseDPDF=Y")</f>
        <v>4135.3429999999998</v>
      </c>
      <c r="AK14" s="14">
        <f>_xll.BDH("XOM US Equity","EQY_FLOAT","FQ1 2017","FQ1 2017","Currency=USD","Period=FQ","BEST_FPERIOD_OVERRIDE=FQ","FILING_STATUS=OR","Sort=A","Dates=H","DateFormat=P","Fill=—","Direction=H","UseDPDF=Y")</f>
        <v>4134.9390000000003</v>
      </c>
      <c r="AL14" s="14">
        <f>_xll.BDH("XOM US Equity","EQY_FLOAT","FQ2 2017","FQ2 2017","Currency=USD","Period=FQ","BEST_FPERIOD_OVERRIDE=FQ","FILING_STATUS=OR","Sort=A","Dates=H","DateFormat=P","Fill=—","Direction=H","UseDPDF=Y")</f>
        <v>4225.6620000000003</v>
      </c>
      <c r="AM14" s="14">
        <f>_xll.BDH("XOM US Equity","EQY_FLOAT","FQ3 2017","FQ3 2017","Currency=USD","Period=FQ","BEST_FPERIOD_OVERRIDE=FQ","FILING_STATUS=OR","Sort=A","Dates=H","DateFormat=P","Fill=—","Direction=H","UseDPDF=Y")</f>
        <v>4225.3370000000004</v>
      </c>
      <c r="AN14" s="14">
        <f>_xll.BDH("XOM US Equity","EQY_FLOAT","FQ4 2017","FQ4 2017","Currency=USD","Period=FQ","BEST_FPERIOD_OVERRIDE=FQ","FILING_STATUS=OR","Sort=A","Dates=H","DateFormat=P","Fill=—","Direction=H","UseDPDF=Y")</f>
        <v>4224.942</v>
      </c>
      <c r="AO14" s="14">
        <f>_xll.BDH("XOM US Equity","EQY_FLOAT","FQ1 2018","FQ1 2018","Currency=USD","Period=FQ","BEST_FPERIOD_OVERRIDE=FQ","FILING_STATUS=OR","Sort=A","Dates=H","DateFormat=P","Fill=—","Direction=H","UseDPDF=Y")</f>
        <v>4225.0349999999999</v>
      </c>
      <c r="AP14" s="14">
        <f>_xll.BDH("XOM US Equity","EQY_FLOAT","FQ2 2018","FQ2 2018","Currency=USD","Period=FQ","BEST_FPERIOD_OVERRIDE=FQ","FILING_STATUS=OR","Sort=A","Dates=H","DateFormat=P","Fill=—","Direction=H","UseDPDF=Y")</f>
        <v>4221.4080000000004</v>
      </c>
    </row>
    <row r="15" spans="1:42" x14ac:dyDescent="0.25">
      <c r="A15" s="7" t="s">
        <v>203</v>
      </c>
      <c r="B15" s="7"/>
      <c r="C15" s="7" t="s">
        <v>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- Adjusted</vt:lpstr>
      <vt:lpstr>Bal Sheet - Standardized</vt:lpstr>
      <vt:lpstr>Cash Flow - Standardized</vt:lpstr>
      <vt:lpstr>Per Share</vt:lpstr>
      <vt:lpstr>Stock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Yamin Tang</cp:lastModifiedBy>
  <dcterms:created xsi:type="dcterms:W3CDTF">2013-04-03T15:49:21Z</dcterms:created>
  <dcterms:modified xsi:type="dcterms:W3CDTF">2018-10-23T15:58:22Z</dcterms:modified>
</cp:coreProperties>
</file>