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130" windowWidth="15090" windowHeight="2190" activeTab="6"/>
  </bookViews>
  <sheets>
    <sheet name="周定义" sheetId="21" r:id="rId1"/>
    <sheet name="PMX" sheetId="17" r:id="rId2"/>
    <sheet name="PIX" sheetId="23" r:id="rId3"/>
    <sheet name="WIN" sheetId="24" state="hidden" r:id="rId4"/>
    <sheet name="AIS" sheetId="25" r:id="rId5"/>
    <sheet name="FCS" sheetId="26" r:id="rId6"/>
    <sheet name="FCE" sheetId="27" r:id="rId7"/>
    <sheet name="CI1" sheetId="28" r:id="rId8"/>
    <sheet name="CI2" sheetId="29" r:id="rId9"/>
    <sheet name="CISC" sheetId="30" r:id="rId10"/>
    <sheet name="舱位分配记录" sheetId="31" r:id="rId11"/>
    <sheet name="PMX BSA" sheetId="32" r:id="rId12"/>
    <sheet name="调度" sheetId="33" r:id="rId13"/>
  </sheets>
  <calcPr calcId="145621"/>
</workbook>
</file>

<file path=xl/calcChain.xml><?xml version="1.0" encoding="utf-8"?>
<calcChain xmlns="http://schemas.openxmlformats.org/spreadsheetml/2006/main">
  <c r="Q145" i="17" l="1"/>
  <c r="R145" i="17"/>
  <c r="P134" i="17"/>
  <c r="O158" i="30"/>
  <c r="Q155" i="28"/>
  <c r="P154" i="28"/>
  <c r="O154" i="28"/>
  <c r="Q140" i="26"/>
  <c r="O154" i="26"/>
  <c r="P133" i="17"/>
  <c r="O133" i="17"/>
  <c r="O154" i="17"/>
  <c r="O133" i="28"/>
  <c r="O134" i="17"/>
  <c r="Q188" i="29" l="1"/>
  <c r="L188" i="29"/>
  <c r="E188" i="29"/>
  <c r="A188" i="29"/>
  <c r="R187" i="29"/>
  <c r="Q187" i="29"/>
  <c r="P187" i="29"/>
  <c r="O187" i="29"/>
  <c r="L187" i="29"/>
  <c r="K187" i="29"/>
  <c r="J187" i="29"/>
  <c r="I187" i="29"/>
  <c r="D187" i="29"/>
  <c r="AF186" i="29"/>
  <c r="AE186" i="29"/>
  <c r="AD186" i="29"/>
  <c r="AB186" i="29"/>
  <c r="AA186" i="29"/>
  <c r="T186" i="29"/>
  <c r="N186" i="29"/>
  <c r="M186" i="29"/>
  <c r="G186" i="29"/>
  <c r="F186" i="29"/>
  <c r="H186" i="29" s="1"/>
  <c r="E186" i="29"/>
  <c r="AE185" i="29"/>
  <c r="AD185" i="29"/>
  <c r="AB185" i="29"/>
  <c r="AA185" i="29"/>
  <c r="N185" i="29"/>
  <c r="M185" i="29"/>
  <c r="F185" i="29"/>
  <c r="H185" i="29" s="1"/>
  <c r="E185" i="29"/>
  <c r="AF185" i="29" s="1"/>
  <c r="B185" i="29"/>
  <c r="AF184" i="29"/>
  <c r="AE184" i="29"/>
  <c r="AD184" i="29"/>
  <c r="AB184" i="29"/>
  <c r="AA184" i="29"/>
  <c r="T184" i="29"/>
  <c r="N184" i="29"/>
  <c r="M184" i="29"/>
  <c r="H184" i="29"/>
  <c r="G184" i="29"/>
  <c r="F184" i="29"/>
  <c r="E184" i="29"/>
  <c r="AE183" i="29"/>
  <c r="AD183" i="29"/>
  <c r="AB183" i="29"/>
  <c r="AA183" i="29"/>
  <c r="N183" i="29"/>
  <c r="M183" i="29"/>
  <c r="F183" i="29"/>
  <c r="E183" i="29"/>
  <c r="AF183" i="29" s="1"/>
  <c r="AE182" i="29"/>
  <c r="AD182" i="29"/>
  <c r="AB182" i="29"/>
  <c r="N182" i="29"/>
  <c r="M182" i="29"/>
  <c r="F182" i="29"/>
  <c r="H182" i="29" s="1"/>
  <c r="E182" i="29"/>
  <c r="T182" i="29" s="1"/>
  <c r="B182" i="29"/>
  <c r="AF181" i="29"/>
  <c r="AE181" i="29"/>
  <c r="AD181" i="29"/>
  <c r="AB181" i="29"/>
  <c r="AA181" i="29"/>
  <c r="T181" i="29"/>
  <c r="N181" i="29"/>
  <c r="M181" i="29"/>
  <c r="G181" i="29"/>
  <c r="F181" i="29"/>
  <c r="H181" i="29" s="1"/>
  <c r="E181" i="29"/>
  <c r="AF180" i="29"/>
  <c r="AE180" i="29"/>
  <c r="AD180" i="29"/>
  <c r="AB180" i="29"/>
  <c r="AA180" i="29"/>
  <c r="T180" i="29"/>
  <c r="N180" i="29"/>
  <c r="M180" i="29"/>
  <c r="G180" i="29"/>
  <c r="F180" i="29"/>
  <c r="H180" i="29" s="1"/>
  <c r="E180" i="29"/>
  <c r="AF179" i="29"/>
  <c r="AE179" i="29"/>
  <c r="AD179" i="29"/>
  <c r="AB179" i="29"/>
  <c r="AA179" i="29"/>
  <c r="T179" i="29"/>
  <c r="N179" i="29"/>
  <c r="M179" i="29"/>
  <c r="G179" i="29"/>
  <c r="F179" i="29"/>
  <c r="H179" i="29" s="1"/>
  <c r="E179" i="29"/>
  <c r="AF178" i="29"/>
  <c r="AE178" i="29"/>
  <c r="AD178" i="29"/>
  <c r="AB178" i="29"/>
  <c r="AA178" i="29"/>
  <c r="T178" i="29"/>
  <c r="N178" i="29"/>
  <c r="M178" i="29"/>
  <c r="G178" i="29"/>
  <c r="F178" i="29"/>
  <c r="H178" i="29" s="1"/>
  <c r="E178" i="29"/>
  <c r="AF177" i="29"/>
  <c r="AE177" i="29"/>
  <c r="AD177" i="29"/>
  <c r="AB177" i="29"/>
  <c r="AA177" i="29"/>
  <c r="T177" i="29"/>
  <c r="N177" i="29"/>
  <c r="M177" i="29"/>
  <c r="G177" i="29"/>
  <c r="F177" i="29"/>
  <c r="H177" i="29" s="1"/>
  <c r="E177" i="29"/>
  <c r="AF176" i="29"/>
  <c r="AE176" i="29"/>
  <c r="AD176" i="29"/>
  <c r="AB176" i="29"/>
  <c r="AA176" i="29"/>
  <c r="T176" i="29"/>
  <c r="N176" i="29"/>
  <c r="M176" i="29"/>
  <c r="G176" i="29"/>
  <c r="F176" i="29"/>
  <c r="H176" i="29" s="1"/>
  <c r="E176" i="29"/>
  <c r="B176" i="29"/>
  <c r="AF175" i="29"/>
  <c r="AE175" i="29"/>
  <c r="AD175" i="29"/>
  <c r="AB175" i="29"/>
  <c r="AA175" i="29"/>
  <c r="T175" i="29"/>
  <c r="N175" i="29"/>
  <c r="M175" i="29"/>
  <c r="G175" i="29"/>
  <c r="F175" i="29"/>
  <c r="H175" i="29" s="1"/>
  <c r="E175" i="29"/>
  <c r="B175" i="29"/>
  <c r="AF174" i="29"/>
  <c r="AE174" i="29"/>
  <c r="AD174" i="29"/>
  <c r="AB174" i="29"/>
  <c r="AA174" i="29"/>
  <c r="N174" i="29"/>
  <c r="M174" i="29"/>
  <c r="F174" i="29"/>
  <c r="H174" i="29" s="1"/>
  <c r="E174" i="29"/>
  <c r="T174" i="29" s="1"/>
  <c r="B174" i="29"/>
  <c r="AE173" i="29"/>
  <c r="AD173" i="29"/>
  <c r="AB173" i="29"/>
  <c r="N173" i="29"/>
  <c r="M173" i="29"/>
  <c r="F173" i="29"/>
  <c r="E173" i="29"/>
  <c r="G173" i="29" s="1"/>
  <c r="H169" i="29"/>
  <c r="AA182" i="29" s="1"/>
  <c r="L188" i="28"/>
  <c r="R187" i="28"/>
  <c r="Q187" i="28"/>
  <c r="L187" i="28"/>
  <c r="K187" i="28"/>
  <c r="J187" i="28"/>
  <c r="I187" i="28"/>
  <c r="D187" i="28"/>
  <c r="E188" i="28" s="1"/>
  <c r="AE186" i="28"/>
  <c r="AD186" i="28"/>
  <c r="AB186" i="28"/>
  <c r="N186" i="28"/>
  <c r="M186" i="28"/>
  <c r="H186" i="28"/>
  <c r="F186" i="28"/>
  <c r="E186" i="28"/>
  <c r="AF186" i="28" s="1"/>
  <c r="AF185" i="28"/>
  <c r="AE185" i="28"/>
  <c r="AD185" i="28"/>
  <c r="AB185" i="28"/>
  <c r="T185" i="28"/>
  <c r="N185" i="28"/>
  <c r="M185" i="28"/>
  <c r="H185" i="28"/>
  <c r="G185" i="28"/>
  <c r="F185" i="28"/>
  <c r="E185" i="28"/>
  <c r="AF184" i="28"/>
  <c r="AE184" i="28"/>
  <c r="AD184" i="28"/>
  <c r="AB184" i="28"/>
  <c r="T184" i="28"/>
  <c r="N184" i="28"/>
  <c r="M184" i="28"/>
  <c r="H184" i="28"/>
  <c r="G184" i="28"/>
  <c r="F184" i="28"/>
  <c r="E184" i="28"/>
  <c r="AE183" i="28"/>
  <c r="AD183" i="28"/>
  <c r="AB183" i="28"/>
  <c r="N183" i="28"/>
  <c r="M183" i="28"/>
  <c r="F183" i="28"/>
  <c r="E183" i="28"/>
  <c r="AF183" i="28" s="1"/>
  <c r="AF182" i="28"/>
  <c r="AE182" i="28"/>
  <c r="AD182" i="28"/>
  <c r="AB182" i="28"/>
  <c r="T182" i="28"/>
  <c r="N182" i="28"/>
  <c r="M182" i="28"/>
  <c r="G182" i="28"/>
  <c r="F182" i="28"/>
  <c r="H182" i="28" s="1"/>
  <c r="E182" i="28"/>
  <c r="AE181" i="28"/>
  <c r="AD181" i="28"/>
  <c r="AB181" i="28"/>
  <c r="N181" i="28"/>
  <c r="M181" i="28"/>
  <c r="H181" i="28"/>
  <c r="F181" i="28"/>
  <c r="E181" i="28"/>
  <c r="AF181" i="28" s="1"/>
  <c r="AE180" i="28"/>
  <c r="AD180" i="28"/>
  <c r="AB180" i="28"/>
  <c r="N180" i="28"/>
  <c r="M180" i="28"/>
  <c r="F180" i="28"/>
  <c r="H180" i="28" s="1"/>
  <c r="E180" i="28"/>
  <c r="AF180" i="28" s="1"/>
  <c r="AE179" i="28"/>
  <c r="AD179" i="28"/>
  <c r="AB179" i="28"/>
  <c r="N179" i="28"/>
  <c r="M179" i="28"/>
  <c r="F179" i="28"/>
  <c r="H179" i="28" s="1"/>
  <c r="E179" i="28"/>
  <c r="AF179" i="28" s="1"/>
  <c r="AE178" i="28"/>
  <c r="AD178" i="28"/>
  <c r="AB178" i="28"/>
  <c r="N178" i="28"/>
  <c r="M178" i="28"/>
  <c r="H178" i="28"/>
  <c r="F178" i="28"/>
  <c r="E178" i="28"/>
  <c r="AF178" i="28" s="1"/>
  <c r="AE177" i="28"/>
  <c r="AD177" i="28"/>
  <c r="AB177" i="28"/>
  <c r="N177" i="28"/>
  <c r="M177" i="28"/>
  <c r="F177" i="28"/>
  <c r="H177" i="28" s="1"/>
  <c r="E177" i="28"/>
  <c r="AF177" i="28" s="1"/>
  <c r="AE176" i="28"/>
  <c r="AD176" i="28"/>
  <c r="AB176" i="28"/>
  <c r="N176" i="28"/>
  <c r="M176" i="28"/>
  <c r="F176" i="28"/>
  <c r="H176" i="28" s="1"/>
  <c r="E176" i="28"/>
  <c r="AF176" i="28" s="1"/>
  <c r="AE175" i="28"/>
  <c r="AD175" i="28"/>
  <c r="AB175" i="28"/>
  <c r="Q188" i="28"/>
  <c r="O187" i="28"/>
  <c r="N175" i="28"/>
  <c r="M175" i="28"/>
  <c r="E175" i="28"/>
  <c r="G175" i="28" s="1"/>
  <c r="AE174" i="28"/>
  <c r="AD174" i="28"/>
  <c r="AB174" i="28"/>
  <c r="N174" i="28"/>
  <c r="M174" i="28"/>
  <c r="F174" i="28"/>
  <c r="H174" i="28" s="1"/>
  <c r="E174" i="28"/>
  <c r="T174" i="28" s="1"/>
  <c r="AE173" i="28"/>
  <c r="AD173" i="28"/>
  <c r="AB173" i="28"/>
  <c r="N173" i="28"/>
  <c r="M173" i="28"/>
  <c r="F173" i="28"/>
  <c r="E173" i="28"/>
  <c r="AF173" i="28" s="1"/>
  <c r="Q188" i="27"/>
  <c r="E188" i="27"/>
  <c r="A188" i="27"/>
  <c r="R187" i="27"/>
  <c r="Q187" i="27"/>
  <c r="P187" i="27"/>
  <c r="O187" i="27"/>
  <c r="L187" i="27"/>
  <c r="K187" i="27"/>
  <c r="J187" i="27"/>
  <c r="I187" i="27"/>
  <c r="D187" i="27"/>
  <c r="C187" i="27"/>
  <c r="L188" i="27" s="1"/>
  <c r="AF186" i="27"/>
  <c r="AE186" i="27"/>
  <c r="AD186" i="27"/>
  <c r="AB186" i="27"/>
  <c r="N186" i="27"/>
  <c r="M186" i="27"/>
  <c r="G186" i="27"/>
  <c r="F186" i="27"/>
  <c r="H186" i="27" s="1"/>
  <c r="E186" i="27"/>
  <c r="AF185" i="27"/>
  <c r="AE185" i="27"/>
  <c r="AD185" i="27"/>
  <c r="AB185" i="27"/>
  <c r="T185" i="27"/>
  <c r="N185" i="27"/>
  <c r="M185" i="27"/>
  <c r="G185" i="27"/>
  <c r="F185" i="27"/>
  <c r="H185" i="27" s="1"/>
  <c r="E185" i="27"/>
  <c r="B185" i="27"/>
  <c r="AE184" i="27"/>
  <c r="AD184" i="27"/>
  <c r="AB184" i="27"/>
  <c r="T184" i="27"/>
  <c r="N184" i="27"/>
  <c r="M184" i="27"/>
  <c r="H184" i="27"/>
  <c r="G184" i="27"/>
  <c r="F184" i="27"/>
  <c r="E184" i="27"/>
  <c r="AF184" i="27" s="1"/>
  <c r="B184" i="27"/>
  <c r="AF183" i="27"/>
  <c r="AE183" i="27"/>
  <c r="AD183" i="27"/>
  <c r="AB183" i="27"/>
  <c r="AA183" i="27"/>
  <c r="N183" i="27"/>
  <c r="M183" i="27"/>
  <c r="F183" i="27"/>
  <c r="E183" i="27"/>
  <c r="T183" i="27" s="1"/>
  <c r="B183" i="27"/>
  <c r="AE182" i="27"/>
  <c r="AD182" i="27"/>
  <c r="AB182" i="27"/>
  <c r="N182" i="27"/>
  <c r="M182" i="27"/>
  <c r="G182" i="27"/>
  <c r="F182" i="27"/>
  <c r="H182" i="27" s="1"/>
  <c r="E182" i="27"/>
  <c r="AF182" i="27" s="1"/>
  <c r="B182" i="27"/>
  <c r="AE181" i="27"/>
  <c r="AD181" i="27"/>
  <c r="AB181" i="27"/>
  <c r="AA181" i="27"/>
  <c r="N181" i="27"/>
  <c r="M181" i="27"/>
  <c r="F181" i="27"/>
  <c r="H181" i="27" s="1"/>
  <c r="E181" i="27"/>
  <c r="T181" i="27" s="1"/>
  <c r="AE180" i="27"/>
  <c r="AD180" i="27"/>
  <c r="AB180" i="27"/>
  <c r="AA180" i="27"/>
  <c r="N180" i="27"/>
  <c r="M180" i="27"/>
  <c r="F180" i="27"/>
  <c r="H180" i="27" s="1"/>
  <c r="E180" i="27"/>
  <c r="T180" i="27" s="1"/>
  <c r="AE179" i="27"/>
  <c r="AD179" i="27"/>
  <c r="AB179" i="27"/>
  <c r="AA179" i="27"/>
  <c r="N179" i="27"/>
  <c r="M179" i="27"/>
  <c r="F179" i="27"/>
  <c r="H179" i="27" s="1"/>
  <c r="E179" i="27"/>
  <c r="T179" i="27" s="1"/>
  <c r="AE178" i="27"/>
  <c r="AD178" i="27"/>
  <c r="AB178" i="27"/>
  <c r="AA178" i="27"/>
  <c r="N178" i="27"/>
  <c r="M178" i="27"/>
  <c r="H178" i="27"/>
  <c r="F178" i="27"/>
  <c r="E178" i="27"/>
  <c r="T178" i="27" s="1"/>
  <c r="AE177" i="27"/>
  <c r="AD177" i="27"/>
  <c r="AB177" i="27"/>
  <c r="AA177" i="27"/>
  <c r="N177" i="27"/>
  <c r="M177" i="27"/>
  <c r="F177" i="27"/>
  <c r="H177" i="27" s="1"/>
  <c r="E177" i="27"/>
  <c r="T177" i="27" s="1"/>
  <c r="AE176" i="27"/>
  <c r="AD176" i="27"/>
  <c r="AB176" i="27"/>
  <c r="AA176" i="27"/>
  <c r="N176" i="27"/>
  <c r="M176" i="27"/>
  <c r="F176" i="27"/>
  <c r="H176" i="27" s="1"/>
  <c r="E176" i="27"/>
  <c r="T176" i="27" s="1"/>
  <c r="B176" i="27"/>
  <c r="AE175" i="27"/>
  <c r="AD175" i="27"/>
  <c r="AB175" i="27"/>
  <c r="N175" i="27"/>
  <c r="M175" i="27"/>
  <c r="F175" i="27"/>
  <c r="H175" i="27" s="1"/>
  <c r="E175" i="27"/>
  <c r="T175" i="27" s="1"/>
  <c r="B175" i="27"/>
  <c r="AF174" i="27"/>
  <c r="AE174" i="27"/>
  <c r="AD174" i="27"/>
  <c r="AB174" i="27"/>
  <c r="T174" i="27"/>
  <c r="N174" i="27"/>
  <c r="M174" i="27"/>
  <c r="G174" i="27"/>
  <c r="F174" i="27"/>
  <c r="H174" i="27" s="1"/>
  <c r="E174" i="27"/>
  <c r="AF173" i="27"/>
  <c r="AE173" i="27"/>
  <c r="AD173" i="27"/>
  <c r="AB173" i="27"/>
  <c r="T173" i="27"/>
  <c r="N173" i="27"/>
  <c r="M173" i="27"/>
  <c r="G173" i="27"/>
  <c r="F173" i="27"/>
  <c r="E173" i="27"/>
  <c r="H169" i="27"/>
  <c r="AA185" i="27" s="1"/>
  <c r="Q167" i="26"/>
  <c r="L167" i="26"/>
  <c r="E167" i="26"/>
  <c r="A167" i="26"/>
  <c r="R166" i="26"/>
  <c r="Q166" i="26"/>
  <c r="P166" i="26"/>
  <c r="O166" i="26"/>
  <c r="L166" i="26"/>
  <c r="K166" i="26"/>
  <c r="J166" i="26"/>
  <c r="I166" i="26"/>
  <c r="AE165" i="26"/>
  <c r="AD165" i="26"/>
  <c r="AB165" i="26"/>
  <c r="N165" i="26"/>
  <c r="M165" i="26"/>
  <c r="H165" i="26"/>
  <c r="F165" i="26"/>
  <c r="E165" i="26"/>
  <c r="AF165" i="26" s="1"/>
  <c r="AF164" i="26"/>
  <c r="AE164" i="26"/>
  <c r="AD164" i="26"/>
  <c r="AB164" i="26"/>
  <c r="N164" i="26"/>
  <c r="M164" i="26"/>
  <c r="H164" i="26"/>
  <c r="F164" i="26"/>
  <c r="E164" i="26"/>
  <c r="T164" i="26" s="1"/>
  <c r="B164" i="26"/>
  <c r="AE163" i="26"/>
  <c r="AD163" i="26"/>
  <c r="AB163" i="26"/>
  <c r="N163" i="26"/>
  <c r="M163" i="26"/>
  <c r="F163" i="26"/>
  <c r="H163" i="26" s="1"/>
  <c r="E163" i="26"/>
  <c r="AF163" i="26" s="1"/>
  <c r="B163" i="26"/>
  <c r="AE162" i="26"/>
  <c r="AD162" i="26"/>
  <c r="AB162" i="26"/>
  <c r="N162" i="26"/>
  <c r="M162" i="26"/>
  <c r="F162" i="26"/>
  <c r="E162" i="26"/>
  <c r="AF162" i="26" s="1"/>
  <c r="AE161" i="26"/>
  <c r="AD161" i="26"/>
  <c r="AB161" i="26"/>
  <c r="N161" i="26"/>
  <c r="M161" i="26"/>
  <c r="F161" i="26"/>
  <c r="H161" i="26" s="1"/>
  <c r="E161" i="26"/>
  <c r="T161" i="26" s="1"/>
  <c r="B161" i="26"/>
  <c r="AE160" i="26"/>
  <c r="AD160" i="26"/>
  <c r="AB160" i="26"/>
  <c r="N160" i="26"/>
  <c r="M160" i="26"/>
  <c r="F160" i="26"/>
  <c r="H160" i="26" s="1"/>
  <c r="E160" i="26"/>
  <c r="AF160" i="26" s="1"/>
  <c r="AE159" i="26"/>
  <c r="AD159" i="26"/>
  <c r="AB159" i="26"/>
  <c r="N159" i="26"/>
  <c r="M159" i="26"/>
  <c r="F159" i="26"/>
  <c r="H159" i="26" s="1"/>
  <c r="E159" i="26"/>
  <c r="AF159" i="26" s="1"/>
  <c r="AE158" i="26"/>
  <c r="AD158" i="26"/>
  <c r="AB158" i="26"/>
  <c r="N158" i="26"/>
  <c r="M158" i="26"/>
  <c r="F158" i="26"/>
  <c r="H158" i="26" s="1"/>
  <c r="E158" i="26"/>
  <c r="AF158" i="26" s="1"/>
  <c r="AE157" i="26"/>
  <c r="AD157" i="26"/>
  <c r="AB157" i="26"/>
  <c r="N157" i="26"/>
  <c r="M157" i="26"/>
  <c r="F157" i="26"/>
  <c r="H157" i="26" s="1"/>
  <c r="E157" i="26"/>
  <c r="AF157" i="26" s="1"/>
  <c r="AE156" i="26"/>
  <c r="AD156" i="26"/>
  <c r="AB156" i="26"/>
  <c r="N156" i="26"/>
  <c r="M156" i="26"/>
  <c r="F156" i="26"/>
  <c r="H156" i="26" s="1"/>
  <c r="E156" i="26"/>
  <c r="AF156" i="26" s="1"/>
  <c r="AE155" i="26"/>
  <c r="AD155" i="26"/>
  <c r="AB155" i="26"/>
  <c r="N155" i="26"/>
  <c r="M155" i="26"/>
  <c r="F155" i="26"/>
  <c r="H155" i="26" s="1"/>
  <c r="E155" i="26"/>
  <c r="AF155" i="26" s="1"/>
  <c r="AE154" i="26"/>
  <c r="AD154" i="26"/>
  <c r="AB154" i="26"/>
  <c r="N154" i="26"/>
  <c r="M154" i="26"/>
  <c r="F154" i="26"/>
  <c r="H154" i="26" s="1"/>
  <c r="E154" i="26"/>
  <c r="T154" i="26" s="1"/>
  <c r="B154" i="26"/>
  <c r="AF153" i="26"/>
  <c r="AE153" i="26"/>
  <c r="AD153" i="26"/>
  <c r="AB153" i="26"/>
  <c r="T153" i="26"/>
  <c r="N153" i="26"/>
  <c r="M153" i="26"/>
  <c r="G153" i="26"/>
  <c r="F153" i="26"/>
  <c r="H153" i="26" s="1"/>
  <c r="E153" i="26"/>
  <c r="B153" i="26"/>
  <c r="AE152" i="26"/>
  <c r="AD152" i="26"/>
  <c r="AB152" i="26"/>
  <c r="N152" i="26"/>
  <c r="M152" i="26"/>
  <c r="F152" i="26"/>
  <c r="H152" i="26" s="1"/>
  <c r="E152" i="26"/>
  <c r="G152" i="26" s="1"/>
  <c r="B152" i="26"/>
  <c r="H148" i="26"/>
  <c r="AA152" i="26" s="1"/>
  <c r="R167" i="25"/>
  <c r="Q167" i="25"/>
  <c r="L167" i="25"/>
  <c r="E167" i="25"/>
  <c r="R166" i="25"/>
  <c r="Q166" i="25"/>
  <c r="P166" i="25"/>
  <c r="O166" i="25"/>
  <c r="L166" i="25"/>
  <c r="K166" i="25"/>
  <c r="J166" i="25"/>
  <c r="I166" i="25"/>
  <c r="D166" i="25"/>
  <c r="A167" i="25" s="1"/>
  <c r="AF165" i="25"/>
  <c r="AE165" i="25"/>
  <c r="AD165" i="25"/>
  <c r="AB165" i="25"/>
  <c r="N165" i="25"/>
  <c r="M165" i="25"/>
  <c r="G165" i="25"/>
  <c r="F165" i="25"/>
  <c r="H165" i="25" s="1"/>
  <c r="E165" i="25"/>
  <c r="AF164" i="25"/>
  <c r="AE164" i="25"/>
  <c r="AD164" i="25"/>
  <c r="AB164" i="25"/>
  <c r="T164" i="25"/>
  <c r="N164" i="25"/>
  <c r="M164" i="25"/>
  <c r="G164" i="25"/>
  <c r="F164" i="25"/>
  <c r="H164" i="25" s="1"/>
  <c r="E164" i="25"/>
  <c r="AF163" i="25"/>
  <c r="AE163" i="25"/>
  <c r="AD163" i="25"/>
  <c r="AB163" i="25"/>
  <c r="T163" i="25"/>
  <c r="N163" i="25"/>
  <c r="M163" i="25"/>
  <c r="H163" i="25"/>
  <c r="G163" i="25"/>
  <c r="F163" i="25"/>
  <c r="E163" i="25"/>
  <c r="AF162" i="25"/>
  <c r="AE162" i="25"/>
  <c r="AD162" i="25"/>
  <c r="AB162" i="25"/>
  <c r="N162" i="25"/>
  <c r="M162" i="25"/>
  <c r="F162" i="25"/>
  <c r="E162" i="25"/>
  <c r="T162" i="25" s="1"/>
  <c r="AE161" i="25"/>
  <c r="AD161" i="25"/>
  <c r="AB161" i="25"/>
  <c r="T161" i="25"/>
  <c r="N161" i="25"/>
  <c r="M161" i="25"/>
  <c r="F161" i="25"/>
  <c r="H161" i="25" s="1"/>
  <c r="E161" i="25"/>
  <c r="AF161" i="25" s="1"/>
  <c r="AE160" i="25"/>
  <c r="AD160" i="25"/>
  <c r="AB160" i="25"/>
  <c r="N160" i="25"/>
  <c r="M160" i="25"/>
  <c r="H160" i="25"/>
  <c r="F160" i="25"/>
  <c r="E160" i="25"/>
  <c r="T160" i="25" s="1"/>
  <c r="AE159" i="25"/>
  <c r="AD159" i="25"/>
  <c r="AB159" i="25"/>
  <c r="N159" i="25"/>
  <c r="M159" i="25"/>
  <c r="F159" i="25"/>
  <c r="H159" i="25" s="1"/>
  <c r="E159" i="25"/>
  <c r="AF159" i="25" s="1"/>
  <c r="AE158" i="25"/>
  <c r="AD158" i="25"/>
  <c r="AB158" i="25"/>
  <c r="N158" i="25"/>
  <c r="M158" i="25"/>
  <c r="F158" i="25"/>
  <c r="H158" i="25" s="1"/>
  <c r="E158" i="25"/>
  <c r="AF158" i="25" s="1"/>
  <c r="AE157" i="25"/>
  <c r="AD157" i="25"/>
  <c r="AB157" i="25"/>
  <c r="N157" i="25"/>
  <c r="M157" i="25"/>
  <c r="F157" i="25"/>
  <c r="H157" i="25" s="1"/>
  <c r="E157" i="25"/>
  <c r="AF157" i="25" s="1"/>
  <c r="AE156" i="25"/>
  <c r="AD156" i="25"/>
  <c r="AB156" i="25"/>
  <c r="N156" i="25"/>
  <c r="M156" i="25"/>
  <c r="F156" i="25"/>
  <c r="H156" i="25" s="1"/>
  <c r="E156" i="25"/>
  <c r="AF156" i="25" s="1"/>
  <c r="AE155" i="25"/>
  <c r="AD155" i="25"/>
  <c r="AB155" i="25"/>
  <c r="N155" i="25"/>
  <c r="M155" i="25"/>
  <c r="F155" i="25"/>
  <c r="H155" i="25" s="1"/>
  <c r="E155" i="25"/>
  <c r="AF155" i="25" s="1"/>
  <c r="AE154" i="25"/>
  <c r="AD154" i="25"/>
  <c r="AB154" i="25"/>
  <c r="N154" i="25"/>
  <c r="M154" i="25"/>
  <c r="F154" i="25"/>
  <c r="H154" i="25" s="1"/>
  <c r="E154" i="25"/>
  <c r="AF154" i="25" s="1"/>
  <c r="AE153" i="25"/>
  <c r="AD153" i="25"/>
  <c r="AB153" i="25"/>
  <c r="N153" i="25"/>
  <c r="M153" i="25"/>
  <c r="F153" i="25"/>
  <c r="H153" i="25" s="1"/>
  <c r="E153" i="25"/>
  <c r="AF153" i="25" s="1"/>
  <c r="AE152" i="25"/>
  <c r="AD152" i="25"/>
  <c r="AB152" i="25"/>
  <c r="N152" i="25"/>
  <c r="M152" i="25"/>
  <c r="F152" i="25"/>
  <c r="E152" i="25"/>
  <c r="G152" i="25" s="1"/>
  <c r="R168" i="23"/>
  <c r="Q168" i="23"/>
  <c r="L168" i="23"/>
  <c r="E168" i="23"/>
  <c r="A168" i="23"/>
  <c r="R167" i="23"/>
  <c r="Q167" i="23"/>
  <c r="P167" i="23"/>
  <c r="O167" i="23"/>
  <c r="L167" i="23"/>
  <c r="K167" i="23"/>
  <c r="J167" i="23"/>
  <c r="I167" i="23"/>
  <c r="AE166" i="23"/>
  <c r="AD166" i="23"/>
  <c r="AB166" i="23"/>
  <c r="N166" i="23"/>
  <c r="M166" i="23"/>
  <c r="F166" i="23"/>
  <c r="H166" i="23" s="1"/>
  <c r="E166" i="23"/>
  <c r="AF166" i="23" s="1"/>
  <c r="AE165" i="23"/>
  <c r="AD165" i="23"/>
  <c r="AB165" i="23"/>
  <c r="N165" i="23"/>
  <c r="M165" i="23"/>
  <c r="F165" i="23"/>
  <c r="H165" i="23" s="1"/>
  <c r="E165" i="23"/>
  <c r="T165" i="23" s="1"/>
  <c r="B165" i="23"/>
  <c r="AE164" i="23"/>
  <c r="AD164" i="23"/>
  <c r="AB164" i="23"/>
  <c r="N164" i="23"/>
  <c r="M164" i="23"/>
  <c r="G164" i="23"/>
  <c r="F164" i="23"/>
  <c r="H164" i="23" s="1"/>
  <c r="E164" i="23"/>
  <c r="AF164" i="23" s="1"/>
  <c r="B164" i="23"/>
  <c r="AE163" i="23"/>
  <c r="AD163" i="23"/>
  <c r="AB163" i="23"/>
  <c r="N163" i="23"/>
  <c r="M163" i="23"/>
  <c r="F163" i="23"/>
  <c r="E163" i="23"/>
  <c r="AF163" i="23" s="1"/>
  <c r="AE162" i="23"/>
  <c r="AD162" i="23"/>
  <c r="AB162" i="23"/>
  <c r="N162" i="23"/>
  <c r="M162" i="23"/>
  <c r="F162" i="23"/>
  <c r="H162" i="23" s="1"/>
  <c r="E162" i="23"/>
  <c r="T162" i="23" s="1"/>
  <c r="B162" i="23"/>
  <c r="AE161" i="23"/>
  <c r="AD161" i="23"/>
  <c r="AB161" i="23"/>
  <c r="N161" i="23"/>
  <c r="M161" i="23"/>
  <c r="F161" i="23"/>
  <c r="H161" i="23" s="1"/>
  <c r="E161" i="23"/>
  <c r="AF161" i="23" s="1"/>
  <c r="B161" i="23"/>
  <c r="AE160" i="23"/>
  <c r="AD160" i="23"/>
  <c r="AB160" i="23"/>
  <c r="N160" i="23"/>
  <c r="M160" i="23"/>
  <c r="H160" i="23"/>
  <c r="F160" i="23"/>
  <c r="E160" i="23"/>
  <c r="AF160" i="23" s="1"/>
  <c r="B160" i="23"/>
  <c r="AE159" i="23"/>
  <c r="AD159" i="23"/>
  <c r="AB159" i="23"/>
  <c r="AA159" i="23"/>
  <c r="N159" i="23"/>
  <c r="M159" i="23"/>
  <c r="F159" i="23"/>
  <c r="H159" i="23" s="1"/>
  <c r="E159" i="23"/>
  <c r="T159" i="23" s="1"/>
  <c r="B159" i="23"/>
  <c r="AE158" i="23"/>
  <c r="AD158" i="23"/>
  <c r="AB158" i="23"/>
  <c r="N158" i="23"/>
  <c r="M158" i="23"/>
  <c r="F158" i="23"/>
  <c r="H158" i="23" s="1"/>
  <c r="E158" i="23"/>
  <c r="T158" i="23" s="1"/>
  <c r="AE157" i="23"/>
  <c r="AD157" i="23"/>
  <c r="AB157" i="23"/>
  <c r="N157" i="23"/>
  <c r="M157" i="23"/>
  <c r="F157" i="23"/>
  <c r="H157" i="23" s="1"/>
  <c r="E157" i="23"/>
  <c r="T157" i="23" s="1"/>
  <c r="AE156" i="23"/>
  <c r="AD156" i="23"/>
  <c r="AB156" i="23"/>
  <c r="N156" i="23"/>
  <c r="M156" i="23"/>
  <c r="F156" i="23"/>
  <c r="H156" i="23" s="1"/>
  <c r="E156" i="23"/>
  <c r="T156" i="23" s="1"/>
  <c r="AE155" i="23"/>
  <c r="AD155" i="23"/>
  <c r="AB155" i="23"/>
  <c r="N155" i="23"/>
  <c r="M155" i="23"/>
  <c r="F155" i="23"/>
  <c r="H155" i="23" s="1"/>
  <c r="E155" i="23"/>
  <c r="T155" i="23" s="1"/>
  <c r="D155" i="23"/>
  <c r="AE154" i="23"/>
  <c r="AD154" i="23"/>
  <c r="AB154" i="23"/>
  <c r="T154" i="23"/>
  <c r="N154" i="23"/>
  <c r="M154" i="23"/>
  <c r="G154" i="23"/>
  <c r="F154" i="23"/>
  <c r="H154" i="23" s="1"/>
  <c r="E154" i="23"/>
  <c r="AF154" i="23" s="1"/>
  <c r="D154" i="23"/>
  <c r="AF153" i="23"/>
  <c r="AE153" i="23"/>
  <c r="AD153" i="23"/>
  <c r="AB153" i="23"/>
  <c r="T153" i="23"/>
  <c r="N153" i="23"/>
  <c r="M153" i="23"/>
  <c r="F153" i="23"/>
  <c r="H153" i="23" s="1"/>
  <c r="E153" i="23"/>
  <c r="G153" i="23" s="1"/>
  <c r="H149" i="23"/>
  <c r="AA166" i="23" s="1"/>
  <c r="Q189" i="17"/>
  <c r="L189" i="17"/>
  <c r="R188" i="17"/>
  <c r="Q188" i="17"/>
  <c r="P188" i="17"/>
  <c r="L188" i="17"/>
  <c r="K188" i="17"/>
  <c r="J188" i="17"/>
  <c r="I188" i="17"/>
  <c r="D188" i="17"/>
  <c r="E189" i="17" s="1"/>
  <c r="AE187" i="17"/>
  <c r="AD187" i="17"/>
  <c r="AB187" i="17"/>
  <c r="N187" i="17"/>
  <c r="M187" i="17"/>
  <c r="H187" i="17"/>
  <c r="F187" i="17"/>
  <c r="E187" i="17"/>
  <c r="AF187" i="17" s="1"/>
  <c r="AF186" i="17"/>
  <c r="AE186" i="17"/>
  <c r="AD186" i="17"/>
  <c r="AB186" i="17"/>
  <c r="N186" i="17"/>
  <c r="M186" i="17"/>
  <c r="H186" i="17"/>
  <c r="G186" i="17"/>
  <c r="F186" i="17"/>
  <c r="E186" i="17"/>
  <c r="AF185" i="17"/>
  <c r="AE185" i="17"/>
  <c r="AD185" i="17"/>
  <c r="AB185" i="17"/>
  <c r="N185" i="17"/>
  <c r="M185" i="17"/>
  <c r="H185" i="17"/>
  <c r="F185" i="17"/>
  <c r="E185" i="17"/>
  <c r="T185" i="17" s="1"/>
  <c r="AE184" i="17"/>
  <c r="AD184" i="17"/>
  <c r="AB184" i="17"/>
  <c r="N184" i="17"/>
  <c r="M184" i="17"/>
  <c r="F184" i="17"/>
  <c r="E184" i="17"/>
  <c r="AF184" i="17" s="1"/>
  <c r="AF183" i="17"/>
  <c r="AE183" i="17"/>
  <c r="AD183" i="17"/>
  <c r="AB183" i="17"/>
  <c r="T183" i="17"/>
  <c r="N183" i="17"/>
  <c r="M183" i="17"/>
  <c r="H183" i="17"/>
  <c r="G183" i="17"/>
  <c r="F183" i="17"/>
  <c r="E183" i="17"/>
  <c r="AF182" i="17"/>
  <c r="AE182" i="17"/>
  <c r="AD182" i="17"/>
  <c r="AB182" i="17"/>
  <c r="T182" i="17"/>
  <c r="N182" i="17"/>
  <c r="M182" i="17"/>
  <c r="G182" i="17"/>
  <c r="F182" i="17"/>
  <c r="H182" i="17" s="1"/>
  <c r="E182" i="17"/>
  <c r="AE181" i="17"/>
  <c r="AD181" i="17"/>
  <c r="AB181" i="17"/>
  <c r="N181" i="17"/>
  <c r="M181" i="17"/>
  <c r="F181" i="17"/>
  <c r="H181" i="17" s="1"/>
  <c r="E181" i="17"/>
  <c r="AF181" i="17" s="1"/>
  <c r="AE180" i="17"/>
  <c r="AD180" i="17"/>
  <c r="AB180" i="17"/>
  <c r="N180" i="17"/>
  <c r="M180" i="17"/>
  <c r="F180" i="17"/>
  <c r="H180" i="17" s="1"/>
  <c r="E180" i="17"/>
  <c r="AF180" i="17" s="1"/>
  <c r="AE179" i="17"/>
  <c r="AD179" i="17"/>
  <c r="AB179" i="17"/>
  <c r="N179" i="17"/>
  <c r="M179" i="17"/>
  <c r="F179" i="17"/>
  <c r="H179" i="17" s="1"/>
  <c r="E179" i="17"/>
  <c r="AF179" i="17" s="1"/>
  <c r="AE178" i="17"/>
  <c r="AD178" i="17"/>
  <c r="AB178" i="17"/>
  <c r="N178" i="17"/>
  <c r="M178" i="17"/>
  <c r="F178" i="17"/>
  <c r="H178" i="17" s="1"/>
  <c r="E178" i="17"/>
  <c r="AF178" i="17" s="1"/>
  <c r="AE177" i="17"/>
  <c r="AD177" i="17"/>
  <c r="AB177" i="17"/>
  <c r="N177" i="17"/>
  <c r="M177" i="17"/>
  <c r="F177" i="17"/>
  <c r="H177" i="17" s="1"/>
  <c r="E177" i="17"/>
  <c r="AF177" i="17" s="1"/>
  <c r="AE176" i="17"/>
  <c r="AD176" i="17"/>
  <c r="AB176" i="17"/>
  <c r="N176" i="17"/>
  <c r="M176" i="17"/>
  <c r="F176" i="17"/>
  <c r="E176" i="17"/>
  <c r="T176" i="17" s="1"/>
  <c r="D176" i="17"/>
  <c r="H176" i="17" s="1"/>
  <c r="AE175" i="17"/>
  <c r="AD175" i="17"/>
  <c r="AB175" i="17"/>
  <c r="O188" i="17"/>
  <c r="N175" i="17"/>
  <c r="M175" i="17"/>
  <c r="F175" i="17"/>
  <c r="D175" i="17"/>
  <c r="AE174" i="17"/>
  <c r="AD174" i="17"/>
  <c r="AB174" i="17"/>
  <c r="N174" i="17"/>
  <c r="M174" i="17"/>
  <c r="F174" i="17"/>
  <c r="H174" i="17" s="1"/>
  <c r="E174" i="17"/>
  <c r="F187" i="29" l="1"/>
  <c r="C188" i="29" s="1"/>
  <c r="T185" i="29"/>
  <c r="G185" i="29"/>
  <c r="T182" i="27"/>
  <c r="T152" i="26"/>
  <c r="AF152" i="26"/>
  <c r="F166" i="25"/>
  <c r="T152" i="25"/>
  <c r="G180" i="17"/>
  <c r="T180" i="17"/>
  <c r="G178" i="17"/>
  <c r="T178" i="17"/>
  <c r="H175" i="17"/>
  <c r="H187" i="29"/>
  <c r="T173" i="29"/>
  <c r="G182" i="29"/>
  <c r="H173" i="29"/>
  <c r="AA173" i="29"/>
  <c r="AF173" i="29"/>
  <c r="G174" i="29"/>
  <c r="AF182" i="29"/>
  <c r="T183" i="29"/>
  <c r="E187" i="29"/>
  <c r="G186" i="28"/>
  <c r="AF174" i="28"/>
  <c r="T176" i="28"/>
  <c r="T175" i="28"/>
  <c r="G173" i="28"/>
  <c r="T173" i="28"/>
  <c r="G174" i="28"/>
  <c r="F175" i="28"/>
  <c r="H175" i="28" s="1"/>
  <c r="AF175" i="28"/>
  <c r="G176" i="28"/>
  <c r="E187" i="28"/>
  <c r="A188" i="28"/>
  <c r="H173" i="28"/>
  <c r="G177" i="28"/>
  <c r="T177" i="28"/>
  <c r="G178" i="28"/>
  <c r="T178" i="28"/>
  <c r="G179" i="28"/>
  <c r="T179" i="28"/>
  <c r="G180" i="28"/>
  <c r="T180" i="28"/>
  <c r="G181" i="28"/>
  <c r="T181" i="28"/>
  <c r="T183" i="28"/>
  <c r="P187" i="28"/>
  <c r="AF176" i="27"/>
  <c r="AF178" i="27"/>
  <c r="AF180" i="27"/>
  <c r="AF177" i="27"/>
  <c r="AF179" i="27"/>
  <c r="AF181" i="27"/>
  <c r="F187" i="27"/>
  <c r="C188" i="27" s="1"/>
  <c r="H173" i="27"/>
  <c r="AA174" i="27"/>
  <c r="G175" i="27"/>
  <c r="AA175" i="27"/>
  <c r="AF175" i="27"/>
  <c r="G176" i="27"/>
  <c r="G177" i="27"/>
  <c r="G178" i="27"/>
  <c r="G179" i="27"/>
  <c r="G180" i="27"/>
  <c r="G181" i="27"/>
  <c r="E187" i="27"/>
  <c r="AA182" i="27"/>
  <c r="AA184" i="27"/>
  <c r="AA186" i="27"/>
  <c r="AA173" i="27"/>
  <c r="AF161" i="26"/>
  <c r="T162" i="26"/>
  <c r="AA153" i="26"/>
  <c r="G155" i="26"/>
  <c r="T155" i="26"/>
  <c r="G156" i="26"/>
  <c r="T156" i="26"/>
  <c r="G157" i="26"/>
  <c r="T157" i="26"/>
  <c r="G158" i="26"/>
  <c r="T158" i="26"/>
  <c r="G159" i="26"/>
  <c r="T159" i="26"/>
  <c r="G160" i="26"/>
  <c r="T160" i="26"/>
  <c r="AA162" i="26"/>
  <c r="G163" i="26"/>
  <c r="T163" i="26"/>
  <c r="AA154" i="26"/>
  <c r="AF154" i="26"/>
  <c r="AA155" i="26"/>
  <c r="AA156" i="26"/>
  <c r="AA157" i="26"/>
  <c r="AA158" i="26"/>
  <c r="AA159" i="26"/>
  <c r="AA160" i="26"/>
  <c r="G161" i="26"/>
  <c r="AA163" i="26"/>
  <c r="G164" i="26"/>
  <c r="G165" i="26"/>
  <c r="AA165" i="26"/>
  <c r="AA161" i="26"/>
  <c r="AA164" i="26"/>
  <c r="E166" i="26"/>
  <c r="F166" i="26"/>
  <c r="G154" i="26"/>
  <c r="AF160" i="25"/>
  <c r="G161" i="25"/>
  <c r="G160" i="25"/>
  <c r="E166" i="25"/>
  <c r="G166" i="25" s="1"/>
  <c r="F167" i="25"/>
  <c r="H166" i="25"/>
  <c r="C167" i="25"/>
  <c r="H152" i="25"/>
  <c r="AF152" i="25"/>
  <c r="G153" i="25"/>
  <c r="T153" i="25"/>
  <c r="G154" i="25"/>
  <c r="T154" i="25"/>
  <c r="G155" i="25"/>
  <c r="T155" i="25"/>
  <c r="G156" i="25"/>
  <c r="T156" i="25"/>
  <c r="G157" i="25"/>
  <c r="T157" i="25"/>
  <c r="G158" i="25"/>
  <c r="T158" i="25"/>
  <c r="G159" i="25"/>
  <c r="T159" i="25"/>
  <c r="T164" i="23"/>
  <c r="T161" i="23"/>
  <c r="E167" i="23"/>
  <c r="J168" i="23" s="1"/>
  <c r="AF159" i="23"/>
  <c r="G160" i="23"/>
  <c r="T160" i="23"/>
  <c r="G161" i="23"/>
  <c r="AA153" i="23"/>
  <c r="AA155" i="23"/>
  <c r="AF155" i="23"/>
  <c r="AA156" i="23"/>
  <c r="AF156" i="23"/>
  <c r="AA157" i="23"/>
  <c r="AF157" i="23"/>
  <c r="AA158" i="23"/>
  <c r="AF158" i="23"/>
  <c r="G159" i="23"/>
  <c r="AA162" i="23"/>
  <c r="AF162" i="23"/>
  <c r="AA165" i="23"/>
  <c r="AF165" i="23"/>
  <c r="T163" i="23"/>
  <c r="F167" i="23"/>
  <c r="AA160" i="23"/>
  <c r="AA163" i="23"/>
  <c r="AA154" i="23"/>
  <c r="G155" i="23"/>
  <c r="G156" i="23"/>
  <c r="G157" i="23"/>
  <c r="G158" i="23"/>
  <c r="AA161" i="23"/>
  <c r="G162" i="23"/>
  <c r="AA164" i="23"/>
  <c r="G165" i="23"/>
  <c r="G166" i="23"/>
  <c r="AF176" i="17"/>
  <c r="G177" i="17"/>
  <c r="T177" i="17"/>
  <c r="G179" i="17"/>
  <c r="T179" i="17"/>
  <c r="G181" i="17"/>
  <c r="T181" i="17"/>
  <c r="N188" i="17"/>
  <c r="M188" i="17"/>
  <c r="E175" i="17"/>
  <c r="T184" i="17"/>
  <c r="F188" i="17"/>
  <c r="G174" i="17"/>
  <c r="T174" i="17"/>
  <c r="AF174" i="17"/>
  <c r="G176" i="17"/>
  <c r="G185" i="17"/>
  <c r="G187" i="17"/>
  <c r="A189" i="17"/>
  <c r="J167" i="25" l="1"/>
  <c r="G187" i="29"/>
  <c r="J188" i="29"/>
  <c r="F188" i="29"/>
  <c r="G187" i="28"/>
  <c r="J188" i="28"/>
  <c r="F188" i="28"/>
  <c r="F187" i="28"/>
  <c r="H187" i="27"/>
  <c r="G187" i="27"/>
  <c r="J188" i="27"/>
  <c r="F188" i="27"/>
  <c r="H166" i="26"/>
  <c r="C167" i="26"/>
  <c r="J167" i="26"/>
  <c r="F167" i="26"/>
  <c r="G166" i="26"/>
  <c r="G167" i="23"/>
  <c r="F168" i="23"/>
  <c r="H167" i="23"/>
  <c r="C168" i="23"/>
  <c r="T175" i="17"/>
  <c r="G175" i="17"/>
  <c r="AF175" i="17"/>
  <c r="C189" i="17"/>
  <c r="H188" i="17"/>
  <c r="E188" i="17"/>
  <c r="C188" i="28" l="1"/>
  <c r="H187" i="28"/>
  <c r="J189" i="17"/>
  <c r="G188" i="17"/>
  <c r="F189" i="17"/>
  <c r="R117" i="23" l="1"/>
  <c r="Q117" i="23"/>
  <c r="M116" i="23"/>
  <c r="M117" i="23"/>
  <c r="M118" i="23"/>
  <c r="M119" i="23"/>
  <c r="M120" i="23"/>
  <c r="Q112" i="23"/>
  <c r="Q167" i="30"/>
  <c r="L167" i="30"/>
  <c r="R166" i="30"/>
  <c r="Q166" i="30"/>
  <c r="P166" i="30"/>
  <c r="O166" i="30"/>
  <c r="L166" i="30"/>
  <c r="K166" i="30"/>
  <c r="J166" i="30"/>
  <c r="I166" i="30"/>
  <c r="D166" i="30"/>
  <c r="E167" i="30" s="1"/>
  <c r="C166" i="30"/>
  <c r="N165" i="30"/>
  <c r="M165" i="30"/>
  <c r="F165" i="30"/>
  <c r="H165" i="30" s="1"/>
  <c r="E165" i="30"/>
  <c r="G165" i="30" s="1"/>
  <c r="N164" i="30"/>
  <c r="M164" i="30"/>
  <c r="H164" i="30"/>
  <c r="G164" i="30"/>
  <c r="F164" i="30"/>
  <c r="E164" i="30"/>
  <c r="B164" i="30"/>
  <c r="N163" i="30"/>
  <c r="M163" i="30"/>
  <c r="G163" i="30"/>
  <c r="F163" i="30"/>
  <c r="H163" i="30" s="1"/>
  <c r="E163" i="30"/>
  <c r="B163" i="30"/>
  <c r="N162" i="30"/>
  <c r="M162" i="30"/>
  <c r="F162" i="30"/>
  <c r="E162" i="30"/>
  <c r="N161" i="30"/>
  <c r="M161" i="30"/>
  <c r="F161" i="30"/>
  <c r="H161" i="30" s="1"/>
  <c r="E161" i="30"/>
  <c r="G161" i="30" s="1"/>
  <c r="N160" i="30"/>
  <c r="M160" i="30"/>
  <c r="H160" i="30"/>
  <c r="F160" i="30"/>
  <c r="E160" i="30"/>
  <c r="G160" i="30" s="1"/>
  <c r="B160" i="30"/>
  <c r="N159" i="30"/>
  <c r="M159" i="30"/>
  <c r="G159" i="30"/>
  <c r="F159" i="30"/>
  <c r="H159" i="30" s="1"/>
  <c r="E159" i="30"/>
  <c r="N158" i="30"/>
  <c r="M158" i="30"/>
  <c r="F158" i="30"/>
  <c r="H158" i="30" s="1"/>
  <c r="E158" i="30"/>
  <c r="G158" i="30" s="1"/>
  <c r="B158" i="30"/>
  <c r="N157" i="30"/>
  <c r="M157" i="30"/>
  <c r="H157" i="30"/>
  <c r="F157" i="30"/>
  <c r="E157" i="30"/>
  <c r="G157" i="30" s="1"/>
  <c r="N156" i="30"/>
  <c r="M156" i="30"/>
  <c r="G156" i="30"/>
  <c r="F156" i="30"/>
  <c r="H156" i="30" s="1"/>
  <c r="E156" i="30"/>
  <c r="N155" i="30"/>
  <c r="M155" i="30"/>
  <c r="H155" i="30"/>
  <c r="F155" i="30"/>
  <c r="E155" i="30"/>
  <c r="G155" i="30" s="1"/>
  <c r="N154" i="30"/>
  <c r="M154" i="30"/>
  <c r="G154" i="30"/>
  <c r="F154" i="30"/>
  <c r="H154" i="30" s="1"/>
  <c r="E154" i="30"/>
  <c r="N153" i="30"/>
  <c r="M153" i="30"/>
  <c r="F153" i="30"/>
  <c r="H153" i="30" s="1"/>
  <c r="E153" i="30"/>
  <c r="G153" i="30" s="1"/>
  <c r="B153" i="30"/>
  <c r="N152" i="30"/>
  <c r="M152" i="30"/>
  <c r="H152" i="30"/>
  <c r="G152" i="30"/>
  <c r="F152" i="30"/>
  <c r="E152" i="30"/>
  <c r="H148" i="30"/>
  <c r="E166" i="30" l="1"/>
  <c r="F166" i="30"/>
  <c r="C167" i="30" s="1"/>
  <c r="G166" i="30"/>
  <c r="J167" i="30"/>
  <c r="F167" i="30"/>
  <c r="A167" i="30"/>
  <c r="Q167" i="28"/>
  <c r="L110" i="25"/>
  <c r="K110" i="25"/>
  <c r="Q118" i="17"/>
  <c r="O113" i="17"/>
  <c r="O112" i="17"/>
  <c r="H166" i="30" l="1"/>
  <c r="B229" i="31"/>
  <c r="B228" i="31"/>
  <c r="C236" i="31"/>
  <c r="E236" i="31"/>
  <c r="E232" i="31"/>
  <c r="E231" i="31"/>
  <c r="E230" i="31"/>
  <c r="E229" i="31"/>
  <c r="E228" i="31"/>
  <c r="C232" i="31"/>
  <c r="C231" i="31"/>
  <c r="C230" i="31"/>
  <c r="C229" i="31"/>
  <c r="C228" i="31"/>
  <c r="B236" i="31"/>
  <c r="B232" i="31"/>
  <c r="B231" i="31"/>
  <c r="B230" i="31"/>
  <c r="O92" i="17" l="1"/>
  <c r="O91" i="17"/>
  <c r="Q146" i="30" l="1"/>
  <c r="L146" i="30"/>
  <c r="E146" i="30"/>
  <c r="A146" i="30"/>
  <c r="R145" i="30"/>
  <c r="Q145" i="30"/>
  <c r="P145" i="30"/>
  <c r="O145" i="30"/>
  <c r="L145" i="30"/>
  <c r="K145" i="30"/>
  <c r="I145" i="30"/>
  <c r="D145" i="30"/>
  <c r="C145" i="30"/>
  <c r="AF144" i="30"/>
  <c r="AE144" i="30"/>
  <c r="AD144" i="30"/>
  <c r="AB144" i="30"/>
  <c r="N144" i="30"/>
  <c r="M144" i="30"/>
  <c r="G144" i="30"/>
  <c r="F144" i="30"/>
  <c r="H144" i="30" s="1"/>
  <c r="E144" i="30"/>
  <c r="AF143" i="30"/>
  <c r="AE143" i="30"/>
  <c r="AD143" i="30"/>
  <c r="AB143" i="30"/>
  <c r="T143" i="30"/>
  <c r="N143" i="30"/>
  <c r="M143" i="30"/>
  <c r="G143" i="30"/>
  <c r="F143" i="30"/>
  <c r="H143" i="30" s="1"/>
  <c r="E143" i="30"/>
  <c r="AE142" i="30"/>
  <c r="AD142" i="30"/>
  <c r="AB142" i="30"/>
  <c r="N142" i="30"/>
  <c r="M142" i="30"/>
  <c r="F142" i="30"/>
  <c r="H142" i="30" s="1"/>
  <c r="E142" i="30"/>
  <c r="AF142" i="30" s="1"/>
  <c r="AF141" i="30"/>
  <c r="AE141" i="30"/>
  <c r="AD141" i="30"/>
  <c r="AB141" i="30"/>
  <c r="N141" i="30"/>
  <c r="M141" i="30"/>
  <c r="F141" i="30"/>
  <c r="E141" i="30"/>
  <c r="T141" i="30" s="1"/>
  <c r="AF140" i="30"/>
  <c r="AE140" i="30"/>
  <c r="AD140" i="30"/>
  <c r="AB140" i="30"/>
  <c r="T140" i="30"/>
  <c r="N140" i="30"/>
  <c r="M140" i="30"/>
  <c r="G140" i="30"/>
  <c r="F140" i="30"/>
  <c r="H140" i="30" s="1"/>
  <c r="E140" i="30"/>
  <c r="AE139" i="30"/>
  <c r="AD139" i="30"/>
  <c r="AB139" i="30"/>
  <c r="N139" i="30"/>
  <c r="M139" i="30"/>
  <c r="F139" i="30"/>
  <c r="H139" i="30" s="1"/>
  <c r="E139" i="30"/>
  <c r="G139" i="30" s="1"/>
  <c r="AE138" i="30"/>
  <c r="AD138" i="30"/>
  <c r="AB138" i="30"/>
  <c r="T138" i="30"/>
  <c r="N138" i="30"/>
  <c r="M138" i="30"/>
  <c r="H138" i="30"/>
  <c r="G138" i="30"/>
  <c r="F138" i="30"/>
  <c r="E138" i="30"/>
  <c r="AF138" i="30" s="1"/>
  <c r="AE137" i="30"/>
  <c r="AD137" i="30"/>
  <c r="AB137" i="30"/>
  <c r="M137" i="30"/>
  <c r="N137" i="30"/>
  <c r="F137" i="30"/>
  <c r="H137" i="30" s="1"/>
  <c r="E137" i="30"/>
  <c r="G137" i="30" s="1"/>
  <c r="AE136" i="30"/>
  <c r="AD136" i="30"/>
  <c r="AB136" i="30"/>
  <c r="N136" i="30"/>
  <c r="M136" i="30"/>
  <c r="F136" i="30"/>
  <c r="H136" i="30" s="1"/>
  <c r="E136" i="30"/>
  <c r="T136" i="30" s="1"/>
  <c r="AE135" i="30"/>
  <c r="AD135" i="30"/>
  <c r="AB135" i="30"/>
  <c r="N135" i="30"/>
  <c r="M135" i="30"/>
  <c r="F135" i="30"/>
  <c r="H135" i="30" s="1"/>
  <c r="E135" i="30"/>
  <c r="G135" i="30" s="1"/>
  <c r="AE134" i="30"/>
  <c r="AD134" i="30"/>
  <c r="AB134" i="30"/>
  <c r="N134" i="30"/>
  <c r="M134" i="30"/>
  <c r="F134" i="30"/>
  <c r="H134" i="30" s="1"/>
  <c r="E134" i="30"/>
  <c r="AF134" i="30" s="1"/>
  <c r="AE133" i="30"/>
  <c r="AD133" i="30"/>
  <c r="AB133" i="30"/>
  <c r="N133" i="30"/>
  <c r="M133" i="30"/>
  <c r="F133" i="30"/>
  <c r="H133" i="30" s="1"/>
  <c r="E133" i="30"/>
  <c r="AF133" i="30" s="1"/>
  <c r="AE132" i="30"/>
  <c r="AD132" i="30"/>
  <c r="AB132" i="30"/>
  <c r="N132" i="30"/>
  <c r="M132" i="30"/>
  <c r="F132" i="30"/>
  <c r="H132" i="30" s="1"/>
  <c r="E132" i="30"/>
  <c r="T132" i="30" s="1"/>
  <c r="AF131" i="30"/>
  <c r="AE131" i="30"/>
  <c r="AD131" i="30"/>
  <c r="AB131" i="30"/>
  <c r="T131" i="30"/>
  <c r="N131" i="30"/>
  <c r="M131" i="30"/>
  <c r="G131" i="30"/>
  <c r="F131" i="30"/>
  <c r="E131" i="30"/>
  <c r="Q167" i="29"/>
  <c r="L167" i="29"/>
  <c r="R166" i="29"/>
  <c r="Q166" i="29"/>
  <c r="P166" i="29"/>
  <c r="O166" i="29"/>
  <c r="L166" i="29"/>
  <c r="K166" i="29"/>
  <c r="J166" i="29"/>
  <c r="I166" i="29"/>
  <c r="D166" i="29"/>
  <c r="E167" i="29" s="1"/>
  <c r="AE165" i="29"/>
  <c r="AD165" i="29"/>
  <c r="AB165" i="29"/>
  <c r="N165" i="29"/>
  <c r="M165" i="29"/>
  <c r="F165" i="29"/>
  <c r="H165" i="29" s="1"/>
  <c r="E165" i="29"/>
  <c r="AF165" i="29" s="1"/>
  <c r="AE164" i="29"/>
  <c r="AD164" i="29"/>
  <c r="AB164" i="29"/>
  <c r="N164" i="29"/>
  <c r="M164" i="29"/>
  <c r="F164" i="29"/>
  <c r="H164" i="29" s="1"/>
  <c r="E164" i="29"/>
  <c r="AF164" i="29" s="1"/>
  <c r="AF163" i="29"/>
  <c r="AE163" i="29"/>
  <c r="AD163" i="29"/>
  <c r="AB163" i="29"/>
  <c r="T163" i="29"/>
  <c r="N163" i="29"/>
  <c r="M163" i="29"/>
  <c r="G163" i="29"/>
  <c r="F163" i="29"/>
  <c r="H163" i="29" s="1"/>
  <c r="E163" i="29"/>
  <c r="AE162" i="29"/>
  <c r="AD162" i="29"/>
  <c r="AB162" i="29"/>
  <c r="N162" i="29"/>
  <c r="M162" i="29"/>
  <c r="F162" i="29"/>
  <c r="E162" i="29"/>
  <c r="AF162" i="29" s="1"/>
  <c r="AE161" i="29"/>
  <c r="AD161" i="29"/>
  <c r="AB161" i="29"/>
  <c r="N161" i="29"/>
  <c r="M161" i="29"/>
  <c r="F161" i="29"/>
  <c r="H161" i="29" s="1"/>
  <c r="E161" i="29"/>
  <c r="T161" i="29" s="1"/>
  <c r="AE160" i="29"/>
  <c r="AD160" i="29"/>
  <c r="AB160" i="29"/>
  <c r="N160" i="29"/>
  <c r="M160" i="29"/>
  <c r="F160" i="29"/>
  <c r="H160" i="29" s="1"/>
  <c r="E160" i="29"/>
  <c r="AF160" i="29" s="1"/>
  <c r="AE159" i="29"/>
  <c r="AD159" i="29"/>
  <c r="AB159" i="29"/>
  <c r="N159" i="29"/>
  <c r="M159" i="29"/>
  <c r="F159" i="29"/>
  <c r="H159" i="29" s="1"/>
  <c r="E159" i="29"/>
  <c r="AF159" i="29" s="1"/>
  <c r="AE158" i="29"/>
  <c r="AD158" i="29"/>
  <c r="AB158" i="29"/>
  <c r="N158" i="29"/>
  <c r="M158" i="29"/>
  <c r="F158" i="29"/>
  <c r="H158" i="29" s="1"/>
  <c r="E158" i="29"/>
  <c r="AF158" i="29" s="1"/>
  <c r="AE157" i="29"/>
  <c r="AD157" i="29"/>
  <c r="AB157" i="29"/>
  <c r="N157" i="29"/>
  <c r="M157" i="29"/>
  <c r="F157" i="29"/>
  <c r="H157" i="29" s="1"/>
  <c r="E157" i="29"/>
  <c r="AF157" i="29" s="1"/>
  <c r="AE156" i="29"/>
  <c r="AD156" i="29"/>
  <c r="AB156" i="29"/>
  <c r="N156" i="29"/>
  <c r="M156" i="29"/>
  <c r="F156" i="29"/>
  <c r="H156" i="29" s="1"/>
  <c r="E156" i="29"/>
  <c r="AF156" i="29" s="1"/>
  <c r="AE155" i="29"/>
  <c r="AD155" i="29"/>
  <c r="AB155" i="29"/>
  <c r="N155" i="29"/>
  <c r="M155" i="29"/>
  <c r="F155" i="29"/>
  <c r="H155" i="29" s="1"/>
  <c r="E155" i="29"/>
  <c r="AF155" i="29" s="1"/>
  <c r="AE154" i="29"/>
  <c r="AD154" i="29"/>
  <c r="AB154" i="29"/>
  <c r="N154" i="29"/>
  <c r="M154" i="29"/>
  <c r="F154" i="29"/>
  <c r="H154" i="29" s="1"/>
  <c r="E154" i="29"/>
  <c r="G154" i="29" s="1"/>
  <c r="AE153" i="29"/>
  <c r="AD153" i="29"/>
  <c r="AB153" i="29"/>
  <c r="N153" i="29"/>
  <c r="M153" i="29"/>
  <c r="H153" i="29"/>
  <c r="F153" i="29"/>
  <c r="E153" i="29"/>
  <c r="AF153" i="29" s="1"/>
  <c r="AE152" i="29"/>
  <c r="AD152" i="29"/>
  <c r="AB152" i="29"/>
  <c r="N152" i="29"/>
  <c r="M152" i="29"/>
  <c r="F152" i="29"/>
  <c r="F166" i="29" s="1"/>
  <c r="E152" i="29"/>
  <c r="T152" i="29" s="1"/>
  <c r="O91" i="27"/>
  <c r="O112" i="27"/>
  <c r="G142" i="30" l="1"/>
  <c r="T142" i="30"/>
  <c r="T139" i="30"/>
  <c r="AF139" i="30"/>
  <c r="F145" i="30"/>
  <c r="H145" i="30" s="1"/>
  <c r="T137" i="30"/>
  <c r="AF137" i="30"/>
  <c r="J145" i="30"/>
  <c r="H131" i="30"/>
  <c r="G132" i="30"/>
  <c r="G133" i="30"/>
  <c r="T133" i="30"/>
  <c r="G134" i="30"/>
  <c r="T134" i="30"/>
  <c r="T135" i="30"/>
  <c r="G136" i="30"/>
  <c r="AF132" i="30"/>
  <c r="AF135" i="30"/>
  <c r="AF136" i="30"/>
  <c r="E145" i="30"/>
  <c r="T154" i="29"/>
  <c r="AF154" i="29"/>
  <c r="AF152" i="29"/>
  <c r="G153" i="29"/>
  <c r="T153" i="29"/>
  <c r="H152" i="29"/>
  <c r="C167" i="29"/>
  <c r="H166" i="29"/>
  <c r="AF161" i="29"/>
  <c r="T162" i="29"/>
  <c r="E166" i="29"/>
  <c r="A167" i="29"/>
  <c r="T157" i="29"/>
  <c r="T158" i="29"/>
  <c r="T159" i="29"/>
  <c r="T160" i="29"/>
  <c r="G164" i="29"/>
  <c r="T164" i="29"/>
  <c r="G165" i="29"/>
  <c r="T165" i="29"/>
  <c r="G155" i="29"/>
  <c r="T155" i="29"/>
  <c r="G156" i="29"/>
  <c r="T156" i="29"/>
  <c r="G157" i="29"/>
  <c r="G158" i="29"/>
  <c r="G159" i="29"/>
  <c r="G160" i="29"/>
  <c r="G152" i="29"/>
  <c r="G161" i="29"/>
  <c r="Q167" i="27"/>
  <c r="R166" i="27"/>
  <c r="Q166" i="27"/>
  <c r="P166" i="27"/>
  <c r="O166" i="27"/>
  <c r="L166" i="27"/>
  <c r="K166" i="27"/>
  <c r="J166" i="27"/>
  <c r="I166" i="27"/>
  <c r="D166" i="27"/>
  <c r="E167" i="27" s="1"/>
  <c r="C166" i="27"/>
  <c r="L167" i="27" s="1"/>
  <c r="AE165" i="27"/>
  <c r="AD165" i="27"/>
  <c r="AB165" i="27"/>
  <c r="N165" i="27"/>
  <c r="M165" i="27"/>
  <c r="F165" i="27"/>
  <c r="H165" i="27" s="1"/>
  <c r="E165" i="27"/>
  <c r="AF165" i="27" s="1"/>
  <c r="AE164" i="27"/>
  <c r="AD164" i="27"/>
  <c r="AB164" i="27"/>
  <c r="N164" i="27"/>
  <c r="M164" i="27"/>
  <c r="F164" i="27"/>
  <c r="H164" i="27" s="1"/>
  <c r="E164" i="27"/>
  <c r="AF164" i="27" s="1"/>
  <c r="AE163" i="27"/>
  <c r="AD163" i="27"/>
  <c r="AB163" i="27"/>
  <c r="N163" i="27"/>
  <c r="M163" i="27"/>
  <c r="F163" i="27"/>
  <c r="H163" i="27" s="1"/>
  <c r="E163" i="27"/>
  <c r="T163" i="27" s="1"/>
  <c r="AE162" i="27"/>
  <c r="AD162" i="27"/>
  <c r="AB162" i="27"/>
  <c r="N162" i="27"/>
  <c r="M162" i="27"/>
  <c r="F162" i="27"/>
  <c r="E162" i="27"/>
  <c r="T162" i="27" s="1"/>
  <c r="AE161" i="27"/>
  <c r="AD161" i="27"/>
  <c r="AB161" i="27"/>
  <c r="N161" i="27"/>
  <c r="M161" i="27"/>
  <c r="F161" i="27"/>
  <c r="H161" i="27" s="1"/>
  <c r="E161" i="27"/>
  <c r="T161" i="27" s="1"/>
  <c r="AE160" i="27"/>
  <c r="AD160" i="27"/>
  <c r="AB160" i="27"/>
  <c r="N160" i="27"/>
  <c r="M160" i="27"/>
  <c r="F160" i="27"/>
  <c r="H160" i="27" s="1"/>
  <c r="E160" i="27"/>
  <c r="AF160" i="27" s="1"/>
  <c r="AE159" i="27"/>
  <c r="AD159" i="27"/>
  <c r="AB159" i="27"/>
  <c r="N159" i="27"/>
  <c r="M159" i="27"/>
  <c r="F159" i="27"/>
  <c r="H159" i="27" s="1"/>
  <c r="E159" i="27"/>
  <c r="AF159" i="27" s="1"/>
  <c r="AE158" i="27"/>
  <c r="AD158" i="27"/>
  <c r="AB158" i="27"/>
  <c r="N158" i="27"/>
  <c r="M158" i="27"/>
  <c r="F158" i="27"/>
  <c r="H158" i="27" s="1"/>
  <c r="E158" i="27"/>
  <c r="AF158" i="27" s="1"/>
  <c r="AE157" i="27"/>
  <c r="AD157" i="27"/>
  <c r="AB157" i="27"/>
  <c r="N157" i="27"/>
  <c r="M157" i="27"/>
  <c r="F157" i="27"/>
  <c r="H157" i="27" s="1"/>
  <c r="E157" i="27"/>
  <c r="AF157" i="27" s="1"/>
  <c r="AE156" i="27"/>
  <c r="AD156" i="27"/>
  <c r="AB156" i="27"/>
  <c r="N156" i="27"/>
  <c r="M156" i="27"/>
  <c r="F156" i="27"/>
  <c r="H156" i="27" s="1"/>
  <c r="E156" i="27"/>
  <c r="AF156" i="27" s="1"/>
  <c r="AE155" i="27"/>
  <c r="AD155" i="27"/>
  <c r="AB155" i="27"/>
  <c r="N155" i="27"/>
  <c r="M155" i="27"/>
  <c r="F155" i="27"/>
  <c r="H155" i="27" s="1"/>
  <c r="E155" i="27"/>
  <c r="AF155" i="27" s="1"/>
  <c r="AE154" i="27"/>
  <c r="AD154" i="27"/>
  <c r="AB154" i="27"/>
  <c r="N154" i="27"/>
  <c r="M154" i="27"/>
  <c r="F154" i="27"/>
  <c r="H154" i="27" s="1"/>
  <c r="E154" i="27"/>
  <c r="T154" i="27" s="1"/>
  <c r="AE153" i="27"/>
  <c r="AD153" i="27"/>
  <c r="AB153" i="27"/>
  <c r="N153" i="27"/>
  <c r="M153" i="27"/>
  <c r="F153" i="27"/>
  <c r="H153" i="27" s="1"/>
  <c r="E153" i="27"/>
  <c r="AF153" i="27" s="1"/>
  <c r="AE152" i="27"/>
  <c r="AD152" i="27"/>
  <c r="AB152" i="27"/>
  <c r="N152" i="27"/>
  <c r="M152" i="27"/>
  <c r="F152" i="27"/>
  <c r="H152" i="27" s="1"/>
  <c r="E152" i="27"/>
  <c r="AF152" i="27" s="1"/>
  <c r="O70" i="26"/>
  <c r="Q146" i="26"/>
  <c r="Q125" i="26"/>
  <c r="Q104" i="26"/>
  <c r="Q83" i="26"/>
  <c r="Q62" i="26"/>
  <c r="E222" i="31"/>
  <c r="E221" i="31"/>
  <c r="E220" i="31"/>
  <c r="E219" i="31"/>
  <c r="E218" i="31"/>
  <c r="E217" i="31"/>
  <c r="D223" i="31"/>
  <c r="D222" i="31"/>
  <c r="D221" i="31"/>
  <c r="D220" i="31"/>
  <c r="D219" i="31"/>
  <c r="D218" i="31"/>
  <c r="D217" i="31"/>
  <c r="AF154" i="27" l="1"/>
  <c r="T159" i="27"/>
  <c r="G158" i="27"/>
  <c r="G159" i="27"/>
  <c r="AF163" i="27"/>
  <c r="T158" i="27"/>
  <c r="C146" i="30"/>
  <c r="J146" i="30"/>
  <c r="F146" i="30"/>
  <c r="G145" i="30"/>
  <c r="G166" i="29"/>
  <c r="J167" i="29"/>
  <c r="F167" i="29"/>
  <c r="AF161" i="27"/>
  <c r="G155" i="27"/>
  <c r="T155" i="27"/>
  <c r="G154" i="27"/>
  <c r="T156" i="27"/>
  <c r="T160" i="27"/>
  <c r="F166" i="27"/>
  <c r="H166" i="27" s="1"/>
  <c r="G156" i="27"/>
  <c r="T157" i="27"/>
  <c r="G160" i="27"/>
  <c r="G157" i="27"/>
  <c r="G161" i="27"/>
  <c r="AF162" i="27"/>
  <c r="G163" i="27"/>
  <c r="E166" i="27"/>
  <c r="A167" i="27"/>
  <c r="G152" i="27"/>
  <c r="G164" i="27"/>
  <c r="T164" i="27"/>
  <c r="G165" i="27"/>
  <c r="T152" i="27"/>
  <c r="G153" i="27"/>
  <c r="T153" i="27"/>
  <c r="L146" i="26"/>
  <c r="E146" i="26"/>
  <c r="A146" i="26"/>
  <c r="R145" i="26"/>
  <c r="Q145" i="26"/>
  <c r="P145" i="26"/>
  <c r="O145" i="26"/>
  <c r="L145" i="26"/>
  <c r="K145" i="26"/>
  <c r="J145" i="26"/>
  <c r="I145" i="26"/>
  <c r="AE144" i="26"/>
  <c r="AD144" i="26"/>
  <c r="AB144" i="26"/>
  <c r="N144" i="26"/>
  <c r="M144" i="26"/>
  <c r="F144" i="26"/>
  <c r="H144" i="26" s="1"/>
  <c r="E144" i="26"/>
  <c r="AF144" i="26" s="1"/>
  <c r="AF143" i="26"/>
  <c r="AE143" i="26"/>
  <c r="AD143" i="26"/>
  <c r="AB143" i="26"/>
  <c r="N143" i="26"/>
  <c r="M143" i="26"/>
  <c r="H143" i="26"/>
  <c r="F143" i="26"/>
  <c r="E143" i="26"/>
  <c r="T143" i="26" s="1"/>
  <c r="AE142" i="26"/>
  <c r="AD142" i="26"/>
  <c r="AB142" i="26"/>
  <c r="N142" i="26"/>
  <c r="M142" i="26"/>
  <c r="F142" i="26"/>
  <c r="H142" i="26" s="1"/>
  <c r="E142" i="26"/>
  <c r="T142" i="26" s="1"/>
  <c r="AE141" i="26"/>
  <c r="AD141" i="26"/>
  <c r="AB141" i="26"/>
  <c r="N141" i="26"/>
  <c r="M141" i="26"/>
  <c r="F141" i="26"/>
  <c r="E141" i="26"/>
  <c r="AF141" i="26" s="1"/>
  <c r="AE140" i="26"/>
  <c r="AD140" i="26"/>
  <c r="AB140" i="26"/>
  <c r="N140" i="26"/>
  <c r="M140" i="26"/>
  <c r="F140" i="26"/>
  <c r="H140" i="26" s="1"/>
  <c r="E140" i="26"/>
  <c r="T140" i="26" s="1"/>
  <c r="AE139" i="26"/>
  <c r="AD139" i="26"/>
  <c r="AB139" i="26"/>
  <c r="N139" i="26"/>
  <c r="M139" i="26"/>
  <c r="F139" i="26"/>
  <c r="H139" i="26" s="1"/>
  <c r="E139" i="26"/>
  <c r="T139" i="26" s="1"/>
  <c r="AE138" i="26"/>
  <c r="AD138" i="26"/>
  <c r="AB138" i="26"/>
  <c r="N138" i="26"/>
  <c r="M138" i="26"/>
  <c r="F138" i="26"/>
  <c r="H138" i="26" s="1"/>
  <c r="E138" i="26"/>
  <c r="G138" i="26" s="1"/>
  <c r="AE137" i="26"/>
  <c r="AD137" i="26"/>
  <c r="AB137" i="26"/>
  <c r="N137" i="26"/>
  <c r="M137" i="26"/>
  <c r="F137" i="26"/>
  <c r="H137" i="26" s="1"/>
  <c r="E137" i="26"/>
  <c r="G137" i="26" s="1"/>
  <c r="AE136" i="26"/>
  <c r="AD136" i="26"/>
  <c r="AB136" i="26"/>
  <c r="N136" i="26"/>
  <c r="M136" i="26"/>
  <c r="F136" i="26"/>
  <c r="H136" i="26" s="1"/>
  <c r="E136" i="26"/>
  <c r="T136" i="26" s="1"/>
  <c r="AE135" i="26"/>
  <c r="AD135" i="26"/>
  <c r="AB135" i="26"/>
  <c r="N135" i="26"/>
  <c r="M135" i="26"/>
  <c r="F135" i="26"/>
  <c r="H135" i="26" s="1"/>
  <c r="E135" i="26"/>
  <c r="G135" i="26" s="1"/>
  <c r="AE134" i="26"/>
  <c r="AD134" i="26"/>
  <c r="AB134" i="26"/>
  <c r="N134" i="26"/>
  <c r="M134" i="26"/>
  <c r="F134" i="26"/>
  <c r="H134" i="26" s="1"/>
  <c r="E134" i="26"/>
  <c r="T134" i="26" s="1"/>
  <c r="AE133" i="26"/>
  <c r="AD133" i="26"/>
  <c r="AB133" i="26"/>
  <c r="N133" i="26"/>
  <c r="M133" i="26"/>
  <c r="H133" i="26"/>
  <c r="F133" i="26"/>
  <c r="E133" i="26"/>
  <c r="AF133" i="26" s="1"/>
  <c r="AE132" i="26"/>
  <c r="AD132" i="26"/>
  <c r="AB132" i="26"/>
  <c r="N132" i="26"/>
  <c r="M132" i="26"/>
  <c r="F132" i="26"/>
  <c r="H132" i="26" s="1"/>
  <c r="E132" i="26"/>
  <c r="T132" i="26" s="1"/>
  <c r="AE131" i="26"/>
  <c r="AD131" i="26"/>
  <c r="AB131" i="26"/>
  <c r="N131" i="26"/>
  <c r="M131" i="26"/>
  <c r="F131" i="26"/>
  <c r="E131" i="26"/>
  <c r="T131" i="26" s="1"/>
  <c r="G133" i="26" l="1"/>
  <c r="C167" i="27"/>
  <c r="G166" i="27"/>
  <c r="J167" i="27"/>
  <c r="F167" i="27"/>
  <c r="AF140" i="26"/>
  <c r="AF132" i="26"/>
  <c r="F145" i="26"/>
  <c r="C146" i="26" s="1"/>
  <c r="G131" i="26"/>
  <c r="T133" i="26"/>
  <c r="G134" i="26"/>
  <c r="T135" i="26"/>
  <c r="T137" i="26"/>
  <c r="T138" i="26"/>
  <c r="H131" i="26"/>
  <c r="AF131" i="26"/>
  <c r="G132" i="26"/>
  <c r="AF134" i="26"/>
  <c r="AF135" i="26"/>
  <c r="AF136" i="26"/>
  <c r="AF137" i="26"/>
  <c r="AF138" i="26"/>
  <c r="AF139" i="26"/>
  <c r="G140" i="26"/>
  <c r="AF142" i="26"/>
  <c r="G143" i="26"/>
  <c r="G144" i="26"/>
  <c r="E145" i="26"/>
  <c r="T141" i="26"/>
  <c r="G136" i="26"/>
  <c r="G139" i="26"/>
  <c r="G142" i="26"/>
  <c r="O69" i="25"/>
  <c r="R103" i="17"/>
  <c r="Q103" i="17"/>
  <c r="H145" i="26" l="1"/>
  <c r="G145" i="26"/>
  <c r="J146" i="26"/>
  <c r="F146" i="26"/>
  <c r="R146" i="25" l="1"/>
  <c r="Q146" i="25"/>
  <c r="L146" i="25"/>
  <c r="E146" i="25"/>
  <c r="R145" i="25"/>
  <c r="Q145" i="25"/>
  <c r="P145" i="25"/>
  <c r="O145" i="25"/>
  <c r="L145" i="25"/>
  <c r="K145" i="25"/>
  <c r="J145" i="25"/>
  <c r="I145" i="25"/>
  <c r="D145" i="25"/>
  <c r="A146" i="25" s="1"/>
  <c r="AF144" i="25"/>
  <c r="AE144" i="25"/>
  <c r="AD144" i="25"/>
  <c r="AB144" i="25"/>
  <c r="N144" i="25"/>
  <c r="M144" i="25"/>
  <c r="G144" i="25"/>
  <c r="F144" i="25"/>
  <c r="H144" i="25" s="1"/>
  <c r="E144" i="25"/>
  <c r="AF143" i="25"/>
  <c r="AE143" i="25"/>
  <c r="AD143" i="25"/>
  <c r="AB143" i="25"/>
  <c r="T143" i="25"/>
  <c r="N143" i="25"/>
  <c r="M143" i="25"/>
  <c r="G143" i="25"/>
  <c r="F143" i="25"/>
  <c r="H143" i="25" s="1"/>
  <c r="E143" i="25"/>
  <c r="AF142" i="25"/>
  <c r="AE142" i="25"/>
  <c r="AD142" i="25"/>
  <c r="AB142" i="25"/>
  <c r="T142" i="25"/>
  <c r="N142" i="25"/>
  <c r="M142" i="25"/>
  <c r="H142" i="25"/>
  <c r="G142" i="25"/>
  <c r="F142" i="25"/>
  <c r="E142" i="25"/>
  <c r="AF141" i="25"/>
  <c r="AE141" i="25"/>
  <c r="AD141" i="25"/>
  <c r="AB141" i="25"/>
  <c r="N141" i="25"/>
  <c r="M141" i="25"/>
  <c r="F141" i="25"/>
  <c r="E141" i="25"/>
  <c r="T141" i="25" s="1"/>
  <c r="AE140" i="25"/>
  <c r="AD140" i="25"/>
  <c r="AB140" i="25"/>
  <c r="T140" i="25"/>
  <c r="N140" i="25"/>
  <c r="M140" i="25"/>
  <c r="F140" i="25"/>
  <c r="H140" i="25" s="1"/>
  <c r="E140" i="25"/>
  <c r="G140" i="25" s="1"/>
  <c r="AF139" i="25"/>
  <c r="AE139" i="25"/>
  <c r="AD139" i="25"/>
  <c r="AB139" i="25"/>
  <c r="T139" i="25"/>
  <c r="N139" i="25"/>
  <c r="M139" i="25"/>
  <c r="H139" i="25"/>
  <c r="G139" i="25"/>
  <c r="F139" i="25"/>
  <c r="E139" i="25"/>
  <c r="AF138" i="25"/>
  <c r="AE138" i="25"/>
  <c r="AD138" i="25"/>
  <c r="AB138" i="25"/>
  <c r="T138" i="25"/>
  <c r="N138" i="25"/>
  <c r="M138" i="25"/>
  <c r="H138" i="25"/>
  <c r="G138" i="25"/>
  <c r="F138" i="25"/>
  <c r="E138" i="25"/>
  <c r="AF137" i="25"/>
  <c r="AE137" i="25"/>
  <c r="AD137" i="25"/>
  <c r="AB137" i="25"/>
  <c r="T137" i="25"/>
  <c r="N137" i="25"/>
  <c r="M137" i="25"/>
  <c r="H137" i="25"/>
  <c r="G137" i="25"/>
  <c r="F137" i="25"/>
  <c r="E137" i="25"/>
  <c r="AE136" i="25"/>
  <c r="AD136" i="25"/>
  <c r="AB136" i="25"/>
  <c r="N136" i="25"/>
  <c r="M136" i="25"/>
  <c r="H136" i="25"/>
  <c r="F136" i="25"/>
  <c r="E136" i="25"/>
  <c r="AF136" i="25" s="1"/>
  <c r="AF135" i="25"/>
  <c r="AE135" i="25"/>
  <c r="AD135" i="25"/>
  <c r="AB135" i="25"/>
  <c r="T135" i="25"/>
  <c r="N135" i="25"/>
  <c r="M135" i="25"/>
  <c r="H135" i="25"/>
  <c r="G135" i="25"/>
  <c r="F135" i="25"/>
  <c r="E135" i="25"/>
  <c r="AE134" i="25"/>
  <c r="AD134" i="25"/>
  <c r="AB134" i="25"/>
  <c r="N134" i="25"/>
  <c r="M134" i="25"/>
  <c r="G134" i="25"/>
  <c r="F134" i="25"/>
  <c r="H134" i="25" s="1"/>
  <c r="E134" i="25"/>
  <c r="AF134" i="25" s="1"/>
  <c r="AF133" i="25"/>
  <c r="AE133" i="25"/>
  <c r="AD133" i="25"/>
  <c r="AB133" i="25"/>
  <c r="N133" i="25"/>
  <c r="M133" i="25"/>
  <c r="F133" i="25"/>
  <c r="H133" i="25" s="1"/>
  <c r="E133" i="25"/>
  <c r="T133" i="25" s="1"/>
  <c r="AE132" i="25"/>
  <c r="AD132" i="25"/>
  <c r="AB132" i="25"/>
  <c r="N132" i="25"/>
  <c r="M132" i="25"/>
  <c r="F132" i="25"/>
  <c r="H132" i="25" s="1"/>
  <c r="E132" i="25"/>
  <c r="T132" i="25" s="1"/>
  <c r="AE131" i="25"/>
  <c r="AD131" i="25"/>
  <c r="AB131" i="25"/>
  <c r="N131" i="25"/>
  <c r="M131" i="25"/>
  <c r="F131" i="25"/>
  <c r="E131" i="25"/>
  <c r="G131" i="25" s="1"/>
  <c r="R147" i="23"/>
  <c r="Q147" i="23"/>
  <c r="L147" i="23"/>
  <c r="E147" i="23"/>
  <c r="A147" i="23"/>
  <c r="R146" i="23"/>
  <c r="Q146" i="23"/>
  <c r="P146" i="23"/>
  <c r="O146" i="23"/>
  <c r="L146" i="23"/>
  <c r="K146" i="23"/>
  <c r="J146" i="23"/>
  <c r="I146" i="23"/>
  <c r="AE145" i="23"/>
  <c r="AD145" i="23"/>
  <c r="AB145" i="23"/>
  <c r="N145" i="23"/>
  <c r="M145" i="23"/>
  <c r="F145" i="23"/>
  <c r="H145" i="23" s="1"/>
  <c r="E145" i="23"/>
  <c r="G145" i="23" s="1"/>
  <c r="AE144" i="23"/>
  <c r="AD144" i="23"/>
  <c r="AB144" i="23"/>
  <c r="N144" i="23"/>
  <c r="M144" i="23"/>
  <c r="F144" i="23"/>
  <c r="H144" i="23" s="1"/>
  <c r="E144" i="23"/>
  <c r="G144" i="23" s="1"/>
  <c r="B144" i="23"/>
  <c r="AE143" i="23"/>
  <c r="AD143" i="23"/>
  <c r="AB143" i="23"/>
  <c r="N143" i="23"/>
  <c r="M143" i="23"/>
  <c r="F143" i="23"/>
  <c r="H143" i="23" s="1"/>
  <c r="E143" i="23"/>
  <c r="AF143" i="23" s="1"/>
  <c r="B143" i="23"/>
  <c r="AE142" i="23"/>
  <c r="AD142" i="23"/>
  <c r="AB142" i="23"/>
  <c r="N142" i="23"/>
  <c r="M142" i="23"/>
  <c r="F142" i="23"/>
  <c r="E142" i="23"/>
  <c r="AF142" i="23" s="1"/>
  <c r="AE141" i="23"/>
  <c r="AD141" i="23"/>
  <c r="AB141" i="23"/>
  <c r="N141" i="23"/>
  <c r="M141" i="23"/>
  <c r="F141" i="23"/>
  <c r="H141" i="23" s="1"/>
  <c r="E141" i="23"/>
  <c r="AF141" i="23" s="1"/>
  <c r="B141" i="23"/>
  <c r="AE140" i="23"/>
  <c r="AD140" i="23"/>
  <c r="AB140" i="23"/>
  <c r="N140" i="23"/>
  <c r="M140" i="23"/>
  <c r="G140" i="23"/>
  <c r="F140" i="23"/>
  <c r="H140" i="23" s="1"/>
  <c r="E140" i="23"/>
  <c r="AF140" i="23" s="1"/>
  <c r="B140" i="23"/>
  <c r="AF139" i="23"/>
  <c r="AE139" i="23"/>
  <c r="AD139" i="23"/>
  <c r="AB139" i="23"/>
  <c r="T139" i="23"/>
  <c r="N139" i="23"/>
  <c r="M139" i="23"/>
  <c r="H139" i="23"/>
  <c r="G139" i="23"/>
  <c r="F139" i="23"/>
  <c r="E139" i="23"/>
  <c r="B139" i="23"/>
  <c r="AE138" i="23"/>
  <c r="AD138" i="23"/>
  <c r="AB138" i="23"/>
  <c r="AA138" i="23"/>
  <c r="N138" i="23"/>
  <c r="M138" i="23"/>
  <c r="F138" i="23"/>
  <c r="H138" i="23" s="1"/>
  <c r="E138" i="23"/>
  <c r="T138" i="23" s="1"/>
  <c r="B138" i="23"/>
  <c r="AE137" i="23"/>
  <c r="AD137" i="23"/>
  <c r="AB137" i="23"/>
  <c r="N137" i="23"/>
  <c r="M137" i="23"/>
  <c r="F137" i="23"/>
  <c r="H137" i="23" s="1"/>
  <c r="E137" i="23"/>
  <c r="AF137" i="23" s="1"/>
  <c r="AE136" i="23"/>
  <c r="AD136" i="23"/>
  <c r="AB136" i="23"/>
  <c r="N136" i="23"/>
  <c r="M136" i="23"/>
  <c r="F136" i="23"/>
  <c r="H136" i="23" s="1"/>
  <c r="E136" i="23"/>
  <c r="AF136" i="23" s="1"/>
  <c r="AE135" i="23"/>
  <c r="AD135" i="23"/>
  <c r="AB135" i="23"/>
  <c r="N135" i="23"/>
  <c r="M135" i="23"/>
  <c r="F135" i="23"/>
  <c r="H135" i="23" s="1"/>
  <c r="E135" i="23"/>
  <c r="T135" i="23" s="1"/>
  <c r="AE134" i="23"/>
  <c r="AD134" i="23"/>
  <c r="AB134" i="23"/>
  <c r="N134" i="23"/>
  <c r="M134" i="23"/>
  <c r="F134" i="23"/>
  <c r="H134" i="23" s="1"/>
  <c r="E134" i="23"/>
  <c r="G134" i="23" s="1"/>
  <c r="D134" i="23"/>
  <c r="AE133" i="23"/>
  <c r="AD133" i="23"/>
  <c r="AB133" i="23"/>
  <c r="N133" i="23"/>
  <c r="M133" i="23"/>
  <c r="F133" i="23"/>
  <c r="H133" i="23" s="1"/>
  <c r="E133" i="23"/>
  <c r="AF133" i="23" s="1"/>
  <c r="D133" i="23"/>
  <c r="AE132" i="23"/>
  <c r="AD132" i="23"/>
  <c r="AB132" i="23"/>
  <c r="T132" i="23"/>
  <c r="N132" i="23"/>
  <c r="M132" i="23"/>
  <c r="F132" i="23"/>
  <c r="H132" i="23" s="1"/>
  <c r="E132" i="23"/>
  <c r="G132" i="23" s="1"/>
  <c r="H128" i="23"/>
  <c r="AA132" i="23" s="1"/>
  <c r="O96" i="17"/>
  <c r="D167" i="17"/>
  <c r="D155" i="17"/>
  <c r="D154" i="17"/>
  <c r="D146" i="17"/>
  <c r="D134" i="17"/>
  <c r="D133" i="17"/>
  <c r="AF140" i="25" l="1"/>
  <c r="T134" i="25"/>
  <c r="G133" i="23"/>
  <c r="G136" i="25"/>
  <c r="T136" i="25"/>
  <c r="F145" i="25"/>
  <c r="H145" i="25" s="1"/>
  <c r="AF132" i="25"/>
  <c r="T131" i="25"/>
  <c r="H131" i="25"/>
  <c r="AF131" i="25"/>
  <c r="G132" i="25"/>
  <c r="G133" i="25"/>
  <c r="E145" i="25"/>
  <c r="AF138" i="23"/>
  <c r="T133" i="23"/>
  <c r="AF132" i="23"/>
  <c r="G143" i="23"/>
  <c r="T143" i="23"/>
  <c r="E146" i="23"/>
  <c r="F147" i="23" s="1"/>
  <c r="T140" i="23"/>
  <c r="AA139" i="23"/>
  <c r="AA142" i="23"/>
  <c r="AA133" i="23"/>
  <c r="T134" i="23"/>
  <c r="G135" i="23"/>
  <c r="G136" i="23"/>
  <c r="T136" i="23"/>
  <c r="G137" i="23"/>
  <c r="T137" i="23"/>
  <c r="AA140" i="23"/>
  <c r="G141" i="23"/>
  <c r="T141" i="23"/>
  <c r="AA143" i="23"/>
  <c r="T144" i="23"/>
  <c r="AA145" i="23"/>
  <c r="AF145" i="23"/>
  <c r="AA134" i="23"/>
  <c r="AF134" i="23"/>
  <c r="AA135" i="23"/>
  <c r="AF135" i="23"/>
  <c r="AA136" i="23"/>
  <c r="AA137" i="23"/>
  <c r="G138" i="23"/>
  <c r="AA141" i="23"/>
  <c r="AA144" i="23"/>
  <c r="AF144" i="23"/>
  <c r="T142" i="23"/>
  <c r="F146" i="23"/>
  <c r="C146" i="25" l="1"/>
  <c r="F146" i="25"/>
  <c r="G145" i="25"/>
  <c r="J146" i="25"/>
  <c r="G146" i="23"/>
  <c r="J147" i="23"/>
  <c r="H146" i="23"/>
  <c r="C147" i="23"/>
  <c r="Q168" i="17" l="1"/>
  <c r="L168" i="17"/>
  <c r="A168" i="17"/>
  <c r="R167" i="17"/>
  <c r="Q167" i="17"/>
  <c r="P167" i="17"/>
  <c r="O167" i="17"/>
  <c r="L167" i="17"/>
  <c r="K167" i="17"/>
  <c r="J167" i="17"/>
  <c r="I167" i="17"/>
  <c r="E168" i="17"/>
  <c r="AF166" i="17"/>
  <c r="AE166" i="17"/>
  <c r="AD166" i="17"/>
  <c r="AB166" i="17"/>
  <c r="N166" i="17"/>
  <c r="M166" i="17"/>
  <c r="H166" i="17"/>
  <c r="G166" i="17"/>
  <c r="F166" i="17"/>
  <c r="E166" i="17"/>
  <c r="AF165" i="17"/>
  <c r="AE165" i="17"/>
  <c r="AD165" i="17"/>
  <c r="AB165" i="17"/>
  <c r="N165" i="17"/>
  <c r="M165" i="17"/>
  <c r="G165" i="17"/>
  <c r="F165" i="17"/>
  <c r="H165" i="17" s="1"/>
  <c r="E165" i="17"/>
  <c r="AF164" i="17"/>
  <c r="AE164" i="17"/>
  <c r="AD164" i="17"/>
  <c r="AB164" i="17"/>
  <c r="T164" i="17"/>
  <c r="N164" i="17"/>
  <c r="M164" i="17"/>
  <c r="H164" i="17"/>
  <c r="G164" i="17"/>
  <c r="F164" i="17"/>
  <c r="E164" i="17"/>
  <c r="AF163" i="17"/>
  <c r="AE163" i="17"/>
  <c r="AD163" i="17"/>
  <c r="AB163" i="17"/>
  <c r="N163" i="17"/>
  <c r="M163" i="17"/>
  <c r="F163" i="17"/>
  <c r="E163" i="17"/>
  <c r="T163" i="17" s="1"/>
  <c r="AF162" i="17"/>
  <c r="AE162" i="17"/>
  <c r="AD162" i="17"/>
  <c r="AB162" i="17"/>
  <c r="T162" i="17"/>
  <c r="N162" i="17"/>
  <c r="M162" i="17"/>
  <c r="G162" i="17"/>
  <c r="F162" i="17"/>
  <c r="H162" i="17" s="1"/>
  <c r="E162" i="17"/>
  <c r="AE161" i="17"/>
  <c r="AD161" i="17"/>
  <c r="AB161" i="17"/>
  <c r="N161" i="17"/>
  <c r="M161" i="17"/>
  <c r="G161" i="17"/>
  <c r="F161" i="17"/>
  <c r="H161" i="17" s="1"/>
  <c r="E161" i="17"/>
  <c r="AF161" i="17" s="1"/>
  <c r="AE160" i="17"/>
  <c r="AD160" i="17"/>
  <c r="AB160" i="17"/>
  <c r="N160" i="17"/>
  <c r="M160" i="17"/>
  <c r="F160" i="17"/>
  <c r="H160" i="17" s="1"/>
  <c r="E160" i="17"/>
  <c r="G160" i="17" s="1"/>
  <c r="AE159" i="17"/>
  <c r="AD159" i="17"/>
  <c r="AB159" i="17"/>
  <c r="N159" i="17"/>
  <c r="M159" i="17"/>
  <c r="F159" i="17"/>
  <c r="H159" i="17" s="1"/>
  <c r="E159" i="17"/>
  <c r="AF159" i="17" s="1"/>
  <c r="AE158" i="17"/>
  <c r="AD158" i="17"/>
  <c r="AB158" i="17"/>
  <c r="N158" i="17"/>
  <c r="M158" i="17"/>
  <c r="F158" i="17"/>
  <c r="H158" i="17" s="1"/>
  <c r="E158" i="17"/>
  <c r="G158" i="17" s="1"/>
  <c r="AE157" i="17"/>
  <c r="AD157" i="17"/>
  <c r="AB157" i="17"/>
  <c r="N157" i="17"/>
  <c r="M157" i="17"/>
  <c r="F157" i="17"/>
  <c r="H157" i="17" s="1"/>
  <c r="E157" i="17"/>
  <c r="AF157" i="17" s="1"/>
  <c r="AE156" i="17"/>
  <c r="AD156" i="17"/>
  <c r="AB156" i="17"/>
  <c r="N156" i="17"/>
  <c r="M156" i="17"/>
  <c r="F156" i="17"/>
  <c r="H156" i="17" s="1"/>
  <c r="E156" i="17"/>
  <c r="G156" i="17" s="1"/>
  <c r="AE155" i="17"/>
  <c r="AD155" i="17"/>
  <c r="AB155" i="17"/>
  <c r="N155" i="17"/>
  <c r="M155" i="17"/>
  <c r="F155" i="17"/>
  <c r="E155" i="17"/>
  <c r="G155" i="17" s="1"/>
  <c r="AE154" i="17"/>
  <c r="AD154" i="17"/>
  <c r="AB154" i="17"/>
  <c r="N154" i="17"/>
  <c r="M154" i="17"/>
  <c r="F154" i="17"/>
  <c r="H154" i="17" s="1"/>
  <c r="E154" i="17"/>
  <c r="AF154" i="17" s="1"/>
  <c r="AF153" i="17"/>
  <c r="AE153" i="17"/>
  <c r="AD153" i="17"/>
  <c r="AB153" i="17"/>
  <c r="T153" i="17"/>
  <c r="N153" i="17"/>
  <c r="M153" i="17"/>
  <c r="G153" i="17"/>
  <c r="F153" i="17"/>
  <c r="E153" i="17"/>
  <c r="AF155" i="17" l="1"/>
  <c r="T155" i="17"/>
  <c r="F167" i="17"/>
  <c r="H167" i="17" s="1"/>
  <c r="H153" i="17"/>
  <c r="H155" i="17"/>
  <c r="G157" i="17"/>
  <c r="G159" i="17"/>
  <c r="T156" i="17"/>
  <c r="AF156" i="17"/>
  <c r="T158" i="17"/>
  <c r="AF158" i="17"/>
  <c r="T160" i="17"/>
  <c r="AF160" i="17"/>
  <c r="E167" i="17"/>
  <c r="G167" i="17" s="1"/>
  <c r="T157" i="17"/>
  <c r="T159" i="17"/>
  <c r="T161" i="17"/>
  <c r="M167" i="17"/>
  <c r="N167" i="17"/>
  <c r="G154" i="17"/>
  <c r="T154" i="17"/>
  <c r="R166" i="28"/>
  <c r="Q166" i="28"/>
  <c r="P166" i="28"/>
  <c r="O166" i="28"/>
  <c r="L166" i="28"/>
  <c r="K166" i="28"/>
  <c r="J166" i="28"/>
  <c r="I166" i="28"/>
  <c r="D166" i="28"/>
  <c r="E167" i="28" s="1"/>
  <c r="L167" i="28"/>
  <c r="AE165" i="28"/>
  <c r="AD165" i="28"/>
  <c r="AB165" i="28"/>
  <c r="N165" i="28"/>
  <c r="M165" i="28"/>
  <c r="F165" i="28"/>
  <c r="H165" i="28" s="1"/>
  <c r="E165" i="28"/>
  <c r="AF165" i="28" s="1"/>
  <c r="AE164" i="28"/>
  <c r="AD164" i="28"/>
  <c r="AB164" i="28"/>
  <c r="N164" i="28"/>
  <c r="M164" i="28"/>
  <c r="H164" i="28"/>
  <c r="F164" i="28"/>
  <c r="E164" i="28"/>
  <c r="AF164" i="28" s="1"/>
  <c r="AF163" i="28"/>
  <c r="AE163" i="28"/>
  <c r="AD163" i="28"/>
  <c r="AB163" i="28"/>
  <c r="T163" i="28"/>
  <c r="N163" i="28"/>
  <c r="M163" i="28"/>
  <c r="G163" i="28"/>
  <c r="F163" i="28"/>
  <c r="H163" i="28" s="1"/>
  <c r="E163" i="28"/>
  <c r="AE162" i="28"/>
  <c r="AD162" i="28"/>
  <c r="AB162" i="28"/>
  <c r="N162" i="28"/>
  <c r="M162" i="28"/>
  <c r="F162" i="28"/>
  <c r="E162" i="28"/>
  <c r="T162" i="28" s="1"/>
  <c r="AE161" i="28"/>
  <c r="AD161" i="28"/>
  <c r="AB161" i="28"/>
  <c r="N161" i="28"/>
  <c r="M161" i="28"/>
  <c r="F161" i="28"/>
  <c r="H161" i="28" s="1"/>
  <c r="E161" i="28"/>
  <c r="AF161" i="28" s="1"/>
  <c r="AE160" i="28"/>
  <c r="AD160" i="28"/>
  <c r="AB160" i="28"/>
  <c r="N160" i="28"/>
  <c r="M160" i="28"/>
  <c r="F160" i="28"/>
  <c r="H160" i="28" s="1"/>
  <c r="E160" i="28"/>
  <c r="T160" i="28" s="1"/>
  <c r="AE159" i="28"/>
  <c r="AD159" i="28"/>
  <c r="AB159" i="28"/>
  <c r="N159" i="28"/>
  <c r="M159" i="28"/>
  <c r="F159" i="28"/>
  <c r="H159" i="28" s="1"/>
  <c r="E159" i="28"/>
  <c r="T159" i="28" s="1"/>
  <c r="AE158" i="28"/>
  <c r="AD158" i="28"/>
  <c r="AB158" i="28"/>
  <c r="N158" i="28"/>
  <c r="M158" i="28"/>
  <c r="H158" i="28"/>
  <c r="F158" i="28"/>
  <c r="E158" i="28"/>
  <c r="T158" i="28" s="1"/>
  <c r="AE157" i="28"/>
  <c r="AD157" i="28"/>
  <c r="AB157" i="28"/>
  <c r="N157" i="28"/>
  <c r="M157" i="28"/>
  <c r="F157" i="28"/>
  <c r="H157" i="28" s="1"/>
  <c r="E157" i="28"/>
  <c r="T157" i="28" s="1"/>
  <c r="AE156" i="28"/>
  <c r="AD156" i="28"/>
  <c r="AB156" i="28"/>
  <c r="N156" i="28"/>
  <c r="M156" i="28"/>
  <c r="F156" i="28"/>
  <c r="H156" i="28" s="1"/>
  <c r="E156" i="28"/>
  <c r="T156" i="28" s="1"/>
  <c r="AE155" i="28"/>
  <c r="AD155" i="28"/>
  <c r="AB155" i="28"/>
  <c r="N155" i="28"/>
  <c r="M155" i="28"/>
  <c r="F155" i="28"/>
  <c r="H155" i="28" s="1"/>
  <c r="E155" i="28"/>
  <c r="T155" i="28" s="1"/>
  <c r="AE154" i="28"/>
  <c r="AD154" i="28"/>
  <c r="AB154" i="28"/>
  <c r="N154" i="28"/>
  <c r="M154" i="28"/>
  <c r="F154" i="28"/>
  <c r="H154" i="28" s="1"/>
  <c r="E154" i="28"/>
  <c r="AF154" i="28" s="1"/>
  <c r="AF153" i="28"/>
  <c r="AE153" i="28"/>
  <c r="AD153" i="28"/>
  <c r="AB153" i="28"/>
  <c r="T153" i="28"/>
  <c r="N153" i="28"/>
  <c r="M153" i="28"/>
  <c r="G153" i="28"/>
  <c r="F153" i="28"/>
  <c r="H153" i="28" s="1"/>
  <c r="E153" i="28"/>
  <c r="AE152" i="28"/>
  <c r="AD152" i="28"/>
  <c r="AB152" i="28"/>
  <c r="N152" i="28"/>
  <c r="M152" i="28"/>
  <c r="F152" i="28"/>
  <c r="E152" i="28"/>
  <c r="G152" i="28" s="1"/>
  <c r="R101" i="23"/>
  <c r="Q101" i="23"/>
  <c r="C168" i="17" l="1"/>
  <c r="G165" i="28"/>
  <c r="AF162" i="28"/>
  <c r="AF160" i="28"/>
  <c r="G164" i="28"/>
  <c r="T164" i="28"/>
  <c r="A167" i="28"/>
  <c r="F166" i="28"/>
  <c r="H166" i="28" s="1"/>
  <c r="T152" i="28"/>
  <c r="AF152" i="28"/>
  <c r="F168" i="17"/>
  <c r="J168" i="17"/>
  <c r="G161" i="28"/>
  <c r="T161" i="28"/>
  <c r="AF155" i="28"/>
  <c r="AF157" i="28"/>
  <c r="AF159" i="28"/>
  <c r="E166" i="28"/>
  <c r="J167" i="28" s="1"/>
  <c r="AF156" i="28"/>
  <c r="AF158" i="28"/>
  <c r="H152" i="28"/>
  <c r="T154" i="28"/>
  <c r="G154" i="28"/>
  <c r="G155" i="28"/>
  <c r="G156" i="28"/>
  <c r="G157" i="28"/>
  <c r="G158" i="28"/>
  <c r="G159" i="28"/>
  <c r="G160" i="28"/>
  <c r="C167" i="28" l="1"/>
  <c r="F167" i="28"/>
  <c r="G166" i="28"/>
  <c r="O95" i="30" l="1"/>
  <c r="Q146" i="29"/>
  <c r="L146" i="29"/>
  <c r="R145" i="29"/>
  <c r="Q145" i="29"/>
  <c r="P145" i="29"/>
  <c r="O145" i="29"/>
  <c r="L145" i="29"/>
  <c r="K145" i="29"/>
  <c r="J145" i="29"/>
  <c r="I145" i="29"/>
  <c r="D145" i="29"/>
  <c r="E146" i="29" s="1"/>
  <c r="AE144" i="29"/>
  <c r="AD144" i="29"/>
  <c r="AB144" i="29"/>
  <c r="N144" i="29"/>
  <c r="M144" i="29"/>
  <c r="F144" i="29"/>
  <c r="H144" i="29" s="1"/>
  <c r="E144" i="29"/>
  <c r="AF144" i="29" s="1"/>
  <c r="AE143" i="29"/>
  <c r="AD143" i="29"/>
  <c r="AB143" i="29"/>
  <c r="N143" i="29"/>
  <c r="M143" i="29"/>
  <c r="F143" i="29"/>
  <c r="H143" i="29" s="1"/>
  <c r="E143" i="29"/>
  <c r="AF143" i="29" s="1"/>
  <c r="AE142" i="29"/>
  <c r="AD142" i="29"/>
  <c r="AB142" i="29"/>
  <c r="T142" i="29"/>
  <c r="N142" i="29"/>
  <c r="M142" i="29"/>
  <c r="G142" i="29"/>
  <c r="F142" i="29"/>
  <c r="H142" i="29" s="1"/>
  <c r="E142" i="29"/>
  <c r="AF142" i="29" s="1"/>
  <c r="AE141" i="29"/>
  <c r="AD141" i="29"/>
  <c r="AB141" i="29"/>
  <c r="N141" i="29"/>
  <c r="M141" i="29"/>
  <c r="F141" i="29"/>
  <c r="E141" i="29"/>
  <c r="AF141" i="29" s="1"/>
  <c r="AE140" i="29"/>
  <c r="AD140" i="29"/>
  <c r="AB140" i="29"/>
  <c r="N140" i="29"/>
  <c r="M140" i="29"/>
  <c r="H140" i="29"/>
  <c r="F140" i="29"/>
  <c r="E140" i="29"/>
  <c r="T140" i="29" s="1"/>
  <c r="AE139" i="29"/>
  <c r="AD139" i="29"/>
  <c r="AB139" i="29"/>
  <c r="N139" i="29"/>
  <c r="M139" i="29"/>
  <c r="F139" i="29"/>
  <c r="H139" i="29" s="1"/>
  <c r="E139" i="29"/>
  <c r="AF139" i="29" s="1"/>
  <c r="AE138" i="29"/>
  <c r="AD138" i="29"/>
  <c r="AB138" i="29"/>
  <c r="N138" i="29"/>
  <c r="M138" i="29"/>
  <c r="F138" i="29"/>
  <c r="H138" i="29" s="1"/>
  <c r="E138" i="29"/>
  <c r="AF138" i="29" s="1"/>
  <c r="AE137" i="29"/>
  <c r="AD137" i="29"/>
  <c r="AB137" i="29"/>
  <c r="N137" i="29"/>
  <c r="M137" i="29"/>
  <c r="F137" i="29"/>
  <c r="H137" i="29" s="1"/>
  <c r="E137" i="29"/>
  <c r="AF137" i="29" s="1"/>
  <c r="AE136" i="29"/>
  <c r="AD136" i="29"/>
  <c r="AB136" i="29"/>
  <c r="N136" i="29"/>
  <c r="M136" i="29"/>
  <c r="F136" i="29"/>
  <c r="H136" i="29" s="1"/>
  <c r="E136" i="29"/>
  <c r="AF136" i="29" s="1"/>
  <c r="AE135" i="29"/>
  <c r="AD135" i="29"/>
  <c r="AB135" i="29"/>
  <c r="N135" i="29"/>
  <c r="M135" i="29"/>
  <c r="F135" i="29"/>
  <c r="H135" i="29" s="1"/>
  <c r="E135" i="29"/>
  <c r="AF135" i="29" s="1"/>
  <c r="AE134" i="29"/>
  <c r="AD134" i="29"/>
  <c r="AB134" i="29"/>
  <c r="N134" i="29"/>
  <c r="M134" i="29"/>
  <c r="F134" i="29"/>
  <c r="H134" i="29" s="1"/>
  <c r="E134" i="29"/>
  <c r="AF134" i="29" s="1"/>
  <c r="AE133" i="29"/>
  <c r="AD133" i="29"/>
  <c r="AB133" i="29"/>
  <c r="N133" i="29"/>
  <c r="M133" i="29"/>
  <c r="F133" i="29"/>
  <c r="H133" i="29" s="1"/>
  <c r="E133" i="29"/>
  <c r="AF133" i="29" s="1"/>
  <c r="AE132" i="29"/>
  <c r="AD132" i="29"/>
  <c r="AB132" i="29"/>
  <c r="N132" i="29"/>
  <c r="M132" i="29"/>
  <c r="F132" i="29"/>
  <c r="H132" i="29" s="1"/>
  <c r="E132" i="29"/>
  <c r="AF132" i="29" s="1"/>
  <c r="AE131" i="29"/>
  <c r="AD131" i="29"/>
  <c r="AB131" i="29"/>
  <c r="N131" i="29"/>
  <c r="M131" i="29"/>
  <c r="H131" i="29"/>
  <c r="F131" i="29"/>
  <c r="E131" i="29"/>
  <c r="T131" i="29" s="1"/>
  <c r="O112" i="28"/>
  <c r="Q146" i="28"/>
  <c r="R145" i="28"/>
  <c r="Q145" i="28"/>
  <c r="P145" i="28"/>
  <c r="L145" i="28"/>
  <c r="K145" i="28"/>
  <c r="J145" i="28"/>
  <c r="I145" i="28"/>
  <c r="D145" i="28"/>
  <c r="E146" i="28" s="1"/>
  <c r="C145" i="28"/>
  <c r="L146" i="28" s="1"/>
  <c r="AE144" i="28"/>
  <c r="AD144" i="28"/>
  <c r="AB144" i="28"/>
  <c r="N144" i="28"/>
  <c r="M144" i="28"/>
  <c r="F144" i="28"/>
  <c r="H144" i="28" s="1"/>
  <c r="E144" i="28"/>
  <c r="AF144" i="28" s="1"/>
  <c r="AE143" i="28"/>
  <c r="AD143" i="28"/>
  <c r="AB143" i="28"/>
  <c r="N143" i="28"/>
  <c r="M143" i="28"/>
  <c r="F143" i="28"/>
  <c r="H143" i="28" s="1"/>
  <c r="E143" i="28"/>
  <c r="AF143" i="28" s="1"/>
  <c r="AE142" i="28"/>
  <c r="AD142" i="28"/>
  <c r="AB142" i="28"/>
  <c r="N142" i="28"/>
  <c r="M142" i="28"/>
  <c r="F142" i="28"/>
  <c r="H142" i="28" s="1"/>
  <c r="E142" i="28"/>
  <c r="AF142" i="28" s="1"/>
  <c r="AE141" i="28"/>
  <c r="AD141" i="28"/>
  <c r="AB141" i="28"/>
  <c r="N141" i="28"/>
  <c r="M141" i="28"/>
  <c r="F141" i="28"/>
  <c r="E141" i="28"/>
  <c r="AF141" i="28" s="1"/>
  <c r="AE140" i="28"/>
  <c r="AD140" i="28"/>
  <c r="AB140" i="28"/>
  <c r="N140" i="28"/>
  <c r="M140" i="28"/>
  <c r="F140" i="28"/>
  <c r="H140" i="28" s="1"/>
  <c r="E140" i="28"/>
  <c r="AF140" i="28" s="1"/>
  <c r="AE139" i="28"/>
  <c r="AD139" i="28"/>
  <c r="AB139" i="28"/>
  <c r="N139" i="28"/>
  <c r="M139" i="28"/>
  <c r="F139" i="28"/>
  <c r="H139" i="28" s="1"/>
  <c r="E139" i="28"/>
  <c r="G139" i="28" s="1"/>
  <c r="AE138" i="28"/>
  <c r="AD138" i="28"/>
  <c r="AB138" i="28"/>
  <c r="N138" i="28"/>
  <c r="M138" i="28"/>
  <c r="F138" i="28"/>
  <c r="H138" i="28" s="1"/>
  <c r="E138" i="28"/>
  <c r="AF138" i="28" s="1"/>
  <c r="AE137" i="28"/>
  <c r="AD137" i="28"/>
  <c r="AB137" i="28"/>
  <c r="N137" i="28"/>
  <c r="M137" i="28"/>
  <c r="F137" i="28"/>
  <c r="H137" i="28" s="1"/>
  <c r="E137" i="28"/>
  <c r="AF137" i="28" s="1"/>
  <c r="AE136" i="28"/>
  <c r="AD136" i="28"/>
  <c r="AB136" i="28"/>
  <c r="N136" i="28"/>
  <c r="M136" i="28"/>
  <c r="F136" i="28"/>
  <c r="H136" i="28" s="1"/>
  <c r="E136" i="28"/>
  <c r="AF136" i="28" s="1"/>
  <c r="AE135" i="28"/>
  <c r="AD135" i="28"/>
  <c r="AB135" i="28"/>
  <c r="N135" i="28"/>
  <c r="M135" i="28"/>
  <c r="F135" i="28"/>
  <c r="H135" i="28" s="1"/>
  <c r="E135" i="28"/>
  <c r="T135" i="28" s="1"/>
  <c r="AE134" i="28"/>
  <c r="AD134" i="28"/>
  <c r="AB134" i="28"/>
  <c r="N134" i="28"/>
  <c r="M134" i="28"/>
  <c r="F134" i="28"/>
  <c r="H134" i="28" s="1"/>
  <c r="E134" i="28"/>
  <c r="AF134" i="28" s="1"/>
  <c r="AE133" i="28"/>
  <c r="AD133" i="28"/>
  <c r="AB133" i="28"/>
  <c r="O145" i="28"/>
  <c r="N133" i="28"/>
  <c r="M133" i="28"/>
  <c r="F133" i="28"/>
  <c r="H133" i="28" s="1"/>
  <c r="E133" i="28"/>
  <c r="G133" i="28" s="1"/>
  <c r="AE132" i="28"/>
  <c r="AD132" i="28"/>
  <c r="AB132" i="28"/>
  <c r="N132" i="28"/>
  <c r="M132" i="28"/>
  <c r="F132" i="28"/>
  <c r="H132" i="28" s="1"/>
  <c r="E132" i="28"/>
  <c r="AF132" i="28" s="1"/>
  <c r="AE131" i="28"/>
  <c r="AD131" i="28"/>
  <c r="AB131" i="28"/>
  <c r="N131" i="28"/>
  <c r="M131" i="28"/>
  <c r="F131" i="28"/>
  <c r="H131" i="28" s="1"/>
  <c r="E131" i="28"/>
  <c r="AF131" i="28" s="1"/>
  <c r="Q146" i="27"/>
  <c r="R145" i="27"/>
  <c r="Q145" i="27"/>
  <c r="P145" i="27"/>
  <c r="O145" i="27"/>
  <c r="L145" i="27"/>
  <c r="K145" i="27"/>
  <c r="J145" i="27"/>
  <c r="I145" i="27"/>
  <c r="D145" i="27"/>
  <c r="E146" i="27" s="1"/>
  <c r="C145" i="27"/>
  <c r="L146" i="27" s="1"/>
  <c r="AE144" i="27"/>
  <c r="AD144" i="27"/>
  <c r="AB144" i="27"/>
  <c r="N144" i="27"/>
  <c r="M144" i="27"/>
  <c r="F144" i="27"/>
  <c r="H144" i="27" s="1"/>
  <c r="E144" i="27"/>
  <c r="AF144" i="27" s="1"/>
  <c r="AE143" i="27"/>
  <c r="AD143" i="27"/>
  <c r="AB143" i="27"/>
  <c r="N143" i="27"/>
  <c r="M143" i="27"/>
  <c r="F143" i="27"/>
  <c r="H143" i="27" s="1"/>
  <c r="E143" i="27"/>
  <c r="AF143" i="27" s="1"/>
  <c r="AE142" i="27"/>
  <c r="AD142" i="27"/>
  <c r="AB142" i="27"/>
  <c r="N142" i="27"/>
  <c r="M142" i="27"/>
  <c r="F142" i="27"/>
  <c r="H142" i="27" s="1"/>
  <c r="E142" i="27"/>
  <c r="AF142" i="27" s="1"/>
  <c r="AE141" i="27"/>
  <c r="AD141" i="27"/>
  <c r="AB141" i="27"/>
  <c r="N141" i="27"/>
  <c r="M141" i="27"/>
  <c r="F141" i="27"/>
  <c r="E141" i="27"/>
  <c r="T141" i="27" s="1"/>
  <c r="AE140" i="27"/>
  <c r="AD140" i="27"/>
  <c r="AB140" i="27"/>
  <c r="N140" i="27"/>
  <c r="M140" i="27"/>
  <c r="F140" i="27"/>
  <c r="H140" i="27" s="1"/>
  <c r="E140" i="27"/>
  <c r="AF140" i="27" s="1"/>
  <c r="AE139" i="27"/>
  <c r="AD139" i="27"/>
  <c r="AB139" i="27"/>
  <c r="N139" i="27"/>
  <c r="M139" i="27"/>
  <c r="F139" i="27"/>
  <c r="H139" i="27" s="1"/>
  <c r="E139" i="27"/>
  <c r="T139" i="27" s="1"/>
  <c r="AE138" i="27"/>
  <c r="AD138" i="27"/>
  <c r="AB138" i="27"/>
  <c r="N138" i="27"/>
  <c r="M138" i="27"/>
  <c r="F138" i="27"/>
  <c r="H138" i="27" s="1"/>
  <c r="E138" i="27"/>
  <c r="AF138" i="27" s="1"/>
  <c r="AE137" i="27"/>
  <c r="AD137" i="27"/>
  <c r="AB137" i="27"/>
  <c r="N137" i="27"/>
  <c r="M137" i="27"/>
  <c r="F137" i="27"/>
  <c r="H137" i="27" s="1"/>
  <c r="E137" i="27"/>
  <c r="AF137" i="27" s="1"/>
  <c r="AE136" i="27"/>
  <c r="AD136" i="27"/>
  <c r="AB136" i="27"/>
  <c r="N136" i="27"/>
  <c r="M136" i="27"/>
  <c r="F136" i="27"/>
  <c r="H136" i="27" s="1"/>
  <c r="E136" i="27"/>
  <c r="AF136" i="27" s="1"/>
  <c r="AE135" i="27"/>
  <c r="AD135" i="27"/>
  <c r="AB135" i="27"/>
  <c r="N135" i="27"/>
  <c r="M135" i="27"/>
  <c r="F135" i="27"/>
  <c r="H135" i="27" s="1"/>
  <c r="E135" i="27"/>
  <c r="T135" i="27" s="1"/>
  <c r="AE134" i="27"/>
  <c r="AD134" i="27"/>
  <c r="AB134" i="27"/>
  <c r="N134" i="27"/>
  <c r="M134" i="27"/>
  <c r="F134" i="27"/>
  <c r="H134" i="27" s="1"/>
  <c r="E134" i="27"/>
  <c r="T134" i="27" s="1"/>
  <c r="AE133" i="27"/>
  <c r="AD133" i="27"/>
  <c r="AB133" i="27"/>
  <c r="E133" i="27"/>
  <c r="N133" i="27"/>
  <c r="M133" i="27"/>
  <c r="F133" i="27"/>
  <c r="H133" i="27" s="1"/>
  <c r="AE132" i="27"/>
  <c r="AD132" i="27"/>
  <c r="AB132" i="27"/>
  <c r="N132" i="27"/>
  <c r="M132" i="27"/>
  <c r="F132" i="27"/>
  <c r="H132" i="27" s="1"/>
  <c r="E132" i="27"/>
  <c r="AF132" i="27" s="1"/>
  <c r="AE131" i="27"/>
  <c r="AD131" i="27"/>
  <c r="AB131" i="27"/>
  <c r="N131" i="27"/>
  <c r="M131" i="27"/>
  <c r="F131" i="27"/>
  <c r="E131" i="27"/>
  <c r="AF131" i="27" s="1"/>
  <c r="O91" i="26"/>
  <c r="R125" i="25"/>
  <c r="Q125" i="25"/>
  <c r="L125" i="25"/>
  <c r="R124" i="25"/>
  <c r="Q124" i="25"/>
  <c r="P124" i="25"/>
  <c r="O124" i="25"/>
  <c r="L124" i="25"/>
  <c r="K124" i="25"/>
  <c r="J124" i="25"/>
  <c r="I124" i="25"/>
  <c r="D124" i="25"/>
  <c r="A125" i="25" s="1"/>
  <c r="AF123" i="25"/>
  <c r="AE123" i="25"/>
  <c r="AD123" i="25"/>
  <c r="AB123" i="25"/>
  <c r="N123" i="25"/>
  <c r="M123" i="25"/>
  <c r="G123" i="25"/>
  <c r="F123" i="25"/>
  <c r="H123" i="25" s="1"/>
  <c r="E123" i="25"/>
  <c r="AF122" i="25"/>
  <c r="AE122" i="25"/>
  <c r="AD122" i="25"/>
  <c r="AB122" i="25"/>
  <c r="T122" i="25"/>
  <c r="N122" i="25"/>
  <c r="M122" i="25"/>
  <c r="G122" i="25"/>
  <c r="F122" i="25"/>
  <c r="H122" i="25" s="1"/>
  <c r="E122" i="25"/>
  <c r="AF121" i="25"/>
  <c r="AE121" i="25"/>
  <c r="AD121" i="25"/>
  <c r="AB121" i="25"/>
  <c r="T121" i="25"/>
  <c r="N121" i="25"/>
  <c r="M121" i="25"/>
  <c r="H121" i="25"/>
  <c r="G121" i="25"/>
  <c r="F121" i="25"/>
  <c r="E121" i="25"/>
  <c r="AE120" i="25"/>
  <c r="AD120" i="25"/>
  <c r="AB120" i="25"/>
  <c r="N120" i="25"/>
  <c r="M120" i="25"/>
  <c r="F120" i="25"/>
  <c r="E120" i="25"/>
  <c r="T120" i="25" s="1"/>
  <c r="AE119" i="25"/>
  <c r="AD119" i="25"/>
  <c r="AB119" i="25"/>
  <c r="N119" i="25"/>
  <c r="M119" i="25"/>
  <c r="F119" i="25"/>
  <c r="E119" i="25"/>
  <c r="AF119" i="25" s="1"/>
  <c r="AF118" i="25"/>
  <c r="AE118" i="25"/>
  <c r="AD118" i="25"/>
  <c r="AB118" i="25"/>
  <c r="T118" i="25"/>
  <c r="N118" i="25"/>
  <c r="M118" i="25"/>
  <c r="H118" i="25"/>
  <c r="G118" i="25"/>
  <c r="F118" i="25"/>
  <c r="E118" i="25"/>
  <c r="AF117" i="25"/>
  <c r="AE117" i="25"/>
  <c r="AD117" i="25"/>
  <c r="AB117" i="25"/>
  <c r="T117" i="25"/>
  <c r="N117" i="25"/>
  <c r="M117" i="25"/>
  <c r="H117" i="25"/>
  <c r="G117" i="25"/>
  <c r="F117" i="25"/>
  <c r="E117" i="25"/>
  <c r="AF116" i="25"/>
  <c r="AE116" i="25"/>
  <c r="AD116" i="25"/>
  <c r="AB116" i="25"/>
  <c r="T116" i="25"/>
  <c r="N116" i="25"/>
  <c r="M116" i="25"/>
  <c r="H116" i="25"/>
  <c r="G116" i="25"/>
  <c r="F116" i="25"/>
  <c r="E116" i="25"/>
  <c r="AF115" i="25"/>
  <c r="AE115" i="25"/>
  <c r="AD115" i="25"/>
  <c r="AB115" i="25"/>
  <c r="T115" i="25"/>
  <c r="N115" i="25"/>
  <c r="M115" i="25"/>
  <c r="H115" i="25"/>
  <c r="G115" i="25"/>
  <c r="F115" i="25"/>
  <c r="E115" i="25"/>
  <c r="AF114" i="25"/>
  <c r="AE114" i="25"/>
  <c r="AD114" i="25"/>
  <c r="AB114" i="25"/>
  <c r="T114" i="25"/>
  <c r="N114" i="25"/>
  <c r="M114" i="25"/>
  <c r="H114" i="25"/>
  <c r="G114" i="25"/>
  <c r="F114" i="25"/>
  <c r="E114" i="25"/>
  <c r="AF113" i="25"/>
  <c r="AE113" i="25"/>
  <c r="AD113" i="25"/>
  <c r="AB113" i="25"/>
  <c r="T113" i="25"/>
  <c r="N113" i="25"/>
  <c r="M113" i="25"/>
  <c r="H113" i="25"/>
  <c r="G113" i="25"/>
  <c r="F113" i="25"/>
  <c r="E113" i="25"/>
  <c r="AF112" i="25"/>
  <c r="AE112" i="25"/>
  <c r="AD112" i="25"/>
  <c r="AB112" i="25"/>
  <c r="N112" i="25"/>
  <c r="M112" i="25"/>
  <c r="H112" i="25"/>
  <c r="F112" i="25"/>
  <c r="E112" i="25"/>
  <c r="T112" i="25" s="1"/>
  <c r="AE111" i="25"/>
  <c r="AD111" i="25"/>
  <c r="AB111" i="25"/>
  <c r="N111" i="25"/>
  <c r="M111" i="25"/>
  <c r="F111" i="25"/>
  <c r="H111" i="25" s="1"/>
  <c r="E111" i="25"/>
  <c r="T111" i="25" s="1"/>
  <c r="AE110" i="25"/>
  <c r="AD110" i="25"/>
  <c r="AB110" i="25"/>
  <c r="N110" i="25"/>
  <c r="M110" i="25"/>
  <c r="F110" i="25"/>
  <c r="H110" i="25" s="1"/>
  <c r="E110" i="25"/>
  <c r="Q72" i="17"/>
  <c r="F145" i="29" l="1"/>
  <c r="C146" i="29" s="1"/>
  <c r="G136" i="27"/>
  <c r="G138" i="28"/>
  <c r="T132" i="27"/>
  <c r="T142" i="27"/>
  <c r="A146" i="27"/>
  <c r="G142" i="27"/>
  <c r="G131" i="27"/>
  <c r="G132" i="27"/>
  <c r="T136" i="27"/>
  <c r="T138" i="27"/>
  <c r="G119" i="25"/>
  <c r="E124" i="25"/>
  <c r="F125" i="25" s="1"/>
  <c r="G138" i="27"/>
  <c r="AF139" i="27"/>
  <c r="G139" i="27"/>
  <c r="E125" i="25"/>
  <c r="T133" i="29"/>
  <c r="G132" i="29"/>
  <c r="T132" i="29"/>
  <c r="G133" i="29"/>
  <c r="AF131" i="29"/>
  <c r="AF140" i="29"/>
  <c r="T141" i="29"/>
  <c r="E145" i="29"/>
  <c r="A146" i="29"/>
  <c r="G134" i="29"/>
  <c r="T134" i="29"/>
  <c r="G135" i="29"/>
  <c r="T135" i="29"/>
  <c r="G136" i="29"/>
  <c r="T136" i="29"/>
  <c r="G137" i="29"/>
  <c r="T137" i="29"/>
  <c r="G138" i="29"/>
  <c r="T138" i="29"/>
  <c r="G139" i="29"/>
  <c r="T139" i="29"/>
  <c r="G143" i="29"/>
  <c r="T143" i="29"/>
  <c r="G144" i="29"/>
  <c r="T144" i="29"/>
  <c r="G131" i="29"/>
  <c r="G140" i="29"/>
  <c r="T138" i="28"/>
  <c r="G136" i="28"/>
  <c r="T137" i="28"/>
  <c r="G137" i="28"/>
  <c r="T139" i="28"/>
  <c r="AF139" i="28"/>
  <c r="T136" i="28"/>
  <c r="T134" i="28"/>
  <c r="G135" i="28"/>
  <c r="AF135" i="28"/>
  <c r="T133" i="28"/>
  <c r="G134" i="28"/>
  <c r="AF133" i="28"/>
  <c r="T141" i="28"/>
  <c r="E145" i="28"/>
  <c r="A146" i="28"/>
  <c r="G131" i="28"/>
  <c r="T131" i="28"/>
  <c r="G132" i="28"/>
  <c r="T132" i="28"/>
  <c r="G140" i="28"/>
  <c r="T140" i="28"/>
  <c r="G142" i="28"/>
  <c r="T142" i="28"/>
  <c r="G143" i="28"/>
  <c r="T143" i="28"/>
  <c r="G144" i="28"/>
  <c r="F145" i="28"/>
  <c r="T140" i="27"/>
  <c r="T137" i="27"/>
  <c r="G137" i="27"/>
  <c r="G135" i="27"/>
  <c r="AF135" i="27"/>
  <c r="AF134" i="27"/>
  <c r="G140" i="27"/>
  <c r="AF141" i="27"/>
  <c r="F145" i="27"/>
  <c r="H145" i="27" s="1"/>
  <c r="T131" i="27"/>
  <c r="T133" i="27"/>
  <c r="G133" i="27"/>
  <c r="E145" i="27"/>
  <c r="AF133" i="27"/>
  <c r="G134" i="27"/>
  <c r="H131" i="27"/>
  <c r="G143" i="27"/>
  <c r="T143" i="27"/>
  <c r="G144" i="27"/>
  <c r="T119" i="25"/>
  <c r="AF120" i="25"/>
  <c r="AF111" i="25"/>
  <c r="F124" i="25"/>
  <c r="H124" i="25" s="1"/>
  <c r="G110" i="25"/>
  <c r="T110" i="25"/>
  <c r="H119" i="25"/>
  <c r="AF110" i="25"/>
  <c r="G111" i="25"/>
  <c r="G112" i="25"/>
  <c r="H145" i="29" l="1"/>
  <c r="J125" i="25"/>
  <c r="G124" i="25"/>
  <c r="G145" i="29"/>
  <c r="J146" i="29"/>
  <c r="F146" i="29"/>
  <c r="C146" i="28"/>
  <c r="H145" i="28"/>
  <c r="G145" i="28"/>
  <c r="J146" i="28"/>
  <c r="F146" i="28"/>
  <c r="C146" i="27"/>
  <c r="G145" i="27"/>
  <c r="J146" i="27"/>
  <c r="F146" i="27"/>
  <c r="C125" i="25"/>
  <c r="Q147" i="17" l="1"/>
  <c r="S147" i="17" s="1"/>
  <c r="L147" i="17"/>
  <c r="E147" i="17"/>
  <c r="A147" i="17"/>
  <c r="R146" i="17"/>
  <c r="Q146" i="17"/>
  <c r="P146" i="17"/>
  <c r="O146" i="17"/>
  <c r="L146" i="17"/>
  <c r="K146" i="17"/>
  <c r="J146" i="17"/>
  <c r="I146" i="17"/>
  <c r="AE145" i="17"/>
  <c r="AD145" i="17"/>
  <c r="AB145" i="17"/>
  <c r="N145" i="17"/>
  <c r="M145" i="17"/>
  <c r="F145" i="17"/>
  <c r="H145" i="17" s="1"/>
  <c r="E145" i="17"/>
  <c r="AF145" i="17" s="1"/>
  <c r="AE144" i="17"/>
  <c r="AD144" i="17"/>
  <c r="AB144" i="17"/>
  <c r="N144" i="17"/>
  <c r="M144" i="17"/>
  <c r="F144" i="17"/>
  <c r="H144" i="17" s="1"/>
  <c r="E144" i="17"/>
  <c r="AF144" i="17" s="1"/>
  <c r="AF143" i="17"/>
  <c r="AE143" i="17"/>
  <c r="AD143" i="17"/>
  <c r="AB143" i="17"/>
  <c r="T143" i="17"/>
  <c r="N143" i="17"/>
  <c r="M143" i="17"/>
  <c r="G143" i="17"/>
  <c r="F143" i="17"/>
  <c r="H143" i="17" s="1"/>
  <c r="E143" i="17"/>
  <c r="AF142" i="17"/>
  <c r="AE142" i="17"/>
  <c r="AD142" i="17"/>
  <c r="AB142" i="17"/>
  <c r="N142" i="17"/>
  <c r="M142" i="17"/>
  <c r="F142" i="17"/>
  <c r="E142" i="17"/>
  <c r="T142" i="17" s="1"/>
  <c r="AF141" i="17"/>
  <c r="AE141" i="17"/>
  <c r="AD141" i="17"/>
  <c r="AB141" i="17"/>
  <c r="N141" i="17"/>
  <c r="M141" i="17"/>
  <c r="G141" i="17"/>
  <c r="F141" i="17"/>
  <c r="H141" i="17" s="1"/>
  <c r="E141" i="17"/>
  <c r="T141" i="17" s="1"/>
  <c r="AE140" i="17"/>
  <c r="AD140" i="17"/>
  <c r="AB140" i="17"/>
  <c r="N140" i="17"/>
  <c r="M140" i="17"/>
  <c r="F140" i="17"/>
  <c r="H140" i="17" s="1"/>
  <c r="E140" i="17"/>
  <c r="AF140" i="17" s="1"/>
  <c r="AE139" i="17"/>
  <c r="AD139" i="17"/>
  <c r="AB139" i="17"/>
  <c r="N139" i="17"/>
  <c r="M139" i="17"/>
  <c r="F139" i="17"/>
  <c r="H139" i="17" s="1"/>
  <c r="E139" i="17"/>
  <c r="AF139" i="17" s="1"/>
  <c r="AE138" i="17"/>
  <c r="AD138" i="17"/>
  <c r="AB138" i="17"/>
  <c r="N138" i="17"/>
  <c r="M138" i="17"/>
  <c r="F138" i="17"/>
  <c r="E138" i="17"/>
  <c r="T138" i="17" s="1"/>
  <c r="AE137" i="17"/>
  <c r="AD137" i="17"/>
  <c r="AB137" i="17"/>
  <c r="N137" i="17"/>
  <c r="M137" i="17"/>
  <c r="F137" i="17"/>
  <c r="H137" i="17" s="1"/>
  <c r="E137" i="17"/>
  <c r="AF137" i="17" s="1"/>
  <c r="AE136" i="17"/>
  <c r="AD136" i="17"/>
  <c r="AB136" i="17"/>
  <c r="N136" i="17"/>
  <c r="M136" i="17"/>
  <c r="F136" i="17"/>
  <c r="H136" i="17" s="1"/>
  <c r="E136" i="17"/>
  <c r="T136" i="17" s="1"/>
  <c r="AE135" i="17"/>
  <c r="AD135" i="17"/>
  <c r="AB135" i="17"/>
  <c r="T135" i="17"/>
  <c r="N135" i="17"/>
  <c r="M135" i="17"/>
  <c r="G135" i="17"/>
  <c r="F135" i="17"/>
  <c r="E135" i="17"/>
  <c r="AF135" i="17" s="1"/>
  <c r="AE134" i="17"/>
  <c r="AD134" i="17"/>
  <c r="AB134" i="17"/>
  <c r="N134" i="17"/>
  <c r="M134" i="17"/>
  <c r="F134" i="17"/>
  <c r="H134" i="17" s="1"/>
  <c r="E134" i="17"/>
  <c r="AF134" i="17" s="1"/>
  <c r="AE133" i="17"/>
  <c r="AD133" i="17"/>
  <c r="AB133" i="17"/>
  <c r="N133" i="17"/>
  <c r="M133" i="17"/>
  <c r="F133" i="17"/>
  <c r="H133" i="17" s="1"/>
  <c r="E133" i="17"/>
  <c r="AF133" i="17" s="1"/>
  <c r="AE132" i="17"/>
  <c r="AD132" i="17"/>
  <c r="AB132" i="17"/>
  <c r="N132" i="17"/>
  <c r="M132" i="17"/>
  <c r="F132" i="17"/>
  <c r="H132" i="17" s="1"/>
  <c r="E132" i="17"/>
  <c r="AF132" i="17" s="1"/>
  <c r="M146" i="17" l="1"/>
  <c r="T140" i="17"/>
  <c r="G140" i="17"/>
  <c r="AF136" i="17"/>
  <c r="G136" i="17"/>
  <c r="N146" i="17"/>
  <c r="T139" i="17"/>
  <c r="G139" i="17"/>
  <c r="T133" i="17"/>
  <c r="H135" i="17"/>
  <c r="H138" i="17"/>
  <c r="G133" i="17"/>
  <c r="AF138" i="17"/>
  <c r="F146" i="17"/>
  <c r="E146" i="17"/>
  <c r="G132" i="17"/>
  <c r="G134" i="17"/>
  <c r="G145" i="17"/>
  <c r="T132" i="17"/>
  <c r="T134" i="17"/>
  <c r="G137" i="17"/>
  <c r="T137" i="17"/>
  <c r="G138" i="17"/>
  <c r="G144" i="17"/>
  <c r="J147" i="17" l="1"/>
  <c r="G146" i="17"/>
  <c r="F147" i="17"/>
  <c r="C147" i="17"/>
  <c r="H146" i="17"/>
  <c r="E120" i="17" l="1"/>
  <c r="F120" i="17"/>
  <c r="E121" i="17"/>
  <c r="F121" i="17"/>
  <c r="L125" i="26"/>
  <c r="E125" i="26"/>
  <c r="A125" i="26"/>
  <c r="R124" i="26"/>
  <c r="Q124" i="26"/>
  <c r="P124" i="26"/>
  <c r="L124" i="26"/>
  <c r="K124" i="26"/>
  <c r="J124" i="26"/>
  <c r="I124" i="26"/>
  <c r="AE123" i="26"/>
  <c r="AD123" i="26"/>
  <c r="AB123" i="26"/>
  <c r="N123" i="26"/>
  <c r="M123" i="26"/>
  <c r="F123" i="26"/>
  <c r="H123" i="26" s="1"/>
  <c r="E123" i="26"/>
  <c r="AF123" i="26" s="1"/>
  <c r="AE122" i="26"/>
  <c r="AD122" i="26"/>
  <c r="AB122" i="26"/>
  <c r="N122" i="26"/>
  <c r="M122" i="26"/>
  <c r="F122" i="26"/>
  <c r="H122" i="26" s="1"/>
  <c r="E122" i="26"/>
  <c r="T122" i="26" s="1"/>
  <c r="AE121" i="26"/>
  <c r="AD121" i="26"/>
  <c r="AB121" i="26"/>
  <c r="N121" i="26"/>
  <c r="M121" i="26"/>
  <c r="F121" i="26"/>
  <c r="H121" i="26" s="1"/>
  <c r="E121" i="26"/>
  <c r="T121" i="26" s="1"/>
  <c r="AE120" i="26"/>
  <c r="AD120" i="26"/>
  <c r="AB120" i="26"/>
  <c r="N120" i="26"/>
  <c r="M120" i="26"/>
  <c r="F120" i="26"/>
  <c r="E120" i="26"/>
  <c r="AF120" i="26" s="1"/>
  <c r="AE119" i="26"/>
  <c r="AD119" i="26"/>
  <c r="AB119" i="26"/>
  <c r="N119" i="26"/>
  <c r="M119" i="26"/>
  <c r="F119" i="26"/>
  <c r="H119" i="26" s="1"/>
  <c r="E119" i="26"/>
  <c r="T119" i="26" s="1"/>
  <c r="AE118" i="26"/>
  <c r="AD118" i="26"/>
  <c r="AB118" i="26"/>
  <c r="N118" i="26"/>
  <c r="M118" i="26"/>
  <c r="F118" i="26"/>
  <c r="H118" i="26" s="1"/>
  <c r="E118" i="26"/>
  <c r="T118" i="26" s="1"/>
  <c r="AE117" i="26"/>
  <c r="AD117" i="26"/>
  <c r="AB117" i="26"/>
  <c r="N117" i="26"/>
  <c r="M117" i="26"/>
  <c r="F117" i="26"/>
  <c r="H117" i="26" s="1"/>
  <c r="E117" i="26"/>
  <c r="T117" i="26" s="1"/>
  <c r="AE116" i="26"/>
  <c r="AD116" i="26"/>
  <c r="AB116" i="26"/>
  <c r="N116" i="26"/>
  <c r="M116" i="26"/>
  <c r="F116" i="26"/>
  <c r="H116" i="26" s="1"/>
  <c r="E116" i="26"/>
  <c r="T116" i="26" s="1"/>
  <c r="AE115" i="26"/>
  <c r="AD115" i="26"/>
  <c r="AB115" i="26"/>
  <c r="N115" i="26"/>
  <c r="M115" i="26"/>
  <c r="F115" i="26"/>
  <c r="H115" i="26" s="1"/>
  <c r="E115" i="26"/>
  <c r="T115" i="26" s="1"/>
  <c r="AE114" i="26"/>
  <c r="AD114" i="26"/>
  <c r="AB114" i="26"/>
  <c r="N114" i="26"/>
  <c r="M114" i="26"/>
  <c r="F114" i="26"/>
  <c r="H114" i="26" s="1"/>
  <c r="E114" i="26"/>
  <c r="T114" i="26" s="1"/>
  <c r="AE113" i="26"/>
  <c r="AD113" i="26"/>
  <c r="AB113" i="26"/>
  <c r="N113" i="26"/>
  <c r="M113" i="26"/>
  <c r="F113" i="26"/>
  <c r="H113" i="26" s="1"/>
  <c r="E113" i="26"/>
  <c r="T113" i="26" s="1"/>
  <c r="AE112" i="26"/>
  <c r="AD112" i="26"/>
  <c r="AB112" i="26"/>
  <c r="O124" i="26"/>
  <c r="N112" i="26"/>
  <c r="M112" i="26"/>
  <c r="F112" i="26"/>
  <c r="H112" i="26" s="1"/>
  <c r="AE111" i="26"/>
  <c r="AD111" i="26"/>
  <c r="AB111" i="26"/>
  <c r="N111" i="26"/>
  <c r="M111" i="26"/>
  <c r="F111" i="26"/>
  <c r="H111" i="26" s="1"/>
  <c r="E111" i="26"/>
  <c r="AF111" i="26" s="1"/>
  <c r="AE110" i="26"/>
  <c r="AD110" i="26"/>
  <c r="AB110" i="26"/>
  <c r="N110" i="26"/>
  <c r="M110" i="26"/>
  <c r="F110" i="26"/>
  <c r="H110" i="26" s="1"/>
  <c r="E110" i="26"/>
  <c r="AF110" i="26" s="1"/>
  <c r="R126" i="23"/>
  <c r="Q126" i="23"/>
  <c r="L126" i="23"/>
  <c r="E126" i="23"/>
  <c r="A126" i="23"/>
  <c r="P125" i="23"/>
  <c r="O125" i="23"/>
  <c r="L125" i="23"/>
  <c r="K125" i="23"/>
  <c r="J125" i="23"/>
  <c r="I125" i="23"/>
  <c r="AE124" i="23"/>
  <c r="AD124" i="23"/>
  <c r="AB124" i="23"/>
  <c r="N124" i="23"/>
  <c r="M124" i="23"/>
  <c r="F124" i="23"/>
  <c r="H124" i="23" s="1"/>
  <c r="E124" i="23"/>
  <c r="AF124" i="23" s="1"/>
  <c r="AE123" i="23"/>
  <c r="AD123" i="23"/>
  <c r="AB123" i="23"/>
  <c r="N123" i="23"/>
  <c r="M123" i="23"/>
  <c r="F123" i="23"/>
  <c r="H123" i="23" s="1"/>
  <c r="E123" i="23"/>
  <c r="T123" i="23" s="1"/>
  <c r="AE122" i="23"/>
  <c r="AD122" i="23"/>
  <c r="AB122" i="23"/>
  <c r="R125" i="23"/>
  <c r="Q125" i="23"/>
  <c r="N122" i="23"/>
  <c r="M122" i="23"/>
  <c r="AE121" i="23"/>
  <c r="AD121" i="23"/>
  <c r="AB121" i="23"/>
  <c r="N121" i="23"/>
  <c r="M121" i="23"/>
  <c r="F121" i="23"/>
  <c r="E121" i="23"/>
  <c r="T121" i="23" s="1"/>
  <c r="AE120" i="23"/>
  <c r="AD120" i="23"/>
  <c r="AB120" i="23"/>
  <c r="N120" i="23"/>
  <c r="F120" i="23"/>
  <c r="H120" i="23" s="1"/>
  <c r="E120" i="23"/>
  <c r="AF120" i="23" s="1"/>
  <c r="AE119" i="23"/>
  <c r="AD119" i="23"/>
  <c r="AB119" i="23"/>
  <c r="N119" i="23"/>
  <c r="F119" i="23"/>
  <c r="H119" i="23" s="1"/>
  <c r="E119" i="23"/>
  <c r="AF119" i="23" s="1"/>
  <c r="AE118" i="23"/>
  <c r="AD118" i="23"/>
  <c r="AB118" i="23"/>
  <c r="N118" i="23"/>
  <c r="H118" i="23"/>
  <c r="F118" i="23"/>
  <c r="E118" i="23"/>
  <c r="T118" i="23" s="1"/>
  <c r="AE117" i="23"/>
  <c r="AD117" i="23"/>
  <c r="AB117" i="23"/>
  <c r="N117" i="23"/>
  <c r="F117" i="23"/>
  <c r="H117" i="23" s="1"/>
  <c r="E117" i="23"/>
  <c r="AF117" i="23" s="1"/>
  <c r="AE116" i="23"/>
  <c r="AD116" i="23"/>
  <c r="AB116" i="23"/>
  <c r="N116" i="23"/>
  <c r="F116" i="23"/>
  <c r="H116" i="23" s="1"/>
  <c r="E116" i="23"/>
  <c r="AF116" i="23" s="1"/>
  <c r="AE115" i="23"/>
  <c r="AD115" i="23"/>
  <c r="AB115" i="23"/>
  <c r="N115" i="23"/>
  <c r="M115" i="23"/>
  <c r="F115" i="23"/>
  <c r="H115" i="23" s="1"/>
  <c r="E115" i="23"/>
  <c r="AF115" i="23" s="1"/>
  <c r="AE114" i="23"/>
  <c r="AD114" i="23"/>
  <c r="AB114" i="23"/>
  <c r="N114" i="23"/>
  <c r="M114" i="23"/>
  <c r="F114" i="23"/>
  <c r="H114" i="23" s="1"/>
  <c r="E114" i="23"/>
  <c r="AF114" i="23" s="1"/>
  <c r="AE113" i="23"/>
  <c r="AD113" i="23"/>
  <c r="AB113" i="23"/>
  <c r="N113" i="23"/>
  <c r="M113" i="23"/>
  <c r="F113" i="23"/>
  <c r="H113" i="23" s="1"/>
  <c r="E113" i="23"/>
  <c r="AF113" i="23" s="1"/>
  <c r="D113" i="23"/>
  <c r="AE112" i="23"/>
  <c r="AD112" i="23"/>
  <c r="AB112" i="23"/>
  <c r="N112" i="23"/>
  <c r="M112" i="23"/>
  <c r="F112" i="23"/>
  <c r="E112" i="23"/>
  <c r="G112" i="23" s="1"/>
  <c r="D112" i="23"/>
  <c r="AE111" i="23"/>
  <c r="AD111" i="23"/>
  <c r="AB111" i="23"/>
  <c r="N111" i="23"/>
  <c r="M111" i="23"/>
  <c r="F111" i="23"/>
  <c r="H111" i="23" s="1"/>
  <c r="E111" i="23"/>
  <c r="T111" i="23" s="1"/>
  <c r="Q125" i="30"/>
  <c r="R124" i="30"/>
  <c r="Q124" i="30"/>
  <c r="P124" i="30"/>
  <c r="O124" i="30"/>
  <c r="L124" i="30"/>
  <c r="K124" i="30"/>
  <c r="J124" i="30"/>
  <c r="I124" i="30"/>
  <c r="D124" i="30"/>
  <c r="E125" i="30" s="1"/>
  <c r="C124" i="30"/>
  <c r="L125" i="30" s="1"/>
  <c r="AF123" i="30"/>
  <c r="AE123" i="30"/>
  <c r="AD123" i="30"/>
  <c r="AB123" i="30"/>
  <c r="N123" i="30"/>
  <c r="M123" i="30"/>
  <c r="G123" i="30"/>
  <c r="F123" i="30"/>
  <c r="H123" i="30" s="1"/>
  <c r="E123" i="30"/>
  <c r="AF122" i="30"/>
  <c r="AE122" i="30"/>
  <c r="AD122" i="30"/>
  <c r="AB122" i="30"/>
  <c r="T122" i="30"/>
  <c r="N122" i="30"/>
  <c r="M122" i="30"/>
  <c r="G122" i="30"/>
  <c r="F122" i="30"/>
  <c r="H122" i="30" s="1"/>
  <c r="E122" i="30"/>
  <c r="AE121" i="30"/>
  <c r="AD121" i="30"/>
  <c r="AB121" i="30"/>
  <c r="N121" i="30"/>
  <c r="M121" i="30"/>
  <c r="F121" i="30"/>
  <c r="H121" i="30" s="1"/>
  <c r="E121" i="30"/>
  <c r="T121" i="30" s="1"/>
  <c r="AF120" i="30"/>
  <c r="AE120" i="30"/>
  <c r="AD120" i="30"/>
  <c r="AB120" i="30"/>
  <c r="N120" i="30"/>
  <c r="M120" i="30"/>
  <c r="F120" i="30"/>
  <c r="E120" i="30"/>
  <c r="T120" i="30" s="1"/>
  <c r="AF119" i="30"/>
  <c r="AE119" i="30"/>
  <c r="AD119" i="30"/>
  <c r="AB119" i="30"/>
  <c r="T119" i="30"/>
  <c r="N119" i="30"/>
  <c r="M119" i="30"/>
  <c r="G119" i="30"/>
  <c r="F119" i="30"/>
  <c r="H119" i="30" s="1"/>
  <c r="E119" i="30"/>
  <c r="AE118" i="30"/>
  <c r="AD118" i="30"/>
  <c r="AB118" i="30"/>
  <c r="N118" i="30"/>
  <c r="M118" i="30"/>
  <c r="F118" i="30"/>
  <c r="H118" i="30" s="1"/>
  <c r="E118" i="30"/>
  <c r="G118" i="30" s="1"/>
  <c r="AF117" i="30"/>
  <c r="AE117" i="30"/>
  <c r="AD117" i="30"/>
  <c r="AB117" i="30"/>
  <c r="T117" i="30"/>
  <c r="N117" i="30"/>
  <c r="M117" i="30"/>
  <c r="H117" i="30"/>
  <c r="G117" i="30"/>
  <c r="F117" i="30"/>
  <c r="E117" i="30"/>
  <c r="AE116" i="30"/>
  <c r="AD116" i="30"/>
  <c r="AB116" i="30"/>
  <c r="N116" i="30"/>
  <c r="M116" i="30"/>
  <c r="F116" i="30"/>
  <c r="H116" i="30" s="1"/>
  <c r="E116" i="30"/>
  <c r="T116" i="30" s="1"/>
  <c r="AF115" i="30"/>
  <c r="AE115" i="30"/>
  <c r="AD115" i="30"/>
  <c r="AB115" i="30"/>
  <c r="N115" i="30"/>
  <c r="M115" i="30"/>
  <c r="F115" i="30"/>
  <c r="H115" i="30" s="1"/>
  <c r="E115" i="30"/>
  <c r="T115" i="30" s="1"/>
  <c r="AE114" i="30"/>
  <c r="AD114" i="30"/>
  <c r="AB114" i="30"/>
  <c r="N114" i="30"/>
  <c r="M114" i="30"/>
  <c r="F114" i="30"/>
  <c r="H114" i="30" s="1"/>
  <c r="E114" i="30"/>
  <c r="T114" i="30" s="1"/>
  <c r="AF113" i="30"/>
  <c r="AE113" i="30"/>
  <c r="AD113" i="30"/>
  <c r="AB113" i="30"/>
  <c r="N113" i="30"/>
  <c r="M113" i="30"/>
  <c r="F113" i="30"/>
  <c r="H113" i="30" s="1"/>
  <c r="E113" i="30"/>
  <c r="T113" i="30" s="1"/>
  <c r="AE112" i="30"/>
  <c r="AD112" i="30"/>
  <c r="AB112" i="30"/>
  <c r="N112" i="30"/>
  <c r="M112" i="30"/>
  <c r="H112" i="30"/>
  <c r="F112" i="30"/>
  <c r="E112" i="30"/>
  <c r="T112" i="30" s="1"/>
  <c r="AE111" i="30"/>
  <c r="AD111" i="30"/>
  <c r="AB111" i="30"/>
  <c r="N111" i="30"/>
  <c r="M111" i="30"/>
  <c r="F111" i="30"/>
  <c r="H111" i="30" s="1"/>
  <c r="E111" i="30"/>
  <c r="T111" i="30" s="1"/>
  <c r="AE110" i="30"/>
  <c r="AD110" i="30"/>
  <c r="AB110" i="30"/>
  <c r="N110" i="30"/>
  <c r="M110" i="30"/>
  <c r="F110" i="30"/>
  <c r="E110" i="30"/>
  <c r="G110" i="30" s="1"/>
  <c r="G115" i="23" l="1"/>
  <c r="G116" i="23"/>
  <c r="T114" i="23"/>
  <c r="T116" i="23"/>
  <c r="AF121" i="23"/>
  <c r="G121" i="30"/>
  <c r="AF121" i="30"/>
  <c r="AF119" i="26"/>
  <c r="AF122" i="26"/>
  <c r="T118" i="30"/>
  <c r="AF116" i="30"/>
  <c r="G116" i="30"/>
  <c r="F124" i="30"/>
  <c r="H124" i="30" s="1"/>
  <c r="A125" i="30"/>
  <c r="AF112" i="30"/>
  <c r="AF114" i="30"/>
  <c r="AF111" i="30"/>
  <c r="AF118" i="30"/>
  <c r="G111" i="26"/>
  <c r="T111" i="26"/>
  <c r="H112" i="23"/>
  <c r="T112" i="23"/>
  <c r="AF112" i="23"/>
  <c r="T120" i="26"/>
  <c r="F124" i="26"/>
  <c r="G110" i="26"/>
  <c r="T110" i="26"/>
  <c r="E112" i="26"/>
  <c r="AF113" i="26"/>
  <c r="AF114" i="26"/>
  <c r="AF115" i="26"/>
  <c r="AF116" i="26"/>
  <c r="AF117" i="26"/>
  <c r="AF118" i="26"/>
  <c r="G119" i="26"/>
  <c r="AF121" i="26"/>
  <c r="G122" i="26"/>
  <c r="G123" i="26"/>
  <c r="G113" i="26"/>
  <c r="G114" i="26"/>
  <c r="G115" i="26"/>
  <c r="G116" i="26"/>
  <c r="G117" i="26"/>
  <c r="G118" i="26"/>
  <c r="G121" i="26"/>
  <c r="AF123" i="23"/>
  <c r="G113" i="23"/>
  <c r="AF118" i="23"/>
  <c r="G119" i="23"/>
  <c r="T119" i="23"/>
  <c r="G120" i="23"/>
  <c r="AF111" i="23"/>
  <c r="G114" i="23"/>
  <c r="T115" i="23"/>
  <c r="T113" i="23"/>
  <c r="T120" i="23"/>
  <c r="G117" i="23"/>
  <c r="T117" i="23"/>
  <c r="E122" i="23"/>
  <c r="G111" i="23"/>
  <c r="G118" i="23"/>
  <c r="F122" i="23"/>
  <c r="H122" i="23" s="1"/>
  <c r="G123" i="23"/>
  <c r="G124" i="23"/>
  <c r="T110" i="30"/>
  <c r="H110" i="30"/>
  <c r="AF110" i="30"/>
  <c r="G111" i="30"/>
  <c r="G112" i="30"/>
  <c r="G113" i="30"/>
  <c r="G114" i="30"/>
  <c r="G115" i="30"/>
  <c r="E124" i="30"/>
  <c r="C125" i="30" l="1"/>
  <c r="C125" i="26"/>
  <c r="H124" i="26"/>
  <c r="T112" i="26"/>
  <c r="G112" i="26"/>
  <c r="AF112" i="26"/>
  <c r="E124" i="26"/>
  <c r="AF122" i="23"/>
  <c r="T122" i="23"/>
  <c r="G122" i="23"/>
  <c r="E125" i="23"/>
  <c r="F125" i="23"/>
  <c r="G124" i="30"/>
  <c r="J125" i="30"/>
  <c r="F125" i="30"/>
  <c r="G124" i="26" l="1"/>
  <c r="J125" i="26"/>
  <c r="F125" i="26"/>
  <c r="F126" i="23"/>
  <c r="G125" i="23"/>
  <c r="J126" i="23"/>
  <c r="H125" i="23"/>
  <c r="C126" i="23"/>
  <c r="O69" i="26" l="1"/>
  <c r="E91" i="26"/>
  <c r="AF91" i="26" s="1"/>
  <c r="R104" i="25"/>
  <c r="Q104" i="25"/>
  <c r="R83" i="25"/>
  <c r="Q83" i="25"/>
  <c r="R62" i="25"/>
  <c r="Q62" i="25"/>
  <c r="R63" i="23"/>
  <c r="Q63" i="23"/>
  <c r="R80" i="23"/>
  <c r="Q80" i="23"/>
  <c r="Q125" i="29"/>
  <c r="R124" i="29"/>
  <c r="Q124" i="29"/>
  <c r="P124" i="29"/>
  <c r="O124" i="29"/>
  <c r="L124" i="29"/>
  <c r="K124" i="29"/>
  <c r="J124" i="29"/>
  <c r="I124" i="29"/>
  <c r="D124" i="29"/>
  <c r="E125" i="29" s="1"/>
  <c r="L125" i="29"/>
  <c r="AF123" i="29"/>
  <c r="AE123" i="29"/>
  <c r="AD123" i="29"/>
  <c r="AB123" i="29"/>
  <c r="N123" i="29"/>
  <c r="M123" i="29"/>
  <c r="G123" i="29"/>
  <c r="F123" i="29"/>
  <c r="H123" i="29" s="1"/>
  <c r="E123" i="29"/>
  <c r="T123" i="29" s="1"/>
  <c r="AE122" i="29"/>
  <c r="AD122" i="29"/>
  <c r="AB122" i="29"/>
  <c r="N122" i="29"/>
  <c r="M122" i="29"/>
  <c r="F122" i="29"/>
  <c r="H122" i="29" s="1"/>
  <c r="E122" i="29"/>
  <c r="AF122" i="29" s="1"/>
  <c r="AF121" i="29"/>
  <c r="AE121" i="29"/>
  <c r="AD121" i="29"/>
  <c r="AB121" i="29"/>
  <c r="T121" i="29"/>
  <c r="N121" i="29"/>
  <c r="M121" i="29"/>
  <c r="H121" i="29"/>
  <c r="G121" i="29"/>
  <c r="F121" i="29"/>
  <c r="E121" i="29"/>
  <c r="AE120" i="29"/>
  <c r="AD120" i="29"/>
  <c r="AB120" i="29"/>
  <c r="N120" i="29"/>
  <c r="M120" i="29"/>
  <c r="F120" i="29"/>
  <c r="E120" i="29"/>
  <c r="AF120" i="29" s="1"/>
  <c r="AE119" i="29"/>
  <c r="AD119" i="29"/>
  <c r="AB119" i="29"/>
  <c r="N119" i="29"/>
  <c r="M119" i="29"/>
  <c r="F119" i="29"/>
  <c r="H119" i="29" s="1"/>
  <c r="E119" i="29"/>
  <c r="G119" i="29" s="1"/>
  <c r="AE118" i="29"/>
  <c r="AD118" i="29"/>
  <c r="AB118" i="29"/>
  <c r="N118" i="29"/>
  <c r="M118" i="29"/>
  <c r="F118" i="29"/>
  <c r="H118" i="29" s="1"/>
  <c r="E118" i="29"/>
  <c r="AF118" i="29" s="1"/>
  <c r="AE117" i="29"/>
  <c r="AD117" i="29"/>
  <c r="AB117" i="29"/>
  <c r="N117" i="29"/>
  <c r="M117" i="29"/>
  <c r="F117" i="29"/>
  <c r="H117" i="29" s="1"/>
  <c r="E117" i="29"/>
  <c r="T117" i="29" s="1"/>
  <c r="AE116" i="29"/>
  <c r="AD116" i="29"/>
  <c r="AB116" i="29"/>
  <c r="N116" i="29"/>
  <c r="M116" i="29"/>
  <c r="F116" i="29"/>
  <c r="H116" i="29" s="1"/>
  <c r="E116" i="29"/>
  <c r="T116" i="29" s="1"/>
  <c r="AE115" i="29"/>
  <c r="AD115" i="29"/>
  <c r="AB115" i="29"/>
  <c r="N115" i="29"/>
  <c r="M115" i="29"/>
  <c r="F115" i="29"/>
  <c r="H115" i="29" s="1"/>
  <c r="E115" i="29"/>
  <c r="AF115" i="29" s="1"/>
  <c r="AE114" i="29"/>
  <c r="AD114" i="29"/>
  <c r="AB114" i="29"/>
  <c r="N114" i="29"/>
  <c r="M114" i="29"/>
  <c r="F114" i="29"/>
  <c r="H114" i="29" s="1"/>
  <c r="E114" i="29"/>
  <c r="AF114" i="29" s="1"/>
  <c r="AE113" i="29"/>
  <c r="AD113" i="29"/>
  <c r="AB113" i="29"/>
  <c r="N113" i="29"/>
  <c r="M113" i="29"/>
  <c r="F113" i="29"/>
  <c r="H113" i="29" s="1"/>
  <c r="E113" i="29"/>
  <c r="T113" i="29" s="1"/>
  <c r="AE112" i="29"/>
  <c r="AD112" i="29"/>
  <c r="AB112" i="29"/>
  <c r="N112" i="29"/>
  <c r="M112" i="29"/>
  <c r="F112" i="29"/>
  <c r="H112" i="29" s="1"/>
  <c r="E112" i="29"/>
  <c r="T112" i="29" s="1"/>
  <c r="AE111" i="29"/>
  <c r="AD111" i="29"/>
  <c r="AB111" i="29"/>
  <c r="N111" i="29"/>
  <c r="M111" i="29"/>
  <c r="F111" i="29"/>
  <c r="H111" i="29" s="1"/>
  <c r="E111" i="29"/>
  <c r="T111" i="29" s="1"/>
  <c r="AE110" i="29"/>
  <c r="AD110" i="29"/>
  <c r="AB110" i="29"/>
  <c r="N110" i="29"/>
  <c r="M110" i="29"/>
  <c r="F110" i="29"/>
  <c r="E110" i="29"/>
  <c r="T110" i="29" s="1"/>
  <c r="Q125" i="28"/>
  <c r="R124" i="28"/>
  <c r="Q124" i="28"/>
  <c r="P124" i="28"/>
  <c r="O124" i="28"/>
  <c r="L124" i="28"/>
  <c r="K124" i="28"/>
  <c r="J124" i="28"/>
  <c r="I124" i="28"/>
  <c r="D124" i="28"/>
  <c r="C124" i="28"/>
  <c r="L125" i="28" s="1"/>
  <c r="AF123" i="28"/>
  <c r="AE123" i="28"/>
  <c r="AD123" i="28"/>
  <c r="AB123" i="28"/>
  <c r="N123" i="28"/>
  <c r="M123" i="28"/>
  <c r="F123" i="28"/>
  <c r="H123" i="28" s="1"/>
  <c r="E123" i="28"/>
  <c r="G123" i="28" s="1"/>
  <c r="AE122" i="28"/>
  <c r="AD122" i="28"/>
  <c r="AB122" i="28"/>
  <c r="N122" i="28"/>
  <c r="M122" i="28"/>
  <c r="H122" i="28"/>
  <c r="F122" i="28"/>
  <c r="E122" i="28"/>
  <c r="AF122" i="28" s="1"/>
  <c r="AE121" i="28"/>
  <c r="AD121" i="28"/>
  <c r="AB121" i="28"/>
  <c r="N121" i="28"/>
  <c r="M121" i="28"/>
  <c r="F121" i="28"/>
  <c r="H121" i="28" s="1"/>
  <c r="E121" i="28"/>
  <c r="T121" i="28" s="1"/>
  <c r="AF120" i="28"/>
  <c r="AE120" i="28"/>
  <c r="AD120" i="28"/>
  <c r="AB120" i="28"/>
  <c r="N120" i="28"/>
  <c r="M120" i="28"/>
  <c r="F120" i="28"/>
  <c r="E120" i="28"/>
  <c r="T120" i="28" s="1"/>
  <c r="AE119" i="28"/>
  <c r="AD119" i="28"/>
  <c r="AB119" i="28"/>
  <c r="N119" i="28"/>
  <c r="M119" i="28"/>
  <c r="F119" i="28"/>
  <c r="H119" i="28" s="1"/>
  <c r="E119" i="28"/>
  <c r="AF119" i="28" s="1"/>
  <c r="AE118" i="28"/>
  <c r="AD118" i="28"/>
  <c r="AB118" i="28"/>
  <c r="N118" i="28"/>
  <c r="M118" i="28"/>
  <c r="F118" i="28"/>
  <c r="H118" i="28" s="1"/>
  <c r="E118" i="28"/>
  <c r="T118" i="28" s="1"/>
  <c r="AE117" i="28"/>
  <c r="AD117" i="28"/>
  <c r="AB117" i="28"/>
  <c r="N117" i="28"/>
  <c r="M117" i="28"/>
  <c r="F117" i="28"/>
  <c r="H117" i="28" s="1"/>
  <c r="E117" i="28"/>
  <c r="T117" i="28" s="1"/>
  <c r="AE116" i="28"/>
  <c r="AD116" i="28"/>
  <c r="AB116" i="28"/>
  <c r="N116" i="28"/>
  <c r="M116" i="28"/>
  <c r="F116" i="28"/>
  <c r="H116" i="28" s="1"/>
  <c r="E116" i="28"/>
  <c r="T116" i="28" s="1"/>
  <c r="AE115" i="28"/>
  <c r="AD115" i="28"/>
  <c r="AB115" i="28"/>
  <c r="N115" i="28"/>
  <c r="M115" i="28"/>
  <c r="F115" i="28"/>
  <c r="H115" i="28" s="1"/>
  <c r="E115" i="28"/>
  <c r="T115" i="28" s="1"/>
  <c r="AE114" i="28"/>
  <c r="AD114" i="28"/>
  <c r="AB114" i="28"/>
  <c r="N114" i="28"/>
  <c r="M114" i="28"/>
  <c r="F114" i="28"/>
  <c r="H114" i="28" s="1"/>
  <c r="E114" i="28"/>
  <c r="T114" i="28" s="1"/>
  <c r="AE113" i="28"/>
  <c r="AD113" i="28"/>
  <c r="AB113" i="28"/>
  <c r="N113" i="28"/>
  <c r="M113" i="28"/>
  <c r="F113" i="28"/>
  <c r="H113" i="28" s="1"/>
  <c r="E113" i="28"/>
  <c r="T113" i="28" s="1"/>
  <c r="AE112" i="28"/>
  <c r="AD112" i="28"/>
  <c r="AB112" i="28"/>
  <c r="N112" i="28"/>
  <c r="M112" i="28"/>
  <c r="F112" i="28"/>
  <c r="H112" i="28" s="1"/>
  <c r="E112" i="28"/>
  <c r="AF112" i="28" s="1"/>
  <c r="AE111" i="28"/>
  <c r="AD111" i="28"/>
  <c r="AB111" i="28"/>
  <c r="N111" i="28"/>
  <c r="M111" i="28"/>
  <c r="F111" i="28"/>
  <c r="H111" i="28" s="1"/>
  <c r="E111" i="28"/>
  <c r="G111" i="28" s="1"/>
  <c r="AF110" i="28"/>
  <c r="AE110" i="28"/>
  <c r="AD110" i="28"/>
  <c r="AB110" i="28"/>
  <c r="T110" i="28"/>
  <c r="N110" i="28"/>
  <c r="M110" i="28"/>
  <c r="G110" i="28"/>
  <c r="F110" i="28"/>
  <c r="E110" i="28"/>
  <c r="Q125" i="27"/>
  <c r="R124" i="27"/>
  <c r="Q124" i="27"/>
  <c r="P124" i="27"/>
  <c r="L124" i="27"/>
  <c r="K124" i="27"/>
  <c r="J124" i="27"/>
  <c r="I124" i="27"/>
  <c r="D124" i="27"/>
  <c r="A125" i="27" s="1"/>
  <c r="C124" i="27"/>
  <c r="L125" i="27" s="1"/>
  <c r="AE123" i="27"/>
  <c r="AD123" i="27"/>
  <c r="AB123" i="27"/>
  <c r="N123" i="27"/>
  <c r="M123" i="27"/>
  <c r="F123" i="27"/>
  <c r="H123" i="27" s="1"/>
  <c r="E123" i="27"/>
  <c r="G123" i="27" s="1"/>
  <c r="AE122" i="27"/>
  <c r="AD122" i="27"/>
  <c r="AB122" i="27"/>
  <c r="N122" i="27"/>
  <c r="M122" i="27"/>
  <c r="F122" i="27"/>
  <c r="H122" i="27" s="1"/>
  <c r="E122" i="27"/>
  <c r="G122" i="27" s="1"/>
  <c r="AE121" i="27"/>
  <c r="AD121" i="27"/>
  <c r="AB121" i="27"/>
  <c r="N121" i="27"/>
  <c r="M121" i="27"/>
  <c r="F121" i="27"/>
  <c r="H121" i="27" s="1"/>
  <c r="E121" i="27"/>
  <c r="AF121" i="27" s="1"/>
  <c r="AE120" i="27"/>
  <c r="AD120" i="27"/>
  <c r="AB120" i="27"/>
  <c r="N120" i="27"/>
  <c r="M120" i="27"/>
  <c r="F120" i="27"/>
  <c r="E120" i="27"/>
  <c r="T120" i="27" s="1"/>
  <c r="AE119" i="27"/>
  <c r="AD119" i="27"/>
  <c r="AB119" i="27"/>
  <c r="N119" i="27"/>
  <c r="M119" i="27"/>
  <c r="F119" i="27"/>
  <c r="H119" i="27" s="1"/>
  <c r="E119" i="27"/>
  <c r="AF119" i="27" s="1"/>
  <c r="AE118" i="27"/>
  <c r="AD118" i="27"/>
  <c r="AB118" i="27"/>
  <c r="N118" i="27"/>
  <c r="M118" i="27"/>
  <c r="F118" i="27"/>
  <c r="H118" i="27" s="1"/>
  <c r="E118" i="27"/>
  <c r="T118" i="27" s="1"/>
  <c r="AE117" i="27"/>
  <c r="AD117" i="27"/>
  <c r="AB117" i="27"/>
  <c r="N117" i="27"/>
  <c r="M117" i="27"/>
  <c r="F117" i="27"/>
  <c r="H117" i="27" s="1"/>
  <c r="E117" i="27"/>
  <c r="T117" i="27" s="1"/>
  <c r="AE116" i="27"/>
  <c r="AD116" i="27"/>
  <c r="AB116" i="27"/>
  <c r="N116" i="27"/>
  <c r="M116" i="27"/>
  <c r="F116" i="27"/>
  <c r="H116" i="27" s="1"/>
  <c r="E116" i="27"/>
  <c r="T116" i="27" s="1"/>
  <c r="AE115" i="27"/>
  <c r="AD115" i="27"/>
  <c r="AB115" i="27"/>
  <c r="N115" i="27"/>
  <c r="M115" i="27"/>
  <c r="F115" i="27"/>
  <c r="H115" i="27" s="1"/>
  <c r="E115" i="27"/>
  <c r="T115" i="27" s="1"/>
  <c r="AE114" i="27"/>
  <c r="AD114" i="27"/>
  <c r="AB114" i="27"/>
  <c r="N114" i="27"/>
  <c r="M114" i="27"/>
  <c r="F114" i="27"/>
  <c r="H114" i="27" s="1"/>
  <c r="E114" i="27"/>
  <c r="T114" i="27" s="1"/>
  <c r="AE113" i="27"/>
  <c r="AD113" i="27"/>
  <c r="AB113" i="27"/>
  <c r="N113" i="27"/>
  <c r="M113" i="27"/>
  <c r="F113" i="27"/>
  <c r="H113" i="27" s="1"/>
  <c r="E113" i="27"/>
  <c r="T113" i="27" s="1"/>
  <c r="AE112" i="27"/>
  <c r="AD112" i="27"/>
  <c r="AB112" i="27"/>
  <c r="O124" i="27"/>
  <c r="N112" i="27"/>
  <c r="M112" i="27"/>
  <c r="F112" i="27"/>
  <c r="H112" i="27" s="1"/>
  <c r="AE111" i="27"/>
  <c r="AD111" i="27"/>
  <c r="AB111" i="27"/>
  <c r="N111" i="27"/>
  <c r="M111" i="27"/>
  <c r="F111" i="27"/>
  <c r="H111" i="27" s="1"/>
  <c r="E111" i="27"/>
  <c r="G111" i="27" s="1"/>
  <c r="AE110" i="27"/>
  <c r="AD110" i="27"/>
  <c r="AB110" i="27"/>
  <c r="N110" i="27"/>
  <c r="M110" i="27"/>
  <c r="F110" i="27"/>
  <c r="H110" i="27" s="1"/>
  <c r="E110" i="27"/>
  <c r="G110" i="27" s="1"/>
  <c r="L104" i="26"/>
  <c r="E104" i="26"/>
  <c r="A104" i="26"/>
  <c r="R103" i="26"/>
  <c r="Q103" i="26"/>
  <c r="P103" i="26"/>
  <c r="L103" i="26"/>
  <c r="K103" i="26"/>
  <c r="J103" i="26"/>
  <c r="I103" i="26"/>
  <c r="AE102" i="26"/>
  <c r="AD102" i="26"/>
  <c r="AB102" i="26"/>
  <c r="N102" i="26"/>
  <c r="M102" i="26"/>
  <c r="F102" i="26"/>
  <c r="H102" i="26" s="1"/>
  <c r="E102" i="26"/>
  <c r="G102" i="26" s="1"/>
  <c r="AE101" i="26"/>
  <c r="AD101" i="26"/>
  <c r="AB101" i="26"/>
  <c r="N101" i="26"/>
  <c r="M101" i="26"/>
  <c r="F101" i="26"/>
  <c r="H101" i="26" s="1"/>
  <c r="E101" i="26"/>
  <c r="AF101" i="26" s="1"/>
  <c r="AF100" i="26"/>
  <c r="AE100" i="26"/>
  <c r="AD100" i="26"/>
  <c r="AB100" i="26"/>
  <c r="T100" i="26"/>
  <c r="N100" i="26"/>
  <c r="M100" i="26"/>
  <c r="G100" i="26"/>
  <c r="F100" i="26"/>
  <c r="H100" i="26" s="1"/>
  <c r="E100" i="26"/>
  <c r="AE99" i="26"/>
  <c r="AD99" i="26"/>
  <c r="AB99" i="26"/>
  <c r="N99" i="26"/>
  <c r="M99" i="26"/>
  <c r="F99" i="26"/>
  <c r="E99" i="26"/>
  <c r="T99" i="26" s="1"/>
  <c r="AE98" i="26"/>
  <c r="AD98" i="26"/>
  <c r="AB98" i="26"/>
  <c r="N98" i="26"/>
  <c r="M98" i="26"/>
  <c r="F98" i="26"/>
  <c r="H98" i="26" s="1"/>
  <c r="E98" i="26"/>
  <c r="G98" i="26" s="1"/>
  <c r="AE97" i="26"/>
  <c r="AD97" i="26"/>
  <c r="AB97" i="26"/>
  <c r="N97" i="26"/>
  <c r="M97" i="26"/>
  <c r="F97" i="26"/>
  <c r="H97" i="26" s="1"/>
  <c r="E97" i="26"/>
  <c r="AF97" i="26" s="1"/>
  <c r="AE96" i="26"/>
  <c r="AD96" i="26"/>
  <c r="AB96" i="26"/>
  <c r="N96" i="26"/>
  <c r="M96" i="26"/>
  <c r="F96" i="26"/>
  <c r="H96" i="26" s="1"/>
  <c r="E96" i="26"/>
  <c r="AF96" i="26" s="1"/>
  <c r="AE95" i="26"/>
  <c r="AD95" i="26"/>
  <c r="AB95" i="26"/>
  <c r="N95" i="26"/>
  <c r="M95" i="26"/>
  <c r="F95" i="26"/>
  <c r="H95" i="26" s="1"/>
  <c r="E95" i="26"/>
  <c r="AF95" i="26" s="1"/>
  <c r="AE94" i="26"/>
  <c r="AD94" i="26"/>
  <c r="AB94" i="26"/>
  <c r="N94" i="26"/>
  <c r="M94" i="26"/>
  <c r="H94" i="26"/>
  <c r="G94" i="26"/>
  <c r="F94" i="26"/>
  <c r="E94" i="26"/>
  <c r="AF94" i="26" s="1"/>
  <c r="AE93" i="26"/>
  <c r="AD93" i="26"/>
  <c r="AB93" i="26"/>
  <c r="N93" i="26"/>
  <c r="M93" i="26"/>
  <c r="F93" i="26"/>
  <c r="H93" i="26" s="1"/>
  <c r="E93" i="26"/>
  <c r="AF93" i="26" s="1"/>
  <c r="AE92" i="26"/>
  <c r="AD92" i="26"/>
  <c r="AB92" i="26"/>
  <c r="N92" i="26"/>
  <c r="M92" i="26"/>
  <c r="F92" i="26"/>
  <c r="H92" i="26" s="1"/>
  <c r="E92" i="26"/>
  <c r="T92" i="26" s="1"/>
  <c r="AE91" i="26"/>
  <c r="AD91" i="26"/>
  <c r="AB91" i="26"/>
  <c r="N91" i="26"/>
  <c r="M91" i="26"/>
  <c r="F91" i="26"/>
  <c r="AE90" i="26"/>
  <c r="AD90" i="26"/>
  <c r="AB90" i="26"/>
  <c r="E90" i="26"/>
  <c r="N90" i="26"/>
  <c r="M90" i="26"/>
  <c r="F90" i="26"/>
  <c r="H90" i="26" s="1"/>
  <c r="AE89" i="26"/>
  <c r="AD89" i="26"/>
  <c r="AB89" i="26"/>
  <c r="N89" i="26"/>
  <c r="M89" i="26"/>
  <c r="F89" i="26"/>
  <c r="H89" i="26" s="1"/>
  <c r="E89" i="26"/>
  <c r="AF89" i="26" s="1"/>
  <c r="L104" i="25"/>
  <c r="R103" i="25"/>
  <c r="Q103" i="25"/>
  <c r="P103" i="25"/>
  <c r="O103" i="25"/>
  <c r="L103" i="25"/>
  <c r="K103" i="25"/>
  <c r="J103" i="25"/>
  <c r="I103" i="25"/>
  <c r="D103" i="25"/>
  <c r="E104" i="25" s="1"/>
  <c r="AE102" i="25"/>
  <c r="AD102" i="25"/>
  <c r="AB102" i="25"/>
  <c r="N102" i="25"/>
  <c r="M102" i="25"/>
  <c r="F102" i="25"/>
  <c r="H102" i="25" s="1"/>
  <c r="E102" i="25"/>
  <c r="AF102" i="25" s="1"/>
  <c r="AE101" i="25"/>
  <c r="AD101" i="25"/>
  <c r="AB101" i="25"/>
  <c r="N101" i="25"/>
  <c r="M101" i="25"/>
  <c r="F101" i="25"/>
  <c r="H101" i="25" s="1"/>
  <c r="E101" i="25"/>
  <c r="AF101" i="25" s="1"/>
  <c r="AE100" i="25"/>
  <c r="AD100" i="25"/>
  <c r="AB100" i="25"/>
  <c r="N100" i="25"/>
  <c r="M100" i="25"/>
  <c r="F100" i="25"/>
  <c r="H100" i="25" s="1"/>
  <c r="E100" i="25"/>
  <c r="AF100" i="25" s="1"/>
  <c r="AE99" i="25"/>
  <c r="AD99" i="25"/>
  <c r="AB99" i="25"/>
  <c r="N99" i="25"/>
  <c r="M99" i="25"/>
  <c r="F99" i="25"/>
  <c r="E99" i="25"/>
  <c r="AF99" i="25" s="1"/>
  <c r="AE98" i="25"/>
  <c r="AD98" i="25"/>
  <c r="AB98" i="25"/>
  <c r="N98" i="25"/>
  <c r="M98" i="25"/>
  <c r="F98" i="25"/>
  <c r="H98" i="25" s="1"/>
  <c r="E98" i="25"/>
  <c r="AF98" i="25" s="1"/>
  <c r="AE97" i="25"/>
  <c r="AD97" i="25"/>
  <c r="AB97" i="25"/>
  <c r="N97" i="25"/>
  <c r="M97" i="25"/>
  <c r="G97" i="25"/>
  <c r="F97" i="25"/>
  <c r="H97" i="25" s="1"/>
  <c r="E97" i="25"/>
  <c r="AF97" i="25" s="1"/>
  <c r="AE96" i="25"/>
  <c r="AD96" i="25"/>
  <c r="AB96" i="25"/>
  <c r="N96" i="25"/>
  <c r="M96" i="25"/>
  <c r="F96" i="25"/>
  <c r="H96" i="25" s="1"/>
  <c r="E96" i="25"/>
  <c r="AF96" i="25" s="1"/>
  <c r="AE95" i="25"/>
  <c r="AD95" i="25"/>
  <c r="AB95" i="25"/>
  <c r="N95" i="25"/>
  <c r="M95" i="25"/>
  <c r="G95" i="25"/>
  <c r="F95" i="25"/>
  <c r="H95" i="25" s="1"/>
  <c r="E95" i="25"/>
  <c r="AF95" i="25" s="1"/>
  <c r="AE94" i="25"/>
  <c r="AD94" i="25"/>
  <c r="AB94" i="25"/>
  <c r="N94" i="25"/>
  <c r="M94" i="25"/>
  <c r="F94" i="25"/>
  <c r="H94" i="25" s="1"/>
  <c r="E94" i="25"/>
  <c r="AF94" i="25" s="1"/>
  <c r="AE93" i="25"/>
  <c r="AD93" i="25"/>
  <c r="AB93" i="25"/>
  <c r="N93" i="25"/>
  <c r="M93" i="25"/>
  <c r="G93" i="25"/>
  <c r="F93" i="25"/>
  <c r="H93" i="25" s="1"/>
  <c r="E93" i="25"/>
  <c r="AF93" i="25" s="1"/>
  <c r="AE92" i="25"/>
  <c r="AD92" i="25"/>
  <c r="AB92" i="25"/>
  <c r="N92" i="25"/>
  <c r="M92" i="25"/>
  <c r="F92" i="25"/>
  <c r="H92" i="25" s="1"/>
  <c r="E92" i="25"/>
  <c r="T92" i="25" s="1"/>
  <c r="AF91" i="25"/>
  <c r="AE91" i="25"/>
  <c r="AD91" i="25"/>
  <c r="AB91" i="25"/>
  <c r="T91" i="25"/>
  <c r="N91" i="25"/>
  <c r="M91" i="25"/>
  <c r="G91" i="25"/>
  <c r="F91" i="25"/>
  <c r="H91" i="25" s="1"/>
  <c r="E91" i="25"/>
  <c r="AE90" i="25"/>
  <c r="AD90" i="25"/>
  <c r="AB90" i="25"/>
  <c r="N90" i="25"/>
  <c r="M90" i="25"/>
  <c r="F90" i="25"/>
  <c r="H90" i="25" s="1"/>
  <c r="E90" i="25"/>
  <c r="G90" i="25" s="1"/>
  <c r="AE89" i="25"/>
  <c r="AD89" i="25"/>
  <c r="AB89" i="25"/>
  <c r="N89" i="25"/>
  <c r="M89" i="25"/>
  <c r="F89" i="25"/>
  <c r="E89" i="25"/>
  <c r="D123" i="17"/>
  <c r="D122" i="17"/>
  <c r="D113" i="17"/>
  <c r="D114" i="17"/>
  <c r="D115" i="17"/>
  <c r="D116" i="17"/>
  <c r="D117" i="17"/>
  <c r="D118" i="17"/>
  <c r="D119" i="17"/>
  <c r="AE116" i="17"/>
  <c r="Q126" i="17"/>
  <c r="L126" i="17"/>
  <c r="R125" i="17"/>
  <c r="Q125" i="17"/>
  <c r="P125" i="17"/>
  <c r="L125" i="17"/>
  <c r="K125" i="17"/>
  <c r="J125" i="17"/>
  <c r="I125" i="17"/>
  <c r="D125" i="17"/>
  <c r="A126" i="17" s="1"/>
  <c r="AE124" i="17"/>
  <c r="AD124" i="17"/>
  <c r="AB124" i="17"/>
  <c r="N124" i="17"/>
  <c r="M124" i="17"/>
  <c r="F124" i="17"/>
  <c r="H124" i="17" s="1"/>
  <c r="E124" i="17"/>
  <c r="AF124" i="17" s="1"/>
  <c r="AE123" i="17"/>
  <c r="AD123" i="17"/>
  <c r="AB123" i="17"/>
  <c r="N123" i="17"/>
  <c r="M123" i="17"/>
  <c r="F123" i="17"/>
  <c r="H123" i="17" s="1"/>
  <c r="E123" i="17"/>
  <c r="AF123" i="17" s="1"/>
  <c r="AE122" i="17"/>
  <c r="AD122" i="17"/>
  <c r="AB122" i="17"/>
  <c r="N122" i="17"/>
  <c r="M122" i="17"/>
  <c r="F122" i="17"/>
  <c r="E122" i="17"/>
  <c r="AF122" i="17" s="1"/>
  <c r="AF121" i="17"/>
  <c r="AE121" i="17"/>
  <c r="AD121" i="17"/>
  <c r="AB121" i="17"/>
  <c r="N121" i="17"/>
  <c r="M121" i="17"/>
  <c r="T121" i="17"/>
  <c r="AF120" i="17"/>
  <c r="AE120" i="17"/>
  <c r="AD120" i="17"/>
  <c r="AB120" i="17"/>
  <c r="T120" i="17"/>
  <c r="N120" i="17"/>
  <c r="M120" i="17"/>
  <c r="G120" i="17"/>
  <c r="H120" i="17"/>
  <c r="AE119" i="17"/>
  <c r="AD119" i="17"/>
  <c r="AB119" i="17"/>
  <c r="N119" i="17"/>
  <c r="M119" i="17"/>
  <c r="F119" i="17"/>
  <c r="H119" i="17" s="1"/>
  <c r="E119" i="17"/>
  <c r="AF119" i="17" s="1"/>
  <c r="AE118" i="17"/>
  <c r="AD118" i="17"/>
  <c r="AB118" i="17"/>
  <c r="N118" i="17"/>
  <c r="M118" i="17"/>
  <c r="F118" i="17"/>
  <c r="E118" i="17"/>
  <c r="G118" i="17" s="1"/>
  <c r="AE117" i="17"/>
  <c r="AD117" i="17"/>
  <c r="AB117" i="17"/>
  <c r="E117" i="17"/>
  <c r="N117" i="17"/>
  <c r="M117" i="17"/>
  <c r="F117" i="17"/>
  <c r="H117" i="17" s="1"/>
  <c r="AD116" i="17"/>
  <c r="AB116" i="17"/>
  <c r="N116" i="17"/>
  <c r="M116" i="17"/>
  <c r="F116" i="17"/>
  <c r="H116" i="17" s="1"/>
  <c r="E116" i="17"/>
  <c r="AF116" i="17" s="1"/>
  <c r="AE115" i="17"/>
  <c r="AD115" i="17"/>
  <c r="AB115" i="17"/>
  <c r="N115" i="17"/>
  <c r="M115" i="17"/>
  <c r="F115" i="17"/>
  <c r="E115" i="17"/>
  <c r="AF115" i="17" s="1"/>
  <c r="AE114" i="17"/>
  <c r="AD114" i="17"/>
  <c r="AB114" i="17"/>
  <c r="N114" i="17"/>
  <c r="M114" i="17"/>
  <c r="F114" i="17"/>
  <c r="E114" i="17"/>
  <c r="AF114" i="17" s="1"/>
  <c r="AE113" i="17"/>
  <c r="AD113" i="17"/>
  <c r="AB113" i="17"/>
  <c r="N113" i="17"/>
  <c r="M113" i="17"/>
  <c r="F113" i="17"/>
  <c r="H113" i="17" s="1"/>
  <c r="E113" i="17"/>
  <c r="T113" i="17" s="1"/>
  <c r="AE112" i="17"/>
  <c r="AD112" i="17"/>
  <c r="AB112" i="17"/>
  <c r="N112" i="17"/>
  <c r="M112" i="17"/>
  <c r="F112" i="17"/>
  <c r="E112" i="17"/>
  <c r="AF112" i="17" s="1"/>
  <c r="D112" i="17"/>
  <c r="AE111" i="17"/>
  <c r="AD111" i="17"/>
  <c r="AB111" i="17"/>
  <c r="N111" i="17"/>
  <c r="M111" i="17"/>
  <c r="F111" i="17"/>
  <c r="H111" i="17" s="1"/>
  <c r="E111" i="17"/>
  <c r="G124" i="17" l="1"/>
  <c r="G122" i="28"/>
  <c r="T122" i="28"/>
  <c r="AF121" i="28"/>
  <c r="G121" i="28"/>
  <c r="T101" i="26"/>
  <c r="T111" i="27"/>
  <c r="AF111" i="27"/>
  <c r="T110" i="27"/>
  <c r="AF110" i="27"/>
  <c r="E125" i="27"/>
  <c r="AF120" i="27"/>
  <c r="A104" i="25"/>
  <c r="H122" i="17"/>
  <c r="G101" i="26"/>
  <c r="T115" i="29"/>
  <c r="G115" i="29"/>
  <c r="T119" i="28"/>
  <c r="G119" i="28"/>
  <c r="AF118" i="28"/>
  <c r="G121" i="27"/>
  <c r="T121" i="27"/>
  <c r="G119" i="27"/>
  <c r="T97" i="26"/>
  <c r="G95" i="26"/>
  <c r="T95" i="26"/>
  <c r="G96" i="26"/>
  <c r="T96" i="26"/>
  <c r="G97" i="26"/>
  <c r="T118" i="17"/>
  <c r="AF118" i="17"/>
  <c r="T111" i="28"/>
  <c r="AF111" i="28"/>
  <c r="AF116" i="28"/>
  <c r="AF123" i="27"/>
  <c r="A125" i="29"/>
  <c r="G116" i="29"/>
  <c r="AF116" i="29"/>
  <c r="A125" i="28"/>
  <c r="E125" i="28"/>
  <c r="AF117" i="28"/>
  <c r="AF115" i="28"/>
  <c r="AF114" i="28"/>
  <c r="AF113" i="28"/>
  <c r="F124" i="28"/>
  <c r="H124" i="28" s="1"/>
  <c r="E124" i="28"/>
  <c r="J125" i="28" s="1"/>
  <c r="T122" i="27"/>
  <c r="AF122" i="27"/>
  <c r="T119" i="27"/>
  <c r="T98" i="26"/>
  <c r="AF98" i="26"/>
  <c r="T94" i="26"/>
  <c r="M125" i="17"/>
  <c r="H115" i="17"/>
  <c r="T114" i="17"/>
  <c r="G114" i="17"/>
  <c r="AF113" i="17"/>
  <c r="T122" i="29"/>
  <c r="G122" i="29"/>
  <c r="AF112" i="29"/>
  <c r="G113" i="29"/>
  <c r="AF113" i="29"/>
  <c r="G117" i="29"/>
  <c r="AF117" i="29"/>
  <c r="T114" i="29"/>
  <c r="T118" i="29"/>
  <c r="F124" i="29"/>
  <c r="H124" i="29" s="1"/>
  <c r="AF111" i="29"/>
  <c r="G112" i="29"/>
  <c r="G114" i="29"/>
  <c r="G118" i="29"/>
  <c r="G110" i="29"/>
  <c r="T119" i="29"/>
  <c r="H110" i="29"/>
  <c r="AF110" i="29"/>
  <c r="G111" i="29"/>
  <c r="AF119" i="29"/>
  <c r="T120" i="29"/>
  <c r="E124" i="29"/>
  <c r="H110" i="28"/>
  <c r="G112" i="28"/>
  <c r="T112" i="28"/>
  <c r="G113" i="28"/>
  <c r="G114" i="28"/>
  <c r="G115" i="28"/>
  <c r="G116" i="28"/>
  <c r="G117" i="28"/>
  <c r="G118" i="28"/>
  <c r="AF113" i="27"/>
  <c r="AF117" i="27"/>
  <c r="AF114" i="27"/>
  <c r="AF118" i="27"/>
  <c r="AF115" i="27"/>
  <c r="AF116" i="27"/>
  <c r="E112" i="27"/>
  <c r="G113" i="27"/>
  <c r="G114" i="27"/>
  <c r="G115" i="27"/>
  <c r="G116" i="27"/>
  <c r="G117" i="27"/>
  <c r="G118" i="27"/>
  <c r="F124" i="27"/>
  <c r="AF102" i="26"/>
  <c r="T93" i="26"/>
  <c r="AF99" i="26"/>
  <c r="F103" i="26"/>
  <c r="C104" i="26" s="1"/>
  <c r="AF92" i="26"/>
  <c r="G90" i="26"/>
  <c r="AF90" i="26"/>
  <c r="T90" i="26"/>
  <c r="E103" i="26"/>
  <c r="G91" i="26"/>
  <c r="G89" i="26"/>
  <c r="T89" i="26"/>
  <c r="H91" i="26"/>
  <c r="T91" i="26"/>
  <c r="G92" i="26"/>
  <c r="G93" i="26"/>
  <c r="O103" i="26"/>
  <c r="G100" i="25"/>
  <c r="T100" i="25"/>
  <c r="AF92" i="25"/>
  <c r="T94" i="25"/>
  <c r="T96" i="25"/>
  <c r="F103" i="25"/>
  <c r="C104" i="25" s="1"/>
  <c r="T90" i="25"/>
  <c r="G92" i="25"/>
  <c r="G94" i="25"/>
  <c r="G96" i="25"/>
  <c r="T93" i="25"/>
  <c r="T95" i="25"/>
  <c r="T97" i="25"/>
  <c r="E103" i="25"/>
  <c r="F104" i="25" s="1"/>
  <c r="T99" i="25"/>
  <c r="AF90" i="25"/>
  <c r="G89" i="25"/>
  <c r="T89" i="25"/>
  <c r="G98" i="25"/>
  <c r="T98" i="25"/>
  <c r="G101" i="25"/>
  <c r="T101" i="25"/>
  <c r="G102" i="25"/>
  <c r="H89" i="25"/>
  <c r="AF89" i="25"/>
  <c r="F125" i="17"/>
  <c r="H125" i="17" s="1"/>
  <c r="G123" i="17"/>
  <c r="G122" i="17"/>
  <c r="T122" i="17"/>
  <c r="H118" i="17"/>
  <c r="H114" i="17"/>
  <c r="H112" i="17"/>
  <c r="G112" i="17"/>
  <c r="G115" i="17"/>
  <c r="T115" i="17"/>
  <c r="G119" i="17"/>
  <c r="E125" i="17"/>
  <c r="J126" i="17" s="1"/>
  <c r="AF111" i="17"/>
  <c r="T112" i="17"/>
  <c r="G116" i="17"/>
  <c r="T116" i="17"/>
  <c r="T119" i="17"/>
  <c r="N125" i="17"/>
  <c r="G117" i="17"/>
  <c r="AF117" i="17"/>
  <c r="T117" i="17"/>
  <c r="E126" i="17"/>
  <c r="G111" i="17"/>
  <c r="T111" i="17"/>
  <c r="G113" i="17"/>
  <c r="O125" i="17"/>
  <c r="R105" i="23"/>
  <c r="L105" i="23"/>
  <c r="E105" i="23"/>
  <c r="A105" i="23"/>
  <c r="R104" i="23"/>
  <c r="P104" i="23"/>
  <c r="O104" i="23"/>
  <c r="L104" i="23"/>
  <c r="K104" i="23"/>
  <c r="J104" i="23"/>
  <c r="I104" i="23"/>
  <c r="AE103" i="23"/>
  <c r="AD103" i="23"/>
  <c r="AB103" i="23"/>
  <c r="N103" i="23"/>
  <c r="M103" i="23"/>
  <c r="F103" i="23"/>
  <c r="H103" i="23" s="1"/>
  <c r="E103" i="23"/>
  <c r="AF103" i="23" s="1"/>
  <c r="AE102" i="23"/>
  <c r="AD102" i="23"/>
  <c r="AB102" i="23"/>
  <c r="N102" i="23"/>
  <c r="M102" i="23"/>
  <c r="F102" i="23"/>
  <c r="H102" i="23" s="1"/>
  <c r="E102" i="23"/>
  <c r="T102" i="23" s="1"/>
  <c r="AE101" i="23"/>
  <c r="AD101" i="23"/>
  <c r="AB101" i="23"/>
  <c r="N101" i="23"/>
  <c r="M101" i="23"/>
  <c r="F101" i="23"/>
  <c r="H101" i="23" s="1"/>
  <c r="E101" i="23"/>
  <c r="AF101" i="23" s="1"/>
  <c r="AE100" i="23"/>
  <c r="AD100" i="23"/>
  <c r="AB100" i="23"/>
  <c r="N100" i="23"/>
  <c r="M100" i="23"/>
  <c r="F100" i="23"/>
  <c r="E100" i="23"/>
  <c r="AF100" i="23" s="1"/>
  <c r="AE99" i="23"/>
  <c r="AD99" i="23"/>
  <c r="AB99" i="23"/>
  <c r="Q105" i="23"/>
  <c r="N99" i="23"/>
  <c r="M99" i="23"/>
  <c r="F99" i="23"/>
  <c r="H99" i="23" s="1"/>
  <c r="AE98" i="23"/>
  <c r="AD98" i="23"/>
  <c r="AB98" i="23"/>
  <c r="N98" i="23"/>
  <c r="M98" i="23"/>
  <c r="F98" i="23"/>
  <c r="H98" i="23" s="1"/>
  <c r="E98" i="23"/>
  <c r="AF98" i="23" s="1"/>
  <c r="AE97" i="23"/>
  <c r="AD97" i="23"/>
  <c r="AB97" i="23"/>
  <c r="N97" i="23"/>
  <c r="M97" i="23"/>
  <c r="H97" i="23"/>
  <c r="F97" i="23"/>
  <c r="E97" i="23"/>
  <c r="T97" i="23" s="1"/>
  <c r="AE96" i="23"/>
  <c r="AD96" i="23"/>
  <c r="AB96" i="23"/>
  <c r="N96" i="23"/>
  <c r="M96" i="23"/>
  <c r="F96" i="23"/>
  <c r="H96" i="23" s="1"/>
  <c r="E96" i="23"/>
  <c r="T96" i="23" s="1"/>
  <c r="AE95" i="23"/>
  <c r="AD95" i="23"/>
  <c r="AB95" i="23"/>
  <c r="N95" i="23"/>
  <c r="M95" i="23"/>
  <c r="F95" i="23"/>
  <c r="H95" i="23" s="1"/>
  <c r="E95" i="23"/>
  <c r="AF95" i="23" s="1"/>
  <c r="AE94" i="23"/>
  <c r="AD94" i="23"/>
  <c r="AB94" i="23"/>
  <c r="N94" i="23"/>
  <c r="M94" i="23"/>
  <c r="F94" i="23"/>
  <c r="H94" i="23" s="1"/>
  <c r="E94" i="23"/>
  <c r="AF94" i="23" s="1"/>
  <c r="AE93" i="23"/>
  <c r="AD93" i="23"/>
  <c r="AB93" i="23"/>
  <c r="N93" i="23"/>
  <c r="M93" i="23"/>
  <c r="G93" i="23"/>
  <c r="F93" i="23"/>
  <c r="H93" i="23" s="1"/>
  <c r="E93" i="23"/>
  <c r="AF93" i="23" s="1"/>
  <c r="AE92" i="23"/>
  <c r="AD92" i="23"/>
  <c r="AB92" i="23"/>
  <c r="N92" i="23"/>
  <c r="M92" i="23"/>
  <c r="F92" i="23"/>
  <c r="H92" i="23" s="1"/>
  <c r="E92" i="23"/>
  <c r="AF92" i="23" s="1"/>
  <c r="D92" i="23"/>
  <c r="AE91" i="23"/>
  <c r="AD91" i="23"/>
  <c r="AB91" i="23"/>
  <c r="N91" i="23"/>
  <c r="M91" i="23"/>
  <c r="F91" i="23"/>
  <c r="E91" i="23"/>
  <c r="AF91" i="23" s="1"/>
  <c r="D91" i="23"/>
  <c r="AE90" i="23"/>
  <c r="AD90" i="23"/>
  <c r="AB90" i="23"/>
  <c r="N90" i="23"/>
  <c r="M90" i="23"/>
  <c r="F90" i="23"/>
  <c r="E90" i="23"/>
  <c r="AF90" i="23" s="1"/>
  <c r="H91" i="23" l="1"/>
  <c r="G101" i="23"/>
  <c r="C125" i="29"/>
  <c r="C125" i="28"/>
  <c r="G124" i="28"/>
  <c r="F125" i="28"/>
  <c r="G94" i="23"/>
  <c r="T94" i="23"/>
  <c r="G91" i="23"/>
  <c r="C126" i="17"/>
  <c r="G124" i="29"/>
  <c r="J125" i="29"/>
  <c r="F125" i="29"/>
  <c r="C125" i="27"/>
  <c r="H124" i="27"/>
  <c r="T112" i="27"/>
  <c r="G112" i="27"/>
  <c r="E124" i="27"/>
  <c r="AF112" i="27"/>
  <c r="H103" i="26"/>
  <c r="J104" i="26"/>
  <c r="F104" i="26"/>
  <c r="G103" i="26"/>
  <c r="H103" i="25"/>
  <c r="J104" i="25"/>
  <c r="G103" i="25"/>
  <c r="F126" i="17"/>
  <c r="G125" i="17"/>
  <c r="T101" i="23"/>
  <c r="T95" i="23"/>
  <c r="T92" i="23"/>
  <c r="G95" i="23"/>
  <c r="AF97" i="23"/>
  <c r="G98" i="23"/>
  <c r="T98" i="23"/>
  <c r="F104" i="23"/>
  <c r="H104" i="23" s="1"/>
  <c r="H90" i="23"/>
  <c r="T91" i="23"/>
  <c r="G92" i="23"/>
  <c r="T93" i="23"/>
  <c r="G90" i="23"/>
  <c r="T90" i="23"/>
  <c r="AF96" i="23"/>
  <c r="G97" i="23"/>
  <c r="E99" i="23"/>
  <c r="AF102" i="23"/>
  <c r="T100" i="23"/>
  <c r="Q104" i="23"/>
  <c r="G96" i="23"/>
  <c r="G102" i="23"/>
  <c r="G103" i="23"/>
  <c r="R82" i="17"/>
  <c r="Q82" i="17"/>
  <c r="J125" i="27" l="1"/>
  <c r="F125" i="27"/>
  <c r="G124" i="27"/>
  <c r="C105" i="23"/>
  <c r="T99" i="23"/>
  <c r="G99" i="23"/>
  <c r="AF99" i="23"/>
  <c r="E104" i="23"/>
  <c r="Q104" i="30"/>
  <c r="E104" i="30"/>
  <c r="R103" i="30"/>
  <c r="Q103" i="30"/>
  <c r="P103" i="30"/>
  <c r="O103" i="30"/>
  <c r="L103" i="30"/>
  <c r="K103" i="30"/>
  <c r="J103" i="30"/>
  <c r="I103" i="30"/>
  <c r="D103" i="30"/>
  <c r="C103" i="30"/>
  <c r="L104" i="30" s="1"/>
  <c r="AE102" i="30"/>
  <c r="AD102" i="30"/>
  <c r="AB102" i="30"/>
  <c r="N102" i="30"/>
  <c r="M102" i="30"/>
  <c r="F102" i="30"/>
  <c r="H102" i="30" s="1"/>
  <c r="E102" i="30"/>
  <c r="AF102" i="30" s="1"/>
  <c r="AF101" i="30"/>
  <c r="AE101" i="30"/>
  <c r="AD101" i="30"/>
  <c r="AB101" i="30"/>
  <c r="N101" i="30"/>
  <c r="M101" i="30"/>
  <c r="F101" i="30"/>
  <c r="H101" i="30" s="1"/>
  <c r="E101" i="30"/>
  <c r="T101" i="30" s="1"/>
  <c r="AE100" i="30"/>
  <c r="AD100" i="30"/>
  <c r="AB100" i="30"/>
  <c r="N100" i="30"/>
  <c r="M100" i="30"/>
  <c r="F100" i="30"/>
  <c r="H100" i="30" s="1"/>
  <c r="E100" i="30"/>
  <c r="AF100" i="30" s="1"/>
  <c r="AF99" i="30"/>
  <c r="AE99" i="30"/>
  <c r="AD99" i="30"/>
  <c r="AB99" i="30"/>
  <c r="N99" i="30"/>
  <c r="M99" i="30"/>
  <c r="F99" i="30"/>
  <c r="E99" i="30"/>
  <c r="T99" i="30" s="1"/>
  <c r="AF98" i="30"/>
  <c r="AE98" i="30"/>
  <c r="AD98" i="30"/>
  <c r="AB98" i="30"/>
  <c r="N98" i="30"/>
  <c r="M98" i="30"/>
  <c r="F98" i="30"/>
  <c r="H98" i="30" s="1"/>
  <c r="E98" i="30"/>
  <c r="T98" i="30" s="1"/>
  <c r="AE97" i="30"/>
  <c r="AD97" i="30"/>
  <c r="AB97" i="30"/>
  <c r="N97" i="30"/>
  <c r="M97" i="30"/>
  <c r="F97" i="30"/>
  <c r="H97" i="30" s="1"/>
  <c r="E97" i="30"/>
  <c r="T97" i="30" s="1"/>
  <c r="AE96" i="30"/>
  <c r="AD96" i="30"/>
  <c r="AB96" i="30"/>
  <c r="N96" i="30"/>
  <c r="M96" i="30"/>
  <c r="H96" i="30"/>
  <c r="F96" i="30"/>
  <c r="E96" i="30"/>
  <c r="AF96" i="30" s="1"/>
  <c r="AE95" i="30"/>
  <c r="AD95" i="30"/>
  <c r="AB95" i="30"/>
  <c r="N95" i="30"/>
  <c r="M95" i="30"/>
  <c r="F95" i="30"/>
  <c r="H95" i="30" s="1"/>
  <c r="E95" i="30"/>
  <c r="AF95" i="30" s="1"/>
  <c r="AE94" i="30"/>
  <c r="AD94" i="30"/>
  <c r="AB94" i="30"/>
  <c r="N94" i="30"/>
  <c r="M94" i="30"/>
  <c r="H94" i="30"/>
  <c r="F94" i="30"/>
  <c r="E94" i="30"/>
  <c r="T94" i="30" s="1"/>
  <c r="AE93" i="30"/>
  <c r="AD93" i="30"/>
  <c r="AB93" i="30"/>
  <c r="N93" i="30"/>
  <c r="M93" i="30"/>
  <c r="H93" i="30"/>
  <c r="F93" i="30"/>
  <c r="E93" i="30"/>
  <c r="T93" i="30" s="1"/>
  <c r="AE92" i="30"/>
  <c r="AD92" i="30"/>
  <c r="AB92" i="30"/>
  <c r="N92" i="30"/>
  <c r="M92" i="30"/>
  <c r="H92" i="30"/>
  <c r="F92" i="30"/>
  <c r="E92" i="30"/>
  <c r="T92" i="30" s="1"/>
  <c r="AE91" i="30"/>
  <c r="AD91" i="30"/>
  <c r="AB91" i="30"/>
  <c r="N91" i="30"/>
  <c r="M91" i="30"/>
  <c r="H91" i="30"/>
  <c r="F91" i="30"/>
  <c r="E91" i="30"/>
  <c r="T91" i="30" s="1"/>
  <c r="AE90" i="30"/>
  <c r="AD90" i="30"/>
  <c r="AB90" i="30"/>
  <c r="N90" i="30"/>
  <c r="M90" i="30"/>
  <c r="F90" i="30"/>
  <c r="H90" i="30" s="1"/>
  <c r="E90" i="30"/>
  <c r="T90" i="30" s="1"/>
  <c r="AE89" i="30"/>
  <c r="AD89" i="30"/>
  <c r="AB89" i="30"/>
  <c r="N89" i="30"/>
  <c r="M89" i="30"/>
  <c r="F89" i="30"/>
  <c r="E89" i="30"/>
  <c r="G89" i="30" s="1"/>
  <c r="G100" i="30" l="1"/>
  <c r="T100" i="30"/>
  <c r="F105" i="23"/>
  <c r="G104" i="23"/>
  <c r="J105" i="23"/>
  <c r="G95" i="30"/>
  <c r="T95" i="30"/>
  <c r="G97" i="30"/>
  <c r="AF91" i="30"/>
  <c r="AF93" i="30"/>
  <c r="G96" i="30"/>
  <c r="T96" i="30"/>
  <c r="F103" i="30"/>
  <c r="C104" i="30" s="1"/>
  <c r="AF90" i="30"/>
  <c r="AF92" i="30"/>
  <c r="AF94" i="30"/>
  <c r="AF97" i="30"/>
  <c r="T89" i="30"/>
  <c r="H89" i="30"/>
  <c r="AF89" i="30"/>
  <c r="G90" i="30"/>
  <c r="G91" i="30"/>
  <c r="G92" i="30"/>
  <c r="G93" i="30"/>
  <c r="G94" i="30"/>
  <c r="E103" i="30"/>
  <c r="A104" i="30"/>
  <c r="G98" i="30"/>
  <c r="G101" i="30"/>
  <c r="G102" i="30"/>
  <c r="H103" i="30" l="1"/>
  <c r="G103" i="30"/>
  <c r="J104" i="30"/>
  <c r="F104" i="30"/>
  <c r="P69" i="29" l="1"/>
  <c r="O69" i="29" l="1"/>
  <c r="Q84" i="17" l="1"/>
  <c r="Q50" i="29" l="1"/>
  <c r="O70" i="28"/>
  <c r="Q50" i="27"/>
  <c r="O70" i="27"/>
  <c r="M73" i="23"/>
  <c r="N73" i="23"/>
  <c r="M74" i="23"/>
  <c r="N74" i="23"/>
  <c r="M75" i="23"/>
  <c r="N75" i="23"/>
  <c r="M76" i="23"/>
  <c r="N76" i="23"/>
  <c r="M77" i="23"/>
  <c r="N77" i="23"/>
  <c r="M78" i="23"/>
  <c r="N78" i="23"/>
  <c r="M79" i="23"/>
  <c r="N79" i="23"/>
  <c r="M80" i="23"/>
  <c r="N80" i="23"/>
  <c r="M81" i="23"/>
  <c r="N81" i="23"/>
  <c r="M82" i="23"/>
  <c r="N82" i="23"/>
  <c r="N72" i="23"/>
  <c r="M72" i="23"/>
  <c r="N71" i="23"/>
  <c r="M71" i="23"/>
  <c r="N70" i="23"/>
  <c r="M70" i="23"/>
  <c r="N69" i="23"/>
  <c r="M69" i="23"/>
  <c r="Q84" i="23"/>
  <c r="R84" i="23"/>
  <c r="L84" i="23"/>
  <c r="E84" i="23"/>
  <c r="A84" i="23"/>
  <c r="R83" i="23"/>
  <c r="Q83" i="23"/>
  <c r="P83" i="23"/>
  <c r="O83" i="23"/>
  <c r="L83" i="23"/>
  <c r="K83" i="23"/>
  <c r="J83" i="23"/>
  <c r="I83" i="23"/>
  <c r="AE82" i="23"/>
  <c r="AD82" i="23"/>
  <c r="AB82" i="23"/>
  <c r="F82" i="23"/>
  <c r="H82" i="23" s="1"/>
  <c r="E82" i="23"/>
  <c r="AF82" i="23" s="1"/>
  <c r="AE81" i="23"/>
  <c r="AD81" i="23"/>
  <c r="AB81" i="23"/>
  <c r="F81" i="23"/>
  <c r="H81" i="23" s="1"/>
  <c r="E81" i="23"/>
  <c r="T81" i="23" s="1"/>
  <c r="AE80" i="23"/>
  <c r="AD80" i="23"/>
  <c r="AB80" i="23"/>
  <c r="F80" i="23"/>
  <c r="H80" i="23" s="1"/>
  <c r="E80" i="23"/>
  <c r="G80" i="23" s="1"/>
  <c r="AE79" i="23"/>
  <c r="AD79" i="23"/>
  <c r="AB79" i="23"/>
  <c r="F79" i="23"/>
  <c r="E79" i="23"/>
  <c r="AF79" i="23" s="1"/>
  <c r="AE78" i="23"/>
  <c r="AD78" i="23"/>
  <c r="AB78" i="23"/>
  <c r="F78" i="23"/>
  <c r="H78" i="23" s="1"/>
  <c r="E78" i="23"/>
  <c r="AF78" i="23" s="1"/>
  <c r="AF77" i="23"/>
  <c r="AE77" i="23"/>
  <c r="AD77" i="23"/>
  <c r="AB77" i="23"/>
  <c r="T77" i="23"/>
  <c r="G77" i="23"/>
  <c r="F77" i="23"/>
  <c r="H77" i="23" s="1"/>
  <c r="E77" i="23"/>
  <c r="AE76" i="23"/>
  <c r="AD76" i="23"/>
  <c r="AB76" i="23"/>
  <c r="F76" i="23"/>
  <c r="H76" i="23" s="1"/>
  <c r="E76" i="23"/>
  <c r="AF76" i="23" s="1"/>
  <c r="AE75" i="23"/>
  <c r="AD75" i="23"/>
  <c r="AB75" i="23"/>
  <c r="F75" i="23"/>
  <c r="H75" i="23" s="1"/>
  <c r="E75" i="23"/>
  <c r="T75" i="23" s="1"/>
  <c r="AE74" i="23"/>
  <c r="AD74" i="23"/>
  <c r="AB74" i="23"/>
  <c r="F74" i="23"/>
  <c r="H74" i="23" s="1"/>
  <c r="E74" i="23"/>
  <c r="AF74" i="23" s="1"/>
  <c r="AE73" i="23"/>
  <c r="AD73" i="23"/>
  <c r="AB73" i="23"/>
  <c r="F73" i="23"/>
  <c r="H73" i="23" s="1"/>
  <c r="E73" i="23"/>
  <c r="AF73" i="23" s="1"/>
  <c r="AE72" i="23"/>
  <c r="AD72" i="23"/>
  <c r="AB72" i="23"/>
  <c r="F72" i="23"/>
  <c r="H72" i="23" s="1"/>
  <c r="E72" i="23"/>
  <c r="T72" i="23" s="1"/>
  <c r="AE71" i="23"/>
  <c r="AD71" i="23"/>
  <c r="AB71" i="23"/>
  <c r="F71" i="23"/>
  <c r="H71" i="23" s="1"/>
  <c r="E71" i="23"/>
  <c r="T71" i="23" s="1"/>
  <c r="D71" i="23"/>
  <c r="AE70" i="23"/>
  <c r="AD70" i="23"/>
  <c r="AB70" i="23"/>
  <c r="F70" i="23"/>
  <c r="E70" i="23"/>
  <c r="AF70" i="23" s="1"/>
  <c r="D70" i="23"/>
  <c r="AE69" i="23"/>
  <c r="AD69" i="23"/>
  <c r="AB69" i="23"/>
  <c r="F69" i="23"/>
  <c r="H69" i="23" s="1"/>
  <c r="E69" i="23"/>
  <c r="AF69" i="23" s="1"/>
  <c r="G70" i="23" l="1"/>
  <c r="G69" i="23"/>
  <c r="T69" i="23"/>
  <c r="T70" i="23"/>
  <c r="T80" i="23"/>
  <c r="AF80" i="23"/>
  <c r="AF75" i="23"/>
  <c r="G76" i="23"/>
  <c r="E83" i="23"/>
  <c r="F84" i="23" s="1"/>
  <c r="F83" i="23"/>
  <c r="C84" i="23" s="1"/>
  <c r="T76" i="23"/>
  <c r="H70" i="23"/>
  <c r="G71" i="23"/>
  <c r="G72" i="23"/>
  <c r="G73" i="23"/>
  <c r="T73" i="23"/>
  <c r="G74" i="23"/>
  <c r="T74" i="23"/>
  <c r="G78" i="23"/>
  <c r="T78" i="23"/>
  <c r="G82" i="23"/>
  <c r="AF71" i="23"/>
  <c r="AF72" i="23"/>
  <c r="G75" i="23"/>
  <c r="AF81" i="23"/>
  <c r="T79" i="23"/>
  <c r="G81" i="23"/>
  <c r="H83" i="23" l="1"/>
  <c r="J84" i="23"/>
  <c r="G83" i="23"/>
  <c r="Q105" i="17" l="1"/>
  <c r="S105" i="17" s="1"/>
  <c r="L105" i="17"/>
  <c r="R104" i="17"/>
  <c r="Q104" i="17"/>
  <c r="P104" i="17"/>
  <c r="O104" i="17"/>
  <c r="L104" i="17"/>
  <c r="K104" i="17"/>
  <c r="J104" i="17"/>
  <c r="I104" i="17"/>
  <c r="D104" i="17"/>
  <c r="E105" i="17" s="1"/>
  <c r="AE103" i="17"/>
  <c r="AD103" i="17"/>
  <c r="AB103" i="17"/>
  <c r="N103" i="17"/>
  <c r="M103" i="17"/>
  <c r="F103" i="17"/>
  <c r="H103" i="17" s="1"/>
  <c r="E103" i="17"/>
  <c r="AF103" i="17" s="1"/>
  <c r="AE102" i="17"/>
  <c r="AD102" i="17"/>
  <c r="AB102" i="17"/>
  <c r="N102" i="17"/>
  <c r="M102" i="17"/>
  <c r="F102" i="17"/>
  <c r="H102" i="17" s="1"/>
  <c r="E102" i="17"/>
  <c r="AF102" i="17" s="1"/>
  <c r="AE101" i="17"/>
  <c r="AD101" i="17"/>
  <c r="AB101" i="17"/>
  <c r="N101" i="17"/>
  <c r="M101" i="17"/>
  <c r="F101" i="17"/>
  <c r="H101" i="17" s="1"/>
  <c r="E101" i="17"/>
  <c r="T101" i="17" s="1"/>
  <c r="AE100" i="17"/>
  <c r="AD100" i="17"/>
  <c r="AB100" i="17"/>
  <c r="N100" i="17"/>
  <c r="M100" i="17"/>
  <c r="F100" i="17"/>
  <c r="E100" i="17"/>
  <c r="AF100" i="17" s="1"/>
  <c r="AF99" i="17"/>
  <c r="AE99" i="17"/>
  <c r="AD99" i="17"/>
  <c r="AB99" i="17"/>
  <c r="T99" i="17"/>
  <c r="N99" i="17"/>
  <c r="M99" i="17"/>
  <c r="H99" i="17"/>
  <c r="G99" i="17"/>
  <c r="F99" i="17"/>
  <c r="E99" i="17"/>
  <c r="AE98" i="17"/>
  <c r="AD98" i="17"/>
  <c r="AB98" i="17"/>
  <c r="N98" i="17"/>
  <c r="M98" i="17"/>
  <c r="F98" i="17"/>
  <c r="H98" i="17" s="1"/>
  <c r="E98" i="17"/>
  <c r="G98" i="17" s="1"/>
  <c r="AE97" i="17"/>
  <c r="AD97" i="17"/>
  <c r="AB97" i="17"/>
  <c r="N97" i="17"/>
  <c r="M97" i="17"/>
  <c r="F97" i="17"/>
  <c r="H97" i="17" s="1"/>
  <c r="E97" i="17"/>
  <c r="AF97" i="17" s="1"/>
  <c r="AE96" i="17"/>
  <c r="AD96" i="17"/>
  <c r="AB96" i="17"/>
  <c r="N96" i="17"/>
  <c r="M96" i="17"/>
  <c r="F96" i="17"/>
  <c r="H96" i="17" s="1"/>
  <c r="E96" i="17"/>
  <c r="AF96" i="17" s="1"/>
  <c r="AE95" i="17"/>
  <c r="AD95" i="17"/>
  <c r="AB95" i="17"/>
  <c r="N95" i="17"/>
  <c r="M95" i="17"/>
  <c r="F95" i="17"/>
  <c r="H95" i="17" s="1"/>
  <c r="E95" i="17"/>
  <c r="AF95" i="17" s="1"/>
  <c r="AE94" i="17"/>
  <c r="AD94" i="17"/>
  <c r="AB94" i="17"/>
  <c r="N94" i="17"/>
  <c r="M94" i="17"/>
  <c r="F94" i="17"/>
  <c r="H94" i="17" s="1"/>
  <c r="E94" i="17"/>
  <c r="G94" i="17" s="1"/>
  <c r="AE93" i="17"/>
  <c r="AD93" i="17"/>
  <c r="AB93" i="17"/>
  <c r="N93" i="17"/>
  <c r="M93" i="17"/>
  <c r="F93" i="17"/>
  <c r="H93" i="17" s="1"/>
  <c r="E93" i="17"/>
  <c r="AF93" i="17" s="1"/>
  <c r="AE92" i="17"/>
  <c r="AD92" i="17"/>
  <c r="AB92" i="17"/>
  <c r="N92" i="17"/>
  <c r="M92" i="17"/>
  <c r="F92" i="17"/>
  <c r="E92" i="17"/>
  <c r="T92" i="17" s="1"/>
  <c r="D92" i="17"/>
  <c r="AE91" i="17"/>
  <c r="AD91" i="17"/>
  <c r="AB91" i="17"/>
  <c r="N91" i="17"/>
  <c r="M91" i="17"/>
  <c r="F91" i="17"/>
  <c r="E91" i="17"/>
  <c r="G91" i="17" s="1"/>
  <c r="D91" i="17"/>
  <c r="AE90" i="17"/>
  <c r="AD90" i="17"/>
  <c r="AB90" i="17"/>
  <c r="N90" i="17"/>
  <c r="M90" i="17"/>
  <c r="F90" i="17"/>
  <c r="E90" i="17"/>
  <c r="T98" i="17" l="1"/>
  <c r="AF98" i="17"/>
  <c r="H91" i="17"/>
  <c r="G102" i="17"/>
  <c r="AF101" i="17"/>
  <c r="T95" i="17"/>
  <c r="G95" i="17"/>
  <c r="T94" i="17"/>
  <c r="AF94" i="17"/>
  <c r="T91" i="17"/>
  <c r="N104" i="17"/>
  <c r="M104" i="17"/>
  <c r="G97" i="17"/>
  <c r="T97" i="17"/>
  <c r="G96" i="17"/>
  <c r="T96" i="17"/>
  <c r="AF92" i="17"/>
  <c r="F104" i="17"/>
  <c r="C105" i="17" s="1"/>
  <c r="E104" i="17"/>
  <c r="J105" i="17" s="1"/>
  <c r="AF91" i="17"/>
  <c r="AF90" i="17"/>
  <c r="H90" i="17"/>
  <c r="H92" i="17"/>
  <c r="G93" i="17"/>
  <c r="T93" i="17"/>
  <c r="T100" i="17"/>
  <c r="G90" i="17"/>
  <c r="T90" i="17"/>
  <c r="G92" i="17"/>
  <c r="G101" i="17"/>
  <c r="G103" i="17"/>
  <c r="A105" i="17"/>
  <c r="H104" i="17" l="1"/>
  <c r="F105" i="17"/>
  <c r="G104" i="17"/>
  <c r="AB204" i="31" l="1"/>
  <c r="AA204" i="31"/>
  <c r="Z204" i="31"/>
  <c r="Y204" i="31"/>
  <c r="W204" i="31"/>
  <c r="T204" i="31"/>
  <c r="S204" i="31"/>
  <c r="R204" i="31"/>
  <c r="P204" i="31"/>
  <c r="M204" i="31"/>
  <c r="K204" i="31"/>
  <c r="I204" i="31"/>
  <c r="G204" i="31"/>
  <c r="F204" i="31"/>
  <c r="E204" i="31"/>
  <c r="D204" i="31"/>
  <c r="C204" i="31"/>
  <c r="B204" i="31"/>
  <c r="Q203" i="31"/>
  <c r="Q202" i="31"/>
  <c r="J202" i="31"/>
  <c r="X200" i="31"/>
  <c r="X199" i="31"/>
  <c r="C199" i="31"/>
  <c r="J197" i="31"/>
  <c r="X196" i="31"/>
  <c r="J196" i="31"/>
  <c r="C196" i="31"/>
  <c r="X195" i="31"/>
  <c r="Q195" i="31"/>
  <c r="J195" i="31"/>
  <c r="C195" i="31"/>
  <c r="X194" i="31"/>
  <c r="J194" i="31"/>
  <c r="C194" i="31"/>
  <c r="X193" i="31"/>
  <c r="U193" i="31"/>
  <c r="Q193" i="31"/>
  <c r="C193" i="31"/>
  <c r="X192" i="31"/>
  <c r="X191" i="31"/>
  <c r="N190" i="31"/>
  <c r="L190" i="31"/>
  <c r="J190" i="31"/>
  <c r="X189" i="31"/>
  <c r="X188" i="31"/>
  <c r="Z187" i="31"/>
  <c r="X187" i="31"/>
  <c r="U187" i="31"/>
  <c r="Q187" i="31"/>
  <c r="Z186" i="31"/>
  <c r="X186" i="31"/>
  <c r="X204" i="31" s="1"/>
  <c r="U186" i="31"/>
  <c r="U204" i="31" s="1"/>
  <c r="Q186" i="31"/>
  <c r="Q204" i="31" s="1"/>
  <c r="U185" i="31"/>
  <c r="Q185" i="31"/>
  <c r="L185" i="31"/>
  <c r="J185" i="31"/>
  <c r="C185" i="31"/>
  <c r="N184" i="31"/>
  <c r="N204" i="31" s="1"/>
  <c r="L184" i="31"/>
  <c r="L204" i="31" s="1"/>
  <c r="J184" i="31"/>
  <c r="J204" i="31" s="1"/>
  <c r="C183" i="31"/>
  <c r="E77" i="28" l="1"/>
  <c r="F77" i="28"/>
  <c r="R61" i="17"/>
  <c r="Q61" i="17"/>
  <c r="Q104" i="29" l="1"/>
  <c r="R103" i="29"/>
  <c r="Q103" i="29"/>
  <c r="P103" i="29"/>
  <c r="O103" i="29"/>
  <c r="L103" i="29"/>
  <c r="K103" i="29"/>
  <c r="J103" i="29"/>
  <c r="I103" i="29"/>
  <c r="D103" i="29"/>
  <c r="A104" i="29" s="1"/>
  <c r="C103" i="29"/>
  <c r="L104" i="29" s="1"/>
  <c r="AE102" i="29"/>
  <c r="AD102" i="29"/>
  <c r="AB102" i="29"/>
  <c r="N102" i="29"/>
  <c r="M102" i="29"/>
  <c r="F102" i="29"/>
  <c r="H102" i="29" s="1"/>
  <c r="E102" i="29"/>
  <c r="AF102" i="29" s="1"/>
  <c r="AE101" i="29"/>
  <c r="AD101" i="29"/>
  <c r="AB101" i="29"/>
  <c r="N101" i="29"/>
  <c r="M101" i="29"/>
  <c r="F101" i="29"/>
  <c r="H101" i="29" s="1"/>
  <c r="E101" i="29"/>
  <c r="T101" i="29" s="1"/>
  <c r="AE100" i="29"/>
  <c r="AD100" i="29"/>
  <c r="AB100" i="29"/>
  <c r="N100" i="29"/>
  <c r="M100" i="29"/>
  <c r="F100" i="29"/>
  <c r="H100" i="29" s="1"/>
  <c r="E100" i="29"/>
  <c r="AF100" i="29" s="1"/>
  <c r="AE99" i="29"/>
  <c r="AD99" i="29"/>
  <c r="AB99" i="29"/>
  <c r="N99" i="29"/>
  <c r="M99" i="29"/>
  <c r="F99" i="29"/>
  <c r="E99" i="29"/>
  <c r="AF99" i="29" s="1"/>
  <c r="AE98" i="29"/>
  <c r="AD98" i="29"/>
  <c r="AB98" i="29"/>
  <c r="N98" i="29"/>
  <c r="M98" i="29"/>
  <c r="H98" i="29"/>
  <c r="F98" i="29"/>
  <c r="E98" i="29"/>
  <c r="AF98" i="29" s="1"/>
  <c r="AE97" i="29"/>
  <c r="AD97" i="29"/>
  <c r="AB97" i="29"/>
  <c r="N97" i="29"/>
  <c r="M97" i="29"/>
  <c r="F97" i="29"/>
  <c r="H97" i="29" s="1"/>
  <c r="E97" i="29"/>
  <c r="T97" i="29" s="1"/>
  <c r="AE96" i="29"/>
  <c r="AD96" i="29"/>
  <c r="AB96" i="29"/>
  <c r="N96" i="29"/>
  <c r="M96" i="29"/>
  <c r="F96" i="29"/>
  <c r="H96" i="29" s="1"/>
  <c r="E96" i="29"/>
  <c r="T96" i="29" s="1"/>
  <c r="AE95" i="29"/>
  <c r="AD95" i="29"/>
  <c r="AB95" i="29"/>
  <c r="N95" i="29"/>
  <c r="M95" i="29"/>
  <c r="F95" i="29"/>
  <c r="H95" i="29" s="1"/>
  <c r="E95" i="29"/>
  <c r="T95" i="29" s="1"/>
  <c r="AE94" i="29"/>
  <c r="AD94" i="29"/>
  <c r="AB94" i="29"/>
  <c r="N94" i="29"/>
  <c r="M94" i="29"/>
  <c r="F94" i="29"/>
  <c r="H94" i="29" s="1"/>
  <c r="E94" i="29"/>
  <c r="T94" i="29" s="1"/>
  <c r="AE93" i="29"/>
  <c r="AD93" i="29"/>
  <c r="AB93" i="29"/>
  <c r="N93" i="29"/>
  <c r="M93" i="29"/>
  <c r="F93" i="29"/>
  <c r="H93" i="29" s="1"/>
  <c r="E93" i="29"/>
  <c r="T93" i="29" s="1"/>
  <c r="AE92" i="29"/>
  <c r="AD92" i="29"/>
  <c r="AB92" i="29"/>
  <c r="N92" i="29"/>
  <c r="M92" i="29"/>
  <c r="F92" i="29"/>
  <c r="H92" i="29" s="1"/>
  <c r="E92" i="29"/>
  <c r="T92" i="29" s="1"/>
  <c r="AE91" i="29"/>
  <c r="AD91" i="29"/>
  <c r="AB91" i="29"/>
  <c r="N91" i="29"/>
  <c r="M91" i="29"/>
  <c r="F91" i="29"/>
  <c r="H91" i="29" s="1"/>
  <c r="E91" i="29"/>
  <c r="AF91" i="29" s="1"/>
  <c r="AE90" i="29"/>
  <c r="AD90" i="29"/>
  <c r="AB90" i="29"/>
  <c r="N90" i="29"/>
  <c r="M90" i="29"/>
  <c r="F90" i="29"/>
  <c r="H90" i="29" s="1"/>
  <c r="E90" i="29"/>
  <c r="AF90" i="29" s="1"/>
  <c r="AE89" i="29"/>
  <c r="AD89" i="29"/>
  <c r="AB89" i="29"/>
  <c r="N89" i="29"/>
  <c r="M89" i="29"/>
  <c r="H89" i="29"/>
  <c r="F89" i="29"/>
  <c r="E89" i="29"/>
  <c r="AF89" i="29" s="1"/>
  <c r="O50" i="17"/>
  <c r="G89" i="29" l="1"/>
  <c r="T89" i="29"/>
  <c r="AF94" i="29"/>
  <c r="AF96" i="29"/>
  <c r="AF97" i="29"/>
  <c r="E104" i="29"/>
  <c r="AF101" i="29"/>
  <c r="G98" i="29"/>
  <c r="T98" i="29"/>
  <c r="AF95" i="29"/>
  <c r="AF93" i="29"/>
  <c r="AF92" i="29"/>
  <c r="G90" i="29"/>
  <c r="E103" i="29"/>
  <c r="F104" i="29" s="1"/>
  <c r="F103" i="29"/>
  <c r="C104" i="29" s="1"/>
  <c r="T90" i="29"/>
  <c r="G91" i="29"/>
  <c r="T99" i="29"/>
  <c r="G100" i="29"/>
  <c r="T100" i="29"/>
  <c r="T91" i="29"/>
  <c r="G92" i="29"/>
  <c r="G93" i="29"/>
  <c r="G94" i="29"/>
  <c r="G95" i="29"/>
  <c r="G96" i="29"/>
  <c r="G97" i="29"/>
  <c r="G101" i="29"/>
  <c r="G102" i="29"/>
  <c r="J104" i="29" l="1"/>
  <c r="G103" i="29"/>
  <c r="H103" i="29"/>
  <c r="Q83" i="30"/>
  <c r="R82" i="30"/>
  <c r="Q82" i="30"/>
  <c r="P82" i="30"/>
  <c r="O82" i="30"/>
  <c r="L82" i="30"/>
  <c r="K82" i="30"/>
  <c r="J82" i="30"/>
  <c r="I82" i="30"/>
  <c r="D82" i="30"/>
  <c r="E83" i="30" s="1"/>
  <c r="C82" i="30"/>
  <c r="L83" i="30" s="1"/>
  <c r="AE81" i="30"/>
  <c r="AD81" i="30"/>
  <c r="AB81" i="30"/>
  <c r="N81" i="30"/>
  <c r="M81" i="30"/>
  <c r="H81" i="30"/>
  <c r="F81" i="30"/>
  <c r="E81" i="30"/>
  <c r="AF81" i="30" s="1"/>
  <c r="AE80" i="30"/>
  <c r="AD80" i="30"/>
  <c r="AB80" i="30"/>
  <c r="N80" i="30"/>
  <c r="M80" i="30"/>
  <c r="H80" i="30"/>
  <c r="F80" i="30"/>
  <c r="E80" i="30"/>
  <c r="AF80" i="30" s="1"/>
  <c r="AE79" i="30"/>
  <c r="AD79" i="30"/>
  <c r="AB79" i="30"/>
  <c r="N79" i="30"/>
  <c r="M79" i="30"/>
  <c r="F79" i="30"/>
  <c r="H79" i="30" s="1"/>
  <c r="E79" i="30"/>
  <c r="AF79" i="30" s="1"/>
  <c r="AE78" i="30"/>
  <c r="AD78" i="30"/>
  <c r="AB78" i="30"/>
  <c r="N78" i="30"/>
  <c r="M78" i="30"/>
  <c r="F78" i="30"/>
  <c r="E78" i="30"/>
  <c r="AF78" i="30" s="1"/>
  <c r="AE77" i="30"/>
  <c r="AD77" i="30"/>
  <c r="AB77" i="30"/>
  <c r="N77" i="30"/>
  <c r="M77" i="30"/>
  <c r="F77" i="30"/>
  <c r="H77" i="30" s="1"/>
  <c r="E77" i="30"/>
  <c r="AF77" i="30" s="1"/>
  <c r="AE76" i="30"/>
  <c r="AD76" i="30"/>
  <c r="AB76" i="30"/>
  <c r="N76" i="30"/>
  <c r="M76" i="30"/>
  <c r="F76" i="30"/>
  <c r="H76" i="30" s="1"/>
  <c r="E76" i="30"/>
  <c r="AF76" i="30" s="1"/>
  <c r="AE75" i="30"/>
  <c r="AD75" i="30"/>
  <c r="AB75" i="30"/>
  <c r="N75" i="30"/>
  <c r="M75" i="30"/>
  <c r="F75" i="30"/>
  <c r="H75" i="30" s="1"/>
  <c r="E75" i="30"/>
  <c r="AF75" i="30" s="1"/>
  <c r="AE74" i="30"/>
  <c r="AD74" i="30"/>
  <c r="AB74" i="30"/>
  <c r="N74" i="30"/>
  <c r="M74" i="30"/>
  <c r="F74" i="30"/>
  <c r="H74" i="30" s="1"/>
  <c r="E74" i="30"/>
  <c r="AF74" i="30" s="1"/>
  <c r="AF73" i="30"/>
  <c r="AE73" i="30"/>
  <c r="AD73" i="30"/>
  <c r="AB73" i="30"/>
  <c r="T73" i="30"/>
  <c r="N73" i="30"/>
  <c r="M73" i="30"/>
  <c r="F73" i="30"/>
  <c r="H73" i="30" s="1"/>
  <c r="E73" i="30"/>
  <c r="G73" i="30" s="1"/>
  <c r="AE72" i="30"/>
  <c r="AD72" i="30"/>
  <c r="AB72" i="30"/>
  <c r="T72" i="30"/>
  <c r="N72" i="30"/>
  <c r="M72" i="30"/>
  <c r="G72" i="30"/>
  <c r="F72" i="30"/>
  <c r="H72" i="30" s="1"/>
  <c r="E72" i="30"/>
  <c r="AF72" i="30" s="1"/>
  <c r="AE71" i="30"/>
  <c r="AD71" i="30"/>
  <c r="AB71" i="30"/>
  <c r="N71" i="30"/>
  <c r="M71" i="30"/>
  <c r="G71" i="30"/>
  <c r="F71" i="30"/>
  <c r="H71" i="30" s="1"/>
  <c r="E71" i="30"/>
  <c r="AF71" i="30" s="1"/>
  <c r="AE70" i="30"/>
  <c r="AD70" i="30"/>
  <c r="AB70" i="30"/>
  <c r="N70" i="30"/>
  <c r="M70" i="30"/>
  <c r="F70" i="30"/>
  <c r="H70" i="30" s="1"/>
  <c r="E70" i="30"/>
  <c r="AF70" i="30" s="1"/>
  <c r="AE69" i="30"/>
  <c r="AD69" i="30"/>
  <c r="AB69" i="30"/>
  <c r="N69" i="30"/>
  <c r="M69" i="30"/>
  <c r="F69" i="30"/>
  <c r="H69" i="30" s="1"/>
  <c r="E69" i="30"/>
  <c r="AF69" i="30" s="1"/>
  <c r="AF68" i="30"/>
  <c r="AE68" i="30"/>
  <c r="AD68" i="30"/>
  <c r="AB68" i="30"/>
  <c r="T68" i="30"/>
  <c r="N68" i="30"/>
  <c r="M68" i="30"/>
  <c r="G68" i="30"/>
  <c r="F68" i="30"/>
  <c r="E68" i="30"/>
  <c r="T70" i="30" l="1"/>
  <c r="E82" i="30"/>
  <c r="G82" i="30" s="1"/>
  <c r="G70" i="30"/>
  <c r="T71" i="30"/>
  <c r="F82" i="30"/>
  <c r="C83" i="30" s="1"/>
  <c r="G69" i="30"/>
  <c r="T78" i="30"/>
  <c r="H68" i="30"/>
  <c r="T69" i="30"/>
  <c r="G74" i="30"/>
  <c r="T74" i="30"/>
  <c r="G75" i="30"/>
  <c r="T75" i="30"/>
  <c r="G79" i="30"/>
  <c r="T79" i="30"/>
  <c r="A83" i="30"/>
  <c r="G76" i="30"/>
  <c r="T76" i="30"/>
  <c r="G77" i="30"/>
  <c r="T77" i="30"/>
  <c r="G80" i="30"/>
  <c r="T80" i="30"/>
  <c r="G81" i="30"/>
  <c r="H82" i="30" l="1"/>
  <c r="F83" i="30"/>
  <c r="J83" i="30"/>
  <c r="T13" i="26" l="1"/>
  <c r="T12" i="26"/>
  <c r="T78" i="26"/>
  <c r="T76" i="26"/>
  <c r="T13" i="25"/>
  <c r="T12" i="25"/>
  <c r="T57" i="24"/>
  <c r="T55" i="24"/>
  <c r="T54" i="24"/>
  <c r="T53" i="24"/>
  <c r="T52" i="24"/>
  <c r="T51" i="24"/>
  <c r="T50" i="24"/>
  <c r="T49" i="24"/>
  <c r="T48" i="24"/>
  <c r="T47" i="24"/>
  <c r="T38" i="24"/>
  <c r="T36" i="24"/>
  <c r="T34" i="24"/>
  <c r="T33" i="24"/>
  <c r="T32" i="24"/>
  <c r="T31" i="24"/>
  <c r="T30" i="24"/>
  <c r="T29" i="24"/>
  <c r="T28" i="24"/>
  <c r="T27" i="24"/>
  <c r="T26" i="24"/>
  <c r="T13" i="24"/>
  <c r="T12" i="24"/>
  <c r="T14" i="23"/>
  <c r="T13" i="23"/>
  <c r="T58" i="23"/>
  <c r="T56" i="23"/>
  <c r="T55" i="23"/>
  <c r="T53" i="23"/>
  <c r="T52" i="23"/>
  <c r="T51" i="23"/>
  <c r="T50" i="23"/>
  <c r="T48" i="23"/>
  <c r="Q56" i="28"/>
  <c r="Q104" i="27"/>
  <c r="R103" i="27"/>
  <c r="Q103" i="27"/>
  <c r="P103" i="27"/>
  <c r="L103" i="27"/>
  <c r="K103" i="27"/>
  <c r="J103" i="27"/>
  <c r="I103" i="27"/>
  <c r="D103" i="27"/>
  <c r="E104" i="27" s="1"/>
  <c r="C103" i="27"/>
  <c r="L104" i="27" s="1"/>
  <c r="AE102" i="27"/>
  <c r="AD102" i="27"/>
  <c r="AB102" i="27"/>
  <c r="N102" i="27"/>
  <c r="M102" i="27"/>
  <c r="F102" i="27"/>
  <c r="H102" i="27" s="1"/>
  <c r="E102" i="27"/>
  <c r="AF102" i="27" s="1"/>
  <c r="AE101" i="27"/>
  <c r="AD101" i="27"/>
  <c r="AB101" i="27"/>
  <c r="N101" i="27"/>
  <c r="M101" i="27"/>
  <c r="F101" i="27"/>
  <c r="H101" i="27" s="1"/>
  <c r="E101" i="27"/>
  <c r="AF101" i="27" s="1"/>
  <c r="AE100" i="27"/>
  <c r="AD100" i="27"/>
  <c r="AB100" i="27"/>
  <c r="N100" i="27"/>
  <c r="M100" i="27"/>
  <c r="F100" i="27"/>
  <c r="H100" i="27" s="1"/>
  <c r="E100" i="27"/>
  <c r="AF100" i="27" s="1"/>
  <c r="AE99" i="27"/>
  <c r="AD99" i="27"/>
  <c r="AB99" i="27"/>
  <c r="N99" i="27"/>
  <c r="M99" i="27"/>
  <c r="F99" i="27"/>
  <c r="E99" i="27"/>
  <c r="AF99" i="27" s="1"/>
  <c r="AE98" i="27"/>
  <c r="AD98" i="27"/>
  <c r="AB98" i="27"/>
  <c r="N98" i="27"/>
  <c r="M98" i="27"/>
  <c r="F98" i="27"/>
  <c r="H98" i="27" s="1"/>
  <c r="E98" i="27"/>
  <c r="AF98" i="27" s="1"/>
  <c r="AE97" i="27"/>
  <c r="AD97" i="27"/>
  <c r="AB97" i="27"/>
  <c r="N97" i="27"/>
  <c r="M97" i="27"/>
  <c r="F97" i="27"/>
  <c r="H97" i="27" s="1"/>
  <c r="E97" i="27"/>
  <c r="AF97" i="27" s="1"/>
  <c r="AE96" i="27"/>
  <c r="AD96" i="27"/>
  <c r="AB96" i="27"/>
  <c r="N96" i="27"/>
  <c r="M96" i="27"/>
  <c r="F96" i="27"/>
  <c r="H96" i="27" s="1"/>
  <c r="E96" i="27"/>
  <c r="AF96" i="27" s="1"/>
  <c r="AE95" i="27"/>
  <c r="AD95" i="27"/>
  <c r="AB95" i="27"/>
  <c r="N95" i="27"/>
  <c r="M95" i="27"/>
  <c r="F95" i="27"/>
  <c r="H95" i="27" s="1"/>
  <c r="E95" i="27"/>
  <c r="AF95" i="27" s="1"/>
  <c r="AE94" i="27"/>
  <c r="AD94" i="27"/>
  <c r="AB94" i="27"/>
  <c r="N94" i="27"/>
  <c r="M94" i="27"/>
  <c r="F94" i="27"/>
  <c r="H94" i="27" s="1"/>
  <c r="E94" i="27"/>
  <c r="AF94" i="27" s="1"/>
  <c r="AE93" i="27"/>
  <c r="AD93" i="27"/>
  <c r="AB93" i="27"/>
  <c r="E93" i="27"/>
  <c r="T93" i="27" s="1"/>
  <c r="N93" i="27"/>
  <c r="M93" i="27"/>
  <c r="F93" i="27"/>
  <c r="H93" i="27" s="1"/>
  <c r="AE92" i="27"/>
  <c r="AD92" i="27"/>
  <c r="AB92" i="27"/>
  <c r="N92" i="27"/>
  <c r="M92" i="27"/>
  <c r="F92" i="27"/>
  <c r="H92" i="27" s="1"/>
  <c r="E92" i="27"/>
  <c r="AF92" i="27" s="1"/>
  <c r="AE91" i="27"/>
  <c r="AD91" i="27"/>
  <c r="AB91" i="27"/>
  <c r="N91" i="27"/>
  <c r="M91" i="27"/>
  <c r="F91" i="27"/>
  <c r="H91" i="27" s="1"/>
  <c r="E91" i="27"/>
  <c r="AF91" i="27" s="1"/>
  <c r="AE90" i="27"/>
  <c r="AD90" i="27"/>
  <c r="AB90" i="27"/>
  <c r="N90" i="27"/>
  <c r="M90" i="27"/>
  <c r="F90" i="27"/>
  <c r="H90" i="27" s="1"/>
  <c r="E90" i="27"/>
  <c r="AF90" i="27" s="1"/>
  <c r="AE89" i="27"/>
  <c r="AD89" i="27"/>
  <c r="AB89" i="27"/>
  <c r="N89" i="27"/>
  <c r="M89" i="27"/>
  <c r="F89" i="27"/>
  <c r="H89" i="27" s="1"/>
  <c r="E89" i="27"/>
  <c r="G89" i="27" s="1"/>
  <c r="G95" i="27" l="1"/>
  <c r="T97" i="27"/>
  <c r="AF89" i="27"/>
  <c r="T89" i="27"/>
  <c r="T99" i="27"/>
  <c r="T90" i="27"/>
  <c r="T95" i="27"/>
  <c r="T101" i="27"/>
  <c r="G94" i="27"/>
  <c r="T94" i="27"/>
  <c r="T100" i="27"/>
  <c r="T98" i="27"/>
  <c r="T96" i="27"/>
  <c r="F103" i="27"/>
  <c r="C104" i="27" s="1"/>
  <c r="T92" i="27"/>
  <c r="T91" i="27"/>
  <c r="AF93" i="27"/>
  <c r="G93" i="27"/>
  <c r="E103" i="27"/>
  <c r="G90" i="27"/>
  <c r="G91" i="27"/>
  <c r="G92" i="27"/>
  <c r="G97" i="27"/>
  <c r="G98" i="27"/>
  <c r="O103" i="27"/>
  <c r="A104" i="27"/>
  <c r="G96" i="27"/>
  <c r="G102" i="27"/>
  <c r="G100" i="27"/>
  <c r="G101" i="27"/>
  <c r="L83" i="25"/>
  <c r="R82" i="25"/>
  <c r="Q82" i="25"/>
  <c r="P82" i="25"/>
  <c r="L82" i="25"/>
  <c r="K82" i="25"/>
  <c r="J82" i="25"/>
  <c r="I82" i="25"/>
  <c r="D82" i="25"/>
  <c r="A83" i="25" s="1"/>
  <c r="AE81" i="25"/>
  <c r="AD81" i="25"/>
  <c r="AB81" i="25"/>
  <c r="N81" i="25"/>
  <c r="M81" i="25"/>
  <c r="H81" i="25"/>
  <c r="F81" i="25"/>
  <c r="E81" i="25"/>
  <c r="G81" i="25" s="1"/>
  <c r="AE80" i="25"/>
  <c r="AD80" i="25"/>
  <c r="AB80" i="25"/>
  <c r="N80" i="25"/>
  <c r="M80" i="25"/>
  <c r="F80" i="25"/>
  <c r="H80" i="25" s="1"/>
  <c r="E80" i="25"/>
  <c r="T80" i="25" s="1"/>
  <c r="AE79" i="25"/>
  <c r="AD79" i="25"/>
  <c r="AB79" i="25"/>
  <c r="N79" i="25"/>
  <c r="M79" i="25"/>
  <c r="F79" i="25"/>
  <c r="H79" i="25" s="1"/>
  <c r="E79" i="25"/>
  <c r="T79" i="25" s="1"/>
  <c r="AE78" i="25"/>
  <c r="AD78" i="25"/>
  <c r="AB78" i="25"/>
  <c r="N78" i="25"/>
  <c r="M78" i="25"/>
  <c r="F78" i="25"/>
  <c r="E78" i="25"/>
  <c r="AE77" i="25"/>
  <c r="AD77" i="25"/>
  <c r="AB77" i="25"/>
  <c r="N77" i="25"/>
  <c r="M77" i="25"/>
  <c r="F77" i="25"/>
  <c r="H77" i="25" s="1"/>
  <c r="E77" i="25"/>
  <c r="T77" i="25" s="1"/>
  <c r="AF76" i="25"/>
  <c r="AE76" i="25"/>
  <c r="AD76" i="25"/>
  <c r="AB76" i="25"/>
  <c r="N76" i="25"/>
  <c r="M76" i="25"/>
  <c r="G76" i="25"/>
  <c r="F76" i="25"/>
  <c r="H76" i="25" s="1"/>
  <c r="E76" i="25"/>
  <c r="T76" i="25" s="1"/>
  <c r="AE75" i="25"/>
  <c r="AD75" i="25"/>
  <c r="AB75" i="25"/>
  <c r="N75" i="25"/>
  <c r="M75" i="25"/>
  <c r="F75" i="25"/>
  <c r="H75" i="25" s="1"/>
  <c r="E75" i="25"/>
  <c r="AE74" i="25"/>
  <c r="AD74" i="25"/>
  <c r="AB74" i="25"/>
  <c r="N74" i="25"/>
  <c r="M74" i="25"/>
  <c r="F74" i="25"/>
  <c r="H74" i="25" s="1"/>
  <c r="E74" i="25"/>
  <c r="AE73" i="25"/>
  <c r="AD73" i="25"/>
  <c r="AB73" i="25"/>
  <c r="N73" i="25"/>
  <c r="M73" i="25"/>
  <c r="H73" i="25"/>
  <c r="F73" i="25"/>
  <c r="E73" i="25"/>
  <c r="AE72" i="25"/>
  <c r="AD72" i="25"/>
  <c r="AB72" i="25"/>
  <c r="N72" i="25"/>
  <c r="M72" i="25"/>
  <c r="F72" i="25"/>
  <c r="H72" i="25" s="1"/>
  <c r="E72" i="25"/>
  <c r="T72" i="25" s="1"/>
  <c r="AE71" i="25"/>
  <c r="AD71" i="25"/>
  <c r="AB71" i="25"/>
  <c r="N71" i="25"/>
  <c r="M71" i="25"/>
  <c r="F71" i="25"/>
  <c r="H71" i="25" s="1"/>
  <c r="E71" i="25"/>
  <c r="G71" i="25" s="1"/>
  <c r="AE70" i="25"/>
  <c r="AD70" i="25"/>
  <c r="AB70" i="25"/>
  <c r="N70" i="25"/>
  <c r="M70" i="25"/>
  <c r="F70" i="25"/>
  <c r="H70" i="25" s="1"/>
  <c r="E70" i="25"/>
  <c r="AE69" i="25"/>
  <c r="AD69" i="25"/>
  <c r="AB69" i="25"/>
  <c r="O82" i="25"/>
  <c r="N69" i="25"/>
  <c r="M69" i="25"/>
  <c r="F69" i="25"/>
  <c r="H69" i="25" s="1"/>
  <c r="AE68" i="25"/>
  <c r="AD68" i="25"/>
  <c r="AB68" i="25"/>
  <c r="N68" i="25"/>
  <c r="M68" i="25"/>
  <c r="F68" i="25"/>
  <c r="E68" i="25"/>
  <c r="E28" i="25"/>
  <c r="T28" i="25" s="1"/>
  <c r="F28" i="25"/>
  <c r="E29" i="25"/>
  <c r="T29" i="25" s="1"/>
  <c r="F29" i="25"/>
  <c r="E30" i="25"/>
  <c r="T30" i="25" s="1"/>
  <c r="F30" i="25"/>
  <c r="E31" i="25"/>
  <c r="T31" i="25" s="1"/>
  <c r="F31" i="25"/>
  <c r="E32" i="25"/>
  <c r="T32" i="25" s="1"/>
  <c r="F32" i="25"/>
  <c r="E33" i="25"/>
  <c r="T33" i="25" s="1"/>
  <c r="F33" i="25"/>
  <c r="E34" i="25"/>
  <c r="T34" i="25" s="1"/>
  <c r="F34" i="25"/>
  <c r="E35" i="25"/>
  <c r="T35" i="25" s="1"/>
  <c r="F35" i="25"/>
  <c r="E36" i="25"/>
  <c r="T36" i="25" s="1"/>
  <c r="F36" i="25"/>
  <c r="E49" i="25"/>
  <c r="T49" i="25" s="1"/>
  <c r="F49" i="25"/>
  <c r="E50" i="25"/>
  <c r="T50" i="25" s="1"/>
  <c r="F50" i="25"/>
  <c r="E51" i="25"/>
  <c r="T51" i="25" s="1"/>
  <c r="F51" i="25"/>
  <c r="E52" i="25"/>
  <c r="T52" i="25" s="1"/>
  <c r="F52" i="25"/>
  <c r="E53" i="25"/>
  <c r="T53" i="25" s="1"/>
  <c r="F53" i="25"/>
  <c r="E54" i="25"/>
  <c r="T54" i="25" s="1"/>
  <c r="F54" i="25"/>
  <c r="E55" i="25"/>
  <c r="T55" i="25" s="1"/>
  <c r="F55" i="25"/>
  <c r="E56" i="25"/>
  <c r="T56" i="25" s="1"/>
  <c r="F56" i="25"/>
  <c r="E57" i="25"/>
  <c r="T57" i="25" s="1"/>
  <c r="F57" i="25"/>
  <c r="G70" i="25" l="1"/>
  <c r="T70" i="25"/>
  <c r="AF73" i="25"/>
  <c r="T73" i="25"/>
  <c r="G72" i="25"/>
  <c r="AF81" i="25"/>
  <c r="AF74" i="25"/>
  <c r="T74" i="25"/>
  <c r="AF71" i="25"/>
  <c r="T71" i="25"/>
  <c r="AF72" i="25"/>
  <c r="G75" i="25"/>
  <c r="T75" i="25"/>
  <c r="AF78" i="25"/>
  <c r="T78" i="25"/>
  <c r="E83" i="25"/>
  <c r="H103" i="27"/>
  <c r="G80" i="25"/>
  <c r="AF80" i="25"/>
  <c r="AF79" i="25"/>
  <c r="G79" i="25"/>
  <c r="G77" i="25"/>
  <c r="F82" i="25"/>
  <c r="H82" i="25" s="1"/>
  <c r="AF77" i="25"/>
  <c r="AF68" i="25"/>
  <c r="T68" i="25"/>
  <c r="G103" i="27"/>
  <c r="J104" i="27"/>
  <c r="F104" i="27"/>
  <c r="G68" i="25"/>
  <c r="AF70" i="25"/>
  <c r="AF75" i="25"/>
  <c r="H68" i="25"/>
  <c r="G74" i="25"/>
  <c r="E69" i="25"/>
  <c r="T69" i="25" s="1"/>
  <c r="G73" i="25"/>
  <c r="C83" i="25" l="1"/>
  <c r="E82" i="25"/>
  <c r="G82" i="25" s="1"/>
  <c r="AF69" i="25"/>
  <c r="G69" i="25"/>
  <c r="F83" i="25" l="1"/>
  <c r="J83" i="25"/>
  <c r="N55" i="24"/>
  <c r="R21" i="23" l="1"/>
  <c r="Q21" i="23"/>
  <c r="R42" i="23"/>
  <c r="Q42" i="23"/>
  <c r="Q29" i="29" l="1"/>
  <c r="Q14" i="28"/>
  <c r="O72" i="27"/>
  <c r="Q35" i="27"/>
  <c r="E72" i="26"/>
  <c r="E83" i="26"/>
  <c r="R82" i="26"/>
  <c r="Q82" i="26"/>
  <c r="P82" i="26"/>
  <c r="L82" i="26"/>
  <c r="K82" i="26"/>
  <c r="J82" i="26"/>
  <c r="I82" i="26"/>
  <c r="A83" i="26"/>
  <c r="L83" i="26"/>
  <c r="AE81" i="26"/>
  <c r="AD81" i="26"/>
  <c r="AB81" i="26"/>
  <c r="N81" i="26"/>
  <c r="M81" i="26"/>
  <c r="F81" i="26"/>
  <c r="H81" i="26" s="1"/>
  <c r="E81" i="26"/>
  <c r="AF81" i="26" s="1"/>
  <c r="AE80" i="26"/>
  <c r="AD80" i="26"/>
  <c r="AB80" i="26"/>
  <c r="N80" i="26"/>
  <c r="M80" i="26"/>
  <c r="F80" i="26"/>
  <c r="H80" i="26" s="1"/>
  <c r="E80" i="26"/>
  <c r="T80" i="26" s="1"/>
  <c r="AF79" i="26"/>
  <c r="AE79" i="26"/>
  <c r="AD79" i="26"/>
  <c r="AB79" i="26"/>
  <c r="N79" i="26"/>
  <c r="M79" i="26"/>
  <c r="H79" i="26"/>
  <c r="F79" i="26"/>
  <c r="E79" i="26"/>
  <c r="T79" i="26" s="1"/>
  <c r="AE78" i="26"/>
  <c r="AD78" i="26"/>
  <c r="AB78" i="26"/>
  <c r="N78" i="26"/>
  <c r="M78" i="26"/>
  <c r="F78" i="26"/>
  <c r="E78" i="26"/>
  <c r="AF78" i="26" s="1"/>
  <c r="AE77" i="26"/>
  <c r="AD77" i="26"/>
  <c r="AB77" i="26"/>
  <c r="N77" i="26"/>
  <c r="M77" i="26"/>
  <c r="F77" i="26"/>
  <c r="H77" i="26" s="1"/>
  <c r="E77" i="26"/>
  <c r="AE76" i="26"/>
  <c r="AD76" i="26"/>
  <c r="AB76" i="26"/>
  <c r="N76" i="26"/>
  <c r="M76" i="26"/>
  <c r="H76" i="26"/>
  <c r="F76" i="26"/>
  <c r="E76" i="26"/>
  <c r="AF76" i="26" s="1"/>
  <c r="AE75" i="26"/>
  <c r="AD75" i="26"/>
  <c r="AB75" i="26"/>
  <c r="N75" i="26"/>
  <c r="M75" i="26"/>
  <c r="F75" i="26"/>
  <c r="H75" i="26" s="1"/>
  <c r="E75" i="26"/>
  <c r="T75" i="26" s="1"/>
  <c r="AE74" i="26"/>
  <c r="AD74" i="26"/>
  <c r="AB74" i="26"/>
  <c r="N74" i="26"/>
  <c r="M74" i="26"/>
  <c r="F74" i="26"/>
  <c r="H74" i="26" s="1"/>
  <c r="E74" i="26"/>
  <c r="AE73" i="26"/>
  <c r="AD73" i="26"/>
  <c r="AB73" i="26"/>
  <c r="N73" i="26"/>
  <c r="M73" i="26"/>
  <c r="F73" i="26"/>
  <c r="H73" i="26" s="1"/>
  <c r="E73" i="26"/>
  <c r="AE72" i="26"/>
  <c r="AD72" i="26"/>
  <c r="AB72" i="26"/>
  <c r="N72" i="26"/>
  <c r="M72" i="26"/>
  <c r="F72" i="26"/>
  <c r="H72" i="26" s="1"/>
  <c r="AE71" i="26"/>
  <c r="AD71" i="26"/>
  <c r="AB71" i="26"/>
  <c r="N71" i="26"/>
  <c r="M71" i="26"/>
  <c r="F71" i="26"/>
  <c r="H71" i="26" s="1"/>
  <c r="E71" i="26"/>
  <c r="AE70" i="26"/>
  <c r="AD70" i="26"/>
  <c r="AB70" i="26"/>
  <c r="N70" i="26"/>
  <c r="M70" i="26"/>
  <c r="F70" i="26"/>
  <c r="H70" i="26" s="1"/>
  <c r="E70" i="26"/>
  <c r="AE69" i="26"/>
  <c r="AD69" i="26"/>
  <c r="AB69" i="26"/>
  <c r="N69" i="26"/>
  <c r="M69" i="26"/>
  <c r="F69" i="26"/>
  <c r="H69" i="26" s="1"/>
  <c r="AE68" i="26"/>
  <c r="AD68" i="26"/>
  <c r="AB68" i="26"/>
  <c r="N68" i="26"/>
  <c r="M68" i="26"/>
  <c r="F68" i="26"/>
  <c r="E68" i="26"/>
  <c r="O28" i="26"/>
  <c r="R17" i="23"/>
  <c r="Q17" i="23"/>
  <c r="M70" i="17"/>
  <c r="N70" i="17"/>
  <c r="M71" i="17"/>
  <c r="N71" i="17"/>
  <c r="M72" i="17"/>
  <c r="N72" i="17"/>
  <c r="M73" i="17"/>
  <c r="N73" i="17"/>
  <c r="M74" i="17"/>
  <c r="N74" i="17"/>
  <c r="M75" i="17"/>
  <c r="N75" i="17"/>
  <c r="M76" i="17"/>
  <c r="N76" i="17"/>
  <c r="M77" i="17"/>
  <c r="N77" i="17"/>
  <c r="M78" i="17"/>
  <c r="N78" i="17"/>
  <c r="M79" i="17"/>
  <c r="N79" i="17"/>
  <c r="M80" i="17"/>
  <c r="N80" i="17"/>
  <c r="M81" i="17"/>
  <c r="N81" i="17"/>
  <c r="M82" i="17"/>
  <c r="N82" i="17"/>
  <c r="M49" i="17"/>
  <c r="N49" i="17"/>
  <c r="M50" i="17"/>
  <c r="N50" i="17"/>
  <c r="M51" i="17"/>
  <c r="N51" i="17"/>
  <c r="M52" i="17"/>
  <c r="N52" i="17"/>
  <c r="M53" i="17"/>
  <c r="N53" i="17"/>
  <c r="M54" i="17"/>
  <c r="N54" i="17"/>
  <c r="M55" i="17"/>
  <c r="N55" i="17"/>
  <c r="M56" i="17"/>
  <c r="N56" i="17"/>
  <c r="M57" i="17"/>
  <c r="N57" i="17"/>
  <c r="M58" i="17"/>
  <c r="N58" i="17"/>
  <c r="M59" i="17"/>
  <c r="N59" i="17"/>
  <c r="M60" i="17"/>
  <c r="N60" i="17"/>
  <c r="M61" i="17"/>
  <c r="N61" i="17"/>
  <c r="L84" i="17"/>
  <c r="R83" i="17"/>
  <c r="Q83" i="17"/>
  <c r="P83" i="17"/>
  <c r="L83" i="17"/>
  <c r="K83" i="17"/>
  <c r="J83" i="17"/>
  <c r="I83" i="17"/>
  <c r="D83" i="17"/>
  <c r="E84" i="17" s="1"/>
  <c r="AE82" i="17"/>
  <c r="AD82" i="17"/>
  <c r="AB82" i="17"/>
  <c r="F82" i="17"/>
  <c r="H82" i="17" s="1"/>
  <c r="E82" i="17"/>
  <c r="AF82" i="17" s="1"/>
  <c r="AE81" i="17"/>
  <c r="AD81" i="17"/>
  <c r="AB81" i="17"/>
  <c r="F81" i="17"/>
  <c r="H81" i="17" s="1"/>
  <c r="E81" i="17"/>
  <c r="AF81" i="17" s="1"/>
  <c r="AE80" i="17"/>
  <c r="AD80" i="17"/>
  <c r="AB80" i="17"/>
  <c r="F80" i="17"/>
  <c r="H80" i="17" s="1"/>
  <c r="E80" i="17"/>
  <c r="AE79" i="17"/>
  <c r="AD79" i="17"/>
  <c r="AB79" i="17"/>
  <c r="F79" i="17"/>
  <c r="E79" i="17"/>
  <c r="AE78" i="17"/>
  <c r="AD78" i="17"/>
  <c r="AB78" i="17"/>
  <c r="F78" i="17"/>
  <c r="H78" i="17" s="1"/>
  <c r="E78" i="17"/>
  <c r="G78" i="17" s="1"/>
  <c r="AE77" i="17"/>
  <c r="AD77" i="17"/>
  <c r="AB77" i="17"/>
  <c r="F77" i="17"/>
  <c r="H77" i="17" s="1"/>
  <c r="E77" i="17"/>
  <c r="AE76" i="17"/>
  <c r="AD76" i="17"/>
  <c r="AB76" i="17"/>
  <c r="F76" i="17"/>
  <c r="H76" i="17" s="1"/>
  <c r="E76" i="17"/>
  <c r="AE75" i="17"/>
  <c r="AD75" i="17"/>
  <c r="AB75" i="17"/>
  <c r="F75" i="17"/>
  <c r="H75" i="17" s="1"/>
  <c r="E75" i="17"/>
  <c r="AE74" i="17"/>
  <c r="AD74" i="17"/>
  <c r="AB74" i="17"/>
  <c r="F74" i="17"/>
  <c r="H74" i="17" s="1"/>
  <c r="E74" i="17"/>
  <c r="AE73" i="17"/>
  <c r="AD73" i="17"/>
  <c r="AB73" i="17"/>
  <c r="F73" i="17"/>
  <c r="H73" i="17" s="1"/>
  <c r="E73" i="17"/>
  <c r="AE72" i="17"/>
  <c r="AD72" i="17"/>
  <c r="AB72" i="17"/>
  <c r="F72" i="17"/>
  <c r="H72" i="17" s="1"/>
  <c r="E72" i="17"/>
  <c r="AE71" i="17"/>
  <c r="AD71" i="17"/>
  <c r="AB71" i="17"/>
  <c r="O83" i="17"/>
  <c r="F71" i="17"/>
  <c r="E71" i="17"/>
  <c r="D71" i="17"/>
  <c r="AE70" i="17"/>
  <c r="AD70" i="17"/>
  <c r="AB70" i="17"/>
  <c r="F70" i="17"/>
  <c r="E70" i="17"/>
  <c r="D70" i="17"/>
  <c r="AE69" i="17"/>
  <c r="AD69" i="17"/>
  <c r="AB69" i="17"/>
  <c r="N69" i="17"/>
  <c r="M69" i="17"/>
  <c r="F69" i="17"/>
  <c r="H69" i="17" s="1"/>
  <c r="E69" i="17"/>
  <c r="G79" i="26" l="1"/>
  <c r="AF80" i="26"/>
  <c r="G80" i="26"/>
  <c r="AF79" i="17"/>
  <c r="T79" i="17"/>
  <c r="G81" i="17"/>
  <c r="AF77" i="17"/>
  <c r="T77" i="17"/>
  <c r="AF78" i="17"/>
  <c r="T78" i="17"/>
  <c r="M83" i="17"/>
  <c r="AF72" i="26"/>
  <c r="T72" i="26"/>
  <c r="AF74" i="26"/>
  <c r="T74" i="26"/>
  <c r="G74" i="26"/>
  <c r="G80" i="17"/>
  <c r="T80" i="17"/>
  <c r="AF71" i="26"/>
  <c r="T71" i="26"/>
  <c r="AF77" i="26"/>
  <c r="T77" i="26"/>
  <c r="AF75" i="26"/>
  <c r="G75" i="26"/>
  <c r="AF73" i="26"/>
  <c r="T73" i="26"/>
  <c r="AF70" i="26"/>
  <c r="T70" i="26"/>
  <c r="N83" i="17"/>
  <c r="G76" i="17"/>
  <c r="T76" i="17"/>
  <c r="G75" i="17"/>
  <c r="T75" i="17"/>
  <c r="AF74" i="17"/>
  <c r="T74" i="17"/>
  <c r="AF73" i="17"/>
  <c r="T73" i="17"/>
  <c r="G72" i="17"/>
  <c r="T72" i="17"/>
  <c r="AF71" i="17"/>
  <c r="T71" i="17"/>
  <c r="AF70" i="17"/>
  <c r="T70" i="17"/>
  <c r="AF69" i="17"/>
  <c r="T69" i="17"/>
  <c r="G69" i="17"/>
  <c r="G68" i="26"/>
  <c r="T68" i="26"/>
  <c r="G70" i="26"/>
  <c r="O82" i="26"/>
  <c r="E69" i="26"/>
  <c r="F82" i="26"/>
  <c r="C83" i="26" s="1"/>
  <c r="AF68" i="26"/>
  <c r="G71" i="26"/>
  <c r="H68" i="26"/>
  <c r="G73" i="26"/>
  <c r="G72" i="26"/>
  <c r="G76" i="26"/>
  <c r="G77" i="26"/>
  <c r="G81" i="26"/>
  <c r="H71" i="17"/>
  <c r="G71" i="17"/>
  <c r="G70" i="17"/>
  <c r="G82" i="17"/>
  <c r="E83" i="17"/>
  <c r="J84" i="17" s="1"/>
  <c r="G74" i="17"/>
  <c r="G73" i="17"/>
  <c r="G77" i="17"/>
  <c r="F83" i="17"/>
  <c r="C84" i="17" s="1"/>
  <c r="AF75" i="17"/>
  <c r="AF80" i="17"/>
  <c r="AF72" i="17"/>
  <c r="A84" i="17"/>
  <c r="AF76" i="17"/>
  <c r="H70" i="17"/>
  <c r="AF69" i="26" l="1"/>
  <c r="T69" i="26"/>
  <c r="E82" i="26"/>
  <c r="F83" i="26" s="1"/>
  <c r="G69" i="26"/>
  <c r="H82" i="26"/>
  <c r="G83" i="17"/>
  <c r="H83" i="17"/>
  <c r="F84" i="17"/>
  <c r="O29" i="17"/>
  <c r="O12" i="17"/>
  <c r="O8" i="17"/>
  <c r="J83" i="26" l="1"/>
  <c r="G82" i="26"/>
  <c r="Q35" i="28"/>
  <c r="Q83" i="29"/>
  <c r="R82" i="29"/>
  <c r="P82" i="29"/>
  <c r="O82" i="29"/>
  <c r="L82" i="29"/>
  <c r="K82" i="29"/>
  <c r="J82" i="29"/>
  <c r="I82" i="29"/>
  <c r="D82" i="29"/>
  <c r="E83" i="29" s="1"/>
  <c r="C82" i="29"/>
  <c r="L83" i="29" s="1"/>
  <c r="AE81" i="29"/>
  <c r="AD81" i="29"/>
  <c r="AB81" i="29"/>
  <c r="N81" i="29"/>
  <c r="M81" i="29"/>
  <c r="F81" i="29"/>
  <c r="H81" i="29" s="1"/>
  <c r="E81" i="29"/>
  <c r="AF81" i="29" s="1"/>
  <c r="AE80" i="29"/>
  <c r="AD80" i="29"/>
  <c r="AB80" i="29"/>
  <c r="N80" i="29"/>
  <c r="M80" i="29"/>
  <c r="F80" i="29"/>
  <c r="H80" i="29" s="1"/>
  <c r="E80" i="29"/>
  <c r="AE79" i="29"/>
  <c r="AD79" i="29"/>
  <c r="AB79" i="29"/>
  <c r="N79" i="29"/>
  <c r="M79" i="29"/>
  <c r="F79" i="29"/>
  <c r="H79" i="29" s="1"/>
  <c r="E79" i="29"/>
  <c r="AE78" i="29"/>
  <c r="AD78" i="29"/>
  <c r="AB78" i="29"/>
  <c r="N78" i="29"/>
  <c r="M78" i="29"/>
  <c r="F78" i="29"/>
  <c r="E78" i="29"/>
  <c r="AE77" i="29"/>
  <c r="AD77" i="29"/>
  <c r="AB77" i="29"/>
  <c r="N77" i="29"/>
  <c r="M77" i="29"/>
  <c r="F77" i="29"/>
  <c r="H77" i="29" s="1"/>
  <c r="E77" i="29"/>
  <c r="AE76" i="29"/>
  <c r="AD76" i="29"/>
  <c r="AB76" i="29"/>
  <c r="N76" i="29"/>
  <c r="M76" i="29"/>
  <c r="H76" i="29"/>
  <c r="F76" i="29"/>
  <c r="E76" i="29"/>
  <c r="AE75" i="29"/>
  <c r="AD75" i="29"/>
  <c r="AB75" i="29"/>
  <c r="N75" i="29"/>
  <c r="M75" i="29"/>
  <c r="F75" i="29"/>
  <c r="H75" i="29" s="1"/>
  <c r="E75" i="29"/>
  <c r="AE74" i="29"/>
  <c r="AD74" i="29"/>
  <c r="AB74" i="29"/>
  <c r="N74" i="29"/>
  <c r="M74" i="29"/>
  <c r="G74" i="29"/>
  <c r="F74" i="29"/>
  <c r="H74" i="29" s="1"/>
  <c r="E74" i="29"/>
  <c r="AE73" i="29"/>
  <c r="AD73" i="29"/>
  <c r="AB73" i="29"/>
  <c r="N73" i="29"/>
  <c r="M73" i="29"/>
  <c r="F73" i="29"/>
  <c r="H73" i="29" s="1"/>
  <c r="E73" i="29"/>
  <c r="AE72" i="29"/>
  <c r="AD72" i="29"/>
  <c r="AB72" i="29"/>
  <c r="N72" i="29"/>
  <c r="M72" i="29"/>
  <c r="F72" i="29"/>
  <c r="H72" i="29" s="1"/>
  <c r="E72" i="29"/>
  <c r="AE71" i="29"/>
  <c r="AD71" i="29"/>
  <c r="AB71" i="29"/>
  <c r="Q82" i="29"/>
  <c r="N71" i="29"/>
  <c r="M71" i="29"/>
  <c r="F71" i="29"/>
  <c r="H71" i="29" s="1"/>
  <c r="E71" i="29"/>
  <c r="AE70" i="29"/>
  <c r="AD70" i="29"/>
  <c r="AB70" i="29"/>
  <c r="N70" i="29"/>
  <c r="M70" i="29"/>
  <c r="F70" i="29"/>
  <c r="H70" i="29" s="1"/>
  <c r="E70" i="29"/>
  <c r="AE69" i="29"/>
  <c r="AD69" i="29"/>
  <c r="AB69" i="29"/>
  <c r="N69" i="29"/>
  <c r="M69" i="29"/>
  <c r="F69" i="29"/>
  <c r="H69" i="29" s="1"/>
  <c r="E69" i="29"/>
  <c r="AE68" i="29"/>
  <c r="AD68" i="29"/>
  <c r="AB68" i="29"/>
  <c r="N68" i="29"/>
  <c r="M68" i="29"/>
  <c r="F68" i="29"/>
  <c r="E68" i="29"/>
  <c r="AF73" i="29" l="1"/>
  <c r="T73" i="29"/>
  <c r="AF79" i="29"/>
  <c r="T79" i="29"/>
  <c r="AF76" i="29"/>
  <c r="T76" i="29"/>
  <c r="AF68" i="29"/>
  <c r="T68" i="29"/>
  <c r="AF74" i="29"/>
  <c r="T74" i="29"/>
  <c r="G75" i="29"/>
  <c r="T75" i="29"/>
  <c r="AF77" i="29"/>
  <c r="T77" i="29"/>
  <c r="AF72" i="29"/>
  <c r="T72" i="29"/>
  <c r="AF69" i="29"/>
  <c r="T69" i="29"/>
  <c r="AF70" i="29"/>
  <c r="T70" i="29"/>
  <c r="G71" i="29"/>
  <c r="T71" i="29"/>
  <c r="AF71" i="29"/>
  <c r="AF78" i="29"/>
  <c r="T78" i="29"/>
  <c r="AF80" i="29"/>
  <c r="T80" i="29"/>
  <c r="F82" i="29"/>
  <c r="C83" i="29" s="1"/>
  <c r="H68" i="29"/>
  <c r="AF75" i="29"/>
  <c r="E82" i="29"/>
  <c r="A83" i="29"/>
  <c r="G73" i="29"/>
  <c r="G81" i="29"/>
  <c r="G68" i="29"/>
  <c r="G69" i="29"/>
  <c r="G70" i="29"/>
  <c r="G72" i="29"/>
  <c r="G76" i="29"/>
  <c r="G77" i="29"/>
  <c r="G79" i="29"/>
  <c r="G80" i="29"/>
  <c r="H82" i="29" l="1"/>
  <c r="G82" i="29"/>
  <c r="J83" i="29"/>
  <c r="F83" i="29"/>
  <c r="Q104" i="28" l="1"/>
  <c r="R103" i="28"/>
  <c r="Q103" i="28"/>
  <c r="P103" i="28"/>
  <c r="O103" i="28"/>
  <c r="L103" i="28"/>
  <c r="K103" i="28"/>
  <c r="J103" i="28"/>
  <c r="I103" i="28"/>
  <c r="D103" i="28"/>
  <c r="E104" i="28" s="1"/>
  <c r="C103" i="28"/>
  <c r="L104" i="28" s="1"/>
  <c r="AE102" i="28"/>
  <c r="AD102" i="28"/>
  <c r="AB102" i="28"/>
  <c r="N102" i="28"/>
  <c r="M102" i="28"/>
  <c r="F102" i="28"/>
  <c r="H102" i="28" s="1"/>
  <c r="E102" i="28"/>
  <c r="AF102" i="28" s="1"/>
  <c r="AE101" i="28"/>
  <c r="AD101" i="28"/>
  <c r="AB101" i="28"/>
  <c r="N101" i="28"/>
  <c r="M101" i="28"/>
  <c r="F101" i="28"/>
  <c r="H101" i="28" s="1"/>
  <c r="E101" i="28"/>
  <c r="AE100" i="28"/>
  <c r="AD100" i="28"/>
  <c r="AB100" i="28"/>
  <c r="N100" i="28"/>
  <c r="M100" i="28"/>
  <c r="F100" i="28"/>
  <c r="H100" i="28" s="1"/>
  <c r="E100" i="28"/>
  <c r="AE99" i="28"/>
  <c r="AD99" i="28"/>
  <c r="AB99" i="28"/>
  <c r="N99" i="28"/>
  <c r="M99" i="28"/>
  <c r="F99" i="28"/>
  <c r="E99" i="28"/>
  <c r="AE98" i="28"/>
  <c r="AD98" i="28"/>
  <c r="AB98" i="28"/>
  <c r="N98" i="28"/>
  <c r="M98" i="28"/>
  <c r="F98" i="28"/>
  <c r="H98" i="28" s="1"/>
  <c r="E98" i="28"/>
  <c r="AE97" i="28"/>
  <c r="AD97" i="28"/>
  <c r="AB97" i="28"/>
  <c r="N97" i="28"/>
  <c r="M97" i="28"/>
  <c r="F97" i="28"/>
  <c r="H97" i="28" s="1"/>
  <c r="E97" i="28"/>
  <c r="AE96" i="28"/>
  <c r="AD96" i="28"/>
  <c r="AB96" i="28"/>
  <c r="N96" i="28"/>
  <c r="M96" i="28"/>
  <c r="F96" i="28"/>
  <c r="H96" i="28" s="1"/>
  <c r="E96" i="28"/>
  <c r="AE95" i="28"/>
  <c r="AD95" i="28"/>
  <c r="AB95" i="28"/>
  <c r="N95" i="28"/>
  <c r="M95" i="28"/>
  <c r="F95" i="28"/>
  <c r="H95" i="28" s="1"/>
  <c r="E95" i="28"/>
  <c r="AE94" i="28"/>
  <c r="AD94" i="28"/>
  <c r="AB94" i="28"/>
  <c r="N94" i="28"/>
  <c r="M94" i="28"/>
  <c r="F94" i="28"/>
  <c r="H94" i="28" s="1"/>
  <c r="E94" i="28"/>
  <c r="AE93" i="28"/>
  <c r="AD93" i="28"/>
  <c r="AB93" i="28"/>
  <c r="N93" i="28"/>
  <c r="M93" i="28"/>
  <c r="F93" i="28"/>
  <c r="H93" i="28" s="1"/>
  <c r="E93" i="28"/>
  <c r="AE92" i="28"/>
  <c r="AD92" i="28"/>
  <c r="AB92" i="28"/>
  <c r="N92" i="28"/>
  <c r="M92" i="28"/>
  <c r="F92" i="28"/>
  <c r="H92" i="28" s="1"/>
  <c r="E92" i="28"/>
  <c r="AE91" i="28"/>
  <c r="AD91" i="28"/>
  <c r="AB91" i="28"/>
  <c r="N91" i="28"/>
  <c r="M91" i="28"/>
  <c r="F91" i="28"/>
  <c r="H91" i="28" s="1"/>
  <c r="E91" i="28"/>
  <c r="AE90" i="28"/>
  <c r="AD90" i="28"/>
  <c r="AB90" i="28"/>
  <c r="N90" i="28"/>
  <c r="M90" i="28"/>
  <c r="F90" i="28"/>
  <c r="H90" i="28" s="1"/>
  <c r="E90" i="28"/>
  <c r="AE89" i="28"/>
  <c r="AD89" i="28"/>
  <c r="AB89" i="28"/>
  <c r="N89" i="28"/>
  <c r="M89" i="28"/>
  <c r="F89" i="28"/>
  <c r="E89" i="28"/>
  <c r="T89" i="28" s="1"/>
  <c r="D19" i="24"/>
  <c r="AF99" i="28" l="1"/>
  <c r="T99" i="28"/>
  <c r="G94" i="28"/>
  <c r="T94" i="28"/>
  <c r="AF93" i="28"/>
  <c r="T93" i="28"/>
  <c r="AF98" i="28"/>
  <c r="T98" i="28"/>
  <c r="AF90" i="28"/>
  <c r="T90" i="28"/>
  <c r="AF97" i="28"/>
  <c r="T97" i="28"/>
  <c r="AF101" i="28"/>
  <c r="T101" i="28"/>
  <c r="AF92" i="28"/>
  <c r="T92" i="28"/>
  <c r="AF91" i="28"/>
  <c r="T91" i="28"/>
  <c r="G95" i="28"/>
  <c r="T95" i="28"/>
  <c r="AF96" i="28"/>
  <c r="T96" i="28"/>
  <c r="G100" i="28"/>
  <c r="T100" i="28"/>
  <c r="AF100" i="28"/>
  <c r="E103" i="28"/>
  <c r="J104" i="28" s="1"/>
  <c r="AF95" i="28"/>
  <c r="AF94" i="28"/>
  <c r="F103" i="28"/>
  <c r="H103" i="28" s="1"/>
  <c r="G89" i="28"/>
  <c r="AF89" i="28"/>
  <c r="H89" i="28"/>
  <c r="A104" i="28"/>
  <c r="G97" i="28"/>
  <c r="G98" i="28"/>
  <c r="G102" i="28"/>
  <c r="G93" i="28"/>
  <c r="G90" i="28"/>
  <c r="G91" i="28"/>
  <c r="G92" i="28"/>
  <c r="G96" i="28"/>
  <c r="G101" i="28"/>
  <c r="F104" i="28" l="1"/>
  <c r="G103" i="28"/>
  <c r="C104" i="28"/>
  <c r="Q83" i="27"/>
  <c r="R82" i="27"/>
  <c r="Q82" i="27"/>
  <c r="P82" i="27"/>
  <c r="O82" i="27"/>
  <c r="L82" i="27"/>
  <c r="K82" i="27"/>
  <c r="J82" i="27"/>
  <c r="I82" i="27"/>
  <c r="D82" i="27"/>
  <c r="C82" i="27"/>
  <c r="L83" i="27" s="1"/>
  <c r="AE81" i="27"/>
  <c r="AD81" i="27"/>
  <c r="AB81" i="27"/>
  <c r="N81" i="27"/>
  <c r="M81" i="27"/>
  <c r="F81" i="27"/>
  <c r="H81" i="27" s="1"/>
  <c r="E81" i="27"/>
  <c r="AF81" i="27" s="1"/>
  <c r="AE80" i="27"/>
  <c r="AD80" i="27"/>
  <c r="AB80" i="27"/>
  <c r="N80" i="27"/>
  <c r="M80" i="27"/>
  <c r="F80" i="27"/>
  <c r="H80" i="27" s="1"/>
  <c r="E80" i="27"/>
  <c r="AE79" i="27"/>
  <c r="AD79" i="27"/>
  <c r="AB79" i="27"/>
  <c r="N79" i="27"/>
  <c r="M79" i="27"/>
  <c r="F79" i="27"/>
  <c r="H79" i="27" s="1"/>
  <c r="E79" i="27"/>
  <c r="AE78" i="27"/>
  <c r="AD78" i="27"/>
  <c r="AB78" i="27"/>
  <c r="N78" i="27"/>
  <c r="M78" i="27"/>
  <c r="F78" i="27"/>
  <c r="E78" i="27"/>
  <c r="AE77" i="27"/>
  <c r="AD77" i="27"/>
  <c r="AB77" i="27"/>
  <c r="N77" i="27"/>
  <c r="M77" i="27"/>
  <c r="F77" i="27"/>
  <c r="H77" i="27" s="1"/>
  <c r="E77" i="27"/>
  <c r="AE76" i="27"/>
  <c r="AD76" i="27"/>
  <c r="AB76" i="27"/>
  <c r="N76" i="27"/>
  <c r="M76" i="27"/>
  <c r="F76" i="27"/>
  <c r="H76" i="27" s="1"/>
  <c r="E76" i="27"/>
  <c r="AE75" i="27"/>
  <c r="AD75" i="27"/>
  <c r="AB75" i="27"/>
  <c r="N75" i="27"/>
  <c r="M75" i="27"/>
  <c r="F75" i="27"/>
  <c r="H75" i="27" s="1"/>
  <c r="E75" i="27"/>
  <c r="AE74" i="27"/>
  <c r="AD74" i="27"/>
  <c r="AB74" i="27"/>
  <c r="N74" i="27"/>
  <c r="M74" i="27"/>
  <c r="F74" i="27"/>
  <c r="H74" i="27" s="1"/>
  <c r="E74" i="27"/>
  <c r="AE73" i="27"/>
  <c r="AD73" i="27"/>
  <c r="AB73" i="27"/>
  <c r="N73" i="27"/>
  <c r="M73" i="27"/>
  <c r="F73" i="27"/>
  <c r="H73" i="27" s="1"/>
  <c r="E73" i="27"/>
  <c r="AE72" i="27"/>
  <c r="AD72" i="27"/>
  <c r="AB72" i="27"/>
  <c r="N72" i="27"/>
  <c r="M72" i="27"/>
  <c r="F72" i="27"/>
  <c r="H72" i="27" s="1"/>
  <c r="E72" i="27"/>
  <c r="AE71" i="27"/>
  <c r="AD71" i="27"/>
  <c r="AB71" i="27"/>
  <c r="N71" i="27"/>
  <c r="M71" i="27"/>
  <c r="F71" i="27"/>
  <c r="H71" i="27" s="1"/>
  <c r="E71" i="27"/>
  <c r="AE70" i="27"/>
  <c r="AD70" i="27"/>
  <c r="AB70" i="27"/>
  <c r="N70" i="27"/>
  <c r="M70" i="27"/>
  <c r="F70" i="27"/>
  <c r="H70" i="27" s="1"/>
  <c r="E70" i="27"/>
  <c r="AE69" i="27"/>
  <c r="AD69" i="27"/>
  <c r="AB69" i="27"/>
  <c r="N69" i="27"/>
  <c r="M69" i="27"/>
  <c r="F69" i="27"/>
  <c r="H69" i="27" s="1"/>
  <c r="E69" i="27"/>
  <c r="AE68" i="27"/>
  <c r="AD68" i="27"/>
  <c r="AB68" i="27"/>
  <c r="N68" i="27"/>
  <c r="M68" i="27"/>
  <c r="F68" i="27"/>
  <c r="E68" i="27"/>
  <c r="T68" i="27" s="1"/>
  <c r="AF72" i="27" l="1"/>
  <c r="T72" i="27"/>
  <c r="AF76" i="27"/>
  <c r="T76" i="27"/>
  <c r="AF74" i="27"/>
  <c r="T74" i="27"/>
  <c r="AF78" i="27"/>
  <c r="T78" i="27"/>
  <c r="G69" i="27"/>
  <c r="T69" i="27"/>
  <c r="AF73" i="27"/>
  <c r="T73" i="27"/>
  <c r="AF79" i="27"/>
  <c r="T79" i="27"/>
  <c r="AF75" i="27"/>
  <c r="T75" i="27"/>
  <c r="AF80" i="27"/>
  <c r="T80" i="27"/>
  <c r="AF77" i="27"/>
  <c r="T77" i="27"/>
  <c r="AF71" i="27"/>
  <c r="T71" i="27"/>
  <c r="AF70" i="27"/>
  <c r="T70" i="27"/>
  <c r="G74" i="27"/>
  <c r="G75" i="27"/>
  <c r="G70" i="27"/>
  <c r="G81" i="27"/>
  <c r="G71" i="27"/>
  <c r="E82" i="27"/>
  <c r="F83" i="27" s="1"/>
  <c r="AF69" i="27"/>
  <c r="F82" i="27"/>
  <c r="G79" i="27"/>
  <c r="G80" i="27"/>
  <c r="A83" i="27"/>
  <c r="AF68" i="27"/>
  <c r="G68" i="27"/>
  <c r="E83" i="27"/>
  <c r="G73" i="27"/>
  <c r="H68" i="27"/>
  <c r="G72" i="27"/>
  <c r="G76" i="27"/>
  <c r="G77" i="27"/>
  <c r="C83" i="27" l="1"/>
  <c r="J83" i="27"/>
  <c r="G82" i="27"/>
  <c r="H82" i="27"/>
  <c r="R40" i="17" l="1"/>
  <c r="Q40" i="17"/>
  <c r="E48" i="26" l="1"/>
  <c r="T48" i="26" s="1"/>
  <c r="F48" i="26"/>
  <c r="E49" i="26"/>
  <c r="T49" i="26" s="1"/>
  <c r="F49" i="26"/>
  <c r="E50" i="26"/>
  <c r="T50" i="26" s="1"/>
  <c r="F50" i="26"/>
  <c r="E51" i="26"/>
  <c r="T51" i="26" s="1"/>
  <c r="F51" i="26"/>
  <c r="E52" i="26"/>
  <c r="T52" i="26" s="1"/>
  <c r="F52" i="26"/>
  <c r="E53" i="26"/>
  <c r="T53" i="26" s="1"/>
  <c r="F53" i="26"/>
  <c r="E54" i="26"/>
  <c r="T54" i="26" s="1"/>
  <c r="F54" i="26"/>
  <c r="E55" i="26"/>
  <c r="T55" i="26" s="1"/>
  <c r="F55" i="26"/>
  <c r="E56" i="26"/>
  <c r="T56" i="26" s="1"/>
  <c r="F56" i="26"/>
  <c r="E57" i="26"/>
  <c r="T57" i="26" s="1"/>
  <c r="F57" i="26"/>
  <c r="E58" i="26"/>
  <c r="T58" i="26" s="1"/>
  <c r="F58" i="26"/>
  <c r="E59" i="26"/>
  <c r="T59" i="26" s="1"/>
  <c r="F59" i="26"/>
  <c r="E60" i="26"/>
  <c r="F60" i="26"/>
  <c r="E27" i="26"/>
  <c r="T27" i="26" s="1"/>
  <c r="F27" i="26"/>
  <c r="F28" i="26"/>
  <c r="E29" i="26"/>
  <c r="T29" i="26" s="1"/>
  <c r="F29" i="26"/>
  <c r="E30" i="26"/>
  <c r="T30" i="26" s="1"/>
  <c r="F30" i="26"/>
  <c r="E31" i="26"/>
  <c r="T31" i="26" s="1"/>
  <c r="F31" i="26"/>
  <c r="E32" i="26"/>
  <c r="T32" i="26" s="1"/>
  <c r="F32" i="26"/>
  <c r="E33" i="26"/>
  <c r="T33" i="26" s="1"/>
  <c r="F33" i="26"/>
  <c r="E34" i="26"/>
  <c r="T34" i="26" s="1"/>
  <c r="F34" i="26"/>
  <c r="E35" i="26"/>
  <c r="T35" i="26" s="1"/>
  <c r="F35" i="26"/>
  <c r="E36" i="26"/>
  <c r="T36" i="26" s="1"/>
  <c r="F36" i="26"/>
  <c r="E37" i="26"/>
  <c r="T37" i="26" s="1"/>
  <c r="F37" i="26"/>
  <c r="E38" i="26"/>
  <c r="T38" i="26" s="1"/>
  <c r="F38" i="26"/>
  <c r="E39" i="26"/>
  <c r="F39" i="26"/>
  <c r="E48" i="24"/>
  <c r="F48" i="24"/>
  <c r="E49" i="24"/>
  <c r="F49" i="24"/>
  <c r="E50" i="24"/>
  <c r="F50" i="24"/>
  <c r="E51" i="24"/>
  <c r="F51" i="24"/>
  <c r="E52" i="24"/>
  <c r="F52" i="24"/>
  <c r="E53" i="24"/>
  <c r="F53" i="24"/>
  <c r="E54" i="24"/>
  <c r="F54" i="24"/>
  <c r="E55" i="24"/>
  <c r="F55" i="24"/>
  <c r="E56" i="24"/>
  <c r="T56" i="24" s="1"/>
  <c r="F56" i="24"/>
  <c r="E57" i="24"/>
  <c r="F57" i="24"/>
  <c r="E58" i="24"/>
  <c r="T58" i="24" s="1"/>
  <c r="F58" i="24"/>
  <c r="E59" i="24"/>
  <c r="T59" i="24" s="1"/>
  <c r="F59" i="24"/>
  <c r="E60" i="24"/>
  <c r="F60" i="24"/>
  <c r="E27" i="24"/>
  <c r="F27" i="24"/>
  <c r="E28" i="24"/>
  <c r="F28" i="24"/>
  <c r="E29" i="24"/>
  <c r="F29" i="24"/>
  <c r="E30" i="24"/>
  <c r="F30" i="24"/>
  <c r="E31" i="24"/>
  <c r="F31" i="24"/>
  <c r="E32" i="24"/>
  <c r="F32" i="24"/>
  <c r="E33" i="24"/>
  <c r="F33" i="24"/>
  <c r="E34" i="24"/>
  <c r="F34" i="24"/>
  <c r="E35" i="24"/>
  <c r="T35" i="24" s="1"/>
  <c r="F35" i="24"/>
  <c r="E36" i="24"/>
  <c r="F36" i="24"/>
  <c r="E37" i="24"/>
  <c r="T37" i="24" s="1"/>
  <c r="F37" i="24"/>
  <c r="E38" i="24"/>
  <c r="F38" i="24"/>
  <c r="E39" i="24"/>
  <c r="F39" i="24"/>
  <c r="E58" i="23"/>
  <c r="F58" i="23"/>
  <c r="E59" i="23"/>
  <c r="T59" i="23" s="1"/>
  <c r="F59" i="23"/>
  <c r="E60" i="23"/>
  <c r="T60" i="23" s="1"/>
  <c r="F60" i="23"/>
  <c r="E61" i="23"/>
  <c r="F61" i="23"/>
  <c r="E49" i="23"/>
  <c r="T49" i="23" s="1"/>
  <c r="F49" i="23"/>
  <c r="E50" i="23"/>
  <c r="F50" i="23"/>
  <c r="E51" i="23"/>
  <c r="F51" i="23"/>
  <c r="E52" i="23"/>
  <c r="F52" i="23"/>
  <c r="E53" i="23"/>
  <c r="F53" i="23"/>
  <c r="E54" i="23"/>
  <c r="T54" i="23" s="1"/>
  <c r="F54" i="23"/>
  <c r="E55" i="23"/>
  <c r="F55" i="23"/>
  <c r="E56" i="23"/>
  <c r="F56" i="23"/>
  <c r="E57" i="23"/>
  <c r="T57" i="23" s="1"/>
  <c r="F57" i="23"/>
  <c r="Q83" i="28" l="1"/>
  <c r="R82" i="28"/>
  <c r="Q82" i="28"/>
  <c r="P82" i="28"/>
  <c r="O82" i="28"/>
  <c r="L82" i="28"/>
  <c r="K82" i="28"/>
  <c r="J82" i="28"/>
  <c r="I82" i="28"/>
  <c r="D82" i="28"/>
  <c r="C82" i="28"/>
  <c r="L83" i="28" s="1"/>
  <c r="AE81" i="28"/>
  <c r="AD81" i="28"/>
  <c r="AB81" i="28"/>
  <c r="N81" i="28"/>
  <c r="M81" i="28"/>
  <c r="F81" i="28"/>
  <c r="H81" i="28" s="1"/>
  <c r="E81" i="28"/>
  <c r="AF81" i="28" s="1"/>
  <c r="AE80" i="28"/>
  <c r="AD80" i="28"/>
  <c r="AB80" i="28"/>
  <c r="N80" i="28"/>
  <c r="M80" i="28"/>
  <c r="F80" i="28"/>
  <c r="H80" i="28" s="1"/>
  <c r="E80" i="28"/>
  <c r="AE79" i="28"/>
  <c r="AD79" i="28"/>
  <c r="AB79" i="28"/>
  <c r="N79" i="28"/>
  <c r="M79" i="28"/>
  <c r="F79" i="28"/>
  <c r="H79" i="28" s="1"/>
  <c r="E79" i="28"/>
  <c r="AE78" i="28"/>
  <c r="AD78" i="28"/>
  <c r="AB78" i="28"/>
  <c r="N78" i="28"/>
  <c r="M78" i="28"/>
  <c r="F78" i="28"/>
  <c r="E78" i="28"/>
  <c r="AE77" i="28"/>
  <c r="AD77" i="28"/>
  <c r="AB77" i="28"/>
  <c r="N77" i="28"/>
  <c r="M77" i="28"/>
  <c r="H77" i="28"/>
  <c r="AE76" i="28"/>
  <c r="AD76" i="28"/>
  <c r="AB76" i="28"/>
  <c r="N76" i="28"/>
  <c r="M76" i="28"/>
  <c r="F76" i="28"/>
  <c r="H76" i="28" s="1"/>
  <c r="E76" i="28"/>
  <c r="AE75" i="28"/>
  <c r="AD75" i="28"/>
  <c r="AB75" i="28"/>
  <c r="N75" i="28"/>
  <c r="M75" i="28"/>
  <c r="F75" i="28"/>
  <c r="H75" i="28" s="1"/>
  <c r="E75" i="28"/>
  <c r="AE74" i="28"/>
  <c r="AD74" i="28"/>
  <c r="AB74" i="28"/>
  <c r="N74" i="28"/>
  <c r="M74" i="28"/>
  <c r="F74" i="28"/>
  <c r="H74" i="28" s="1"/>
  <c r="E74" i="28"/>
  <c r="AE73" i="28"/>
  <c r="AD73" i="28"/>
  <c r="AB73" i="28"/>
  <c r="N73" i="28"/>
  <c r="M73" i="28"/>
  <c r="F73" i="28"/>
  <c r="H73" i="28" s="1"/>
  <c r="E73" i="28"/>
  <c r="AE72" i="28"/>
  <c r="AD72" i="28"/>
  <c r="AB72" i="28"/>
  <c r="N72" i="28"/>
  <c r="M72" i="28"/>
  <c r="F72" i="28"/>
  <c r="H72" i="28" s="1"/>
  <c r="E72" i="28"/>
  <c r="AE71" i="28"/>
  <c r="AD71" i="28"/>
  <c r="AB71" i="28"/>
  <c r="N71" i="28"/>
  <c r="M71" i="28"/>
  <c r="F71" i="28"/>
  <c r="H71" i="28" s="1"/>
  <c r="E71" i="28"/>
  <c r="AE70" i="28"/>
  <c r="AD70" i="28"/>
  <c r="AB70" i="28"/>
  <c r="N70" i="28"/>
  <c r="M70" i="28"/>
  <c r="F70" i="28"/>
  <c r="H70" i="28" s="1"/>
  <c r="E70" i="28"/>
  <c r="AE69" i="28"/>
  <c r="AD69" i="28"/>
  <c r="AB69" i="28"/>
  <c r="N69" i="28"/>
  <c r="M69" i="28"/>
  <c r="F69" i="28"/>
  <c r="H69" i="28" s="1"/>
  <c r="E69" i="28"/>
  <c r="AE68" i="28"/>
  <c r="AD68" i="28"/>
  <c r="AB68" i="28"/>
  <c r="N68" i="28"/>
  <c r="M68" i="28"/>
  <c r="F68" i="28"/>
  <c r="E68" i="28"/>
  <c r="E28" i="26"/>
  <c r="T28" i="26" s="1"/>
  <c r="Q14" i="26"/>
  <c r="M48" i="25"/>
  <c r="N48" i="25"/>
  <c r="M49" i="25"/>
  <c r="N49" i="25"/>
  <c r="M50" i="25"/>
  <c r="N50" i="25"/>
  <c r="M51" i="25"/>
  <c r="N51" i="25"/>
  <c r="M52" i="25"/>
  <c r="N52" i="25"/>
  <c r="M53" i="25"/>
  <c r="N53" i="25"/>
  <c r="M54" i="25"/>
  <c r="N54" i="25"/>
  <c r="M55" i="25"/>
  <c r="N55" i="25"/>
  <c r="M56" i="25"/>
  <c r="N56" i="25"/>
  <c r="M57" i="25"/>
  <c r="N57" i="25"/>
  <c r="M58" i="25"/>
  <c r="N58" i="25"/>
  <c r="M59" i="25"/>
  <c r="N59" i="25"/>
  <c r="M60" i="25"/>
  <c r="N60" i="25"/>
  <c r="M27" i="25"/>
  <c r="N27" i="25"/>
  <c r="M28" i="25"/>
  <c r="N28" i="25"/>
  <c r="M29" i="25"/>
  <c r="N29" i="25"/>
  <c r="M30" i="25"/>
  <c r="N30" i="25"/>
  <c r="M31" i="25"/>
  <c r="N31" i="25"/>
  <c r="M32" i="25"/>
  <c r="N32" i="25"/>
  <c r="M33" i="25"/>
  <c r="N33" i="25"/>
  <c r="M34" i="25"/>
  <c r="N34" i="25"/>
  <c r="M35" i="25"/>
  <c r="N35" i="25"/>
  <c r="M36" i="25"/>
  <c r="N36" i="25"/>
  <c r="M37" i="25"/>
  <c r="N37" i="25"/>
  <c r="M38" i="25"/>
  <c r="N38" i="25"/>
  <c r="M39" i="25"/>
  <c r="N39" i="25"/>
  <c r="R18" i="25"/>
  <c r="Q18" i="25"/>
  <c r="AF76" i="28" l="1"/>
  <c r="T76" i="28"/>
  <c r="AF78" i="28"/>
  <c r="T78" i="28"/>
  <c r="G68" i="28"/>
  <c r="T68" i="28"/>
  <c r="AF69" i="28"/>
  <c r="T69" i="28"/>
  <c r="AF80" i="28"/>
  <c r="T80" i="28"/>
  <c r="AF75" i="28"/>
  <c r="T75" i="28"/>
  <c r="AF73" i="28"/>
  <c r="T73" i="28"/>
  <c r="AF79" i="28"/>
  <c r="T79" i="28"/>
  <c r="AF72" i="28"/>
  <c r="T72" i="28"/>
  <c r="AF74" i="28"/>
  <c r="T74" i="28"/>
  <c r="AF77" i="28"/>
  <c r="T77" i="28"/>
  <c r="AF71" i="28"/>
  <c r="T71" i="28"/>
  <c r="AF70" i="28"/>
  <c r="T70" i="28"/>
  <c r="G74" i="28"/>
  <c r="A83" i="28"/>
  <c r="E83" i="28"/>
  <c r="E82" i="28"/>
  <c r="J83" i="28" s="1"/>
  <c r="AF68" i="28"/>
  <c r="G75" i="28"/>
  <c r="G80" i="28"/>
  <c r="G69" i="28"/>
  <c r="G70" i="28"/>
  <c r="G71" i="28"/>
  <c r="F82" i="28"/>
  <c r="C83" i="28" s="1"/>
  <c r="G79" i="28"/>
  <c r="G73" i="28"/>
  <c r="H68" i="28"/>
  <c r="G72" i="28"/>
  <c r="G76" i="28"/>
  <c r="G77" i="28"/>
  <c r="G81" i="28"/>
  <c r="F83" i="28" l="1"/>
  <c r="G82" i="28"/>
  <c r="H82" i="28"/>
  <c r="M48" i="24"/>
  <c r="N48" i="24"/>
  <c r="M49" i="24"/>
  <c r="N49" i="24"/>
  <c r="M50" i="24"/>
  <c r="N50" i="24"/>
  <c r="M51" i="24"/>
  <c r="N51" i="24"/>
  <c r="M52" i="24"/>
  <c r="N52" i="24"/>
  <c r="M53" i="24"/>
  <c r="N53" i="24"/>
  <c r="M54" i="24"/>
  <c r="N54" i="24"/>
  <c r="M55" i="24"/>
  <c r="M56" i="24"/>
  <c r="N56" i="24"/>
  <c r="M57" i="24"/>
  <c r="N57" i="24"/>
  <c r="M58" i="24"/>
  <c r="N58" i="24"/>
  <c r="M59" i="24"/>
  <c r="N59" i="24"/>
  <c r="M60" i="24"/>
  <c r="N60" i="24"/>
  <c r="M27" i="24"/>
  <c r="N27" i="24"/>
  <c r="M28" i="24"/>
  <c r="N28" i="24"/>
  <c r="M29" i="24"/>
  <c r="N29" i="24"/>
  <c r="M30" i="24"/>
  <c r="N30" i="24"/>
  <c r="M31" i="24"/>
  <c r="N31" i="24"/>
  <c r="M32" i="24"/>
  <c r="N32" i="24"/>
  <c r="M33" i="24"/>
  <c r="N33" i="24"/>
  <c r="M34" i="24"/>
  <c r="N34" i="24"/>
  <c r="M35" i="24"/>
  <c r="N35" i="24"/>
  <c r="M36" i="24"/>
  <c r="N36" i="24"/>
  <c r="M37" i="24"/>
  <c r="N37" i="24"/>
  <c r="M38" i="24"/>
  <c r="N38" i="24"/>
  <c r="M39" i="24"/>
  <c r="N39" i="24"/>
  <c r="M6" i="24"/>
  <c r="N6" i="24"/>
  <c r="M7" i="24"/>
  <c r="N7" i="24"/>
  <c r="M8" i="24"/>
  <c r="N8" i="24"/>
  <c r="M9" i="24"/>
  <c r="N9" i="24"/>
  <c r="M10" i="24"/>
  <c r="N10" i="24"/>
  <c r="M11" i="24"/>
  <c r="N11" i="24"/>
  <c r="M12" i="24"/>
  <c r="N12" i="24"/>
  <c r="M13" i="24"/>
  <c r="N13" i="24"/>
  <c r="M14" i="24"/>
  <c r="N14" i="24"/>
  <c r="M15" i="24"/>
  <c r="N15" i="24"/>
  <c r="M16" i="24"/>
  <c r="N16" i="24"/>
  <c r="M17" i="24"/>
  <c r="N17" i="24"/>
  <c r="M18" i="24"/>
  <c r="N18" i="24"/>
  <c r="M28" i="17" l="1"/>
  <c r="N28" i="17"/>
  <c r="M29" i="17"/>
  <c r="N29" i="17"/>
  <c r="M30" i="17"/>
  <c r="N30" i="17"/>
  <c r="M31" i="17"/>
  <c r="N31" i="17"/>
  <c r="M32" i="17"/>
  <c r="N32" i="17"/>
  <c r="M33" i="17"/>
  <c r="N33" i="17"/>
  <c r="M34" i="17"/>
  <c r="N34" i="17"/>
  <c r="M35" i="17"/>
  <c r="N35" i="17"/>
  <c r="M36" i="17"/>
  <c r="N36" i="17"/>
  <c r="M37" i="17"/>
  <c r="N37" i="17"/>
  <c r="M38" i="17"/>
  <c r="N38" i="17"/>
  <c r="M39" i="17"/>
  <c r="N39" i="17"/>
  <c r="M40" i="17"/>
  <c r="N40" i="17"/>
  <c r="E28" i="17"/>
  <c r="T28" i="17" s="1"/>
  <c r="F28" i="17"/>
  <c r="E29" i="17"/>
  <c r="T29" i="17" s="1"/>
  <c r="F29" i="17"/>
  <c r="E30" i="17"/>
  <c r="T30" i="17" s="1"/>
  <c r="F30" i="17"/>
  <c r="E31" i="17"/>
  <c r="T31" i="17" s="1"/>
  <c r="F31" i="17"/>
  <c r="E32" i="17"/>
  <c r="T32" i="17" s="1"/>
  <c r="F32" i="17"/>
  <c r="E33" i="17"/>
  <c r="T33" i="17" s="1"/>
  <c r="F33" i="17"/>
  <c r="E34" i="17"/>
  <c r="T34" i="17" s="1"/>
  <c r="F34" i="17"/>
  <c r="E35" i="17"/>
  <c r="T35" i="17" s="1"/>
  <c r="F35" i="17"/>
  <c r="E36" i="17"/>
  <c r="T36" i="17" s="1"/>
  <c r="F36" i="17"/>
  <c r="E37" i="17"/>
  <c r="T37" i="17" s="1"/>
  <c r="F37" i="17"/>
  <c r="E38" i="17"/>
  <c r="T38" i="17" s="1"/>
  <c r="F38" i="17"/>
  <c r="E39" i="17"/>
  <c r="T39" i="17" s="1"/>
  <c r="F39" i="17"/>
  <c r="F27" i="17"/>
  <c r="E27" i="17"/>
  <c r="O28" i="28"/>
  <c r="C19" i="29" l="1"/>
  <c r="O7" i="29" l="1"/>
  <c r="O9" i="27"/>
  <c r="Q42" i="17" l="1"/>
  <c r="F35" i="30" l="1"/>
  <c r="E12" i="30" l="1"/>
  <c r="T12" i="30" s="1"/>
  <c r="F12" i="30"/>
  <c r="E13" i="30"/>
  <c r="T13" i="30" s="1"/>
  <c r="F13" i="30"/>
  <c r="E14" i="30"/>
  <c r="T14" i="30" s="1"/>
  <c r="F14" i="30"/>
  <c r="F16" i="23" l="1"/>
  <c r="F36" i="23"/>
  <c r="E14" i="28"/>
  <c r="E12" i="28"/>
  <c r="F12" i="28"/>
  <c r="E13" i="28"/>
  <c r="F13" i="28"/>
  <c r="F14" i="28"/>
  <c r="E15" i="28"/>
  <c r="F15" i="28"/>
  <c r="E16" i="28"/>
  <c r="F16" i="28"/>
  <c r="E17" i="28"/>
  <c r="F17" i="28"/>
  <c r="E18" i="28"/>
  <c r="F18" i="28"/>
  <c r="N60" i="30"/>
  <c r="M60" i="30"/>
  <c r="N59" i="30"/>
  <c r="M59" i="30"/>
  <c r="N58" i="30"/>
  <c r="M58" i="30"/>
  <c r="N57" i="30"/>
  <c r="M57" i="30"/>
  <c r="N56" i="30"/>
  <c r="M56" i="30"/>
  <c r="N55" i="30"/>
  <c r="M55" i="30"/>
  <c r="N54" i="30"/>
  <c r="M54" i="30"/>
  <c r="N53" i="30"/>
  <c r="M53" i="30"/>
  <c r="N52" i="30"/>
  <c r="M52" i="30"/>
  <c r="N51" i="30"/>
  <c r="M51" i="30"/>
  <c r="N50" i="30"/>
  <c r="M50" i="30"/>
  <c r="N49" i="30"/>
  <c r="M49" i="30"/>
  <c r="N48" i="30"/>
  <c r="M48" i="30"/>
  <c r="N47" i="30"/>
  <c r="M47" i="30"/>
  <c r="N39" i="30"/>
  <c r="M39" i="30"/>
  <c r="N38" i="30"/>
  <c r="M38" i="30"/>
  <c r="N37" i="30"/>
  <c r="M37" i="30"/>
  <c r="N36" i="30"/>
  <c r="M36" i="30"/>
  <c r="N35" i="30"/>
  <c r="M35" i="30"/>
  <c r="N34" i="30"/>
  <c r="M34" i="30"/>
  <c r="N33" i="30"/>
  <c r="M33" i="30"/>
  <c r="N32" i="30"/>
  <c r="M32" i="30"/>
  <c r="N31" i="30"/>
  <c r="M31" i="30"/>
  <c r="N30" i="30"/>
  <c r="M30" i="30"/>
  <c r="N29" i="30"/>
  <c r="M29" i="30"/>
  <c r="N28" i="30"/>
  <c r="M28" i="30"/>
  <c r="N27" i="30"/>
  <c r="M27" i="30"/>
  <c r="N26" i="30"/>
  <c r="M26" i="30"/>
  <c r="N18" i="30"/>
  <c r="M18" i="30"/>
  <c r="N17" i="30"/>
  <c r="M17" i="30"/>
  <c r="N16" i="30"/>
  <c r="M16" i="30"/>
  <c r="N15" i="30"/>
  <c r="M15" i="30"/>
  <c r="N14" i="30"/>
  <c r="M14" i="30"/>
  <c r="N13" i="30"/>
  <c r="M13" i="30"/>
  <c r="N12" i="30"/>
  <c r="M12" i="30"/>
  <c r="N11" i="30"/>
  <c r="M11" i="30"/>
  <c r="N10" i="30"/>
  <c r="M10" i="30"/>
  <c r="N9" i="30"/>
  <c r="M9" i="30"/>
  <c r="N8" i="30"/>
  <c r="M8" i="30"/>
  <c r="N7" i="30"/>
  <c r="M7" i="30"/>
  <c r="N6" i="30"/>
  <c r="M6" i="30"/>
  <c r="N5" i="30"/>
  <c r="M5" i="30"/>
  <c r="N60" i="29"/>
  <c r="M60" i="29"/>
  <c r="N59" i="29"/>
  <c r="M59" i="29"/>
  <c r="N58" i="29"/>
  <c r="M58" i="29"/>
  <c r="N57" i="29"/>
  <c r="M57" i="29"/>
  <c r="N56" i="29"/>
  <c r="M56" i="29"/>
  <c r="N55" i="29"/>
  <c r="M55" i="29"/>
  <c r="N54" i="29"/>
  <c r="M54" i="29"/>
  <c r="N53" i="29"/>
  <c r="M53" i="29"/>
  <c r="N52" i="29"/>
  <c r="M52" i="29"/>
  <c r="N51" i="29"/>
  <c r="M51" i="29"/>
  <c r="N50" i="29"/>
  <c r="M50" i="29"/>
  <c r="N49" i="29"/>
  <c r="M49" i="29"/>
  <c r="N48" i="29"/>
  <c r="M48" i="29"/>
  <c r="N47" i="29"/>
  <c r="M47" i="29"/>
  <c r="N39" i="29"/>
  <c r="M39" i="29"/>
  <c r="N38" i="29"/>
  <c r="M38" i="29"/>
  <c r="N37" i="29"/>
  <c r="M37" i="29"/>
  <c r="N36" i="29"/>
  <c r="M36" i="29"/>
  <c r="N35" i="29"/>
  <c r="M35" i="29"/>
  <c r="N34" i="29"/>
  <c r="M34" i="29"/>
  <c r="N33" i="29"/>
  <c r="M33" i="29"/>
  <c r="N32" i="29"/>
  <c r="M32" i="29"/>
  <c r="N31" i="29"/>
  <c r="M31" i="29"/>
  <c r="N30" i="29"/>
  <c r="M30" i="29"/>
  <c r="N29" i="29"/>
  <c r="M29" i="29"/>
  <c r="N28" i="29"/>
  <c r="M28" i="29"/>
  <c r="N27" i="29"/>
  <c r="M27" i="29"/>
  <c r="N26" i="29"/>
  <c r="M26" i="29"/>
  <c r="N18" i="29"/>
  <c r="M18" i="29"/>
  <c r="N17" i="29"/>
  <c r="M17" i="29"/>
  <c r="N16" i="29"/>
  <c r="M16" i="29"/>
  <c r="N15" i="29"/>
  <c r="M15" i="29"/>
  <c r="N14" i="29"/>
  <c r="M14" i="29"/>
  <c r="N13" i="29"/>
  <c r="M13" i="29"/>
  <c r="N12" i="29"/>
  <c r="M12" i="29"/>
  <c r="N11" i="29"/>
  <c r="M11" i="29"/>
  <c r="N10" i="29"/>
  <c r="M10" i="29"/>
  <c r="N9" i="29"/>
  <c r="M9" i="29"/>
  <c r="N8" i="29"/>
  <c r="M8" i="29"/>
  <c r="N7" i="29"/>
  <c r="M7" i="29"/>
  <c r="N6" i="29"/>
  <c r="M6" i="29"/>
  <c r="N5" i="29"/>
  <c r="M5" i="29"/>
  <c r="N60" i="28"/>
  <c r="M60" i="28"/>
  <c r="N59" i="28"/>
  <c r="M59" i="28"/>
  <c r="N58" i="28"/>
  <c r="M58" i="28"/>
  <c r="N57" i="28"/>
  <c r="M57" i="28"/>
  <c r="N56" i="28"/>
  <c r="M56" i="28"/>
  <c r="N55" i="28"/>
  <c r="M55" i="28"/>
  <c r="N54" i="28"/>
  <c r="M54" i="28"/>
  <c r="N53" i="28"/>
  <c r="M53" i="28"/>
  <c r="N52" i="28"/>
  <c r="M52" i="28"/>
  <c r="N51" i="28"/>
  <c r="M51" i="28"/>
  <c r="N50" i="28"/>
  <c r="M50" i="28"/>
  <c r="N49" i="28"/>
  <c r="M49" i="28"/>
  <c r="N48" i="28"/>
  <c r="M48" i="28"/>
  <c r="N47" i="28"/>
  <c r="M47" i="28"/>
  <c r="N39" i="28"/>
  <c r="M39" i="28"/>
  <c r="N38" i="28"/>
  <c r="M38" i="28"/>
  <c r="N37" i="28"/>
  <c r="M37" i="28"/>
  <c r="N36" i="28"/>
  <c r="M36" i="28"/>
  <c r="N35" i="28"/>
  <c r="M35" i="28"/>
  <c r="N34" i="28"/>
  <c r="M34" i="28"/>
  <c r="N33" i="28"/>
  <c r="M33" i="28"/>
  <c r="N32" i="28"/>
  <c r="M32" i="28"/>
  <c r="N31" i="28"/>
  <c r="M31" i="28"/>
  <c r="N30" i="28"/>
  <c r="M30" i="28"/>
  <c r="N29" i="28"/>
  <c r="M29" i="28"/>
  <c r="N28" i="28"/>
  <c r="M28" i="28"/>
  <c r="N27" i="28"/>
  <c r="M27" i="28"/>
  <c r="N26" i="28"/>
  <c r="M26" i="28"/>
  <c r="N18" i="28"/>
  <c r="M18" i="28"/>
  <c r="N17" i="28"/>
  <c r="M17" i="28"/>
  <c r="N16" i="28"/>
  <c r="M16" i="28"/>
  <c r="N15" i="28"/>
  <c r="M15" i="28"/>
  <c r="N14" i="28"/>
  <c r="M14" i="28"/>
  <c r="N13" i="28"/>
  <c r="M13" i="28"/>
  <c r="N12" i="28"/>
  <c r="M12" i="28"/>
  <c r="N11" i="28"/>
  <c r="M11" i="28"/>
  <c r="N10" i="28"/>
  <c r="M10" i="28"/>
  <c r="N9" i="28"/>
  <c r="M9" i="28"/>
  <c r="N8" i="28"/>
  <c r="M8" i="28"/>
  <c r="N7" i="28"/>
  <c r="M7" i="28"/>
  <c r="N6" i="28"/>
  <c r="M6" i="28"/>
  <c r="N5" i="28"/>
  <c r="M5" i="28"/>
  <c r="N60" i="27"/>
  <c r="M60" i="27"/>
  <c r="N59" i="27"/>
  <c r="M59" i="27"/>
  <c r="N58" i="27"/>
  <c r="M58" i="27"/>
  <c r="N57" i="27"/>
  <c r="M57" i="27"/>
  <c r="N56" i="27"/>
  <c r="M56" i="27"/>
  <c r="N55" i="27"/>
  <c r="M55" i="27"/>
  <c r="N54" i="27"/>
  <c r="M54" i="27"/>
  <c r="N53" i="27"/>
  <c r="M53" i="27"/>
  <c r="N52" i="27"/>
  <c r="M52" i="27"/>
  <c r="N51" i="27"/>
  <c r="M51" i="27"/>
  <c r="N50" i="27"/>
  <c r="M50" i="27"/>
  <c r="N49" i="27"/>
  <c r="M49" i="27"/>
  <c r="N48" i="27"/>
  <c r="M48" i="27"/>
  <c r="N47" i="27"/>
  <c r="M47" i="27"/>
  <c r="N39" i="27"/>
  <c r="M39" i="27"/>
  <c r="N38" i="27"/>
  <c r="M38" i="27"/>
  <c r="N37" i="27"/>
  <c r="M37" i="27"/>
  <c r="N36" i="27"/>
  <c r="M36" i="27"/>
  <c r="N35" i="27"/>
  <c r="M35" i="27"/>
  <c r="N34" i="27"/>
  <c r="M34" i="27"/>
  <c r="N33" i="27"/>
  <c r="M33" i="27"/>
  <c r="N32" i="27"/>
  <c r="M32" i="27"/>
  <c r="N31" i="27"/>
  <c r="M31" i="27"/>
  <c r="N30" i="27"/>
  <c r="M30" i="27"/>
  <c r="N29" i="27"/>
  <c r="M29" i="27"/>
  <c r="N28" i="27"/>
  <c r="M28" i="27"/>
  <c r="N27" i="27"/>
  <c r="M27" i="27"/>
  <c r="N26" i="27"/>
  <c r="M26" i="27"/>
  <c r="N18" i="27"/>
  <c r="M18" i="27"/>
  <c r="N17" i="27"/>
  <c r="M17" i="27"/>
  <c r="N16" i="27"/>
  <c r="M16" i="27"/>
  <c r="N15" i="27"/>
  <c r="M15" i="27"/>
  <c r="N14" i="27"/>
  <c r="M14" i="27"/>
  <c r="N13" i="27"/>
  <c r="M13" i="27"/>
  <c r="N12" i="27"/>
  <c r="M12" i="27"/>
  <c r="N11" i="27"/>
  <c r="M11" i="27"/>
  <c r="N10" i="27"/>
  <c r="M10" i="27"/>
  <c r="N9" i="27"/>
  <c r="M9" i="27"/>
  <c r="N8" i="27"/>
  <c r="M8" i="27"/>
  <c r="N7" i="27"/>
  <c r="M7" i="27"/>
  <c r="N6" i="27"/>
  <c r="M6" i="27"/>
  <c r="N5" i="27"/>
  <c r="M5" i="27"/>
  <c r="N60" i="26"/>
  <c r="M60" i="26"/>
  <c r="N59" i="26"/>
  <c r="M59" i="26"/>
  <c r="N58" i="26"/>
  <c r="M58" i="26"/>
  <c r="N57" i="26"/>
  <c r="M57" i="26"/>
  <c r="N56" i="26"/>
  <c r="M56" i="26"/>
  <c r="N55" i="26"/>
  <c r="M55" i="26"/>
  <c r="N54" i="26"/>
  <c r="M54" i="26"/>
  <c r="N53" i="26"/>
  <c r="M53" i="26"/>
  <c r="N52" i="26"/>
  <c r="M52" i="26"/>
  <c r="N51" i="26"/>
  <c r="M51" i="26"/>
  <c r="N50" i="26"/>
  <c r="M50" i="26"/>
  <c r="N49" i="26"/>
  <c r="M49" i="26"/>
  <c r="N48" i="26"/>
  <c r="M48" i="26"/>
  <c r="N47" i="26"/>
  <c r="M47" i="26"/>
  <c r="N39" i="26"/>
  <c r="M39" i="26"/>
  <c r="N38" i="26"/>
  <c r="M38" i="26"/>
  <c r="N37" i="26"/>
  <c r="M37" i="26"/>
  <c r="N36" i="26"/>
  <c r="M36" i="26"/>
  <c r="N35" i="26"/>
  <c r="M35" i="26"/>
  <c r="N34" i="26"/>
  <c r="M34" i="26"/>
  <c r="N33" i="26"/>
  <c r="M33" i="26"/>
  <c r="N32" i="26"/>
  <c r="M32" i="26"/>
  <c r="N31" i="26"/>
  <c r="M31" i="26"/>
  <c r="N30" i="26"/>
  <c r="M30" i="26"/>
  <c r="N29" i="26"/>
  <c r="M29" i="26"/>
  <c r="N28" i="26"/>
  <c r="M28" i="26"/>
  <c r="N27" i="26"/>
  <c r="M27" i="26"/>
  <c r="N26" i="26"/>
  <c r="M26" i="26"/>
  <c r="M6" i="26"/>
  <c r="N6" i="26"/>
  <c r="M7" i="26"/>
  <c r="N7" i="26"/>
  <c r="M8" i="26"/>
  <c r="N8" i="26"/>
  <c r="M9" i="26"/>
  <c r="N9" i="26"/>
  <c r="M10" i="26"/>
  <c r="N10" i="26"/>
  <c r="M11" i="26"/>
  <c r="N11" i="26"/>
  <c r="M12" i="26"/>
  <c r="N12" i="26"/>
  <c r="M13" i="26"/>
  <c r="N13" i="26"/>
  <c r="M14" i="26"/>
  <c r="N14" i="26"/>
  <c r="M15" i="26"/>
  <c r="N15" i="26"/>
  <c r="M16" i="26"/>
  <c r="N16" i="26"/>
  <c r="M17" i="26"/>
  <c r="N17" i="26"/>
  <c r="M18" i="26"/>
  <c r="N18" i="26"/>
  <c r="M6" i="25" l="1"/>
  <c r="N6" i="25"/>
  <c r="M7" i="25"/>
  <c r="N7" i="25"/>
  <c r="M8" i="25"/>
  <c r="N8" i="25"/>
  <c r="M9" i="25"/>
  <c r="N9" i="25"/>
  <c r="M10" i="25"/>
  <c r="N10" i="25"/>
  <c r="M11" i="25"/>
  <c r="N11" i="25"/>
  <c r="M12" i="25"/>
  <c r="N12" i="25"/>
  <c r="M13" i="25"/>
  <c r="N13" i="25"/>
  <c r="M14" i="25"/>
  <c r="N14" i="25"/>
  <c r="M15" i="25"/>
  <c r="N15" i="25"/>
  <c r="M16" i="25"/>
  <c r="N16" i="25"/>
  <c r="M17" i="25"/>
  <c r="N17" i="25"/>
  <c r="M18" i="25"/>
  <c r="N18" i="25"/>
  <c r="N61" i="23"/>
  <c r="M61" i="23"/>
  <c r="N60" i="23"/>
  <c r="M60" i="23"/>
  <c r="N59" i="23"/>
  <c r="M59" i="23"/>
  <c r="N58" i="23"/>
  <c r="M58" i="23"/>
  <c r="N57" i="23"/>
  <c r="M57" i="23"/>
  <c r="N56" i="23"/>
  <c r="M56" i="23"/>
  <c r="N55" i="23"/>
  <c r="M55" i="23"/>
  <c r="N54" i="23"/>
  <c r="M54" i="23"/>
  <c r="N53" i="23"/>
  <c r="M53" i="23"/>
  <c r="N52" i="23"/>
  <c r="M52" i="23"/>
  <c r="N51" i="23"/>
  <c r="M51" i="23"/>
  <c r="N50" i="23"/>
  <c r="M50" i="23"/>
  <c r="N49" i="23"/>
  <c r="M49" i="23"/>
  <c r="N48" i="23"/>
  <c r="M48" i="23"/>
  <c r="N40" i="23"/>
  <c r="M40" i="23"/>
  <c r="N39" i="23"/>
  <c r="M39" i="23"/>
  <c r="N38" i="23"/>
  <c r="M38" i="23"/>
  <c r="N37" i="23"/>
  <c r="M37" i="23"/>
  <c r="N36" i="23"/>
  <c r="M36" i="23"/>
  <c r="N35" i="23"/>
  <c r="M35" i="23"/>
  <c r="N34" i="23"/>
  <c r="M34" i="23"/>
  <c r="N33" i="23"/>
  <c r="M33" i="23"/>
  <c r="N32" i="23"/>
  <c r="M32" i="23"/>
  <c r="N31" i="23"/>
  <c r="M31" i="23"/>
  <c r="N30" i="23"/>
  <c r="M30" i="23"/>
  <c r="N29" i="23"/>
  <c r="M29" i="23"/>
  <c r="N28" i="23"/>
  <c r="M28" i="23"/>
  <c r="N27" i="23"/>
  <c r="M27" i="23"/>
  <c r="M13" i="23"/>
  <c r="N13" i="23"/>
  <c r="M14" i="23"/>
  <c r="N14" i="23"/>
  <c r="M15" i="23"/>
  <c r="N15" i="23"/>
  <c r="M16" i="23"/>
  <c r="N16" i="23"/>
  <c r="M17" i="23"/>
  <c r="N17" i="23"/>
  <c r="M18" i="23"/>
  <c r="N18" i="23"/>
  <c r="M19" i="23"/>
  <c r="N19" i="23"/>
  <c r="M6" i="23"/>
  <c r="N6" i="23"/>
  <c r="M7" i="23"/>
  <c r="N7" i="23"/>
  <c r="M8" i="23"/>
  <c r="N8" i="23"/>
  <c r="M9" i="23"/>
  <c r="N9" i="23"/>
  <c r="M10" i="23"/>
  <c r="N10" i="23"/>
  <c r="M11" i="23"/>
  <c r="N11" i="23"/>
  <c r="M18" i="17"/>
  <c r="N18" i="17"/>
  <c r="M19" i="17"/>
  <c r="N19" i="17"/>
  <c r="M6" i="17"/>
  <c r="N6" i="17"/>
  <c r="M7" i="17"/>
  <c r="N7" i="17"/>
  <c r="M8" i="17"/>
  <c r="N8" i="17"/>
  <c r="M9" i="17"/>
  <c r="N9" i="17"/>
  <c r="M10" i="17"/>
  <c r="N10" i="17"/>
  <c r="M11" i="17"/>
  <c r="N11" i="17"/>
  <c r="M12" i="17"/>
  <c r="N12" i="17"/>
  <c r="M13" i="17"/>
  <c r="N13" i="17"/>
  <c r="M14" i="17"/>
  <c r="N14" i="17"/>
  <c r="M15" i="17"/>
  <c r="N15" i="17"/>
  <c r="M16" i="17"/>
  <c r="N16" i="17"/>
  <c r="E6" i="17"/>
  <c r="F6" i="17"/>
  <c r="D61" i="30" l="1"/>
  <c r="E62" i="30" s="1"/>
  <c r="C61" i="30"/>
  <c r="L62" i="30" s="1"/>
  <c r="D40" i="30"/>
  <c r="E41" i="30" s="1"/>
  <c r="C40" i="30"/>
  <c r="L41" i="30" s="1"/>
  <c r="B38" i="30"/>
  <c r="B59" i="30" s="1"/>
  <c r="B80" i="30" s="1"/>
  <c r="B101" i="30" s="1"/>
  <c r="B122" i="30" s="1"/>
  <c r="B143" i="30" s="1"/>
  <c r="B37" i="30"/>
  <c r="B58" i="30" s="1"/>
  <c r="B79" i="30" s="1"/>
  <c r="B100" i="30" s="1"/>
  <c r="B121" i="30" s="1"/>
  <c r="B142" i="30" s="1"/>
  <c r="B34" i="30"/>
  <c r="B55" i="30" s="1"/>
  <c r="B76" i="30" s="1"/>
  <c r="B97" i="30" s="1"/>
  <c r="B118" i="30" s="1"/>
  <c r="B139" i="30" s="1"/>
  <c r="B32" i="30"/>
  <c r="B53" i="30" s="1"/>
  <c r="B74" i="30" s="1"/>
  <c r="B95" i="30" s="1"/>
  <c r="B116" i="30" s="1"/>
  <c r="B137" i="30" s="1"/>
  <c r="B27" i="30"/>
  <c r="B48" i="30" s="1"/>
  <c r="B69" i="30" s="1"/>
  <c r="B90" i="30" s="1"/>
  <c r="B111" i="30" s="1"/>
  <c r="B132" i="30" s="1"/>
  <c r="Q62" i="30"/>
  <c r="R61" i="30"/>
  <c r="Q61" i="30"/>
  <c r="P61" i="30"/>
  <c r="O61" i="30"/>
  <c r="L61" i="30"/>
  <c r="K61" i="30"/>
  <c r="J61" i="30"/>
  <c r="I61" i="30"/>
  <c r="AE60" i="30"/>
  <c r="AD60" i="30"/>
  <c r="AB60" i="30"/>
  <c r="F60" i="30"/>
  <c r="H60" i="30" s="1"/>
  <c r="E60" i="30"/>
  <c r="AF60" i="30" s="1"/>
  <c r="AE59" i="30"/>
  <c r="AD59" i="30"/>
  <c r="AB59" i="30"/>
  <c r="F59" i="30"/>
  <c r="H59" i="30" s="1"/>
  <c r="E59" i="30"/>
  <c r="AE58" i="30"/>
  <c r="AD58" i="30"/>
  <c r="AB58" i="30"/>
  <c r="F58" i="30"/>
  <c r="H58" i="30" s="1"/>
  <c r="E58" i="30"/>
  <c r="AE57" i="30"/>
  <c r="AD57" i="30"/>
  <c r="AB57" i="30"/>
  <c r="F57" i="30"/>
  <c r="E57" i="30"/>
  <c r="AE56" i="30"/>
  <c r="AD56" i="30"/>
  <c r="AB56" i="30"/>
  <c r="F56" i="30"/>
  <c r="H56" i="30" s="1"/>
  <c r="E56" i="30"/>
  <c r="AE55" i="30"/>
  <c r="AD55" i="30"/>
  <c r="AB55" i="30"/>
  <c r="F55" i="30"/>
  <c r="H55" i="30" s="1"/>
  <c r="E55" i="30"/>
  <c r="AE54" i="30"/>
  <c r="AD54" i="30"/>
  <c r="AB54" i="30"/>
  <c r="F54" i="30"/>
  <c r="H54" i="30" s="1"/>
  <c r="E54" i="30"/>
  <c r="AE53" i="30"/>
  <c r="AD53" i="30"/>
  <c r="AB53" i="30"/>
  <c r="F53" i="30"/>
  <c r="H53" i="30" s="1"/>
  <c r="E53" i="30"/>
  <c r="AE52" i="30"/>
  <c r="AD52" i="30"/>
  <c r="AB52" i="30"/>
  <c r="F52" i="30"/>
  <c r="H52" i="30" s="1"/>
  <c r="E52" i="30"/>
  <c r="AE51" i="30"/>
  <c r="AD51" i="30"/>
  <c r="AB51" i="30"/>
  <c r="F51" i="30"/>
  <c r="H51" i="30" s="1"/>
  <c r="E51" i="30"/>
  <c r="AE50" i="30"/>
  <c r="AD50" i="30"/>
  <c r="AB50" i="30"/>
  <c r="F50" i="30"/>
  <c r="H50" i="30" s="1"/>
  <c r="E50" i="30"/>
  <c r="AE49" i="30"/>
  <c r="AD49" i="30"/>
  <c r="AB49" i="30"/>
  <c r="F49" i="30"/>
  <c r="H49" i="30" s="1"/>
  <c r="E49" i="30"/>
  <c r="AE48" i="30"/>
  <c r="AD48" i="30"/>
  <c r="AB48" i="30"/>
  <c r="F48" i="30"/>
  <c r="H48" i="30" s="1"/>
  <c r="E48" i="30"/>
  <c r="AE47" i="30"/>
  <c r="AD47" i="30"/>
  <c r="AB47" i="30"/>
  <c r="F47" i="30"/>
  <c r="H47" i="30" s="1"/>
  <c r="E47" i="30"/>
  <c r="Q41" i="30"/>
  <c r="R40" i="30"/>
  <c r="Q40" i="30"/>
  <c r="P40" i="30"/>
  <c r="O40" i="30"/>
  <c r="L40" i="30"/>
  <c r="K40" i="30"/>
  <c r="J40" i="30"/>
  <c r="I40" i="30"/>
  <c r="AE39" i="30"/>
  <c r="AD39" i="30"/>
  <c r="AB39" i="30"/>
  <c r="F39" i="30"/>
  <c r="H39" i="30" s="1"/>
  <c r="E39" i="30"/>
  <c r="G39" i="30" s="1"/>
  <c r="AE38" i="30"/>
  <c r="AD38" i="30"/>
  <c r="AB38" i="30"/>
  <c r="F38" i="30"/>
  <c r="H38" i="30" s="1"/>
  <c r="E38" i="30"/>
  <c r="AE37" i="30"/>
  <c r="AD37" i="30"/>
  <c r="AB37" i="30"/>
  <c r="F37" i="30"/>
  <c r="H37" i="30" s="1"/>
  <c r="E37" i="30"/>
  <c r="AE36" i="30"/>
  <c r="AD36" i="30"/>
  <c r="AB36" i="30"/>
  <c r="F36" i="30"/>
  <c r="E36" i="30"/>
  <c r="AE35" i="30"/>
  <c r="AD35" i="30"/>
  <c r="AB35" i="30"/>
  <c r="H35" i="30"/>
  <c r="E35" i="30"/>
  <c r="AE34" i="30"/>
  <c r="AD34" i="30"/>
  <c r="AB34" i="30"/>
  <c r="F34" i="30"/>
  <c r="H34" i="30" s="1"/>
  <c r="E34" i="30"/>
  <c r="AE33" i="30"/>
  <c r="AD33" i="30"/>
  <c r="AB33" i="30"/>
  <c r="F33" i="30"/>
  <c r="H33" i="30" s="1"/>
  <c r="E33" i="30"/>
  <c r="AE32" i="30"/>
  <c r="AD32" i="30"/>
  <c r="AB32" i="30"/>
  <c r="F32" i="30"/>
  <c r="H32" i="30" s="1"/>
  <c r="E32" i="30"/>
  <c r="AE31" i="30"/>
  <c r="AD31" i="30"/>
  <c r="AB31" i="30"/>
  <c r="F31" i="30"/>
  <c r="H31" i="30" s="1"/>
  <c r="E31" i="30"/>
  <c r="AE30" i="30"/>
  <c r="AD30" i="30"/>
  <c r="AB30" i="30"/>
  <c r="F30" i="30"/>
  <c r="H30" i="30" s="1"/>
  <c r="E30" i="30"/>
  <c r="AE29" i="30"/>
  <c r="AD29" i="30"/>
  <c r="AB29" i="30"/>
  <c r="F29" i="30"/>
  <c r="H29" i="30" s="1"/>
  <c r="E29" i="30"/>
  <c r="AE28" i="30"/>
  <c r="AD28" i="30"/>
  <c r="AB28" i="30"/>
  <c r="F28" i="30"/>
  <c r="H28" i="30" s="1"/>
  <c r="E28" i="30"/>
  <c r="AE27" i="30"/>
  <c r="AD27" i="30"/>
  <c r="AB27" i="30"/>
  <c r="F27" i="30"/>
  <c r="H27" i="30" s="1"/>
  <c r="E27" i="30"/>
  <c r="AE26" i="30"/>
  <c r="AD26" i="30"/>
  <c r="AB26" i="30"/>
  <c r="F26" i="30"/>
  <c r="H26" i="30" s="1"/>
  <c r="E26" i="30"/>
  <c r="H22" i="30"/>
  <c r="H43" i="30" s="1"/>
  <c r="H64" i="30" s="1"/>
  <c r="H85" i="30" s="1"/>
  <c r="Q20" i="30"/>
  <c r="R21" i="30" s="1"/>
  <c r="R19" i="30"/>
  <c r="Q19" i="30"/>
  <c r="P19" i="30"/>
  <c r="O19" i="30"/>
  <c r="L19" i="30"/>
  <c r="K19" i="30"/>
  <c r="J19" i="30"/>
  <c r="I19" i="30"/>
  <c r="D19" i="30"/>
  <c r="E20" i="30" s="1"/>
  <c r="C19" i="30"/>
  <c r="L20" i="30" s="1"/>
  <c r="AE18" i="30"/>
  <c r="AD18" i="30"/>
  <c r="AB18" i="30"/>
  <c r="AA18" i="30"/>
  <c r="F18" i="30"/>
  <c r="H18" i="30" s="1"/>
  <c r="E18" i="30"/>
  <c r="AF18" i="30" s="1"/>
  <c r="AE17" i="30"/>
  <c r="AD17" i="30"/>
  <c r="AB17" i="30"/>
  <c r="AA17" i="30"/>
  <c r="F17" i="30"/>
  <c r="H17" i="30" s="1"/>
  <c r="E17" i="30"/>
  <c r="AE16" i="30"/>
  <c r="AD16" i="30"/>
  <c r="AB16" i="30"/>
  <c r="AA16" i="30"/>
  <c r="F16" i="30"/>
  <c r="H16" i="30" s="1"/>
  <c r="E16" i="30"/>
  <c r="AE15" i="30"/>
  <c r="AD15" i="30"/>
  <c r="AB15" i="30"/>
  <c r="AA15" i="30"/>
  <c r="F15" i="30"/>
  <c r="E15" i="30"/>
  <c r="AE14" i="30"/>
  <c r="AD14" i="30"/>
  <c r="AB14" i="30"/>
  <c r="AA14" i="30"/>
  <c r="H14" i="30"/>
  <c r="AF14" i="30"/>
  <c r="AF13" i="30"/>
  <c r="AE13" i="30"/>
  <c r="AD13" i="30"/>
  <c r="AB13" i="30"/>
  <c r="AA13" i="30"/>
  <c r="H13" i="30"/>
  <c r="G13" i="30"/>
  <c r="AF12" i="30"/>
  <c r="AE12" i="30"/>
  <c r="AD12" i="30"/>
  <c r="AB12" i="30"/>
  <c r="AA12" i="30"/>
  <c r="H12" i="30"/>
  <c r="G12" i="30"/>
  <c r="AE11" i="30"/>
  <c r="AD11" i="30"/>
  <c r="AB11" i="30"/>
  <c r="AA11" i="30"/>
  <c r="F11" i="30"/>
  <c r="H11" i="30" s="1"/>
  <c r="E11" i="30"/>
  <c r="AE10" i="30"/>
  <c r="AD10" i="30"/>
  <c r="AB10" i="30"/>
  <c r="AA10" i="30"/>
  <c r="F10" i="30"/>
  <c r="H10" i="30" s="1"/>
  <c r="E10" i="30"/>
  <c r="AE9" i="30"/>
  <c r="AD9" i="30"/>
  <c r="AB9" i="30"/>
  <c r="AA9" i="30"/>
  <c r="F9" i="30"/>
  <c r="H9" i="30" s="1"/>
  <c r="E9" i="30"/>
  <c r="AE8" i="30"/>
  <c r="AD8" i="30"/>
  <c r="AB8" i="30"/>
  <c r="AA8" i="30"/>
  <c r="F8" i="30"/>
  <c r="H8" i="30" s="1"/>
  <c r="E8" i="30"/>
  <c r="AE7" i="30"/>
  <c r="AD7" i="30"/>
  <c r="AB7" i="30"/>
  <c r="AA7" i="30"/>
  <c r="N19" i="30"/>
  <c r="F7" i="30"/>
  <c r="H7" i="30" s="1"/>
  <c r="E7" i="30"/>
  <c r="AE6" i="30"/>
  <c r="AD6" i="30"/>
  <c r="AB6" i="30"/>
  <c r="AA6" i="30"/>
  <c r="F6" i="30"/>
  <c r="H6" i="30" s="1"/>
  <c r="E6" i="30"/>
  <c r="AE5" i="30"/>
  <c r="AD5" i="30"/>
  <c r="AB5" i="30"/>
  <c r="AA5" i="30"/>
  <c r="M19" i="30"/>
  <c r="F5" i="30"/>
  <c r="H5" i="30" s="1"/>
  <c r="E5" i="30"/>
  <c r="D61" i="29"/>
  <c r="E62" i="29" s="1"/>
  <c r="C61" i="29"/>
  <c r="L62" i="29" s="1"/>
  <c r="D40" i="29"/>
  <c r="E41" i="29" s="1"/>
  <c r="C40" i="29"/>
  <c r="D61" i="28"/>
  <c r="E62" i="28" s="1"/>
  <c r="C61" i="28"/>
  <c r="L62" i="28" s="1"/>
  <c r="D40" i="28"/>
  <c r="C40" i="28"/>
  <c r="L41" i="28" s="1"/>
  <c r="B38" i="29"/>
  <c r="B59" i="29" s="1"/>
  <c r="B80" i="29" s="1"/>
  <c r="B101" i="29" s="1"/>
  <c r="B122" i="29" s="1"/>
  <c r="B143" i="29" s="1"/>
  <c r="B164" i="29" s="1"/>
  <c r="B35" i="29"/>
  <c r="B56" i="29" s="1"/>
  <c r="B77" i="29" s="1"/>
  <c r="B98" i="29" s="1"/>
  <c r="B119" i="29" s="1"/>
  <c r="B140" i="29" s="1"/>
  <c r="B161" i="29" s="1"/>
  <c r="B29" i="29"/>
  <c r="B50" i="29" s="1"/>
  <c r="B71" i="29" s="1"/>
  <c r="B92" i="29" s="1"/>
  <c r="B113" i="29" s="1"/>
  <c r="B134" i="29" s="1"/>
  <c r="B155" i="29" s="1"/>
  <c r="B28" i="29"/>
  <c r="B49" i="29" s="1"/>
  <c r="B70" i="29" s="1"/>
  <c r="B91" i="29" s="1"/>
  <c r="B112" i="29" s="1"/>
  <c r="B133" i="29" s="1"/>
  <c r="B154" i="29" s="1"/>
  <c r="B27" i="29"/>
  <c r="B48" i="29" s="1"/>
  <c r="B69" i="29" s="1"/>
  <c r="B90" i="29" s="1"/>
  <c r="B111" i="29" s="1"/>
  <c r="B132" i="29" s="1"/>
  <c r="B153" i="29" s="1"/>
  <c r="Q62" i="29"/>
  <c r="R61" i="29"/>
  <c r="Q61" i="29"/>
  <c r="P61" i="29"/>
  <c r="O61" i="29"/>
  <c r="L61" i="29"/>
  <c r="K61" i="29"/>
  <c r="J61" i="29"/>
  <c r="I61" i="29"/>
  <c r="AE60" i="29"/>
  <c r="AD60" i="29"/>
  <c r="AB60" i="29"/>
  <c r="F60" i="29"/>
  <c r="H60" i="29" s="1"/>
  <c r="E60" i="29"/>
  <c r="AF60" i="29" s="1"/>
  <c r="AE59" i="29"/>
  <c r="AD59" i="29"/>
  <c r="AB59" i="29"/>
  <c r="F59" i="29"/>
  <c r="H59" i="29" s="1"/>
  <c r="E59" i="29"/>
  <c r="AE58" i="29"/>
  <c r="AD58" i="29"/>
  <c r="AB58" i="29"/>
  <c r="F58" i="29"/>
  <c r="H58" i="29" s="1"/>
  <c r="E58" i="29"/>
  <c r="AE57" i="29"/>
  <c r="AD57" i="29"/>
  <c r="AB57" i="29"/>
  <c r="F57" i="29"/>
  <c r="H57" i="29" s="1"/>
  <c r="E57" i="29"/>
  <c r="AE56" i="29"/>
  <c r="AD56" i="29"/>
  <c r="AB56" i="29"/>
  <c r="F56" i="29"/>
  <c r="H56" i="29" s="1"/>
  <c r="E56" i="29"/>
  <c r="AE55" i="29"/>
  <c r="AD55" i="29"/>
  <c r="AB55" i="29"/>
  <c r="F55" i="29"/>
  <c r="H55" i="29" s="1"/>
  <c r="E55" i="29"/>
  <c r="AE54" i="29"/>
  <c r="AD54" i="29"/>
  <c r="AB54" i="29"/>
  <c r="F54" i="29"/>
  <c r="H54" i="29" s="1"/>
  <c r="E54" i="29"/>
  <c r="AE53" i="29"/>
  <c r="AD53" i="29"/>
  <c r="AB53" i="29"/>
  <c r="F53" i="29"/>
  <c r="H53" i="29" s="1"/>
  <c r="E53" i="29"/>
  <c r="AE52" i="29"/>
  <c r="AD52" i="29"/>
  <c r="AB52" i="29"/>
  <c r="F52" i="29"/>
  <c r="H52" i="29" s="1"/>
  <c r="E52" i="29"/>
  <c r="AE51" i="29"/>
  <c r="AD51" i="29"/>
  <c r="AB51" i="29"/>
  <c r="F51" i="29"/>
  <c r="H51" i="29" s="1"/>
  <c r="E51" i="29"/>
  <c r="AE50" i="29"/>
  <c r="AD50" i="29"/>
  <c r="AB50" i="29"/>
  <c r="F50" i="29"/>
  <c r="H50" i="29" s="1"/>
  <c r="E50" i="29"/>
  <c r="AE49" i="29"/>
  <c r="AD49" i="29"/>
  <c r="AB49" i="29"/>
  <c r="F49" i="29"/>
  <c r="H49" i="29" s="1"/>
  <c r="E49" i="29"/>
  <c r="AE48" i="29"/>
  <c r="AD48" i="29"/>
  <c r="AB48" i="29"/>
  <c r="F48" i="29"/>
  <c r="H48" i="29" s="1"/>
  <c r="E48" i="29"/>
  <c r="AE47" i="29"/>
  <c r="AD47" i="29"/>
  <c r="AB47" i="29"/>
  <c r="F47" i="29"/>
  <c r="H47" i="29" s="1"/>
  <c r="E47" i="29"/>
  <c r="Q41" i="29"/>
  <c r="R40" i="29"/>
  <c r="Q40" i="29"/>
  <c r="P40" i="29"/>
  <c r="O40" i="29"/>
  <c r="L40" i="29"/>
  <c r="K40" i="29"/>
  <c r="J40" i="29"/>
  <c r="I40" i="29"/>
  <c r="AE39" i="29"/>
  <c r="AD39" i="29"/>
  <c r="AB39" i="29"/>
  <c r="F39" i="29"/>
  <c r="H39" i="29" s="1"/>
  <c r="E39" i="29"/>
  <c r="AF39" i="29" s="1"/>
  <c r="AE38" i="29"/>
  <c r="AD38" i="29"/>
  <c r="AB38" i="29"/>
  <c r="F38" i="29"/>
  <c r="H38" i="29" s="1"/>
  <c r="E38" i="29"/>
  <c r="AE37" i="29"/>
  <c r="AD37" i="29"/>
  <c r="AB37" i="29"/>
  <c r="F37" i="29"/>
  <c r="H37" i="29" s="1"/>
  <c r="E37" i="29"/>
  <c r="AE36" i="29"/>
  <c r="AD36" i="29"/>
  <c r="AB36" i="29"/>
  <c r="F36" i="29"/>
  <c r="E36" i="29"/>
  <c r="AE35" i="29"/>
  <c r="AD35" i="29"/>
  <c r="AB35" i="29"/>
  <c r="F35" i="29"/>
  <c r="H35" i="29" s="1"/>
  <c r="E35" i="29"/>
  <c r="AE34" i="29"/>
  <c r="AD34" i="29"/>
  <c r="AB34" i="29"/>
  <c r="F34" i="29"/>
  <c r="H34" i="29" s="1"/>
  <c r="E34" i="29"/>
  <c r="AE33" i="29"/>
  <c r="AD33" i="29"/>
  <c r="AB33" i="29"/>
  <c r="F33" i="29"/>
  <c r="H33" i="29" s="1"/>
  <c r="E33" i="29"/>
  <c r="AE32" i="29"/>
  <c r="AD32" i="29"/>
  <c r="AB32" i="29"/>
  <c r="F32" i="29"/>
  <c r="H32" i="29" s="1"/>
  <c r="E32" i="29"/>
  <c r="AE31" i="29"/>
  <c r="AD31" i="29"/>
  <c r="AB31" i="29"/>
  <c r="F31" i="29"/>
  <c r="H31" i="29" s="1"/>
  <c r="E31" i="29"/>
  <c r="AE30" i="29"/>
  <c r="AD30" i="29"/>
  <c r="AB30" i="29"/>
  <c r="F30" i="29"/>
  <c r="H30" i="29" s="1"/>
  <c r="E30" i="29"/>
  <c r="AE29" i="29"/>
  <c r="AD29" i="29"/>
  <c r="AB29" i="29"/>
  <c r="F29" i="29"/>
  <c r="H29" i="29" s="1"/>
  <c r="E29" i="29"/>
  <c r="AE28" i="29"/>
  <c r="AD28" i="29"/>
  <c r="AB28" i="29"/>
  <c r="F28" i="29"/>
  <c r="H28" i="29" s="1"/>
  <c r="E28" i="29"/>
  <c r="T28" i="29" s="1"/>
  <c r="AE27" i="29"/>
  <c r="AD27" i="29"/>
  <c r="AB27" i="29"/>
  <c r="F27" i="29"/>
  <c r="H27" i="29" s="1"/>
  <c r="E27" i="29"/>
  <c r="AE26" i="29"/>
  <c r="AD26" i="29"/>
  <c r="AB26" i="29"/>
  <c r="F26" i="29"/>
  <c r="H26" i="29" s="1"/>
  <c r="E26" i="29"/>
  <c r="H22" i="29"/>
  <c r="H43" i="29" s="1"/>
  <c r="H64" i="29" s="1"/>
  <c r="H85" i="29" s="1"/>
  <c r="H106" i="29" s="1"/>
  <c r="Q20" i="29"/>
  <c r="R21" i="29" s="1"/>
  <c r="R19" i="29"/>
  <c r="Q19" i="29"/>
  <c r="P19" i="29"/>
  <c r="O19" i="29"/>
  <c r="L19" i="29"/>
  <c r="K19" i="29"/>
  <c r="J19" i="29"/>
  <c r="I19" i="29"/>
  <c r="D19" i="29"/>
  <c r="E20" i="29" s="1"/>
  <c r="L20" i="29"/>
  <c r="AE18" i="29"/>
  <c r="AD18" i="29"/>
  <c r="AB18" i="29"/>
  <c r="AA18" i="29"/>
  <c r="F18" i="29"/>
  <c r="H18" i="29" s="1"/>
  <c r="E18" i="29"/>
  <c r="AF18" i="29" s="1"/>
  <c r="AE17" i="29"/>
  <c r="AD17" i="29"/>
  <c r="AB17" i="29"/>
  <c r="AA17" i="29"/>
  <c r="F17" i="29"/>
  <c r="H17" i="29" s="1"/>
  <c r="E17" i="29"/>
  <c r="AF17" i="29" s="1"/>
  <c r="AE16" i="29"/>
  <c r="AD16" i="29"/>
  <c r="AB16" i="29"/>
  <c r="AA16" i="29"/>
  <c r="F16" i="29"/>
  <c r="H16" i="29" s="1"/>
  <c r="E16" i="29"/>
  <c r="AF16" i="29" s="1"/>
  <c r="AE15" i="29"/>
  <c r="AD15" i="29"/>
  <c r="AB15" i="29"/>
  <c r="AA15" i="29"/>
  <c r="F15" i="29"/>
  <c r="E15" i="29"/>
  <c r="AF15" i="29" s="1"/>
  <c r="AE14" i="29"/>
  <c r="AD14" i="29"/>
  <c r="AB14" i="29"/>
  <c r="AA14" i="29"/>
  <c r="F14" i="29"/>
  <c r="H14" i="29" s="1"/>
  <c r="E14" i="29"/>
  <c r="G14" i="29" s="1"/>
  <c r="AF13" i="29"/>
  <c r="AE13" i="29"/>
  <c r="AD13" i="29"/>
  <c r="AB13" i="29"/>
  <c r="AA13" i="29"/>
  <c r="H13" i="29"/>
  <c r="G13" i="29"/>
  <c r="AF12" i="29"/>
  <c r="AE12" i="29"/>
  <c r="AD12" i="29"/>
  <c r="AB12" i="29"/>
  <c r="AA12" i="29"/>
  <c r="H12" i="29"/>
  <c r="G12" i="29"/>
  <c r="AE11" i="29"/>
  <c r="AD11" i="29"/>
  <c r="AB11" i="29"/>
  <c r="AA11" i="29"/>
  <c r="F11" i="29"/>
  <c r="H11" i="29" s="1"/>
  <c r="E11" i="29"/>
  <c r="AF11" i="29" s="1"/>
  <c r="AE10" i="29"/>
  <c r="AD10" i="29"/>
  <c r="AB10" i="29"/>
  <c r="AA10" i="29"/>
  <c r="F10" i="29"/>
  <c r="H10" i="29" s="1"/>
  <c r="E10" i="29"/>
  <c r="AF10" i="29" s="1"/>
  <c r="AE9" i="29"/>
  <c r="AD9" i="29"/>
  <c r="AB9" i="29"/>
  <c r="AA9" i="29"/>
  <c r="F9" i="29"/>
  <c r="H9" i="29" s="1"/>
  <c r="E9" i="29"/>
  <c r="G9" i="29" s="1"/>
  <c r="AE8" i="29"/>
  <c r="AD8" i="29"/>
  <c r="AB8" i="29"/>
  <c r="AA8" i="29"/>
  <c r="F8" i="29"/>
  <c r="H8" i="29" s="1"/>
  <c r="E8" i="29"/>
  <c r="AF8" i="29" s="1"/>
  <c r="AE7" i="29"/>
  <c r="AD7" i="29"/>
  <c r="AB7" i="29"/>
  <c r="AA7" i="29"/>
  <c r="M19" i="29"/>
  <c r="F7" i="29"/>
  <c r="H7" i="29" s="1"/>
  <c r="E7" i="29"/>
  <c r="AE6" i="29"/>
  <c r="AD6" i="29"/>
  <c r="AB6" i="29"/>
  <c r="AA6" i="29"/>
  <c r="F6" i="29"/>
  <c r="H6" i="29" s="1"/>
  <c r="E6" i="29"/>
  <c r="AF6" i="29" s="1"/>
  <c r="AE5" i="29"/>
  <c r="AD5" i="29"/>
  <c r="AB5" i="29"/>
  <c r="AA5" i="29"/>
  <c r="N19" i="29"/>
  <c r="F5" i="29"/>
  <c r="E5" i="29"/>
  <c r="G5" i="29" s="1"/>
  <c r="Q62" i="28"/>
  <c r="R61" i="28"/>
  <c r="Q61" i="28"/>
  <c r="P61" i="28"/>
  <c r="O61" i="28"/>
  <c r="L61" i="28"/>
  <c r="K61" i="28"/>
  <c r="J61" i="28"/>
  <c r="I61" i="28"/>
  <c r="AE60" i="28"/>
  <c r="AD60" i="28"/>
  <c r="AB60" i="28"/>
  <c r="F60" i="28"/>
  <c r="H60" i="28" s="1"/>
  <c r="E60" i="28"/>
  <c r="AF60" i="28" s="1"/>
  <c r="AE59" i="28"/>
  <c r="AD59" i="28"/>
  <c r="AB59" i="28"/>
  <c r="F59" i="28"/>
  <c r="H59" i="28" s="1"/>
  <c r="E59" i="28"/>
  <c r="AE58" i="28"/>
  <c r="AD58" i="28"/>
  <c r="AB58" i="28"/>
  <c r="F58" i="28"/>
  <c r="H58" i="28" s="1"/>
  <c r="E58" i="28"/>
  <c r="AE57" i="28"/>
  <c r="AD57" i="28"/>
  <c r="AB57" i="28"/>
  <c r="F57" i="28"/>
  <c r="E57" i="28"/>
  <c r="AE56" i="28"/>
  <c r="AD56" i="28"/>
  <c r="AB56" i="28"/>
  <c r="F56" i="28"/>
  <c r="H56" i="28" s="1"/>
  <c r="E56" i="28"/>
  <c r="AE55" i="28"/>
  <c r="AD55" i="28"/>
  <c r="AB55" i="28"/>
  <c r="F55" i="28"/>
  <c r="H55" i="28" s="1"/>
  <c r="E55" i="28"/>
  <c r="AE54" i="28"/>
  <c r="AD54" i="28"/>
  <c r="AB54" i="28"/>
  <c r="F54" i="28"/>
  <c r="H54" i="28" s="1"/>
  <c r="E54" i="28"/>
  <c r="AE53" i="28"/>
  <c r="AD53" i="28"/>
  <c r="AB53" i="28"/>
  <c r="F53" i="28"/>
  <c r="H53" i="28" s="1"/>
  <c r="E53" i="28"/>
  <c r="AE52" i="28"/>
  <c r="AD52" i="28"/>
  <c r="AB52" i="28"/>
  <c r="F52" i="28"/>
  <c r="H52" i="28" s="1"/>
  <c r="E52" i="28"/>
  <c r="AE51" i="28"/>
  <c r="AD51" i="28"/>
  <c r="AB51" i="28"/>
  <c r="F51" i="28"/>
  <c r="H51" i="28" s="1"/>
  <c r="E51" i="28"/>
  <c r="AE50" i="28"/>
  <c r="AD50" i="28"/>
  <c r="AB50" i="28"/>
  <c r="F50" i="28"/>
  <c r="H50" i="28" s="1"/>
  <c r="E50" i="28"/>
  <c r="AE49" i="28"/>
  <c r="AD49" i="28"/>
  <c r="AB49" i="28"/>
  <c r="F49" i="28"/>
  <c r="H49" i="28" s="1"/>
  <c r="E49" i="28"/>
  <c r="AE48" i="28"/>
  <c r="AD48" i="28"/>
  <c r="AB48" i="28"/>
  <c r="F48" i="28"/>
  <c r="H48" i="28" s="1"/>
  <c r="E48" i="28"/>
  <c r="AE47" i="28"/>
  <c r="AD47" i="28"/>
  <c r="AB47" i="28"/>
  <c r="F47" i="28"/>
  <c r="H47" i="28" s="1"/>
  <c r="E47" i="28"/>
  <c r="Q41" i="28"/>
  <c r="R40" i="28"/>
  <c r="Q40" i="28"/>
  <c r="P40" i="28"/>
  <c r="O40" i="28"/>
  <c r="L40" i="28"/>
  <c r="K40" i="28"/>
  <c r="J40" i="28"/>
  <c r="I40" i="28"/>
  <c r="AE39" i="28"/>
  <c r="AD39" i="28"/>
  <c r="AB39" i="28"/>
  <c r="F39" i="28"/>
  <c r="H39" i="28" s="1"/>
  <c r="E39" i="28"/>
  <c r="AF39" i="28" s="1"/>
  <c r="AE38" i="28"/>
  <c r="AD38" i="28"/>
  <c r="AB38" i="28"/>
  <c r="F38" i="28"/>
  <c r="H38" i="28" s="1"/>
  <c r="E38" i="28"/>
  <c r="AE37" i="28"/>
  <c r="AD37" i="28"/>
  <c r="AB37" i="28"/>
  <c r="F37" i="28"/>
  <c r="H37" i="28" s="1"/>
  <c r="E37" i="28"/>
  <c r="B37" i="28"/>
  <c r="B58" i="28" s="1"/>
  <c r="B79" i="28" s="1"/>
  <c r="B100" i="28" s="1"/>
  <c r="B121" i="28" s="1"/>
  <c r="B142" i="28" s="1"/>
  <c r="B163" i="28" s="1"/>
  <c r="B184" i="28" s="1"/>
  <c r="AE36" i="28"/>
  <c r="AD36" i="28"/>
  <c r="AB36" i="28"/>
  <c r="F36" i="28"/>
  <c r="E36" i="28"/>
  <c r="B36" i="28"/>
  <c r="B57" i="28" s="1"/>
  <c r="B78" i="28" s="1"/>
  <c r="B99" i="28" s="1"/>
  <c r="B120" i="28" s="1"/>
  <c r="B141" i="28" s="1"/>
  <c r="B162" i="28" s="1"/>
  <c r="B183" i="28" s="1"/>
  <c r="AE35" i="28"/>
  <c r="AD35" i="28"/>
  <c r="AB35" i="28"/>
  <c r="F35" i="28"/>
  <c r="H35" i="28" s="1"/>
  <c r="E35" i="28"/>
  <c r="B35" i="28"/>
  <c r="B56" i="28" s="1"/>
  <c r="B77" i="28" s="1"/>
  <c r="B98" i="28" s="1"/>
  <c r="B119" i="28" s="1"/>
  <c r="B140" i="28" s="1"/>
  <c r="B161" i="28" s="1"/>
  <c r="B182" i="28" s="1"/>
  <c r="AE34" i="28"/>
  <c r="AD34" i="28"/>
  <c r="AB34" i="28"/>
  <c r="F34" i="28"/>
  <c r="H34" i="28" s="1"/>
  <c r="E34" i="28"/>
  <c r="AE33" i="28"/>
  <c r="AD33" i="28"/>
  <c r="AB33" i="28"/>
  <c r="F33" i="28"/>
  <c r="H33" i="28" s="1"/>
  <c r="E33" i="28"/>
  <c r="AE32" i="28"/>
  <c r="AD32" i="28"/>
  <c r="AB32" i="28"/>
  <c r="F32" i="28"/>
  <c r="H32" i="28" s="1"/>
  <c r="E32" i="28"/>
  <c r="AE31" i="28"/>
  <c r="AD31" i="28"/>
  <c r="AB31" i="28"/>
  <c r="F31" i="28"/>
  <c r="H31" i="28" s="1"/>
  <c r="E31" i="28"/>
  <c r="AE30" i="28"/>
  <c r="AD30" i="28"/>
  <c r="AB30" i="28"/>
  <c r="F30" i="28"/>
  <c r="H30" i="28" s="1"/>
  <c r="E30" i="28"/>
  <c r="AE29" i="28"/>
  <c r="AD29" i="28"/>
  <c r="AB29" i="28"/>
  <c r="F29" i="28"/>
  <c r="H29" i="28" s="1"/>
  <c r="E29" i="28"/>
  <c r="B29" i="28"/>
  <c r="B50" i="28" s="1"/>
  <c r="B71" i="28" s="1"/>
  <c r="B92" i="28" s="1"/>
  <c r="B113" i="28" s="1"/>
  <c r="B134" i="28" s="1"/>
  <c r="B155" i="28" s="1"/>
  <c r="B176" i="28" s="1"/>
  <c r="AE28" i="28"/>
  <c r="AD28" i="28"/>
  <c r="AB28" i="28"/>
  <c r="F28" i="28"/>
  <c r="H28" i="28" s="1"/>
  <c r="E28" i="28"/>
  <c r="B28" i="28"/>
  <c r="B49" i="28" s="1"/>
  <c r="B70" i="28" s="1"/>
  <c r="B91" i="28" s="1"/>
  <c r="B112" i="28" s="1"/>
  <c r="B133" i="28" s="1"/>
  <c r="B154" i="28" s="1"/>
  <c r="B175" i="28" s="1"/>
  <c r="AE27" i="28"/>
  <c r="AD27" i="28"/>
  <c r="AB27" i="28"/>
  <c r="F27" i="28"/>
  <c r="H27" i="28" s="1"/>
  <c r="E27" i="28"/>
  <c r="AE26" i="28"/>
  <c r="AD26" i="28"/>
  <c r="AB26" i="28"/>
  <c r="F26" i="28"/>
  <c r="E26" i="28"/>
  <c r="T26" i="28" s="1"/>
  <c r="H22" i="28"/>
  <c r="AA38" i="28" s="1"/>
  <c r="Q20" i="28"/>
  <c r="R21" i="28" s="1"/>
  <c r="R19" i="28"/>
  <c r="Q19" i="28"/>
  <c r="P19" i="28"/>
  <c r="O19" i="28"/>
  <c r="L19" i="28"/>
  <c r="K19" i="28"/>
  <c r="J19" i="28"/>
  <c r="I19" i="28"/>
  <c r="D19" i="28"/>
  <c r="E20" i="28" s="1"/>
  <c r="C19" i="28"/>
  <c r="L20" i="28" s="1"/>
  <c r="AE18" i="28"/>
  <c r="AD18" i="28"/>
  <c r="AB18" i="28"/>
  <c r="AA18" i="28"/>
  <c r="H18" i="28"/>
  <c r="AF18" i="28"/>
  <c r="AE17" i="28"/>
  <c r="AD17" i="28"/>
  <c r="AB17" i="28"/>
  <c r="AA17" i="28"/>
  <c r="H17" i="28"/>
  <c r="AF17" i="28"/>
  <c r="AF16" i="28"/>
  <c r="AE16" i="28"/>
  <c r="AD16" i="28"/>
  <c r="AB16" i="28"/>
  <c r="AA16" i="28"/>
  <c r="H16" i="28"/>
  <c r="G16" i="28"/>
  <c r="AE15" i="28"/>
  <c r="AD15" i="28"/>
  <c r="AB15" i="28"/>
  <c r="AA15" i="28"/>
  <c r="AF15" i="28"/>
  <c r="AF14" i="28"/>
  <c r="AE14" i="28"/>
  <c r="AD14" i="28"/>
  <c r="AB14" i="28"/>
  <c r="AA14" i="28"/>
  <c r="H14" i="28"/>
  <c r="G14" i="28"/>
  <c r="AF13" i="28"/>
  <c r="AE13" i="28"/>
  <c r="AD13" i="28"/>
  <c r="AB13" i="28"/>
  <c r="AA13" i="28"/>
  <c r="H13" i="28"/>
  <c r="G13" i="28"/>
  <c r="AF12" i="28"/>
  <c r="AE12" i="28"/>
  <c r="AD12" i="28"/>
  <c r="AB12" i="28"/>
  <c r="AA12" i="28"/>
  <c r="H12" i="28"/>
  <c r="G12" i="28"/>
  <c r="AE11" i="28"/>
  <c r="AD11" i="28"/>
  <c r="AB11" i="28"/>
  <c r="AA11" i="28"/>
  <c r="F11" i="28"/>
  <c r="H11" i="28" s="1"/>
  <c r="E11" i="28"/>
  <c r="AF11" i="28" s="1"/>
  <c r="AE10" i="28"/>
  <c r="AD10" i="28"/>
  <c r="AB10" i="28"/>
  <c r="AA10" i="28"/>
  <c r="F10" i="28"/>
  <c r="H10" i="28" s="1"/>
  <c r="E10" i="28"/>
  <c r="AF10" i="28" s="1"/>
  <c r="AE9" i="28"/>
  <c r="AD9" i="28"/>
  <c r="AB9" i="28"/>
  <c r="AA9" i="28"/>
  <c r="F9" i="28"/>
  <c r="H9" i="28" s="1"/>
  <c r="E9" i="28"/>
  <c r="G9" i="28" s="1"/>
  <c r="AE8" i="28"/>
  <c r="AD8" i="28"/>
  <c r="AB8" i="28"/>
  <c r="AA8" i="28"/>
  <c r="F8" i="28"/>
  <c r="H8" i="28" s="1"/>
  <c r="E8" i="28"/>
  <c r="AF8" i="28" s="1"/>
  <c r="AE7" i="28"/>
  <c r="AD7" i="28"/>
  <c r="AB7" i="28"/>
  <c r="AA7" i="28"/>
  <c r="F7" i="28"/>
  <c r="H7" i="28" s="1"/>
  <c r="E7" i="28"/>
  <c r="AF7" i="28" s="1"/>
  <c r="AE6" i="28"/>
  <c r="AD6" i="28"/>
  <c r="AB6" i="28"/>
  <c r="AA6" i="28"/>
  <c r="F6" i="28"/>
  <c r="H6" i="28" s="1"/>
  <c r="E6" i="28"/>
  <c r="G6" i="28" s="1"/>
  <c r="AE5" i="28"/>
  <c r="AD5" i="28"/>
  <c r="AB5" i="28"/>
  <c r="AA5" i="28"/>
  <c r="N19" i="28"/>
  <c r="M19" i="28"/>
  <c r="F5" i="28"/>
  <c r="H5" i="28" s="1"/>
  <c r="E5" i="28"/>
  <c r="AK165" i="31"/>
  <c r="AJ165" i="31"/>
  <c r="AI165" i="31"/>
  <c r="AH165" i="31"/>
  <c r="AE165" i="31"/>
  <c r="AD165" i="31"/>
  <c r="AC165" i="31"/>
  <c r="AB165" i="31"/>
  <c r="Z165" i="31"/>
  <c r="T165" i="31"/>
  <c r="M165" i="31"/>
  <c r="L165" i="31"/>
  <c r="K165" i="31"/>
  <c r="J165" i="31"/>
  <c r="H165" i="31"/>
  <c r="G165" i="31"/>
  <c r="F165" i="31"/>
  <c r="E165" i="31"/>
  <c r="D165" i="31"/>
  <c r="B165" i="31"/>
  <c r="AG159" i="31"/>
  <c r="AA159" i="31"/>
  <c r="U159" i="31"/>
  <c r="O159" i="31"/>
  <c r="I159" i="31"/>
  <c r="C159" i="31"/>
  <c r="AG157" i="31"/>
  <c r="AA157" i="31"/>
  <c r="U157" i="31"/>
  <c r="O157" i="31"/>
  <c r="I157" i="31"/>
  <c r="C157" i="31"/>
  <c r="AG153" i="31"/>
  <c r="AA153" i="31"/>
  <c r="U153" i="31"/>
  <c r="O153" i="31"/>
  <c r="I153" i="31"/>
  <c r="C153" i="31"/>
  <c r="AG152" i="31"/>
  <c r="AA152" i="31"/>
  <c r="U152" i="31"/>
  <c r="O152" i="31"/>
  <c r="I152" i="31"/>
  <c r="C152" i="31"/>
  <c r="AG151" i="31"/>
  <c r="AA151" i="31"/>
  <c r="U151" i="31"/>
  <c r="O151" i="31"/>
  <c r="I151" i="31"/>
  <c r="C151" i="31"/>
  <c r="AG150" i="31"/>
  <c r="AA150" i="31"/>
  <c r="U150" i="31"/>
  <c r="O150" i="31"/>
  <c r="I150" i="31"/>
  <c r="C150" i="31"/>
  <c r="AG149" i="31"/>
  <c r="AA149" i="31"/>
  <c r="U149" i="31"/>
  <c r="O149" i="31"/>
  <c r="I149" i="31"/>
  <c r="C149" i="31"/>
  <c r="AG148" i="31"/>
  <c r="AA148" i="31"/>
  <c r="U148" i="31"/>
  <c r="O148" i="31"/>
  <c r="I148" i="31"/>
  <c r="C148" i="31"/>
  <c r="AG147" i="31"/>
  <c r="AA147" i="31"/>
  <c r="U147" i="31"/>
  <c r="O147" i="31"/>
  <c r="I147" i="31"/>
  <c r="C147" i="31"/>
  <c r="AG146" i="31"/>
  <c r="AA146" i="31"/>
  <c r="U146" i="31"/>
  <c r="O146" i="31"/>
  <c r="I146" i="31"/>
  <c r="C146" i="31"/>
  <c r="AG145" i="31"/>
  <c r="AA145" i="31"/>
  <c r="U145" i="31"/>
  <c r="O145" i="31"/>
  <c r="I145" i="31"/>
  <c r="C145" i="31"/>
  <c r="AK128" i="31"/>
  <c r="AJ128" i="31"/>
  <c r="AI128" i="31"/>
  <c r="AH128" i="31"/>
  <c r="AE128" i="31"/>
  <c r="AD128" i="31"/>
  <c r="AC128" i="31"/>
  <c r="AB128" i="31"/>
  <c r="Z128" i="31"/>
  <c r="T128" i="31"/>
  <c r="M128" i="31"/>
  <c r="L128" i="31"/>
  <c r="K128" i="31"/>
  <c r="J128" i="31"/>
  <c r="H128" i="31"/>
  <c r="G128" i="31"/>
  <c r="F128" i="31"/>
  <c r="E128" i="31"/>
  <c r="D128" i="31"/>
  <c r="B128" i="31"/>
  <c r="AG122" i="31"/>
  <c r="AA122" i="31"/>
  <c r="U122" i="31"/>
  <c r="O122" i="31"/>
  <c r="I122" i="31"/>
  <c r="C122" i="31"/>
  <c r="AG120" i="31"/>
  <c r="AA120" i="31"/>
  <c r="U120" i="31"/>
  <c r="O120" i="31"/>
  <c r="I120" i="31"/>
  <c r="C120" i="31"/>
  <c r="AG116" i="31"/>
  <c r="AA116" i="31"/>
  <c r="U116" i="31"/>
  <c r="O116" i="31"/>
  <c r="I116" i="31"/>
  <c r="C116" i="31"/>
  <c r="AG115" i="31"/>
  <c r="AA115" i="31"/>
  <c r="U115" i="31"/>
  <c r="O115" i="31"/>
  <c r="I115" i="31"/>
  <c r="C115" i="31"/>
  <c r="AG114" i="31"/>
  <c r="AA114" i="31"/>
  <c r="U114" i="31"/>
  <c r="O114" i="31"/>
  <c r="I114" i="31"/>
  <c r="C114" i="31"/>
  <c r="AG113" i="31"/>
  <c r="AA113" i="31"/>
  <c r="U113" i="31"/>
  <c r="O113" i="31"/>
  <c r="I113" i="31"/>
  <c r="C113" i="31"/>
  <c r="AG112" i="31"/>
  <c r="AA112" i="31"/>
  <c r="U112" i="31"/>
  <c r="O112" i="31"/>
  <c r="I112" i="31"/>
  <c r="C112" i="31"/>
  <c r="AG111" i="31"/>
  <c r="AA111" i="31"/>
  <c r="U111" i="31"/>
  <c r="O111" i="31"/>
  <c r="I111" i="31"/>
  <c r="C111" i="31"/>
  <c r="AG110" i="31"/>
  <c r="AA110" i="31"/>
  <c r="U110" i="31"/>
  <c r="O110" i="31"/>
  <c r="I110" i="31"/>
  <c r="C110" i="31"/>
  <c r="AG109" i="31"/>
  <c r="AA109" i="31"/>
  <c r="U109" i="31"/>
  <c r="O109" i="31"/>
  <c r="I109" i="31"/>
  <c r="C109" i="31"/>
  <c r="AG108" i="31"/>
  <c r="AA108" i="31"/>
  <c r="U108" i="31"/>
  <c r="O108" i="31"/>
  <c r="I108" i="31"/>
  <c r="C108" i="31"/>
  <c r="T101" i="31"/>
  <c r="R101" i="31"/>
  <c r="P101" i="31"/>
  <c r="O101" i="31"/>
  <c r="N101" i="31"/>
  <c r="M101" i="31"/>
  <c r="K101" i="31"/>
  <c r="I101" i="31"/>
  <c r="H101" i="31"/>
  <c r="F101" i="31"/>
  <c r="D101" i="31"/>
  <c r="B101" i="31"/>
  <c r="S100" i="31"/>
  <c r="L99" i="31"/>
  <c r="E99" i="31"/>
  <c r="S98" i="31"/>
  <c r="S97" i="31"/>
  <c r="L97" i="31"/>
  <c r="S96" i="31"/>
  <c r="L96" i="31"/>
  <c r="S95" i="31"/>
  <c r="L95" i="31"/>
  <c r="S94" i="31"/>
  <c r="L94" i="31"/>
  <c r="E94" i="31"/>
  <c r="C94" i="31"/>
  <c r="S93" i="31"/>
  <c r="L93" i="31"/>
  <c r="E93" i="31"/>
  <c r="C93" i="31"/>
  <c r="U92" i="31"/>
  <c r="S92" i="31"/>
  <c r="L92" i="31"/>
  <c r="E92" i="31"/>
  <c r="C92" i="31"/>
  <c r="U91" i="31"/>
  <c r="S91" i="31"/>
  <c r="L91" i="31"/>
  <c r="E91" i="31"/>
  <c r="C91" i="31"/>
  <c r="E89" i="31"/>
  <c r="C89" i="31"/>
  <c r="E88" i="31"/>
  <c r="C88" i="31"/>
  <c r="E87" i="31"/>
  <c r="C87" i="31"/>
  <c r="E86" i="31"/>
  <c r="C86" i="31"/>
  <c r="G85" i="31"/>
  <c r="E85" i="31"/>
  <c r="C85" i="31"/>
  <c r="G84" i="31"/>
  <c r="E84" i="31"/>
  <c r="C84" i="31"/>
  <c r="G83" i="31"/>
  <c r="E83" i="31"/>
  <c r="C83" i="31"/>
  <c r="AI67" i="31"/>
  <c r="AH67" i="31"/>
  <c r="AG67" i="31"/>
  <c r="AF67" i="31"/>
  <c r="AD67" i="31"/>
  <c r="AB67" i="31"/>
  <c r="AA67" i="31"/>
  <c r="Z67" i="31"/>
  <c r="Y67" i="31"/>
  <c r="W67" i="31"/>
  <c r="U67" i="31"/>
  <c r="T67" i="31"/>
  <c r="S67" i="31"/>
  <c r="R67" i="31"/>
  <c r="P67" i="31"/>
  <c r="N67" i="31"/>
  <c r="M67" i="31"/>
  <c r="K67" i="31"/>
  <c r="I67" i="31"/>
  <c r="F67" i="31"/>
  <c r="D67" i="31"/>
  <c r="B67" i="31"/>
  <c r="Q66" i="31"/>
  <c r="AE65" i="31"/>
  <c r="Q65" i="31"/>
  <c r="C65" i="31"/>
  <c r="X63" i="31"/>
  <c r="Q63" i="31"/>
  <c r="AE62" i="31"/>
  <c r="X62" i="31"/>
  <c r="Q62" i="31"/>
  <c r="AE61" i="31"/>
  <c r="X61" i="31"/>
  <c r="Q61" i="31"/>
  <c r="J61" i="31"/>
  <c r="AE60" i="31"/>
  <c r="X60" i="31"/>
  <c r="Q60" i="31"/>
  <c r="J60" i="31"/>
  <c r="X59" i="31"/>
  <c r="Q59" i="31"/>
  <c r="J59" i="31"/>
  <c r="AE58" i="31"/>
  <c r="X58" i="31"/>
  <c r="Q58" i="31"/>
  <c r="C58" i="31"/>
  <c r="Q57" i="31"/>
  <c r="J57" i="31"/>
  <c r="C57" i="31"/>
  <c r="J56" i="31"/>
  <c r="C56" i="31"/>
  <c r="J55" i="31"/>
  <c r="J54" i="31"/>
  <c r="J53" i="31"/>
  <c r="C52" i="31"/>
  <c r="G51" i="31"/>
  <c r="E51" i="31"/>
  <c r="C51" i="31"/>
  <c r="J50" i="31"/>
  <c r="G50" i="31"/>
  <c r="G67" i="31" s="1"/>
  <c r="E50" i="31"/>
  <c r="E67" i="31" s="1"/>
  <c r="C50" i="31"/>
  <c r="L49" i="31"/>
  <c r="J49" i="31"/>
  <c r="L47" i="31"/>
  <c r="J47" i="31"/>
  <c r="AH34" i="31"/>
  <c r="AF34" i="31"/>
  <c r="AD34" i="31"/>
  <c r="AA34" i="31"/>
  <c r="Y34" i="31"/>
  <c r="W34" i="31"/>
  <c r="T34" i="31"/>
  <c r="S34" i="31"/>
  <c r="R34" i="31"/>
  <c r="P34" i="31"/>
  <c r="N34" i="31"/>
  <c r="M34" i="31"/>
  <c r="K34" i="31"/>
  <c r="I34" i="31"/>
  <c r="G34" i="31"/>
  <c r="F34" i="31"/>
  <c r="E34" i="31"/>
  <c r="D34" i="31"/>
  <c r="B34" i="31"/>
  <c r="X33" i="31"/>
  <c r="AE32" i="31"/>
  <c r="X32" i="31"/>
  <c r="Q32" i="31"/>
  <c r="C32" i="31"/>
  <c r="X30" i="31"/>
  <c r="X29" i="31"/>
  <c r="C29" i="31"/>
  <c r="AE27" i="31"/>
  <c r="J27" i="31"/>
  <c r="X26" i="31"/>
  <c r="J26" i="31"/>
  <c r="C26" i="31"/>
  <c r="AE25" i="31"/>
  <c r="X25" i="31"/>
  <c r="Q25" i="31"/>
  <c r="C25" i="31"/>
  <c r="AE24" i="31"/>
  <c r="X24" i="31"/>
  <c r="C24" i="31"/>
  <c r="AG23" i="31"/>
  <c r="AE23" i="31"/>
  <c r="X23" i="31"/>
  <c r="X22" i="31"/>
  <c r="L21" i="31"/>
  <c r="J21" i="31"/>
  <c r="X20" i="31"/>
  <c r="AE19" i="31"/>
  <c r="X19" i="31"/>
  <c r="AB18" i="31"/>
  <c r="Z18" i="31"/>
  <c r="X18" i="31"/>
  <c r="U18" i="31"/>
  <c r="Q18" i="31"/>
  <c r="AI17" i="31"/>
  <c r="AI34" i="31" s="1"/>
  <c r="AG17" i="31"/>
  <c r="AB17" i="31"/>
  <c r="Z17" i="31"/>
  <c r="X17" i="31"/>
  <c r="U17" i="31"/>
  <c r="Q17" i="31"/>
  <c r="U16" i="31"/>
  <c r="Q16" i="31"/>
  <c r="J16" i="31"/>
  <c r="C16" i="31"/>
  <c r="L15" i="31"/>
  <c r="J15" i="31"/>
  <c r="C14" i="31"/>
  <c r="B38" i="27"/>
  <c r="B59" i="27" s="1"/>
  <c r="B80" i="27" s="1"/>
  <c r="B101" i="27" s="1"/>
  <c r="B122" i="27" s="1"/>
  <c r="B143" i="27" s="1"/>
  <c r="B164" i="27" s="1"/>
  <c r="B37" i="27"/>
  <c r="B58" i="27" s="1"/>
  <c r="B79" i="27" s="1"/>
  <c r="B100" i="27" s="1"/>
  <c r="B121" i="27" s="1"/>
  <c r="B142" i="27" s="1"/>
  <c r="B163" i="27" s="1"/>
  <c r="B36" i="27"/>
  <c r="B57" i="27" s="1"/>
  <c r="B78" i="27" s="1"/>
  <c r="B99" i="27" s="1"/>
  <c r="B120" i="27" s="1"/>
  <c r="B141" i="27" s="1"/>
  <c r="B162" i="27" s="1"/>
  <c r="B35" i="27"/>
  <c r="B56" i="27" s="1"/>
  <c r="B77" i="27" s="1"/>
  <c r="B98" i="27" s="1"/>
  <c r="B119" i="27" s="1"/>
  <c r="B140" i="27" s="1"/>
  <c r="B161" i="27" s="1"/>
  <c r="B29" i="27"/>
  <c r="B50" i="27" s="1"/>
  <c r="B71" i="27" s="1"/>
  <c r="B92" i="27" s="1"/>
  <c r="B113" i="27" s="1"/>
  <c r="B134" i="27" s="1"/>
  <c r="B155" i="27" s="1"/>
  <c r="B28" i="27"/>
  <c r="B49" i="27" s="1"/>
  <c r="B70" i="27" s="1"/>
  <c r="B91" i="27" s="1"/>
  <c r="B112" i="27" s="1"/>
  <c r="B133" i="27" s="1"/>
  <c r="B154" i="27" s="1"/>
  <c r="Q62" i="27"/>
  <c r="R61" i="27"/>
  <c r="Q61" i="27"/>
  <c r="P61" i="27"/>
  <c r="O61" i="27"/>
  <c r="L61" i="27"/>
  <c r="K61" i="27"/>
  <c r="J61" i="27"/>
  <c r="I61" i="27"/>
  <c r="D61" i="27"/>
  <c r="E62" i="27" s="1"/>
  <c r="C61" i="27"/>
  <c r="L62" i="27" s="1"/>
  <c r="AE60" i="27"/>
  <c r="AD60" i="27"/>
  <c r="AB60" i="27"/>
  <c r="F60" i="27"/>
  <c r="H60" i="27" s="1"/>
  <c r="E60" i="27"/>
  <c r="AF60" i="27" s="1"/>
  <c r="AE59" i="27"/>
  <c r="AD59" i="27"/>
  <c r="AB59" i="27"/>
  <c r="F59" i="27"/>
  <c r="H59" i="27" s="1"/>
  <c r="E59" i="27"/>
  <c r="AE58" i="27"/>
  <c r="AD58" i="27"/>
  <c r="AB58" i="27"/>
  <c r="F58" i="27"/>
  <c r="H58" i="27" s="1"/>
  <c r="E58" i="27"/>
  <c r="AE57" i="27"/>
  <c r="AD57" i="27"/>
  <c r="AB57" i="27"/>
  <c r="F57" i="27"/>
  <c r="E57" i="27"/>
  <c r="AE56" i="27"/>
  <c r="AD56" i="27"/>
  <c r="AB56" i="27"/>
  <c r="F56" i="27"/>
  <c r="H56" i="27" s="1"/>
  <c r="E56" i="27"/>
  <c r="AE55" i="27"/>
  <c r="AD55" i="27"/>
  <c r="AB55" i="27"/>
  <c r="F55" i="27"/>
  <c r="H55" i="27" s="1"/>
  <c r="E55" i="27"/>
  <c r="AE54" i="27"/>
  <c r="AD54" i="27"/>
  <c r="AB54" i="27"/>
  <c r="F54" i="27"/>
  <c r="H54" i="27" s="1"/>
  <c r="E54" i="27"/>
  <c r="AE53" i="27"/>
  <c r="AD53" i="27"/>
  <c r="AB53" i="27"/>
  <c r="F53" i="27"/>
  <c r="H53" i="27" s="1"/>
  <c r="E53" i="27"/>
  <c r="AE52" i="27"/>
  <c r="AD52" i="27"/>
  <c r="AB52" i="27"/>
  <c r="F52" i="27"/>
  <c r="H52" i="27" s="1"/>
  <c r="E52" i="27"/>
  <c r="AE51" i="27"/>
  <c r="AD51" i="27"/>
  <c r="AB51" i="27"/>
  <c r="F51" i="27"/>
  <c r="H51" i="27" s="1"/>
  <c r="E51" i="27"/>
  <c r="AE50" i="27"/>
  <c r="AD50" i="27"/>
  <c r="AB50" i="27"/>
  <c r="F50" i="27"/>
  <c r="H50" i="27" s="1"/>
  <c r="E50" i="27"/>
  <c r="AE49" i="27"/>
  <c r="AD49" i="27"/>
  <c r="AB49" i="27"/>
  <c r="F49" i="27"/>
  <c r="H49" i="27" s="1"/>
  <c r="E49" i="27"/>
  <c r="AE48" i="27"/>
  <c r="AD48" i="27"/>
  <c r="AB48" i="27"/>
  <c r="F48" i="27"/>
  <c r="H48" i="27" s="1"/>
  <c r="E48" i="27"/>
  <c r="AE47" i="27"/>
  <c r="AD47" i="27"/>
  <c r="AB47" i="27"/>
  <c r="F47" i="27"/>
  <c r="H47" i="27" s="1"/>
  <c r="E47" i="27"/>
  <c r="Q41" i="27"/>
  <c r="R40" i="27"/>
  <c r="Q40" i="27"/>
  <c r="P40" i="27"/>
  <c r="O40" i="27"/>
  <c r="L40" i="27"/>
  <c r="K40" i="27"/>
  <c r="J40" i="27"/>
  <c r="I40" i="27"/>
  <c r="D40" i="27"/>
  <c r="E41" i="27" s="1"/>
  <c r="C40" i="27"/>
  <c r="L41" i="27" s="1"/>
  <c r="AE39" i="27"/>
  <c r="AD39" i="27"/>
  <c r="AB39" i="27"/>
  <c r="F39" i="27"/>
  <c r="H39" i="27" s="1"/>
  <c r="E39" i="27"/>
  <c r="AF39" i="27" s="1"/>
  <c r="AE38" i="27"/>
  <c r="AD38" i="27"/>
  <c r="AB38" i="27"/>
  <c r="F38" i="27"/>
  <c r="H38" i="27" s="1"/>
  <c r="E38" i="27"/>
  <c r="AE37" i="27"/>
  <c r="AD37" i="27"/>
  <c r="AB37" i="27"/>
  <c r="F37" i="27"/>
  <c r="H37" i="27" s="1"/>
  <c r="E37" i="27"/>
  <c r="AE36" i="27"/>
  <c r="AD36" i="27"/>
  <c r="AB36" i="27"/>
  <c r="F36" i="27"/>
  <c r="E36" i="27"/>
  <c r="AE35" i="27"/>
  <c r="AD35" i="27"/>
  <c r="AB35" i="27"/>
  <c r="F35" i="27"/>
  <c r="H35" i="27" s="1"/>
  <c r="E35" i="27"/>
  <c r="AE34" i="27"/>
  <c r="AD34" i="27"/>
  <c r="AB34" i="27"/>
  <c r="F34" i="27"/>
  <c r="H34" i="27" s="1"/>
  <c r="E34" i="27"/>
  <c r="AE33" i="27"/>
  <c r="AD33" i="27"/>
  <c r="AB33" i="27"/>
  <c r="F33" i="27"/>
  <c r="H33" i="27" s="1"/>
  <c r="E33" i="27"/>
  <c r="AE32" i="27"/>
  <c r="AD32" i="27"/>
  <c r="AB32" i="27"/>
  <c r="F32" i="27"/>
  <c r="H32" i="27" s="1"/>
  <c r="E32" i="27"/>
  <c r="AE31" i="27"/>
  <c r="AD31" i="27"/>
  <c r="AB31" i="27"/>
  <c r="F31" i="27"/>
  <c r="H31" i="27" s="1"/>
  <c r="E31" i="27"/>
  <c r="AE30" i="27"/>
  <c r="AD30" i="27"/>
  <c r="AB30" i="27"/>
  <c r="F30" i="27"/>
  <c r="H30" i="27" s="1"/>
  <c r="E30" i="27"/>
  <c r="AE29" i="27"/>
  <c r="AD29" i="27"/>
  <c r="AB29" i="27"/>
  <c r="F29" i="27"/>
  <c r="H29" i="27" s="1"/>
  <c r="E29" i="27"/>
  <c r="AE28" i="27"/>
  <c r="AD28" i="27"/>
  <c r="AB28" i="27"/>
  <c r="F28" i="27"/>
  <c r="H28" i="27" s="1"/>
  <c r="E28" i="27"/>
  <c r="AE27" i="27"/>
  <c r="AD27" i="27"/>
  <c r="AB27" i="27"/>
  <c r="F27" i="27"/>
  <c r="H27" i="27" s="1"/>
  <c r="E27" i="27"/>
  <c r="AE26" i="27"/>
  <c r="AD26" i="27"/>
  <c r="AB26" i="27"/>
  <c r="F26" i="27"/>
  <c r="H26" i="27" s="1"/>
  <c r="E26" i="27"/>
  <c r="H22" i="27"/>
  <c r="AA39" i="27" s="1"/>
  <c r="Q20" i="27"/>
  <c r="R21" i="27" s="1"/>
  <c r="R19" i="27"/>
  <c r="Q19" i="27"/>
  <c r="P19" i="27"/>
  <c r="O19" i="27"/>
  <c r="L19" i="27"/>
  <c r="K19" i="27"/>
  <c r="J19" i="27"/>
  <c r="I19" i="27"/>
  <c r="D19" i="27"/>
  <c r="E20" i="27" s="1"/>
  <c r="C19" i="27"/>
  <c r="L20" i="27" s="1"/>
  <c r="AE18" i="27"/>
  <c r="AD18" i="27"/>
  <c r="AB18" i="27"/>
  <c r="AA18" i="27"/>
  <c r="F18" i="27"/>
  <c r="H18" i="27" s="1"/>
  <c r="E18" i="27"/>
  <c r="G18" i="27" s="1"/>
  <c r="AE17" i="27"/>
  <c r="AD17" i="27"/>
  <c r="AB17" i="27"/>
  <c r="AA17" i="27"/>
  <c r="F17" i="27"/>
  <c r="H17" i="27" s="1"/>
  <c r="E17" i="27"/>
  <c r="AF17" i="27" s="1"/>
  <c r="AE16" i="27"/>
  <c r="AD16" i="27"/>
  <c r="AB16" i="27"/>
  <c r="AA16" i="27"/>
  <c r="F16" i="27"/>
  <c r="H16" i="27" s="1"/>
  <c r="E16" i="27"/>
  <c r="AF16" i="27" s="1"/>
  <c r="AE15" i="27"/>
  <c r="AD15" i="27"/>
  <c r="AB15" i="27"/>
  <c r="AA15" i="27"/>
  <c r="F15" i="27"/>
  <c r="E15" i="27"/>
  <c r="AF15" i="27" s="1"/>
  <c r="AE14" i="27"/>
  <c r="AD14" i="27"/>
  <c r="AB14" i="27"/>
  <c r="AA14" i="27"/>
  <c r="F14" i="27"/>
  <c r="H14" i="27" s="1"/>
  <c r="E14" i="27"/>
  <c r="AF14" i="27" s="1"/>
  <c r="AF13" i="27"/>
  <c r="AE13" i="27"/>
  <c r="AD13" i="27"/>
  <c r="AB13" i="27"/>
  <c r="AA13" i="27"/>
  <c r="H13" i="27"/>
  <c r="G13" i="27"/>
  <c r="AF12" i="27"/>
  <c r="AE12" i="27"/>
  <c r="AD12" i="27"/>
  <c r="AB12" i="27"/>
  <c r="AA12" i="27"/>
  <c r="H12" i="27"/>
  <c r="G12" i="27"/>
  <c r="AE11" i="27"/>
  <c r="AD11" i="27"/>
  <c r="AB11" i="27"/>
  <c r="AA11" i="27"/>
  <c r="F11" i="27"/>
  <c r="H11" i="27" s="1"/>
  <c r="E11" i="27"/>
  <c r="AF11" i="27" s="1"/>
  <c r="AE10" i="27"/>
  <c r="AD10" i="27"/>
  <c r="AB10" i="27"/>
  <c r="AA10" i="27"/>
  <c r="F10" i="27"/>
  <c r="H10" i="27" s="1"/>
  <c r="E10" i="27"/>
  <c r="AF10" i="27" s="1"/>
  <c r="AE9" i="27"/>
  <c r="AD9" i="27"/>
  <c r="AB9" i="27"/>
  <c r="AA9" i="27"/>
  <c r="F9" i="27"/>
  <c r="H9" i="27" s="1"/>
  <c r="E9" i="27"/>
  <c r="G9" i="27" s="1"/>
  <c r="AE8" i="27"/>
  <c r="AD8" i="27"/>
  <c r="AB8" i="27"/>
  <c r="AA8" i="27"/>
  <c r="F8" i="27"/>
  <c r="H8" i="27" s="1"/>
  <c r="E8" i="27"/>
  <c r="AF8" i="27" s="1"/>
  <c r="AE7" i="27"/>
  <c r="AD7" i="27"/>
  <c r="AB7" i="27"/>
  <c r="AA7" i="27"/>
  <c r="F7" i="27"/>
  <c r="H7" i="27" s="1"/>
  <c r="E7" i="27"/>
  <c r="AF7" i="27" s="1"/>
  <c r="AE6" i="27"/>
  <c r="AD6" i="27"/>
  <c r="AB6" i="27"/>
  <c r="AA6" i="27"/>
  <c r="F6" i="27"/>
  <c r="H6" i="27" s="1"/>
  <c r="E6" i="27"/>
  <c r="G6" i="27" s="1"/>
  <c r="AE5" i="27"/>
  <c r="AD5" i="27"/>
  <c r="AB5" i="27"/>
  <c r="AA5" i="27"/>
  <c r="N19" i="27"/>
  <c r="M19" i="27"/>
  <c r="F5" i="27"/>
  <c r="H5" i="27" s="1"/>
  <c r="E5" i="27"/>
  <c r="D19" i="26"/>
  <c r="C19" i="26"/>
  <c r="B26" i="26"/>
  <c r="B47" i="26" s="1"/>
  <c r="B68" i="26" s="1"/>
  <c r="B89" i="26" s="1"/>
  <c r="B110" i="26" s="1"/>
  <c r="B131" i="26" s="1"/>
  <c r="B35" i="26"/>
  <c r="B56" i="26" s="1"/>
  <c r="B77" i="26" s="1"/>
  <c r="B98" i="26" s="1"/>
  <c r="B119" i="26" s="1"/>
  <c r="B140" i="26" s="1"/>
  <c r="AA101" i="30" l="1"/>
  <c r="H106" i="30"/>
  <c r="AA99" i="30"/>
  <c r="AA92" i="30"/>
  <c r="AA98" i="30"/>
  <c r="AA97" i="30"/>
  <c r="AA91" i="30"/>
  <c r="AA94" i="30"/>
  <c r="AA90" i="30"/>
  <c r="AA93" i="30"/>
  <c r="AA95" i="30"/>
  <c r="AA96" i="30"/>
  <c r="AA102" i="30"/>
  <c r="AA89" i="30"/>
  <c r="AA100" i="30"/>
  <c r="AF29" i="30"/>
  <c r="T29" i="30"/>
  <c r="AF33" i="30"/>
  <c r="T33" i="30"/>
  <c r="AF47" i="30"/>
  <c r="T47" i="30"/>
  <c r="G51" i="30"/>
  <c r="T51" i="30"/>
  <c r="G59" i="30"/>
  <c r="T59" i="30"/>
  <c r="AF26" i="30"/>
  <c r="T26" i="30"/>
  <c r="G30" i="30"/>
  <c r="T30" i="30"/>
  <c r="G34" i="30"/>
  <c r="T34" i="30"/>
  <c r="G38" i="30"/>
  <c r="T38" i="30"/>
  <c r="AF52" i="30"/>
  <c r="T52" i="30"/>
  <c r="AF56" i="30"/>
  <c r="T56" i="30"/>
  <c r="AF27" i="30"/>
  <c r="T27" i="30"/>
  <c r="G31" i="30"/>
  <c r="T31" i="30"/>
  <c r="AF35" i="30"/>
  <c r="T35" i="30"/>
  <c r="AF49" i="30"/>
  <c r="T49" i="30"/>
  <c r="AF53" i="30"/>
  <c r="T53" i="30"/>
  <c r="AF57" i="30"/>
  <c r="T57" i="30"/>
  <c r="G28" i="30"/>
  <c r="T28" i="30"/>
  <c r="AF32" i="30"/>
  <c r="T32" i="30"/>
  <c r="AF36" i="30"/>
  <c r="T36" i="30"/>
  <c r="G50" i="30"/>
  <c r="T50" i="30"/>
  <c r="G54" i="30"/>
  <c r="T54" i="30"/>
  <c r="AF54" i="29"/>
  <c r="T54" i="29"/>
  <c r="G58" i="29"/>
  <c r="T58" i="29"/>
  <c r="AA119" i="29"/>
  <c r="H127" i="29"/>
  <c r="AA122" i="29"/>
  <c r="AA120" i="29"/>
  <c r="AA118" i="29"/>
  <c r="AA117" i="29"/>
  <c r="AA116" i="29"/>
  <c r="AA115" i="29"/>
  <c r="AA114" i="29"/>
  <c r="AA113" i="29"/>
  <c r="AA121" i="29"/>
  <c r="AA112" i="29"/>
  <c r="AA123" i="29"/>
  <c r="AA111" i="29"/>
  <c r="AA110" i="29"/>
  <c r="AF47" i="29"/>
  <c r="T47" i="29"/>
  <c r="AF51" i="29"/>
  <c r="T51" i="29"/>
  <c r="AF55" i="29"/>
  <c r="T55" i="29"/>
  <c r="AF48" i="29"/>
  <c r="T48" i="29"/>
  <c r="AF52" i="29"/>
  <c r="T52" i="29"/>
  <c r="AF56" i="29"/>
  <c r="T56" i="29"/>
  <c r="AF49" i="29"/>
  <c r="T49" i="29"/>
  <c r="AF53" i="29"/>
  <c r="T53" i="29"/>
  <c r="AF57" i="29"/>
  <c r="T57" i="29"/>
  <c r="G57" i="29"/>
  <c r="AF48" i="28"/>
  <c r="T48" i="28"/>
  <c r="AF52" i="28"/>
  <c r="T52" i="28"/>
  <c r="G56" i="28"/>
  <c r="T56" i="28"/>
  <c r="AF49" i="28"/>
  <c r="T49" i="28"/>
  <c r="G53" i="28"/>
  <c r="T53" i="28"/>
  <c r="AF57" i="28"/>
  <c r="T57" i="28"/>
  <c r="AF50" i="28"/>
  <c r="T50" i="28"/>
  <c r="AF54" i="28"/>
  <c r="T54" i="28"/>
  <c r="G47" i="28"/>
  <c r="T47" i="28"/>
  <c r="AF51" i="28"/>
  <c r="T51" i="28"/>
  <c r="AF55" i="28"/>
  <c r="T55" i="28"/>
  <c r="AF47" i="27"/>
  <c r="T47" i="27"/>
  <c r="AF51" i="27"/>
  <c r="T51" i="27"/>
  <c r="AF55" i="27"/>
  <c r="T55" i="27"/>
  <c r="AF48" i="27"/>
  <c r="T48" i="27"/>
  <c r="AF52" i="27"/>
  <c r="T52" i="27"/>
  <c r="AF49" i="27"/>
  <c r="T49" i="27"/>
  <c r="AF53" i="27"/>
  <c r="T53" i="27"/>
  <c r="AF57" i="27"/>
  <c r="T57" i="27"/>
  <c r="G59" i="28"/>
  <c r="T59" i="28"/>
  <c r="G8" i="30"/>
  <c r="T8" i="30"/>
  <c r="AF17" i="30"/>
  <c r="T17" i="30"/>
  <c r="AF6" i="30"/>
  <c r="T6" i="30"/>
  <c r="AA80" i="30"/>
  <c r="AA70" i="30"/>
  <c r="AA78" i="30"/>
  <c r="AA74" i="30"/>
  <c r="AA77" i="30"/>
  <c r="AA75" i="30"/>
  <c r="AA72" i="30"/>
  <c r="AA81" i="30"/>
  <c r="AA73" i="30"/>
  <c r="AA76" i="30"/>
  <c r="AA71" i="30"/>
  <c r="AA68" i="30"/>
  <c r="AA79" i="30"/>
  <c r="AA69" i="30"/>
  <c r="AF7" i="30"/>
  <c r="T7" i="30"/>
  <c r="G5" i="30"/>
  <c r="T5" i="30"/>
  <c r="AF10" i="30"/>
  <c r="T10" i="30"/>
  <c r="AF15" i="30"/>
  <c r="T15" i="30"/>
  <c r="AF9" i="30"/>
  <c r="T9" i="30"/>
  <c r="AF11" i="30"/>
  <c r="T11" i="30"/>
  <c r="AF16" i="30"/>
  <c r="T16" i="30"/>
  <c r="AF32" i="29"/>
  <c r="T32" i="29"/>
  <c r="AF36" i="29"/>
  <c r="T36" i="29"/>
  <c r="AA102" i="29"/>
  <c r="AA101" i="29"/>
  <c r="AA96" i="29"/>
  <c r="AA95" i="29"/>
  <c r="AA97" i="29"/>
  <c r="AA94" i="29"/>
  <c r="AA93" i="29"/>
  <c r="AA92" i="29"/>
  <c r="AA99" i="29"/>
  <c r="AA98" i="29"/>
  <c r="AA91" i="29"/>
  <c r="AA100" i="29"/>
  <c r="AA89" i="29"/>
  <c r="AA90" i="29"/>
  <c r="AF29" i="29"/>
  <c r="T29" i="29"/>
  <c r="AF33" i="29"/>
  <c r="T33" i="29"/>
  <c r="AF37" i="29"/>
  <c r="T37" i="29"/>
  <c r="AF26" i="29"/>
  <c r="T26" i="29"/>
  <c r="AF30" i="29"/>
  <c r="T30" i="29"/>
  <c r="AF34" i="29"/>
  <c r="T34" i="29"/>
  <c r="G38" i="29"/>
  <c r="T38" i="29"/>
  <c r="AF27" i="29"/>
  <c r="T27" i="29"/>
  <c r="G31" i="29"/>
  <c r="T31" i="29"/>
  <c r="AF35" i="29"/>
  <c r="T35" i="29"/>
  <c r="G30" i="28"/>
  <c r="T30" i="28"/>
  <c r="G34" i="28"/>
  <c r="T34" i="28"/>
  <c r="AF36" i="28"/>
  <c r="T36" i="28"/>
  <c r="AF27" i="28"/>
  <c r="T27" i="28"/>
  <c r="AF29" i="28"/>
  <c r="T29" i="28"/>
  <c r="AF33" i="28"/>
  <c r="T33" i="28"/>
  <c r="AF38" i="28"/>
  <c r="T38" i="28"/>
  <c r="AF28" i="28"/>
  <c r="T28" i="28"/>
  <c r="AF31" i="28"/>
  <c r="T31" i="28"/>
  <c r="AF32" i="28"/>
  <c r="T32" i="28"/>
  <c r="AF35" i="28"/>
  <c r="T35" i="28"/>
  <c r="G37" i="28"/>
  <c r="T37" i="28"/>
  <c r="AF26" i="27"/>
  <c r="T26" i="27"/>
  <c r="AF30" i="27"/>
  <c r="T30" i="27"/>
  <c r="AF34" i="27"/>
  <c r="T34" i="27"/>
  <c r="AF27" i="27"/>
  <c r="T27" i="27"/>
  <c r="AF31" i="27"/>
  <c r="T31" i="27"/>
  <c r="AF35" i="27"/>
  <c r="T35" i="27"/>
  <c r="AF32" i="27"/>
  <c r="T32" i="27"/>
  <c r="AF36" i="27"/>
  <c r="T36" i="27"/>
  <c r="AF28" i="27"/>
  <c r="T28" i="27"/>
  <c r="G29" i="27"/>
  <c r="T29" i="27"/>
  <c r="G33" i="27"/>
  <c r="T33" i="27"/>
  <c r="G59" i="27"/>
  <c r="T59" i="27"/>
  <c r="AF58" i="27"/>
  <c r="T58" i="27"/>
  <c r="AF38" i="27"/>
  <c r="T38" i="27"/>
  <c r="AF37" i="27"/>
  <c r="T37" i="27"/>
  <c r="G55" i="30"/>
  <c r="T55" i="30"/>
  <c r="G48" i="30"/>
  <c r="T48" i="30"/>
  <c r="AF50" i="29"/>
  <c r="T50" i="29"/>
  <c r="AF56" i="27"/>
  <c r="T56" i="27"/>
  <c r="AF54" i="27"/>
  <c r="T54" i="27"/>
  <c r="AF50" i="27"/>
  <c r="T50" i="27"/>
  <c r="AF58" i="30"/>
  <c r="T58" i="30"/>
  <c r="AF37" i="30"/>
  <c r="T37" i="30"/>
  <c r="AF59" i="29"/>
  <c r="T59" i="29"/>
  <c r="AF58" i="28"/>
  <c r="T58" i="28"/>
  <c r="AA80" i="29"/>
  <c r="AA75" i="29"/>
  <c r="AA81" i="29"/>
  <c r="AA69" i="29"/>
  <c r="AA72" i="29"/>
  <c r="AA77" i="29"/>
  <c r="AA78" i="29"/>
  <c r="AA74" i="29"/>
  <c r="AA73" i="29"/>
  <c r="AA68" i="29"/>
  <c r="AA70" i="29"/>
  <c r="AA76" i="29"/>
  <c r="AA79" i="29"/>
  <c r="AA71" i="29"/>
  <c r="G60" i="29"/>
  <c r="A41" i="29"/>
  <c r="A62" i="30"/>
  <c r="AE34" i="31"/>
  <c r="C165" i="31"/>
  <c r="AA165" i="31"/>
  <c r="C34" i="31"/>
  <c r="L41" i="29"/>
  <c r="AF9" i="29"/>
  <c r="AF8" i="30"/>
  <c r="G47" i="27"/>
  <c r="AB34" i="31"/>
  <c r="AG128" i="31"/>
  <c r="AA34" i="28"/>
  <c r="G10" i="29"/>
  <c r="AF5" i="30"/>
  <c r="G9" i="30"/>
  <c r="U34" i="31"/>
  <c r="C67" i="31"/>
  <c r="G10" i="27"/>
  <c r="U128" i="31"/>
  <c r="I165" i="31"/>
  <c r="AG165" i="31"/>
  <c r="G16" i="29"/>
  <c r="G18" i="30"/>
  <c r="G26" i="30"/>
  <c r="G39" i="27"/>
  <c r="G48" i="27"/>
  <c r="L34" i="31"/>
  <c r="AE67" i="31"/>
  <c r="E101" i="31"/>
  <c r="U101" i="31"/>
  <c r="C128" i="31"/>
  <c r="AA128" i="31"/>
  <c r="AA28" i="29"/>
  <c r="G53" i="29"/>
  <c r="G29" i="30"/>
  <c r="G49" i="29"/>
  <c r="AF9" i="28"/>
  <c r="G54" i="28"/>
  <c r="G51" i="27"/>
  <c r="G32" i="28"/>
  <c r="G29" i="28"/>
  <c r="AA30" i="27"/>
  <c r="AA31" i="27"/>
  <c r="AA33" i="27"/>
  <c r="J67" i="31"/>
  <c r="Q67" i="31"/>
  <c r="X67" i="31"/>
  <c r="C101" i="31"/>
  <c r="S101" i="31"/>
  <c r="AA37" i="28"/>
  <c r="AF47" i="28"/>
  <c r="AF14" i="29"/>
  <c r="AF5" i="29"/>
  <c r="G49" i="30"/>
  <c r="G60" i="30"/>
  <c r="AA29" i="27"/>
  <c r="G31" i="27"/>
  <c r="G32" i="27"/>
  <c r="AA36" i="27"/>
  <c r="AA38" i="27"/>
  <c r="G58" i="27"/>
  <c r="AG34" i="31"/>
  <c r="L67" i="31"/>
  <c r="G101" i="31"/>
  <c r="I128" i="31"/>
  <c r="G27" i="28"/>
  <c r="G60" i="28"/>
  <c r="G33" i="29"/>
  <c r="G52" i="29"/>
  <c r="G56" i="29"/>
  <c r="E19" i="30"/>
  <c r="G19" i="30" s="1"/>
  <c r="G35" i="30"/>
  <c r="G53" i="30"/>
  <c r="G58" i="30"/>
  <c r="AA27" i="27"/>
  <c r="AA34" i="27"/>
  <c r="A62" i="27"/>
  <c r="J34" i="31"/>
  <c r="Q34" i="31"/>
  <c r="X34" i="31"/>
  <c r="Z34" i="31"/>
  <c r="L101" i="31"/>
  <c r="U165" i="31"/>
  <c r="G35" i="28"/>
  <c r="G39" i="28"/>
  <c r="G55" i="28"/>
  <c r="G27" i="29"/>
  <c r="G32" i="29"/>
  <c r="G39" i="29"/>
  <c r="G33" i="30"/>
  <c r="G52" i="30"/>
  <c r="G56" i="30"/>
  <c r="AA34" i="29"/>
  <c r="AA38" i="29"/>
  <c r="AA31" i="29"/>
  <c r="AA37" i="29"/>
  <c r="AA30" i="29"/>
  <c r="AA30" i="28"/>
  <c r="G37" i="30"/>
  <c r="G32" i="30"/>
  <c r="E40" i="30"/>
  <c r="G40" i="30" s="1"/>
  <c r="G27" i="30"/>
  <c r="F61" i="29"/>
  <c r="C62" i="29" s="1"/>
  <c r="G59" i="29"/>
  <c r="G35" i="29"/>
  <c r="G29" i="29"/>
  <c r="E40" i="29"/>
  <c r="J41" i="29" s="1"/>
  <c r="F19" i="29"/>
  <c r="H19" i="29" s="1"/>
  <c r="G6" i="29"/>
  <c r="E19" i="29"/>
  <c r="G19" i="29" s="1"/>
  <c r="G58" i="28"/>
  <c r="G52" i="28"/>
  <c r="G51" i="28"/>
  <c r="F61" i="28"/>
  <c r="H61" i="28" s="1"/>
  <c r="G49" i="28"/>
  <c r="G38" i="28"/>
  <c r="G33" i="28"/>
  <c r="G31" i="28"/>
  <c r="F40" i="28"/>
  <c r="H40" i="28" s="1"/>
  <c r="E40" i="28"/>
  <c r="G40" i="28" s="1"/>
  <c r="G10" i="28"/>
  <c r="G8" i="28"/>
  <c r="F19" i="28"/>
  <c r="H19" i="28" s="1"/>
  <c r="E19" i="28"/>
  <c r="J20" i="28" s="1"/>
  <c r="G55" i="27"/>
  <c r="G54" i="27"/>
  <c r="G50" i="27"/>
  <c r="A41" i="28"/>
  <c r="G38" i="27"/>
  <c r="G35" i="27"/>
  <c r="F40" i="27"/>
  <c r="C41" i="27" s="1"/>
  <c r="G28" i="27"/>
  <c r="G16" i="27"/>
  <c r="G14" i="27"/>
  <c r="AF9" i="27"/>
  <c r="G8" i="27"/>
  <c r="F19" i="27"/>
  <c r="C20" i="27" s="1"/>
  <c r="E19" i="27"/>
  <c r="G19" i="27" s="1"/>
  <c r="AA31" i="30"/>
  <c r="AA36" i="30"/>
  <c r="AA39" i="30"/>
  <c r="AA28" i="30"/>
  <c r="AA26" i="30"/>
  <c r="AA58" i="30"/>
  <c r="AA56" i="30"/>
  <c r="AA53" i="30"/>
  <c r="AA60" i="30"/>
  <c r="AA57" i="30"/>
  <c r="AA52" i="30"/>
  <c r="AA49" i="30"/>
  <c r="AA47" i="30"/>
  <c r="AA59" i="30"/>
  <c r="AA55" i="30"/>
  <c r="AA51" i="30"/>
  <c r="AA54" i="30"/>
  <c r="AA50" i="30"/>
  <c r="AA48" i="30"/>
  <c r="AA30" i="30"/>
  <c r="AF30" i="30"/>
  <c r="AA34" i="30"/>
  <c r="AF34" i="30"/>
  <c r="AA38" i="30"/>
  <c r="AF38" i="30"/>
  <c r="A41" i="30"/>
  <c r="AF48" i="30"/>
  <c r="AF50" i="30"/>
  <c r="AF54" i="30"/>
  <c r="F19" i="30"/>
  <c r="AF28" i="30"/>
  <c r="AF31" i="30"/>
  <c r="AF39" i="30"/>
  <c r="F40" i="30"/>
  <c r="AF51" i="30"/>
  <c r="AF55" i="30"/>
  <c r="AF59" i="30"/>
  <c r="E61" i="30"/>
  <c r="G7" i="30"/>
  <c r="G11" i="30"/>
  <c r="G17" i="30"/>
  <c r="A20" i="30"/>
  <c r="AA32" i="30"/>
  <c r="AA35" i="30"/>
  <c r="AA37" i="30"/>
  <c r="G47" i="30"/>
  <c r="F61" i="30"/>
  <c r="G6" i="30"/>
  <c r="G10" i="30"/>
  <c r="G14" i="30"/>
  <c r="G16" i="30"/>
  <c r="AA27" i="30"/>
  <c r="AA29" i="30"/>
  <c r="AA33" i="30"/>
  <c r="A20" i="29"/>
  <c r="AA54" i="29"/>
  <c r="AA50" i="29"/>
  <c r="AA48" i="29"/>
  <c r="AA58" i="29"/>
  <c r="AA60" i="29"/>
  <c r="AA57" i="29"/>
  <c r="AA56" i="29"/>
  <c r="AA53" i="29"/>
  <c r="AA47" i="29"/>
  <c r="AA59" i="29"/>
  <c r="AA52" i="29"/>
  <c r="AA49" i="29"/>
  <c r="AA55" i="29"/>
  <c r="AA51" i="29"/>
  <c r="H5" i="29"/>
  <c r="G8" i="29"/>
  <c r="G18" i="29"/>
  <c r="G26" i="29"/>
  <c r="AA26" i="29"/>
  <c r="G30" i="29"/>
  <c r="AA32" i="29"/>
  <c r="G34" i="29"/>
  <c r="AA35" i="29"/>
  <c r="AA36" i="29"/>
  <c r="G37" i="29"/>
  <c r="AA39" i="29"/>
  <c r="F40" i="29"/>
  <c r="C41" i="29" s="1"/>
  <c r="G48" i="29"/>
  <c r="G50" i="29"/>
  <c r="G54" i="29"/>
  <c r="E61" i="29"/>
  <c r="A62" i="29"/>
  <c r="AF31" i="29"/>
  <c r="AF38" i="29"/>
  <c r="AF58" i="29"/>
  <c r="G7" i="29"/>
  <c r="AF7" i="29"/>
  <c r="G11" i="29"/>
  <c r="G17" i="29"/>
  <c r="AA27" i="29"/>
  <c r="G28" i="29"/>
  <c r="AA29" i="29"/>
  <c r="AA33" i="29"/>
  <c r="G47" i="29"/>
  <c r="G51" i="29"/>
  <c r="G55" i="29"/>
  <c r="AF28" i="29"/>
  <c r="A62" i="28"/>
  <c r="E41" i="28"/>
  <c r="G5" i="28"/>
  <c r="AF5" i="28"/>
  <c r="G7" i="28"/>
  <c r="G11" i="28"/>
  <c r="G17" i="28"/>
  <c r="A20" i="28"/>
  <c r="H26" i="28"/>
  <c r="AA27" i="28"/>
  <c r="G28" i="28"/>
  <c r="AA29" i="28"/>
  <c r="AA33" i="28"/>
  <c r="AA39" i="28"/>
  <c r="G48" i="28"/>
  <c r="G50" i="28"/>
  <c r="AF30" i="28"/>
  <c r="AF34" i="28"/>
  <c r="AF37" i="28"/>
  <c r="AF53" i="28"/>
  <c r="AF56" i="28"/>
  <c r="AF59" i="28"/>
  <c r="E61" i="28"/>
  <c r="AF6" i="28"/>
  <c r="AA28" i="28"/>
  <c r="AA31" i="28"/>
  <c r="H43" i="28"/>
  <c r="H64" i="28" s="1"/>
  <c r="H85" i="28" s="1"/>
  <c r="H106" i="28" s="1"/>
  <c r="G18" i="28"/>
  <c r="G26" i="28"/>
  <c r="AA26" i="28"/>
  <c r="AF26" i="28"/>
  <c r="AA32" i="28"/>
  <c r="AA35" i="28"/>
  <c r="AA36" i="28"/>
  <c r="AA37" i="27"/>
  <c r="H43" i="27"/>
  <c r="AA52" i="27" s="1"/>
  <c r="AF18" i="27"/>
  <c r="G37" i="27"/>
  <c r="E40" i="27"/>
  <c r="A41" i="27"/>
  <c r="G52" i="27"/>
  <c r="G5" i="27"/>
  <c r="AF5" i="27"/>
  <c r="G7" i="27"/>
  <c r="G11" i="27"/>
  <c r="G17" i="27"/>
  <c r="A20" i="27"/>
  <c r="G26" i="27"/>
  <c r="AA26" i="27"/>
  <c r="G27" i="27"/>
  <c r="AA28" i="27"/>
  <c r="G30" i="27"/>
  <c r="AA32" i="27"/>
  <c r="G34" i="27"/>
  <c r="AA35" i="27"/>
  <c r="G49" i="27"/>
  <c r="G53" i="27"/>
  <c r="G56" i="27"/>
  <c r="G60" i="27"/>
  <c r="AF29" i="27"/>
  <c r="AF33" i="27"/>
  <c r="AF59" i="27"/>
  <c r="E61" i="27"/>
  <c r="AF6" i="27"/>
  <c r="F61" i="27"/>
  <c r="AA122" i="30" l="1"/>
  <c r="H127" i="30"/>
  <c r="AA121" i="30"/>
  <c r="AA117" i="30"/>
  <c r="AA120" i="30"/>
  <c r="AA115" i="30"/>
  <c r="AA114" i="30"/>
  <c r="AA111" i="30"/>
  <c r="AA113" i="30"/>
  <c r="AA112" i="30"/>
  <c r="AA123" i="30"/>
  <c r="AA116" i="30"/>
  <c r="AA119" i="30"/>
  <c r="AA110" i="30"/>
  <c r="AA118" i="30"/>
  <c r="AA144" i="29"/>
  <c r="H148" i="29"/>
  <c r="AA131" i="29"/>
  <c r="AA132" i="29"/>
  <c r="AA133" i="29"/>
  <c r="AA134" i="29"/>
  <c r="AA138" i="29"/>
  <c r="AA136" i="29"/>
  <c r="AA141" i="29"/>
  <c r="AA135" i="29"/>
  <c r="AA139" i="29"/>
  <c r="AA142" i="29"/>
  <c r="AA143" i="29"/>
  <c r="AA140" i="29"/>
  <c r="AA137" i="29"/>
  <c r="AA112" i="28"/>
  <c r="H127" i="28"/>
  <c r="AA123" i="28"/>
  <c r="AA119" i="28"/>
  <c r="AA118" i="28"/>
  <c r="AA117" i="28"/>
  <c r="AA116" i="28"/>
  <c r="AA122" i="28"/>
  <c r="AA121" i="28"/>
  <c r="AA120" i="28"/>
  <c r="AA115" i="28"/>
  <c r="AA114" i="28"/>
  <c r="AA113" i="28"/>
  <c r="AA110" i="28"/>
  <c r="AA111" i="28"/>
  <c r="AA101" i="28"/>
  <c r="AA89" i="28"/>
  <c r="AA94" i="28"/>
  <c r="AA97" i="28"/>
  <c r="AA95" i="28"/>
  <c r="AA98" i="28"/>
  <c r="AA91" i="28"/>
  <c r="AA96" i="28"/>
  <c r="AA99" i="28"/>
  <c r="AA93" i="28"/>
  <c r="AA102" i="28"/>
  <c r="AA100" i="28"/>
  <c r="AA90" i="28"/>
  <c r="AA92" i="28"/>
  <c r="AA56" i="27"/>
  <c r="AA51" i="27"/>
  <c r="AA53" i="27"/>
  <c r="AA57" i="27"/>
  <c r="AA54" i="27"/>
  <c r="AA58" i="27"/>
  <c r="H64" i="27"/>
  <c r="H85" i="27" s="1"/>
  <c r="H106" i="27" s="1"/>
  <c r="J20" i="30"/>
  <c r="AA80" i="28"/>
  <c r="AA69" i="28"/>
  <c r="AA71" i="28"/>
  <c r="AA75" i="28"/>
  <c r="AA70" i="28"/>
  <c r="AA68" i="28"/>
  <c r="AA79" i="28"/>
  <c r="AA77" i="28"/>
  <c r="AA78" i="28"/>
  <c r="AA74" i="28"/>
  <c r="AA72" i="28"/>
  <c r="AA73" i="28"/>
  <c r="AA76" i="28"/>
  <c r="AA81" i="28"/>
  <c r="F41" i="30"/>
  <c r="C62" i="28"/>
  <c r="H40" i="27"/>
  <c r="G40" i="29"/>
  <c r="J20" i="27"/>
  <c r="J41" i="28"/>
  <c r="H61" i="29"/>
  <c r="F41" i="29"/>
  <c r="F20" i="30"/>
  <c r="AA49" i="27"/>
  <c r="AA55" i="27"/>
  <c r="AA48" i="27"/>
  <c r="AA50" i="27"/>
  <c r="AA60" i="27"/>
  <c r="AA47" i="27"/>
  <c r="AA59" i="27"/>
  <c r="C20" i="29"/>
  <c r="J20" i="29"/>
  <c r="J41" i="30"/>
  <c r="F20" i="29"/>
  <c r="F41" i="28"/>
  <c r="C41" i="28"/>
  <c r="C20" i="28"/>
  <c r="G19" i="28"/>
  <c r="F20" i="28"/>
  <c r="H19" i="27"/>
  <c r="F20" i="27"/>
  <c r="G61" i="30"/>
  <c r="J62" i="30"/>
  <c r="F62" i="30"/>
  <c r="H40" i="30"/>
  <c r="C41" i="30"/>
  <c r="C20" i="30"/>
  <c r="H19" i="30"/>
  <c r="C62" i="30"/>
  <c r="H61" i="30"/>
  <c r="G61" i="29"/>
  <c r="J62" i="29"/>
  <c r="F62" i="29"/>
  <c r="H40" i="29"/>
  <c r="AA58" i="28"/>
  <c r="AA55" i="28"/>
  <c r="AA51" i="28"/>
  <c r="AA60" i="28"/>
  <c r="AA54" i="28"/>
  <c r="AA50" i="28"/>
  <c r="AA48" i="28"/>
  <c r="AA59" i="28"/>
  <c r="AA57" i="28"/>
  <c r="AA56" i="28"/>
  <c r="AA53" i="28"/>
  <c r="AA47" i="28"/>
  <c r="AA52" i="28"/>
  <c r="AA49" i="28"/>
  <c r="G61" i="28"/>
  <c r="J62" i="28"/>
  <c r="F62" i="28"/>
  <c r="J41" i="27"/>
  <c r="F41" i="27"/>
  <c r="G40" i="27"/>
  <c r="G61" i="27"/>
  <c r="J62" i="27"/>
  <c r="F62" i="27"/>
  <c r="C62" i="27"/>
  <c r="H61" i="27"/>
  <c r="AA131" i="30" l="1"/>
  <c r="AA137" i="30"/>
  <c r="AA141" i="30"/>
  <c r="AA144" i="30"/>
  <c r="AA138" i="30"/>
  <c r="AA142" i="30"/>
  <c r="AA143" i="30"/>
  <c r="AA134" i="30"/>
  <c r="AA132" i="30"/>
  <c r="AA135" i="30"/>
  <c r="AA139" i="30"/>
  <c r="AA133" i="30"/>
  <c r="AA140" i="30"/>
  <c r="AA136" i="30"/>
  <c r="AA165" i="29"/>
  <c r="AA152" i="29"/>
  <c r="AA163" i="29"/>
  <c r="AA156" i="29"/>
  <c r="AA160" i="29"/>
  <c r="AA161" i="29"/>
  <c r="AA154" i="29"/>
  <c r="AA157" i="29"/>
  <c r="AA164" i="29"/>
  <c r="AA162" i="29"/>
  <c r="AA155" i="29"/>
  <c r="AA159" i="29"/>
  <c r="AA158" i="29"/>
  <c r="AA153" i="29"/>
  <c r="AA143" i="28"/>
  <c r="H148" i="28"/>
  <c r="H169" i="28" s="1"/>
  <c r="AA137" i="28"/>
  <c r="AA136" i="28"/>
  <c r="AA135" i="28"/>
  <c r="AA134" i="28"/>
  <c r="AA133" i="28"/>
  <c r="AA138" i="28"/>
  <c r="AA141" i="28"/>
  <c r="AA131" i="28"/>
  <c r="AA139" i="28"/>
  <c r="AA144" i="28"/>
  <c r="AA132" i="28"/>
  <c r="AA140" i="28"/>
  <c r="AA142" i="28"/>
  <c r="AA119" i="27"/>
  <c r="H127" i="27"/>
  <c r="AA113" i="27"/>
  <c r="AA114" i="27"/>
  <c r="AA118" i="27"/>
  <c r="AA110" i="27"/>
  <c r="AA111" i="27"/>
  <c r="AA112" i="27"/>
  <c r="AA115" i="27"/>
  <c r="AA120" i="27"/>
  <c r="AA121" i="27"/>
  <c r="AA116" i="27"/>
  <c r="AA123" i="27"/>
  <c r="AA122" i="27"/>
  <c r="AA117" i="27"/>
  <c r="AA101" i="27"/>
  <c r="AA89" i="27"/>
  <c r="AA93" i="27"/>
  <c r="AA98" i="27"/>
  <c r="AA96" i="27"/>
  <c r="AA99" i="27"/>
  <c r="AA94" i="27"/>
  <c r="AA91" i="27"/>
  <c r="AA97" i="27"/>
  <c r="AA102" i="27"/>
  <c r="AA100" i="27"/>
  <c r="AA90" i="27"/>
  <c r="AA92" i="27"/>
  <c r="AA95" i="27"/>
  <c r="AA80" i="27"/>
  <c r="AA68" i="27"/>
  <c r="AA70" i="27"/>
  <c r="AA69" i="27"/>
  <c r="AA76" i="27"/>
  <c r="AA75" i="27"/>
  <c r="AA79" i="27"/>
  <c r="AA81" i="27"/>
  <c r="AA72" i="27"/>
  <c r="AA73" i="27"/>
  <c r="AA71" i="27"/>
  <c r="AA74" i="27"/>
  <c r="AA78" i="27"/>
  <c r="AA77" i="27"/>
  <c r="L62" i="26"/>
  <c r="R61" i="26"/>
  <c r="Q61" i="26"/>
  <c r="P61" i="26"/>
  <c r="O61" i="26"/>
  <c r="L61" i="26"/>
  <c r="K61" i="26"/>
  <c r="J61" i="26"/>
  <c r="I61" i="26"/>
  <c r="E62" i="26"/>
  <c r="AE60" i="26"/>
  <c r="AD60" i="26"/>
  <c r="AB60" i="26"/>
  <c r="H60" i="26"/>
  <c r="AF60" i="26"/>
  <c r="AE59" i="26"/>
  <c r="AD59" i="26"/>
  <c r="AB59" i="26"/>
  <c r="H59" i="26"/>
  <c r="AF59" i="26"/>
  <c r="AE58" i="26"/>
  <c r="AD58" i="26"/>
  <c r="AB58" i="26"/>
  <c r="G58" i="26"/>
  <c r="H58" i="26"/>
  <c r="AF58" i="26"/>
  <c r="AF57" i="26"/>
  <c r="AE57" i="26"/>
  <c r="AD57" i="26"/>
  <c r="AB57" i="26"/>
  <c r="AE56" i="26"/>
  <c r="AD56" i="26"/>
  <c r="AB56" i="26"/>
  <c r="H56" i="26"/>
  <c r="AF56" i="26"/>
  <c r="AE55" i="26"/>
  <c r="AD55" i="26"/>
  <c r="AB55" i="26"/>
  <c r="H55" i="26"/>
  <c r="AF55" i="26"/>
  <c r="AE54" i="26"/>
  <c r="AD54" i="26"/>
  <c r="AB54" i="26"/>
  <c r="H54" i="26"/>
  <c r="AF54" i="26"/>
  <c r="AE53" i="26"/>
  <c r="AD53" i="26"/>
  <c r="AB53" i="26"/>
  <c r="G53" i="26"/>
  <c r="H53" i="26"/>
  <c r="AF53" i="26"/>
  <c r="AE52" i="26"/>
  <c r="AD52" i="26"/>
  <c r="AB52" i="26"/>
  <c r="H52" i="26"/>
  <c r="AF52" i="26"/>
  <c r="AE51" i="26"/>
  <c r="AD51" i="26"/>
  <c r="AB51" i="26"/>
  <c r="H51" i="26"/>
  <c r="AF51" i="26"/>
  <c r="AE50" i="26"/>
  <c r="AD50" i="26"/>
  <c r="AB50" i="26"/>
  <c r="H50" i="26"/>
  <c r="AF50" i="26"/>
  <c r="AE49" i="26"/>
  <c r="AD49" i="26"/>
  <c r="AB49" i="26"/>
  <c r="H49" i="26"/>
  <c r="AF49" i="26"/>
  <c r="AE48" i="26"/>
  <c r="AD48" i="26"/>
  <c r="AB48" i="26"/>
  <c r="H48" i="26"/>
  <c r="AF48" i="26"/>
  <c r="AE47" i="26"/>
  <c r="AD47" i="26"/>
  <c r="AB47" i="26"/>
  <c r="F47" i="26"/>
  <c r="H47" i="26" s="1"/>
  <c r="E47" i="26"/>
  <c r="T47" i="26" s="1"/>
  <c r="Q41" i="26"/>
  <c r="L41" i="26"/>
  <c r="R40" i="26"/>
  <c r="Q40" i="26"/>
  <c r="P40" i="26"/>
  <c r="O40" i="26"/>
  <c r="L40" i="26"/>
  <c r="K40" i="26"/>
  <c r="J40" i="26"/>
  <c r="I40" i="26"/>
  <c r="A41" i="26"/>
  <c r="AE39" i="26"/>
  <c r="AD39" i="26"/>
  <c r="AB39" i="26"/>
  <c r="H39" i="26"/>
  <c r="AF39" i="26"/>
  <c r="AE38" i="26"/>
  <c r="AD38" i="26"/>
  <c r="AB38" i="26"/>
  <c r="H38" i="26"/>
  <c r="AF38" i="26"/>
  <c r="B38" i="26"/>
  <c r="B59" i="26" s="1"/>
  <c r="B80" i="26" s="1"/>
  <c r="B101" i="26" s="1"/>
  <c r="B122" i="26" s="1"/>
  <c r="B143" i="26" s="1"/>
  <c r="AE37" i="26"/>
  <c r="AD37" i="26"/>
  <c r="AB37" i="26"/>
  <c r="H37" i="26"/>
  <c r="AF37" i="26"/>
  <c r="B37" i="26"/>
  <c r="B58" i="26" s="1"/>
  <c r="B79" i="26" s="1"/>
  <c r="B100" i="26" s="1"/>
  <c r="B121" i="26" s="1"/>
  <c r="B142" i="26" s="1"/>
  <c r="AE36" i="26"/>
  <c r="AD36" i="26"/>
  <c r="AB36" i="26"/>
  <c r="AF36" i="26"/>
  <c r="AE35" i="26"/>
  <c r="AD35" i="26"/>
  <c r="AB35" i="26"/>
  <c r="H35" i="26"/>
  <c r="AF35" i="26"/>
  <c r="AE34" i="26"/>
  <c r="AD34" i="26"/>
  <c r="AB34" i="26"/>
  <c r="H34" i="26"/>
  <c r="AF34" i="26"/>
  <c r="AE33" i="26"/>
  <c r="AD33" i="26"/>
  <c r="AB33" i="26"/>
  <c r="H33" i="26"/>
  <c r="AF33" i="26"/>
  <c r="AE32" i="26"/>
  <c r="AD32" i="26"/>
  <c r="AB32" i="26"/>
  <c r="H32" i="26"/>
  <c r="AF32" i="26"/>
  <c r="AE31" i="26"/>
  <c r="AD31" i="26"/>
  <c r="AB31" i="26"/>
  <c r="H31" i="26"/>
  <c r="AF31" i="26"/>
  <c r="AE30" i="26"/>
  <c r="AD30" i="26"/>
  <c r="AB30" i="26"/>
  <c r="H30" i="26"/>
  <c r="AF30" i="26"/>
  <c r="AE29" i="26"/>
  <c r="AD29" i="26"/>
  <c r="AB29" i="26"/>
  <c r="H29" i="26"/>
  <c r="AF29" i="26"/>
  <c r="AE28" i="26"/>
  <c r="AD28" i="26"/>
  <c r="AB28" i="26"/>
  <c r="H28" i="26"/>
  <c r="AF28" i="26"/>
  <c r="B28" i="26"/>
  <c r="B49" i="26" s="1"/>
  <c r="B70" i="26" s="1"/>
  <c r="B91" i="26" s="1"/>
  <c r="B112" i="26" s="1"/>
  <c r="B133" i="26" s="1"/>
  <c r="AE27" i="26"/>
  <c r="AD27" i="26"/>
  <c r="AB27" i="26"/>
  <c r="H27" i="26"/>
  <c r="B27" i="26"/>
  <c r="B48" i="26" s="1"/>
  <c r="B69" i="26" s="1"/>
  <c r="B90" i="26" s="1"/>
  <c r="B111" i="26" s="1"/>
  <c r="B132" i="26" s="1"/>
  <c r="AE26" i="26"/>
  <c r="AD26" i="26"/>
  <c r="AB26" i="26"/>
  <c r="F26" i="26"/>
  <c r="E26" i="26"/>
  <c r="H22" i="26"/>
  <c r="AA33" i="26" s="1"/>
  <c r="Q20" i="26"/>
  <c r="R21" i="26" s="1"/>
  <c r="L20" i="26"/>
  <c r="E20" i="26"/>
  <c r="A20" i="26"/>
  <c r="R19" i="26"/>
  <c r="Q19" i="26"/>
  <c r="P19" i="26"/>
  <c r="O19" i="26"/>
  <c r="L19" i="26"/>
  <c r="K19" i="26"/>
  <c r="J19" i="26"/>
  <c r="I19" i="26"/>
  <c r="AE18" i="26"/>
  <c r="AD18" i="26"/>
  <c r="AB18" i="26"/>
  <c r="AA18" i="26"/>
  <c r="F18" i="26"/>
  <c r="H18" i="26" s="1"/>
  <c r="E18" i="26"/>
  <c r="AE17" i="26"/>
  <c r="AD17" i="26"/>
  <c r="AB17" i="26"/>
  <c r="AA17" i="26"/>
  <c r="F17" i="26"/>
  <c r="H17" i="26" s="1"/>
  <c r="E17" i="26"/>
  <c r="AE16" i="26"/>
  <c r="AD16" i="26"/>
  <c r="AB16" i="26"/>
  <c r="AA16" i="26"/>
  <c r="F16" i="26"/>
  <c r="H16" i="26" s="1"/>
  <c r="E16" i="26"/>
  <c r="AE15" i="26"/>
  <c r="AD15" i="26"/>
  <c r="AB15" i="26"/>
  <c r="AA15" i="26"/>
  <c r="F15" i="26"/>
  <c r="E15" i="26"/>
  <c r="AE14" i="26"/>
  <c r="AD14" i="26"/>
  <c r="AB14" i="26"/>
  <c r="AA14" i="26"/>
  <c r="F14" i="26"/>
  <c r="H14" i="26" s="1"/>
  <c r="E14" i="26"/>
  <c r="AF13" i="26"/>
  <c r="AE13" i="26"/>
  <c r="AD13" i="26"/>
  <c r="AB13" i="26"/>
  <c r="AA13" i="26"/>
  <c r="H13" i="26"/>
  <c r="G13" i="26"/>
  <c r="AF12" i="26"/>
  <c r="AE12" i="26"/>
  <c r="AD12" i="26"/>
  <c r="AB12" i="26"/>
  <c r="AA12" i="26"/>
  <c r="H12" i="26"/>
  <c r="G12" i="26"/>
  <c r="AE11" i="26"/>
  <c r="AD11" i="26"/>
  <c r="AB11" i="26"/>
  <c r="AA11" i="26"/>
  <c r="F11" i="26"/>
  <c r="H11" i="26" s="1"/>
  <c r="E11" i="26"/>
  <c r="AE10" i="26"/>
  <c r="AD10" i="26"/>
  <c r="AB10" i="26"/>
  <c r="AA10" i="26"/>
  <c r="F10" i="26"/>
  <c r="H10" i="26" s="1"/>
  <c r="E10" i="26"/>
  <c r="AE9" i="26"/>
  <c r="AD9" i="26"/>
  <c r="AB9" i="26"/>
  <c r="AA9" i="26"/>
  <c r="F9" i="26"/>
  <c r="H9" i="26" s="1"/>
  <c r="E9" i="26"/>
  <c r="AE8" i="26"/>
  <c r="AD8" i="26"/>
  <c r="AB8" i="26"/>
  <c r="AA8" i="26"/>
  <c r="F8" i="26"/>
  <c r="H8" i="26" s="1"/>
  <c r="E8" i="26"/>
  <c r="AE7" i="26"/>
  <c r="AD7" i="26"/>
  <c r="AB7" i="26"/>
  <c r="AA7" i="26"/>
  <c r="F7" i="26"/>
  <c r="H7" i="26" s="1"/>
  <c r="E7" i="26"/>
  <c r="AE6" i="26"/>
  <c r="AD6" i="26"/>
  <c r="AB6" i="26"/>
  <c r="AA6" i="26"/>
  <c r="F6" i="26"/>
  <c r="E6" i="26"/>
  <c r="AE5" i="26"/>
  <c r="AD5" i="26"/>
  <c r="AB5" i="26"/>
  <c r="AA5" i="26"/>
  <c r="N5" i="26"/>
  <c r="N19" i="26" s="1"/>
  <c r="M5" i="26"/>
  <c r="M19" i="26" s="1"/>
  <c r="F5" i="26"/>
  <c r="E5" i="26"/>
  <c r="D61" i="25"/>
  <c r="L62" i="25"/>
  <c r="D40" i="25"/>
  <c r="L41" i="25"/>
  <c r="D19" i="25"/>
  <c r="L20" i="25"/>
  <c r="B38" i="25"/>
  <c r="B59" i="25" s="1"/>
  <c r="B80" i="25" s="1"/>
  <c r="B101" i="25" s="1"/>
  <c r="B122" i="25" s="1"/>
  <c r="B143" i="25" s="1"/>
  <c r="B164" i="25" s="1"/>
  <c r="B37" i="25"/>
  <c r="B58" i="25" s="1"/>
  <c r="B79" i="25" s="1"/>
  <c r="B100" i="25" s="1"/>
  <c r="B121" i="25" s="1"/>
  <c r="B142" i="25" s="1"/>
  <c r="B163" i="25" s="1"/>
  <c r="B35" i="25"/>
  <c r="B56" i="25" s="1"/>
  <c r="B77" i="25" s="1"/>
  <c r="B98" i="25" s="1"/>
  <c r="B119" i="25" s="1"/>
  <c r="B140" i="25" s="1"/>
  <c r="B161" i="25" s="1"/>
  <c r="B29" i="25"/>
  <c r="B50" i="25" s="1"/>
  <c r="B71" i="25" s="1"/>
  <c r="B92" i="25" s="1"/>
  <c r="B113" i="25" s="1"/>
  <c r="B134" i="25" s="1"/>
  <c r="B155" i="25" s="1"/>
  <c r="B27" i="25"/>
  <c r="B48" i="25" s="1"/>
  <c r="B69" i="25" s="1"/>
  <c r="B90" i="25" s="1"/>
  <c r="B111" i="25" s="1"/>
  <c r="B132" i="25" s="1"/>
  <c r="B153" i="25" s="1"/>
  <c r="B26" i="25"/>
  <c r="B47" i="25" s="1"/>
  <c r="B68" i="25" s="1"/>
  <c r="B89" i="25" s="1"/>
  <c r="B110" i="25" s="1"/>
  <c r="B131" i="25" s="1"/>
  <c r="B152" i="25" s="1"/>
  <c r="R61" i="25"/>
  <c r="Q61" i="25"/>
  <c r="P61" i="25"/>
  <c r="O61" i="25"/>
  <c r="L61" i="25"/>
  <c r="K61" i="25"/>
  <c r="J61" i="25"/>
  <c r="I61" i="25"/>
  <c r="AE60" i="25"/>
  <c r="AD60" i="25"/>
  <c r="AB60" i="25"/>
  <c r="F60" i="25"/>
  <c r="H60" i="25" s="1"/>
  <c r="E60" i="25"/>
  <c r="AF60" i="25" s="1"/>
  <c r="AE59" i="25"/>
  <c r="AD59" i="25"/>
  <c r="AB59" i="25"/>
  <c r="F59" i="25"/>
  <c r="H59" i="25" s="1"/>
  <c r="E59" i="25"/>
  <c r="AE58" i="25"/>
  <c r="AD58" i="25"/>
  <c r="AB58" i="25"/>
  <c r="F58" i="25"/>
  <c r="H58" i="25" s="1"/>
  <c r="E58" i="25"/>
  <c r="AE57" i="25"/>
  <c r="AD57" i="25"/>
  <c r="AB57" i="25"/>
  <c r="AF57" i="25"/>
  <c r="AE56" i="25"/>
  <c r="AD56" i="25"/>
  <c r="AB56" i="25"/>
  <c r="H56" i="25"/>
  <c r="AF56" i="25"/>
  <c r="AE55" i="25"/>
  <c r="AD55" i="25"/>
  <c r="AB55" i="25"/>
  <c r="H55" i="25"/>
  <c r="AF55" i="25"/>
  <c r="AE54" i="25"/>
  <c r="AD54" i="25"/>
  <c r="AB54" i="25"/>
  <c r="H54" i="25"/>
  <c r="G54" i="25"/>
  <c r="AE53" i="25"/>
  <c r="AD53" i="25"/>
  <c r="AB53" i="25"/>
  <c r="H53" i="25"/>
  <c r="AF53" i="25"/>
  <c r="AE52" i="25"/>
  <c r="AD52" i="25"/>
  <c r="AB52" i="25"/>
  <c r="H52" i="25"/>
  <c r="AF52" i="25"/>
  <c r="AE51" i="25"/>
  <c r="AD51" i="25"/>
  <c r="AB51" i="25"/>
  <c r="H51" i="25"/>
  <c r="AF51" i="25"/>
  <c r="AE50" i="25"/>
  <c r="AD50" i="25"/>
  <c r="AB50" i="25"/>
  <c r="H50" i="25"/>
  <c r="G50" i="25"/>
  <c r="AE49" i="25"/>
  <c r="AD49" i="25"/>
  <c r="AB49" i="25"/>
  <c r="H49" i="25"/>
  <c r="AF49" i="25"/>
  <c r="AE48" i="25"/>
  <c r="AD48" i="25"/>
  <c r="AB48" i="25"/>
  <c r="F48" i="25"/>
  <c r="H48" i="25" s="1"/>
  <c r="E48" i="25"/>
  <c r="AE47" i="25"/>
  <c r="AD47" i="25"/>
  <c r="AB47" i="25"/>
  <c r="N47" i="25"/>
  <c r="M47" i="25"/>
  <c r="F47" i="25"/>
  <c r="H47" i="25" s="1"/>
  <c r="E47" i="25"/>
  <c r="Q41" i="25"/>
  <c r="R40" i="25"/>
  <c r="Q40" i="25"/>
  <c r="P40" i="25"/>
  <c r="O40" i="25"/>
  <c r="L40" i="25"/>
  <c r="K40" i="25"/>
  <c r="J40" i="25"/>
  <c r="I40" i="25"/>
  <c r="AE39" i="25"/>
  <c r="AD39" i="25"/>
  <c r="AB39" i="25"/>
  <c r="F39" i="25"/>
  <c r="H39" i="25" s="1"/>
  <c r="E39" i="25"/>
  <c r="G39" i="25" s="1"/>
  <c r="AE38" i="25"/>
  <c r="AD38" i="25"/>
  <c r="AB38" i="25"/>
  <c r="F38" i="25"/>
  <c r="H38" i="25" s="1"/>
  <c r="E38" i="25"/>
  <c r="AE37" i="25"/>
  <c r="AD37" i="25"/>
  <c r="AB37" i="25"/>
  <c r="F37" i="25"/>
  <c r="H37" i="25" s="1"/>
  <c r="E37" i="25"/>
  <c r="AE36" i="25"/>
  <c r="AD36" i="25"/>
  <c r="AB36" i="25"/>
  <c r="AF36" i="25"/>
  <c r="AE35" i="25"/>
  <c r="AD35" i="25"/>
  <c r="AB35" i="25"/>
  <c r="H35" i="25"/>
  <c r="G35" i="25"/>
  <c r="AE34" i="25"/>
  <c r="AD34" i="25"/>
  <c r="AB34" i="25"/>
  <c r="H34" i="25"/>
  <c r="AF34" i="25"/>
  <c r="AE33" i="25"/>
  <c r="AD33" i="25"/>
  <c r="AB33" i="25"/>
  <c r="H33" i="25"/>
  <c r="AF33" i="25"/>
  <c r="AE32" i="25"/>
  <c r="AD32" i="25"/>
  <c r="AB32" i="25"/>
  <c r="H32" i="25"/>
  <c r="AF32" i="25"/>
  <c r="AE31" i="25"/>
  <c r="AD31" i="25"/>
  <c r="AB31" i="25"/>
  <c r="H31" i="25"/>
  <c r="G31" i="25"/>
  <c r="AE30" i="25"/>
  <c r="AD30" i="25"/>
  <c r="AB30" i="25"/>
  <c r="H30" i="25"/>
  <c r="AF30" i="25"/>
  <c r="AE29" i="25"/>
  <c r="AD29" i="25"/>
  <c r="AB29" i="25"/>
  <c r="H29" i="25"/>
  <c r="AF29" i="25"/>
  <c r="AE28" i="25"/>
  <c r="AD28" i="25"/>
  <c r="AB28" i="25"/>
  <c r="H28" i="25"/>
  <c r="G28" i="25"/>
  <c r="AE27" i="25"/>
  <c r="AD27" i="25"/>
  <c r="AB27" i="25"/>
  <c r="F27" i="25"/>
  <c r="H27" i="25" s="1"/>
  <c r="E27" i="25"/>
  <c r="AE26" i="25"/>
  <c r="AD26" i="25"/>
  <c r="AB26" i="25"/>
  <c r="N26" i="25"/>
  <c r="M26" i="25"/>
  <c r="F26" i="25"/>
  <c r="E26" i="25"/>
  <c r="T26" i="25" s="1"/>
  <c r="H22" i="25"/>
  <c r="AA38" i="25" s="1"/>
  <c r="Q20" i="25"/>
  <c r="R21" i="25" s="1"/>
  <c r="R19" i="25"/>
  <c r="Q19" i="25"/>
  <c r="P19" i="25"/>
  <c r="O19" i="25"/>
  <c r="L19" i="25"/>
  <c r="K19" i="25"/>
  <c r="J19" i="25"/>
  <c r="I19" i="25"/>
  <c r="E20" i="25"/>
  <c r="AE18" i="25"/>
  <c r="AD18" i="25"/>
  <c r="AB18" i="25"/>
  <c r="AA18" i="25"/>
  <c r="F18" i="25"/>
  <c r="H18" i="25" s="1"/>
  <c r="E18" i="25"/>
  <c r="AF18" i="25" s="1"/>
  <c r="AE17" i="25"/>
  <c r="AD17" i="25"/>
  <c r="AB17" i="25"/>
  <c r="AA17" i="25"/>
  <c r="F17" i="25"/>
  <c r="H17" i="25" s="1"/>
  <c r="E17" i="25"/>
  <c r="AE16" i="25"/>
  <c r="AD16" i="25"/>
  <c r="AB16" i="25"/>
  <c r="AA16" i="25"/>
  <c r="F16" i="25"/>
  <c r="H16" i="25" s="1"/>
  <c r="E16" i="25"/>
  <c r="AE15" i="25"/>
  <c r="AD15" i="25"/>
  <c r="AB15" i="25"/>
  <c r="AA15" i="25"/>
  <c r="F15" i="25"/>
  <c r="E15" i="25"/>
  <c r="AE14" i="25"/>
  <c r="AD14" i="25"/>
  <c r="AB14" i="25"/>
  <c r="AA14" i="25"/>
  <c r="F14" i="25"/>
  <c r="H14" i="25" s="1"/>
  <c r="E14" i="25"/>
  <c r="AF13" i="25"/>
  <c r="AE13" i="25"/>
  <c r="AD13" i="25"/>
  <c r="AB13" i="25"/>
  <c r="AA13" i="25"/>
  <c r="H13" i="25"/>
  <c r="G13" i="25"/>
  <c r="AF12" i="25"/>
  <c r="AE12" i="25"/>
  <c r="AD12" i="25"/>
  <c r="AB12" i="25"/>
  <c r="AA12" i="25"/>
  <c r="H12" i="25"/>
  <c r="G12" i="25"/>
  <c r="AE11" i="25"/>
  <c r="AD11" i="25"/>
  <c r="AB11" i="25"/>
  <c r="AA11" i="25"/>
  <c r="F11" i="25"/>
  <c r="H11" i="25" s="1"/>
  <c r="E11" i="25"/>
  <c r="AE10" i="25"/>
  <c r="AD10" i="25"/>
  <c r="AB10" i="25"/>
  <c r="AA10" i="25"/>
  <c r="F10" i="25"/>
  <c r="H10" i="25" s="1"/>
  <c r="E10" i="25"/>
  <c r="AE9" i="25"/>
  <c r="AD9" i="25"/>
  <c r="AB9" i="25"/>
  <c r="AA9" i="25"/>
  <c r="F9" i="25"/>
  <c r="H9" i="25" s="1"/>
  <c r="E9" i="25"/>
  <c r="AE8" i="25"/>
  <c r="AD8" i="25"/>
  <c r="AB8" i="25"/>
  <c r="AA8" i="25"/>
  <c r="F8" i="25"/>
  <c r="H8" i="25" s="1"/>
  <c r="E8" i="25"/>
  <c r="AE7" i="25"/>
  <c r="AD7" i="25"/>
  <c r="AB7" i="25"/>
  <c r="AA7" i="25"/>
  <c r="F7" i="25"/>
  <c r="H7" i="25" s="1"/>
  <c r="E7" i="25"/>
  <c r="AE6" i="25"/>
  <c r="AD6" i="25"/>
  <c r="AB6" i="25"/>
  <c r="AA6" i="25"/>
  <c r="F6" i="25"/>
  <c r="H6" i="25" s="1"/>
  <c r="E6" i="25"/>
  <c r="AE5" i="25"/>
  <c r="AD5" i="25"/>
  <c r="AB5" i="25"/>
  <c r="AA5" i="25"/>
  <c r="N5" i="25"/>
  <c r="N19" i="25" s="1"/>
  <c r="M5" i="25"/>
  <c r="M19" i="25" s="1"/>
  <c r="F5" i="25"/>
  <c r="E5" i="25"/>
  <c r="L62" i="24"/>
  <c r="D49" i="24"/>
  <c r="H49" i="24" s="1"/>
  <c r="D48" i="24"/>
  <c r="L41" i="24"/>
  <c r="D28" i="24"/>
  <c r="D27" i="24"/>
  <c r="H27" i="24" s="1"/>
  <c r="L20" i="24"/>
  <c r="B38" i="24"/>
  <c r="B59" i="24" s="1"/>
  <c r="B37" i="24"/>
  <c r="B58" i="24" s="1"/>
  <c r="B35" i="24"/>
  <c r="B56" i="24" s="1"/>
  <c r="B29" i="24"/>
  <c r="B50" i="24" s="1"/>
  <c r="B28" i="24"/>
  <c r="B49" i="24" s="1"/>
  <c r="Q62" i="24"/>
  <c r="R61" i="24"/>
  <c r="Q61" i="24"/>
  <c r="P61" i="24"/>
  <c r="O61" i="24"/>
  <c r="L61" i="24"/>
  <c r="K61" i="24"/>
  <c r="J61" i="24"/>
  <c r="I61" i="24"/>
  <c r="AE60" i="24"/>
  <c r="AD60" i="24"/>
  <c r="AB60" i="24"/>
  <c r="H60" i="24"/>
  <c r="AF60" i="24"/>
  <c r="AE59" i="24"/>
  <c r="AD59" i="24"/>
  <c r="AB59" i="24"/>
  <c r="H59" i="24"/>
  <c r="AF59" i="24"/>
  <c r="AE58" i="24"/>
  <c r="AD58" i="24"/>
  <c r="AB58" i="24"/>
  <c r="H58" i="24"/>
  <c r="AF58" i="24"/>
  <c r="AF57" i="24"/>
  <c r="AE57" i="24"/>
  <c r="AD57" i="24"/>
  <c r="AB57" i="24"/>
  <c r="AE56" i="24"/>
  <c r="AD56" i="24"/>
  <c r="AB56" i="24"/>
  <c r="G56" i="24"/>
  <c r="H56" i="24"/>
  <c r="AF56" i="24"/>
  <c r="AE55" i="24"/>
  <c r="AD55" i="24"/>
  <c r="AB55" i="24"/>
  <c r="H55" i="24"/>
  <c r="AF55" i="24"/>
  <c r="AE54" i="24"/>
  <c r="AD54" i="24"/>
  <c r="AB54" i="24"/>
  <c r="H54" i="24"/>
  <c r="G54" i="24"/>
  <c r="AE53" i="24"/>
  <c r="AD53" i="24"/>
  <c r="AB53" i="24"/>
  <c r="G53" i="24"/>
  <c r="H53" i="24"/>
  <c r="AF53" i="24"/>
  <c r="AE52" i="24"/>
  <c r="AD52" i="24"/>
  <c r="AB52" i="24"/>
  <c r="G52" i="24"/>
  <c r="H52" i="24"/>
  <c r="AF52" i="24"/>
  <c r="AE51" i="24"/>
  <c r="AD51" i="24"/>
  <c r="AB51" i="24"/>
  <c r="H51" i="24"/>
  <c r="AF51" i="24"/>
  <c r="AE50" i="24"/>
  <c r="AD50" i="24"/>
  <c r="AB50" i="24"/>
  <c r="H50" i="24"/>
  <c r="G50" i="24"/>
  <c r="AE49" i="24"/>
  <c r="AD49" i="24"/>
  <c r="AB49" i="24"/>
  <c r="AF49" i="24"/>
  <c r="AE48" i="24"/>
  <c r="AD48" i="24"/>
  <c r="AB48" i="24"/>
  <c r="G48" i="24"/>
  <c r="AF48" i="24"/>
  <c r="AE47" i="24"/>
  <c r="AD47" i="24"/>
  <c r="AB47" i="24"/>
  <c r="N47" i="24"/>
  <c r="M47" i="24"/>
  <c r="F47" i="24"/>
  <c r="H47" i="24" s="1"/>
  <c r="E47" i="24"/>
  <c r="Q41" i="24"/>
  <c r="R40" i="24"/>
  <c r="Q40" i="24"/>
  <c r="P40" i="24"/>
  <c r="O40" i="24"/>
  <c r="L40" i="24"/>
  <c r="K40" i="24"/>
  <c r="J40" i="24"/>
  <c r="I40" i="24"/>
  <c r="AE39" i="24"/>
  <c r="AD39" i="24"/>
  <c r="AB39" i="24"/>
  <c r="H39" i="24"/>
  <c r="G39" i="24"/>
  <c r="AE38" i="24"/>
  <c r="AD38" i="24"/>
  <c r="AB38" i="24"/>
  <c r="H38" i="24"/>
  <c r="AF38" i="24"/>
  <c r="AE37" i="24"/>
  <c r="AD37" i="24"/>
  <c r="AB37" i="24"/>
  <c r="H37" i="24"/>
  <c r="AF37" i="24"/>
  <c r="AE36" i="24"/>
  <c r="AD36" i="24"/>
  <c r="AB36" i="24"/>
  <c r="AF36" i="24"/>
  <c r="AE35" i="24"/>
  <c r="AD35" i="24"/>
  <c r="AB35" i="24"/>
  <c r="H35" i="24"/>
  <c r="G35" i="24"/>
  <c r="AE34" i="24"/>
  <c r="AD34" i="24"/>
  <c r="AB34" i="24"/>
  <c r="G34" i="24"/>
  <c r="H34" i="24"/>
  <c r="AF34" i="24"/>
  <c r="AE33" i="24"/>
  <c r="AD33" i="24"/>
  <c r="AB33" i="24"/>
  <c r="G33" i="24"/>
  <c r="H33" i="24"/>
  <c r="AF33" i="24"/>
  <c r="AE32" i="24"/>
  <c r="AD32" i="24"/>
  <c r="AB32" i="24"/>
  <c r="H32" i="24"/>
  <c r="AF32" i="24"/>
  <c r="AE31" i="24"/>
  <c r="AD31" i="24"/>
  <c r="AB31" i="24"/>
  <c r="H31" i="24"/>
  <c r="G31" i="24"/>
  <c r="AE30" i="24"/>
  <c r="AD30" i="24"/>
  <c r="AB30" i="24"/>
  <c r="H30" i="24"/>
  <c r="AF30" i="24"/>
  <c r="AE29" i="24"/>
  <c r="AD29" i="24"/>
  <c r="AB29" i="24"/>
  <c r="H29" i="24"/>
  <c r="G29" i="24"/>
  <c r="AF29" i="24"/>
  <c r="AE28" i="24"/>
  <c r="AD28" i="24"/>
  <c r="AB28" i="24"/>
  <c r="G28" i="24"/>
  <c r="AE27" i="24"/>
  <c r="AD27" i="24"/>
  <c r="AB27" i="24"/>
  <c r="AF27" i="24"/>
  <c r="AE26" i="24"/>
  <c r="AD26" i="24"/>
  <c r="AB26" i="24"/>
  <c r="N26" i="24"/>
  <c r="M26" i="24"/>
  <c r="F26" i="24"/>
  <c r="E26" i="24"/>
  <c r="H22" i="24"/>
  <c r="AA38" i="24" s="1"/>
  <c r="Q20" i="24"/>
  <c r="R21" i="24" s="1"/>
  <c r="R19" i="24"/>
  <c r="Q19" i="24"/>
  <c r="P19" i="24"/>
  <c r="O19" i="24"/>
  <c r="L19" i="24"/>
  <c r="K19" i="24"/>
  <c r="J19" i="24"/>
  <c r="I19" i="24"/>
  <c r="AE18" i="24"/>
  <c r="AD18" i="24"/>
  <c r="AB18" i="24"/>
  <c r="AA18" i="24"/>
  <c r="F18" i="24"/>
  <c r="H18" i="24" s="1"/>
  <c r="E18" i="24"/>
  <c r="AF18" i="24" s="1"/>
  <c r="AE17" i="24"/>
  <c r="AD17" i="24"/>
  <c r="AB17" i="24"/>
  <c r="AA17" i="24"/>
  <c r="F17" i="24"/>
  <c r="H17" i="24" s="1"/>
  <c r="E17" i="24"/>
  <c r="AE16" i="24"/>
  <c r="AD16" i="24"/>
  <c r="AB16" i="24"/>
  <c r="AA16" i="24"/>
  <c r="F16" i="24"/>
  <c r="H16" i="24" s="1"/>
  <c r="E16" i="24"/>
  <c r="AE15" i="24"/>
  <c r="AD15" i="24"/>
  <c r="AB15" i="24"/>
  <c r="AA15" i="24"/>
  <c r="F15" i="24"/>
  <c r="E15" i="24"/>
  <c r="AE14" i="24"/>
  <c r="AD14" i="24"/>
  <c r="AB14" i="24"/>
  <c r="AA14" i="24"/>
  <c r="F14" i="24"/>
  <c r="H14" i="24" s="1"/>
  <c r="E14" i="24"/>
  <c r="AF13" i="24"/>
  <c r="AE13" i="24"/>
  <c r="AD13" i="24"/>
  <c r="AB13" i="24"/>
  <c r="AA13" i="24"/>
  <c r="H13" i="24"/>
  <c r="G13" i="24"/>
  <c r="AF12" i="24"/>
  <c r="AE12" i="24"/>
  <c r="AD12" i="24"/>
  <c r="AB12" i="24"/>
  <c r="AA12" i="24"/>
  <c r="H12" i="24"/>
  <c r="G12" i="24"/>
  <c r="AE11" i="24"/>
  <c r="AD11" i="24"/>
  <c r="AB11" i="24"/>
  <c r="AA11" i="24"/>
  <c r="F11" i="24"/>
  <c r="H11" i="24" s="1"/>
  <c r="E11" i="24"/>
  <c r="AE10" i="24"/>
  <c r="AD10" i="24"/>
  <c r="AB10" i="24"/>
  <c r="AA10" i="24"/>
  <c r="F10" i="24"/>
  <c r="H10" i="24" s="1"/>
  <c r="E10" i="24"/>
  <c r="AE9" i="24"/>
  <c r="AD9" i="24"/>
  <c r="AB9" i="24"/>
  <c r="AA9" i="24"/>
  <c r="F9" i="24"/>
  <c r="H9" i="24" s="1"/>
  <c r="E9" i="24"/>
  <c r="AE8" i="24"/>
  <c r="AD8" i="24"/>
  <c r="AB8" i="24"/>
  <c r="AA8" i="24"/>
  <c r="F8" i="24"/>
  <c r="H8" i="24" s="1"/>
  <c r="E8" i="24"/>
  <c r="AE7" i="24"/>
  <c r="AD7" i="24"/>
  <c r="AB7" i="24"/>
  <c r="AA7" i="24"/>
  <c r="F7" i="24"/>
  <c r="E7" i="24"/>
  <c r="D7" i="24"/>
  <c r="AE6" i="24"/>
  <c r="AD6" i="24"/>
  <c r="AB6" i="24"/>
  <c r="AA6" i="24"/>
  <c r="F6" i="24"/>
  <c r="E6" i="24"/>
  <c r="D6" i="24"/>
  <c r="AE5" i="24"/>
  <c r="AD5" i="24"/>
  <c r="AB5" i="24"/>
  <c r="AA5" i="24"/>
  <c r="N5" i="24"/>
  <c r="N19" i="24" s="1"/>
  <c r="M5" i="24"/>
  <c r="F5" i="24"/>
  <c r="H5" i="24" s="1"/>
  <c r="E5" i="24"/>
  <c r="B39" i="23"/>
  <c r="B60" i="23" s="1"/>
  <c r="B81" i="23" s="1"/>
  <c r="B102" i="23" s="1"/>
  <c r="B123" i="23" s="1"/>
  <c r="B38" i="23"/>
  <c r="B59" i="23" s="1"/>
  <c r="B80" i="23" s="1"/>
  <c r="B101" i="23" s="1"/>
  <c r="B122" i="23" s="1"/>
  <c r="B36" i="23"/>
  <c r="B57" i="23" s="1"/>
  <c r="B78" i="23" s="1"/>
  <c r="B99" i="23" s="1"/>
  <c r="B120" i="23" s="1"/>
  <c r="B35" i="23"/>
  <c r="B56" i="23" s="1"/>
  <c r="B77" i="23" s="1"/>
  <c r="B98" i="23" s="1"/>
  <c r="B119" i="23" s="1"/>
  <c r="B34" i="23"/>
  <c r="B55" i="23" s="1"/>
  <c r="B76" i="23" s="1"/>
  <c r="B97" i="23" s="1"/>
  <c r="B118" i="23" s="1"/>
  <c r="B33" i="23"/>
  <c r="B54" i="23" s="1"/>
  <c r="B75" i="23" s="1"/>
  <c r="B96" i="23" s="1"/>
  <c r="B117" i="23" s="1"/>
  <c r="D50" i="23"/>
  <c r="D49" i="23"/>
  <c r="D29" i="23"/>
  <c r="D28" i="23"/>
  <c r="C20" i="23"/>
  <c r="L21" i="23" s="1"/>
  <c r="L63" i="23"/>
  <c r="R62" i="23"/>
  <c r="Q62" i="23"/>
  <c r="P62" i="23"/>
  <c r="O62" i="23"/>
  <c r="L62" i="23"/>
  <c r="K62" i="23"/>
  <c r="J62" i="23"/>
  <c r="I62" i="23"/>
  <c r="E63" i="23"/>
  <c r="AE61" i="23"/>
  <c r="AD61" i="23"/>
  <c r="AB61" i="23"/>
  <c r="H61" i="23"/>
  <c r="AF61" i="23"/>
  <c r="AE60" i="23"/>
  <c r="AD60" i="23"/>
  <c r="AB60" i="23"/>
  <c r="H60" i="23"/>
  <c r="AF60" i="23"/>
  <c r="AE59" i="23"/>
  <c r="AD59" i="23"/>
  <c r="AB59" i="23"/>
  <c r="H59" i="23"/>
  <c r="G59" i="23"/>
  <c r="AE58" i="23"/>
  <c r="AD58" i="23"/>
  <c r="AB58" i="23"/>
  <c r="AF58" i="23"/>
  <c r="AE57" i="23"/>
  <c r="AD57" i="23"/>
  <c r="AB57" i="23"/>
  <c r="H57" i="23"/>
  <c r="AF57" i="23"/>
  <c r="AE56" i="23"/>
  <c r="AD56" i="23"/>
  <c r="AB56" i="23"/>
  <c r="H56" i="23"/>
  <c r="AF56" i="23"/>
  <c r="AE55" i="23"/>
  <c r="AD55" i="23"/>
  <c r="AB55" i="23"/>
  <c r="H55" i="23"/>
  <c r="AF55" i="23"/>
  <c r="AE54" i="23"/>
  <c r="AD54" i="23"/>
  <c r="AB54" i="23"/>
  <c r="H54" i="23"/>
  <c r="G54" i="23"/>
  <c r="AE53" i="23"/>
  <c r="AD53" i="23"/>
  <c r="AB53" i="23"/>
  <c r="H53" i="23"/>
  <c r="AF53" i="23"/>
  <c r="AE52" i="23"/>
  <c r="AD52" i="23"/>
  <c r="AB52" i="23"/>
  <c r="H52" i="23"/>
  <c r="AF52" i="23"/>
  <c r="AE51" i="23"/>
  <c r="AD51" i="23"/>
  <c r="AB51" i="23"/>
  <c r="G51" i="23"/>
  <c r="H51" i="23"/>
  <c r="AF51" i="23"/>
  <c r="AE50" i="23"/>
  <c r="AD50" i="23"/>
  <c r="AB50" i="23"/>
  <c r="AF50" i="23"/>
  <c r="AE49" i="23"/>
  <c r="AD49" i="23"/>
  <c r="AB49" i="23"/>
  <c r="G49" i="23"/>
  <c r="AE48" i="23"/>
  <c r="AD48" i="23"/>
  <c r="AB48" i="23"/>
  <c r="F48" i="23"/>
  <c r="E48" i="23"/>
  <c r="L42" i="23"/>
  <c r="R41" i="23"/>
  <c r="Q41" i="23"/>
  <c r="P41" i="23"/>
  <c r="O41" i="23"/>
  <c r="L41" i="23"/>
  <c r="K41" i="23"/>
  <c r="J41" i="23"/>
  <c r="I41" i="23"/>
  <c r="A42" i="23"/>
  <c r="AE40" i="23"/>
  <c r="AD40" i="23"/>
  <c r="AB40" i="23"/>
  <c r="F40" i="23"/>
  <c r="H40" i="23" s="1"/>
  <c r="E40" i="23"/>
  <c r="AF40" i="23" s="1"/>
  <c r="AE39" i="23"/>
  <c r="AD39" i="23"/>
  <c r="AB39" i="23"/>
  <c r="F39" i="23"/>
  <c r="H39" i="23" s="1"/>
  <c r="E39" i="23"/>
  <c r="AE38" i="23"/>
  <c r="AD38" i="23"/>
  <c r="AB38" i="23"/>
  <c r="F38" i="23"/>
  <c r="H38" i="23" s="1"/>
  <c r="E38" i="23"/>
  <c r="AE37" i="23"/>
  <c r="AD37" i="23"/>
  <c r="AB37" i="23"/>
  <c r="F37" i="23"/>
  <c r="E37" i="23"/>
  <c r="AE36" i="23"/>
  <c r="AD36" i="23"/>
  <c r="AB36" i="23"/>
  <c r="H36" i="23"/>
  <c r="E36" i="23"/>
  <c r="AE35" i="23"/>
  <c r="AD35" i="23"/>
  <c r="AB35" i="23"/>
  <c r="F35" i="23"/>
  <c r="H35" i="23" s="1"/>
  <c r="E35" i="23"/>
  <c r="AE34" i="23"/>
  <c r="AD34" i="23"/>
  <c r="AB34" i="23"/>
  <c r="F34" i="23"/>
  <c r="H34" i="23" s="1"/>
  <c r="E34" i="23"/>
  <c r="AE33" i="23"/>
  <c r="AD33" i="23"/>
  <c r="AB33" i="23"/>
  <c r="F33" i="23"/>
  <c r="H33" i="23" s="1"/>
  <c r="E33" i="23"/>
  <c r="AE32" i="23"/>
  <c r="AD32" i="23"/>
  <c r="AB32" i="23"/>
  <c r="F32" i="23"/>
  <c r="H32" i="23" s="1"/>
  <c r="E32" i="23"/>
  <c r="AE31" i="23"/>
  <c r="AD31" i="23"/>
  <c r="AB31" i="23"/>
  <c r="F31" i="23"/>
  <c r="H31" i="23" s="1"/>
  <c r="E31" i="23"/>
  <c r="AE30" i="23"/>
  <c r="AD30" i="23"/>
  <c r="AB30" i="23"/>
  <c r="F30" i="23"/>
  <c r="H30" i="23" s="1"/>
  <c r="E30" i="23"/>
  <c r="AE29" i="23"/>
  <c r="AD29" i="23"/>
  <c r="AB29" i="23"/>
  <c r="F29" i="23"/>
  <c r="E29" i="23"/>
  <c r="AE28" i="23"/>
  <c r="AD28" i="23"/>
  <c r="AB28" i="23"/>
  <c r="F28" i="23"/>
  <c r="E28" i="23"/>
  <c r="AE27" i="23"/>
  <c r="AD27" i="23"/>
  <c r="AB27" i="23"/>
  <c r="F27" i="23"/>
  <c r="H27" i="23" s="1"/>
  <c r="E27" i="23"/>
  <c r="H23" i="23"/>
  <c r="AA34" i="23" s="1"/>
  <c r="R20" i="23"/>
  <c r="Q20" i="23"/>
  <c r="P20" i="23"/>
  <c r="O20" i="23"/>
  <c r="L20" i="23"/>
  <c r="K20" i="23"/>
  <c r="J20" i="23"/>
  <c r="I20" i="23"/>
  <c r="E21" i="23"/>
  <c r="AE19" i="23"/>
  <c r="AD19" i="23"/>
  <c r="AB19" i="23"/>
  <c r="AA19" i="23"/>
  <c r="F19" i="23"/>
  <c r="H19" i="23" s="1"/>
  <c r="E19" i="23"/>
  <c r="G19" i="23" s="1"/>
  <c r="AE18" i="23"/>
  <c r="AD18" i="23"/>
  <c r="AB18" i="23"/>
  <c r="AA18" i="23"/>
  <c r="F18" i="23"/>
  <c r="H18" i="23" s="1"/>
  <c r="E18" i="23"/>
  <c r="AE17" i="23"/>
  <c r="AD17" i="23"/>
  <c r="AB17" i="23"/>
  <c r="AA17" i="23"/>
  <c r="F17" i="23"/>
  <c r="H17" i="23" s="1"/>
  <c r="E17" i="23"/>
  <c r="AE16" i="23"/>
  <c r="AD16" i="23"/>
  <c r="AB16" i="23"/>
  <c r="AA16" i="23"/>
  <c r="E16" i="23"/>
  <c r="AE15" i="23"/>
  <c r="AD15" i="23"/>
  <c r="AB15" i="23"/>
  <c r="AA15" i="23"/>
  <c r="F15" i="23"/>
  <c r="H15" i="23" s="1"/>
  <c r="E15" i="23"/>
  <c r="AF14" i="23"/>
  <c r="AE14" i="23"/>
  <c r="AD14" i="23"/>
  <c r="AB14" i="23"/>
  <c r="AA14" i="23"/>
  <c r="H14" i="23"/>
  <c r="G14" i="23"/>
  <c r="AF13" i="23"/>
  <c r="AE13" i="23"/>
  <c r="AD13" i="23"/>
  <c r="AB13" i="23"/>
  <c r="AA13" i="23"/>
  <c r="H13" i="23"/>
  <c r="G13" i="23"/>
  <c r="AE12" i="23"/>
  <c r="AD12" i="23"/>
  <c r="AB12" i="23"/>
  <c r="AA12" i="23"/>
  <c r="N12" i="23"/>
  <c r="M12" i="23"/>
  <c r="F12" i="23"/>
  <c r="H12" i="23" s="1"/>
  <c r="E12" i="23"/>
  <c r="AE11" i="23"/>
  <c r="AD11" i="23"/>
  <c r="AB11" i="23"/>
  <c r="AA11" i="23"/>
  <c r="F11" i="23"/>
  <c r="H11" i="23" s="1"/>
  <c r="E11" i="23"/>
  <c r="AE10" i="23"/>
  <c r="AD10" i="23"/>
  <c r="AB10" i="23"/>
  <c r="AA10" i="23"/>
  <c r="F10" i="23"/>
  <c r="H10" i="23" s="1"/>
  <c r="E10" i="23"/>
  <c r="AE9" i="23"/>
  <c r="AD9" i="23"/>
  <c r="AB9" i="23"/>
  <c r="AA9" i="23"/>
  <c r="F9" i="23"/>
  <c r="H9" i="23" s="1"/>
  <c r="E9" i="23"/>
  <c r="T9" i="23" s="1"/>
  <c r="AE8" i="23"/>
  <c r="AD8" i="23"/>
  <c r="AB8" i="23"/>
  <c r="AA8" i="23"/>
  <c r="F8" i="23"/>
  <c r="E8" i="23"/>
  <c r="D8" i="23"/>
  <c r="AE7" i="23"/>
  <c r="AD7" i="23"/>
  <c r="AB7" i="23"/>
  <c r="AA7" i="23"/>
  <c r="F7" i="23"/>
  <c r="E7" i="23"/>
  <c r="D7" i="23"/>
  <c r="AE6" i="23"/>
  <c r="AD6" i="23"/>
  <c r="AB6" i="23"/>
  <c r="AA6" i="23"/>
  <c r="F6" i="23"/>
  <c r="H6" i="23" s="1"/>
  <c r="E6" i="23"/>
  <c r="Q63" i="17"/>
  <c r="L63" i="17"/>
  <c r="R62" i="17"/>
  <c r="Q62" i="17"/>
  <c r="P62" i="17"/>
  <c r="O62" i="17"/>
  <c r="L62" i="17"/>
  <c r="K62" i="17"/>
  <c r="J62" i="17"/>
  <c r="I62" i="17"/>
  <c r="D62" i="17"/>
  <c r="A63" i="17" s="1"/>
  <c r="AE61" i="17"/>
  <c r="AD61" i="17"/>
  <c r="AB61" i="17"/>
  <c r="F61" i="17"/>
  <c r="H61" i="17" s="1"/>
  <c r="E61" i="17"/>
  <c r="AF61" i="17" s="1"/>
  <c r="AE60" i="17"/>
  <c r="AD60" i="17"/>
  <c r="AB60" i="17"/>
  <c r="F60" i="17"/>
  <c r="H60" i="17" s="1"/>
  <c r="E60" i="17"/>
  <c r="AE59" i="17"/>
  <c r="AD59" i="17"/>
  <c r="AB59" i="17"/>
  <c r="F59" i="17"/>
  <c r="H59" i="17" s="1"/>
  <c r="E59" i="17"/>
  <c r="AE58" i="17"/>
  <c r="AD58" i="17"/>
  <c r="AB58" i="17"/>
  <c r="F58" i="17"/>
  <c r="E58" i="17"/>
  <c r="AE57" i="17"/>
  <c r="AD57" i="17"/>
  <c r="AB57" i="17"/>
  <c r="F57" i="17"/>
  <c r="H57" i="17" s="1"/>
  <c r="E57" i="17"/>
  <c r="AE56" i="17"/>
  <c r="AD56" i="17"/>
  <c r="AB56" i="17"/>
  <c r="F56" i="17"/>
  <c r="H56" i="17" s="1"/>
  <c r="E56" i="17"/>
  <c r="AE55" i="17"/>
  <c r="AD55" i="17"/>
  <c r="AB55" i="17"/>
  <c r="F55" i="17"/>
  <c r="H55" i="17" s="1"/>
  <c r="E55" i="17"/>
  <c r="AE54" i="17"/>
  <c r="AD54" i="17"/>
  <c r="AB54" i="17"/>
  <c r="F54" i="17"/>
  <c r="H54" i="17" s="1"/>
  <c r="E54" i="17"/>
  <c r="AE53" i="17"/>
  <c r="AD53" i="17"/>
  <c r="AB53" i="17"/>
  <c r="F53" i="17"/>
  <c r="H53" i="17" s="1"/>
  <c r="E53" i="17"/>
  <c r="AE52" i="17"/>
  <c r="AD52" i="17"/>
  <c r="AB52" i="17"/>
  <c r="F52" i="17"/>
  <c r="H52" i="17" s="1"/>
  <c r="E52" i="17"/>
  <c r="AE51" i="17"/>
  <c r="AD51" i="17"/>
  <c r="AB51" i="17"/>
  <c r="F51" i="17"/>
  <c r="H51" i="17" s="1"/>
  <c r="E51" i="17"/>
  <c r="AE50" i="17"/>
  <c r="AD50" i="17"/>
  <c r="AB50" i="17"/>
  <c r="F50" i="17"/>
  <c r="E50" i="17"/>
  <c r="D50" i="17"/>
  <c r="AE49" i="17"/>
  <c r="AD49" i="17"/>
  <c r="AB49" i="17"/>
  <c r="F49" i="17"/>
  <c r="E49" i="17"/>
  <c r="D49" i="17"/>
  <c r="AE48" i="17"/>
  <c r="AD48" i="17"/>
  <c r="AB48" i="17"/>
  <c r="N48" i="17"/>
  <c r="M48" i="17"/>
  <c r="F48" i="17"/>
  <c r="H48" i="17" s="1"/>
  <c r="E48" i="17"/>
  <c r="AA186" i="28" l="1"/>
  <c r="AA185" i="28"/>
  <c r="AA174" i="28"/>
  <c r="AA179" i="28"/>
  <c r="AA175" i="28"/>
  <c r="AA176" i="28"/>
  <c r="AA180" i="28"/>
  <c r="AA182" i="28"/>
  <c r="AA177" i="28"/>
  <c r="AA181" i="28"/>
  <c r="AA184" i="28"/>
  <c r="AA173" i="28"/>
  <c r="AA178" i="28"/>
  <c r="AA183" i="28"/>
  <c r="AA154" i="28"/>
  <c r="AA161" i="28"/>
  <c r="AA159" i="28"/>
  <c r="AA158" i="28"/>
  <c r="AA157" i="28"/>
  <c r="AA164" i="28"/>
  <c r="AA163" i="28"/>
  <c r="AA155" i="28"/>
  <c r="AA165" i="28"/>
  <c r="AA162" i="28"/>
  <c r="AA160" i="28"/>
  <c r="AA156" i="28"/>
  <c r="AA153" i="28"/>
  <c r="AA152" i="28"/>
  <c r="AA143" i="27"/>
  <c r="H148" i="27"/>
  <c r="AA139" i="27"/>
  <c r="AA138" i="27"/>
  <c r="AA135" i="27"/>
  <c r="AA134" i="27"/>
  <c r="AA137" i="27"/>
  <c r="AA136" i="27"/>
  <c r="AA141" i="27"/>
  <c r="AA142" i="27"/>
  <c r="AA144" i="27"/>
  <c r="AA133" i="27"/>
  <c r="AA131" i="27"/>
  <c r="AA132" i="27"/>
  <c r="AA140" i="27"/>
  <c r="AF38" i="25"/>
  <c r="T38" i="25"/>
  <c r="AF27" i="25"/>
  <c r="T27" i="25"/>
  <c r="AF26" i="26"/>
  <c r="T26" i="26"/>
  <c r="G48" i="17"/>
  <c r="T48" i="17"/>
  <c r="AF56" i="17"/>
  <c r="T56" i="17"/>
  <c r="AF57" i="17"/>
  <c r="T57" i="17"/>
  <c r="AF58" i="17"/>
  <c r="T58" i="17"/>
  <c r="AF55" i="17"/>
  <c r="T55" i="17"/>
  <c r="G35" i="23"/>
  <c r="T35" i="23"/>
  <c r="AF32" i="23"/>
  <c r="T32" i="23"/>
  <c r="AF37" i="23"/>
  <c r="T37" i="23"/>
  <c r="AF34" i="23"/>
  <c r="T34" i="23"/>
  <c r="AF36" i="23"/>
  <c r="T36" i="23"/>
  <c r="AF33" i="23"/>
  <c r="T33" i="23"/>
  <c r="G28" i="23"/>
  <c r="T28" i="23"/>
  <c r="AF29" i="23"/>
  <c r="T29" i="23"/>
  <c r="AF30" i="23"/>
  <c r="T30" i="23"/>
  <c r="AF27" i="23"/>
  <c r="T27" i="23"/>
  <c r="G31" i="23"/>
  <c r="T31" i="23"/>
  <c r="AF7" i="26"/>
  <c r="T7" i="26"/>
  <c r="G9" i="26"/>
  <c r="T9" i="26"/>
  <c r="AF11" i="26"/>
  <c r="T11" i="26"/>
  <c r="AF14" i="26"/>
  <c r="T14" i="26"/>
  <c r="AF16" i="26"/>
  <c r="T16" i="26"/>
  <c r="G5" i="26"/>
  <c r="T5" i="26"/>
  <c r="AF6" i="26"/>
  <c r="T6" i="26"/>
  <c r="AF8" i="26"/>
  <c r="T8" i="26"/>
  <c r="AF10" i="26"/>
  <c r="T10" i="26"/>
  <c r="AF15" i="26"/>
  <c r="T15" i="26"/>
  <c r="AF17" i="26"/>
  <c r="T17" i="26"/>
  <c r="AF7" i="25"/>
  <c r="T7" i="25"/>
  <c r="AF9" i="25"/>
  <c r="T9" i="25"/>
  <c r="AF11" i="25"/>
  <c r="T11" i="25"/>
  <c r="G14" i="25"/>
  <c r="T14" i="25"/>
  <c r="G16" i="25"/>
  <c r="T16" i="25"/>
  <c r="AF5" i="25"/>
  <c r="T5" i="25"/>
  <c r="G6" i="25"/>
  <c r="T6" i="25"/>
  <c r="AF8" i="25"/>
  <c r="T8" i="25"/>
  <c r="G10" i="25"/>
  <c r="T10" i="25"/>
  <c r="AF15" i="25"/>
  <c r="T15" i="25"/>
  <c r="G5" i="24"/>
  <c r="T5" i="24"/>
  <c r="AF7" i="24"/>
  <c r="T7" i="24"/>
  <c r="G9" i="24"/>
  <c r="T9" i="24"/>
  <c r="AF11" i="24"/>
  <c r="T11" i="24"/>
  <c r="AF14" i="24"/>
  <c r="T14" i="24"/>
  <c r="G16" i="24"/>
  <c r="T16" i="24"/>
  <c r="AF8" i="24"/>
  <c r="T8" i="24"/>
  <c r="AF15" i="24"/>
  <c r="T15" i="24"/>
  <c r="AF17" i="24"/>
  <c r="T17" i="24"/>
  <c r="AF6" i="24"/>
  <c r="T6" i="24"/>
  <c r="G10" i="24"/>
  <c r="T10" i="24"/>
  <c r="AF6" i="23"/>
  <c r="T6" i="23"/>
  <c r="AF11" i="23"/>
  <c r="T11" i="23"/>
  <c r="AF15" i="23"/>
  <c r="T15" i="23"/>
  <c r="AF18" i="23"/>
  <c r="T18" i="23"/>
  <c r="AF8" i="23"/>
  <c r="T8" i="23"/>
  <c r="AF10" i="23"/>
  <c r="T10" i="23"/>
  <c r="AF12" i="23"/>
  <c r="T12" i="23"/>
  <c r="AF16" i="23"/>
  <c r="T16" i="23"/>
  <c r="AF7" i="23"/>
  <c r="T7" i="23"/>
  <c r="AF17" i="23"/>
  <c r="T17" i="23"/>
  <c r="AF60" i="17"/>
  <c r="T60" i="17"/>
  <c r="AF52" i="17"/>
  <c r="T52" i="17"/>
  <c r="AF38" i="23"/>
  <c r="T38" i="23"/>
  <c r="AF37" i="25"/>
  <c r="T37" i="25"/>
  <c r="AF58" i="25"/>
  <c r="T58" i="25"/>
  <c r="AF54" i="17"/>
  <c r="T54" i="17"/>
  <c r="AF53" i="17"/>
  <c r="T53" i="17"/>
  <c r="G51" i="17"/>
  <c r="T51" i="17"/>
  <c r="AF50" i="17"/>
  <c r="T50" i="17"/>
  <c r="AF49" i="17"/>
  <c r="T49" i="17"/>
  <c r="G47" i="25"/>
  <c r="T47" i="25"/>
  <c r="AF48" i="25"/>
  <c r="T48" i="25"/>
  <c r="AF59" i="25"/>
  <c r="T59" i="25"/>
  <c r="AF59" i="17"/>
  <c r="T59" i="17"/>
  <c r="G39" i="23"/>
  <c r="T39" i="23"/>
  <c r="AF17" i="25"/>
  <c r="T17" i="25"/>
  <c r="N62" i="17"/>
  <c r="M62" i="17"/>
  <c r="G7" i="25"/>
  <c r="AF10" i="25"/>
  <c r="G33" i="25"/>
  <c r="G52" i="25"/>
  <c r="H50" i="17"/>
  <c r="G57" i="17"/>
  <c r="G11" i="24"/>
  <c r="G8" i="26"/>
  <c r="D61" i="24"/>
  <c r="G60" i="25"/>
  <c r="G16" i="26"/>
  <c r="E20" i="24"/>
  <c r="G8" i="24"/>
  <c r="A62" i="25"/>
  <c r="G10" i="26"/>
  <c r="D40" i="24"/>
  <c r="A41" i="24" s="1"/>
  <c r="G29" i="25"/>
  <c r="G48" i="25"/>
  <c r="G56" i="25"/>
  <c r="G54" i="26"/>
  <c r="G50" i="26"/>
  <c r="G48" i="26"/>
  <c r="G58" i="25"/>
  <c r="AF47" i="25"/>
  <c r="G11" i="25"/>
  <c r="G49" i="24"/>
  <c r="E61" i="24"/>
  <c r="F62" i="24" s="1"/>
  <c r="F62" i="23"/>
  <c r="C63" i="23" s="1"/>
  <c r="E62" i="25"/>
  <c r="A41" i="25"/>
  <c r="G61" i="17"/>
  <c r="G54" i="17"/>
  <c r="G53" i="17"/>
  <c r="G39" i="26"/>
  <c r="F62" i="17"/>
  <c r="G59" i="17"/>
  <c r="E63" i="17"/>
  <c r="M19" i="24"/>
  <c r="H6" i="24"/>
  <c r="AF10" i="24"/>
  <c r="AA26" i="24"/>
  <c r="AA28" i="24"/>
  <c r="AA29" i="24"/>
  <c r="G38" i="24"/>
  <c r="AF47" i="24"/>
  <c r="G58" i="24"/>
  <c r="G60" i="24"/>
  <c r="AA27" i="26"/>
  <c r="G34" i="26"/>
  <c r="G56" i="23"/>
  <c r="G47" i="24"/>
  <c r="AF16" i="25"/>
  <c r="G30" i="25"/>
  <c r="G34" i="25"/>
  <c r="G49" i="25"/>
  <c r="G53" i="25"/>
  <c r="G30" i="26"/>
  <c r="E61" i="26"/>
  <c r="J62" i="26" s="1"/>
  <c r="AF48" i="17"/>
  <c r="AF16" i="24"/>
  <c r="H43" i="24"/>
  <c r="AA60" i="24" s="1"/>
  <c r="E61" i="25"/>
  <c r="F62" i="25" s="1"/>
  <c r="AF5" i="26"/>
  <c r="F61" i="26"/>
  <c r="H61" i="26" s="1"/>
  <c r="G49" i="17"/>
  <c r="G50" i="17"/>
  <c r="G33" i="23"/>
  <c r="AA31" i="24"/>
  <c r="AA26" i="25"/>
  <c r="AA28" i="25"/>
  <c r="AA29" i="25"/>
  <c r="AA31" i="25"/>
  <c r="AA27" i="25"/>
  <c r="AA39" i="25"/>
  <c r="AA37" i="26"/>
  <c r="AA32" i="26"/>
  <c r="AA32" i="25"/>
  <c r="AA33" i="25"/>
  <c r="AA35" i="25"/>
  <c r="AA37" i="25"/>
  <c r="H43" i="25"/>
  <c r="AA27" i="24"/>
  <c r="AA32" i="24"/>
  <c r="AA33" i="24"/>
  <c r="AA35" i="24"/>
  <c r="AA37" i="24"/>
  <c r="AA39" i="24"/>
  <c r="G38" i="26"/>
  <c r="G35" i="26"/>
  <c r="G31" i="26"/>
  <c r="G28" i="26"/>
  <c r="F40" i="26"/>
  <c r="H40" i="26" s="1"/>
  <c r="G26" i="26"/>
  <c r="E40" i="26"/>
  <c r="G40" i="26" s="1"/>
  <c r="G14" i="26"/>
  <c r="AF9" i="26"/>
  <c r="F19" i="26"/>
  <c r="C20" i="26" s="1"/>
  <c r="G6" i="26"/>
  <c r="E19" i="26"/>
  <c r="F20" i="26" s="1"/>
  <c r="G38" i="25"/>
  <c r="F40" i="25"/>
  <c r="H40" i="25" s="1"/>
  <c r="E40" i="25"/>
  <c r="F41" i="25" s="1"/>
  <c r="G8" i="25"/>
  <c r="G17" i="25"/>
  <c r="F19" i="25"/>
  <c r="H19" i="25" s="1"/>
  <c r="AF14" i="25"/>
  <c r="G30" i="24"/>
  <c r="E40" i="24"/>
  <c r="J41" i="24" s="1"/>
  <c r="F40" i="24"/>
  <c r="G17" i="24"/>
  <c r="G14" i="24"/>
  <c r="H7" i="24"/>
  <c r="G7" i="24"/>
  <c r="G36" i="23"/>
  <c r="G27" i="23"/>
  <c r="H6" i="26"/>
  <c r="H5" i="26"/>
  <c r="G18" i="26"/>
  <c r="AF18" i="26"/>
  <c r="H26" i="26"/>
  <c r="G27" i="26"/>
  <c r="AA30" i="26"/>
  <c r="G32" i="26"/>
  <c r="AA34" i="26"/>
  <c r="AA36" i="26"/>
  <c r="G37" i="26"/>
  <c r="AA38" i="26"/>
  <c r="G51" i="26"/>
  <c r="G55" i="26"/>
  <c r="G59" i="26"/>
  <c r="G7" i="26"/>
  <c r="G11" i="26"/>
  <c r="G17" i="26"/>
  <c r="AA28" i="26"/>
  <c r="G29" i="26"/>
  <c r="AA31" i="26"/>
  <c r="G33" i="26"/>
  <c r="AA35" i="26"/>
  <c r="AA39" i="26"/>
  <c r="E41" i="26"/>
  <c r="G47" i="26"/>
  <c r="AF47" i="26"/>
  <c r="G49" i="26"/>
  <c r="G52" i="26"/>
  <c r="G56" i="26"/>
  <c r="G60" i="26"/>
  <c r="A62" i="26"/>
  <c r="AF27" i="26"/>
  <c r="H43" i="26"/>
  <c r="H64" i="26" s="1"/>
  <c r="H85" i="26" s="1"/>
  <c r="AA26" i="26"/>
  <c r="AA29" i="26"/>
  <c r="G9" i="25"/>
  <c r="H5" i="25"/>
  <c r="G18" i="25"/>
  <c r="A20" i="25"/>
  <c r="H26" i="25"/>
  <c r="G27" i="25"/>
  <c r="AA30" i="25"/>
  <c r="G32" i="25"/>
  <c r="AA34" i="25"/>
  <c r="AA36" i="25"/>
  <c r="G37" i="25"/>
  <c r="AA48" i="25"/>
  <c r="G51" i="25"/>
  <c r="G55" i="25"/>
  <c r="G59" i="25"/>
  <c r="AF6" i="25"/>
  <c r="AF28" i="25"/>
  <c r="AF31" i="25"/>
  <c r="AF35" i="25"/>
  <c r="AF39" i="25"/>
  <c r="E41" i="25"/>
  <c r="AA50" i="25"/>
  <c r="AF50" i="25"/>
  <c r="AA54" i="25"/>
  <c r="AF54" i="25"/>
  <c r="E19" i="25"/>
  <c r="AA55" i="25"/>
  <c r="AA57" i="25"/>
  <c r="F61" i="25"/>
  <c r="G5" i="25"/>
  <c r="G26" i="25"/>
  <c r="AF26" i="25"/>
  <c r="AA52" i="25"/>
  <c r="AA56" i="25"/>
  <c r="E62" i="24"/>
  <c r="A62" i="24"/>
  <c r="H48" i="24"/>
  <c r="H28" i="24"/>
  <c r="AF5" i="24"/>
  <c r="G6" i="24"/>
  <c r="AF9" i="24"/>
  <c r="F19" i="24"/>
  <c r="G18" i="24"/>
  <c r="H26" i="24"/>
  <c r="G27" i="24"/>
  <c r="AA30" i="24"/>
  <c r="G32" i="24"/>
  <c r="AA34" i="24"/>
  <c r="AA36" i="24"/>
  <c r="G37" i="24"/>
  <c r="G51" i="24"/>
  <c r="G55" i="24"/>
  <c r="G59" i="24"/>
  <c r="AF28" i="24"/>
  <c r="AF31" i="24"/>
  <c r="AF35" i="24"/>
  <c r="AF39" i="24"/>
  <c r="AF50" i="24"/>
  <c r="AF54" i="24"/>
  <c r="E19" i="24"/>
  <c r="J20" i="24" s="1"/>
  <c r="F61" i="24"/>
  <c r="G26" i="24"/>
  <c r="AF26" i="24"/>
  <c r="H7" i="23"/>
  <c r="AF19" i="23"/>
  <c r="G32" i="23"/>
  <c r="G52" i="23"/>
  <c r="G55" i="23"/>
  <c r="H29" i="23"/>
  <c r="G40" i="23"/>
  <c r="E62" i="23"/>
  <c r="G62" i="23" s="1"/>
  <c r="G29" i="23"/>
  <c r="G38" i="23"/>
  <c r="H49" i="23"/>
  <c r="H50" i="23"/>
  <c r="G60" i="23"/>
  <c r="E41" i="23"/>
  <c r="J42" i="23" s="1"/>
  <c r="M20" i="23"/>
  <c r="G10" i="23"/>
  <c r="A21" i="23"/>
  <c r="F41" i="23"/>
  <c r="H41" i="23" s="1"/>
  <c r="H28" i="23"/>
  <c r="F20" i="23"/>
  <c r="C21" i="23" s="1"/>
  <c r="N20" i="23"/>
  <c r="H8" i="23"/>
  <c r="G6" i="23"/>
  <c r="G7" i="23"/>
  <c r="E20" i="23"/>
  <c r="J21" i="23" s="1"/>
  <c r="AF9" i="23"/>
  <c r="AA31" i="23"/>
  <c r="AF31" i="23"/>
  <c r="AA35" i="23"/>
  <c r="AF35" i="23"/>
  <c r="AA37" i="23"/>
  <c r="AA39" i="23"/>
  <c r="AF39" i="23"/>
  <c r="AF49" i="23"/>
  <c r="AF54" i="23"/>
  <c r="AF59" i="23"/>
  <c r="G8" i="23"/>
  <c r="G12" i="23"/>
  <c r="G18" i="23"/>
  <c r="AA29" i="23"/>
  <c r="G30" i="23"/>
  <c r="AA32" i="23"/>
  <c r="G34" i="23"/>
  <c r="AA36" i="23"/>
  <c r="AA40" i="23"/>
  <c r="E42" i="23"/>
  <c r="G48" i="23"/>
  <c r="AF48" i="23"/>
  <c r="G50" i="23"/>
  <c r="G53" i="23"/>
  <c r="G57" i="23"/>
  <c r="G61" i="23"/>
  <c r="A63" i="23"/>
  <c r="G9" i="23"/>
  <c r="G11" i="23"/>
  <c r="G15" i="23"/>
  <c r="G17" i="23"/>
  <c r="AA28" i="23"/>
  <c r="AF28" i="23"/>
  <c r="AA33" i="23"/>
  <c r="AA38" i="23"/>
  <c r="H44" i="23"/>
  <c r="H65" i="23" s="1"/>
  <c r="H86" i="23" s="1"/>
  <c r="H48" i="23"/>
  <c r="AA27" i="23"/>
  <c r="AA30" i="23"/>
  <c r="AF51" i="17"/>
  <c r="E62" i="17"/>
  <c r="H49" i="17"/>
  <c r="G55" i="17"/>
  <c r="G52" i="17"/>
  <c r="G56" i="17"/>
  <c r="G60" i="17"/>
  <c r="AA164" i="27" l="1"/>
  <c r="AA154" i="27"/>
  <c r="AA156" i="27"/>
  <c r="AA160" i="27"/>
  <c r="AA161" i="27"/>
  <c r="AA157" i="27"/>
  <c r="AA163" i="27"/>
  <c r="AA165" i="27"/>
  <c r="AA152" i="27"/>
  <c r="AA158" i="27"/>
  <c r="AA162" i="27"/>
  <c r="AA153" i="27"/>
  <c r="AA155" i="27"/>
  <c r="AA159" i="27"/>
  <c r="H106" i="26"/>
  <c r="H127" i="26" s="1"/>
  <c r="AA101" i="26"/>
  <c r="AA100" i="26"/>
  <c r="AA97" i="26"/>
  <c r="AA96" i="26"/>
  <c r="AA95" i="26"/>
  <c r="AA94" i="26"/>
  <c r="AA93" i="26"/>
  <c r="AA92" i="26"/>
  <c r="AA91" i="26"/>
  <c r="AA90" i="26"/>
  <c r="AA102" i="26"/>
  <c r="AA99" i="26"/>
  <c r="AA98" i="26"/>
  <c r="AA89" i="26"/>
  <c r="AA103" i="23"/>
  <c r="H107" i="23"/>
  <c r="AA96" i="23"/>
  <c r="AA99" i="23"/>
  <c r="AA90" i="23"/>
  <c r="AA94" i="23"/>
  <c r="AA102" i="23"/>
  <c r="AA91" i="23"/>
  <c r="AA95" i="23"/>
  <c r="AA100" i="23"/>
  <c r="AA93" i="23"/>
  <c r="AA98" i="23"/>
  <c r="AA101" i="23"/>
  <c r="AA92" i="23"/>
  <c r="AA97" i="23"/>
  <c r="AA52" i="24"/>
  <c r="AA51" i="24"/>
  <c r="AA60" i="25"/>
  <c r="H64" i="25"/>
  <c r="H85" i="25" s="1"/>
  <c r="AA49" i="24"/>
  <c r="AA59" i="24"/>
  <c r="AA50" i="24"/>
  <c r="AA53" i="24"/>
  <c r="AA57" i="24"/>
  <c r="AA56" i="24"/>
  <c r="AA55" i="24"/>
  <c r="AA54" i="24"/>
  <c r="AA58" i="24"/>
  <c r="AA48" i="24"/>
  <c r="AA82" i="23"/>
  <c r="AA75" i="23"/>
  <c r="AA79" i="23"/>
  <c r="AA78" i="23"/>
  <c r="AA69" i="23"/>
  <c r="AA71" i="23"/>
  <c r="AA76" i="23"/>
  <c r="AA70" i="23"/>
  <c r="AA80" i="23"/>
  <c r="AA77" i="23"/>
  <c r="AA73" i="23"/>
  <c r="AA81" i="23"/>
  <c r="AA72" i="23"/>
  <c r="AA74" i="23"/>
  <c r="AA81" i="26"/>
  <c r="AA71" i="26"/>
  <c r="AA78" i="26"/>
  <c r="AA80" i="26"/>
  <c r="AA79" i="26"/>
  <c r="AA75" i="26"/>
  <c r="AA69" i="26"/>
  <c r="AA73" i="26"/>
  <c r="AA76" i="26"/>
  <c r="AA74" i="26"/>
  <c r="AA72" i="26"/>
  <c r="AA70" i="26"/>
  <c r="AA68" i="26"/>
  <c r="AA77" i="26"/>
  <c r="AA47" i="24"/>
  <c r="AA59" i="25"/>
  <c r="AA47" i="25"/>
  <c r="AA58" i="25"/>
  <c r="AA49" i="25"/>
  <c r="AA51" i="25"/>
  <c r="AA53" i="25"/>
  <c r="G61" i="25"/>
  <c r="A20" i="24"/>
  <c r="E41" i="24"/>
  <c r="C41" i="25"/>
  <c r="G61" i="24"/>
  <c r="C62" i="26"/>
  <c r="G61" i="26"/>
  <c r="F62" i="26"/>
  <c r="J62" i="25"/>
  <c r="C20" i="25"/>
  <c r="G40" i="25"/>
  <c r="J62" i="24"/>
  <c r="H62" i="23"/>
  <c r="F63" i="23"/>
  <c r="C63" i="17"/>
  <c r="H62" i="17"/>
  <c r="J63" i="23"/>
  <c r="J41" i="25"/>
  <c r="C41" i="24"/>
  <c r="C41" i="26"/>
  <c r="J41" i="26"/>
  <c r="F41" i="26"/>
  <c r="H19" i="26"/>
  <c r="G19" i="26"/>
  <c r="J20" i="26"/>
  <c r="H40" i="24"/>
  <c r="F41" i="24"/>
  <c r="G40" i="24"/>
  <c r="H20" i="23"/>
  <c r="F21" i="23"/>
  <c r="AA60" i="26"/>
  <c r="AA56" i="26"/>
  <c r="AA52" i="26"/>
  <c r="AA49" i="26"/>
  <c r="AA59" i="26"/>
  <c r="AA57" i="26"/>
  <c r="AA55" i="26"/>
  <c r="AA51" i="26"/>
  <c r="AA54" i="26"/>
  <c r="AA50" i="26"/>
  <c r="AA47" i="26"/>
  <c r="AA58" i="26"/>
  <c r="AA53" i="26"/>
  <c r="AA48" i="26"/>
  <c r="C62" i="25"/>
  <c r="H61" i="25"/>
  <c r="F20" i="25"/>
  <c r="J20" i="25"/>
  <c r="G19" i="25"/>
  <c r="C62" i="24"/>
  <c r="H61" i="24"/>
  <c r="F20" i="24"/>
  <c r="G19" i="24"/>
  <c r="C20" i="24"/>
  <c r="H19" i="24"/>
  <c r="G41" i="23"/>
  <c r="C42" i="23"/>
  <c r="F42" i="23"/>
  <c r="G20" i="23"/>
  <c r="AA61" i="23"/>
  <c r="AA57" i="23"/>
  <c r="AA53" i="23"/>
  <c r="AA50" i="23"/>
  <c r="AA60" i="23"/>
  <c r="AA58" i="23"/>
  <c r="AA56" i="23"/>
  <c r="AA52" i="23"/>
  <c r="AA55" i="23"/>
  <c r="AA51" i="23"/>
  <c r="AA48" i="23"/>
  <c r="AA59" i="23"/>
  <c r="AA54" i="23"/>
  <c r="AA49" i="23"/>
  <c r="F63" i="17"/>
  <c r="G62" i="17"/>
  <c r="J63" i="17"/>
  <c r="AA141" i="26" l="1"/>
  <c r="AA140" i="26"/>
  <c r="AA132" i="26"/>
  <c r="AA143" i="26"/>
  <c r="AA135" i="26"/>
  <c r="AA137" i="26"/>
  <c r="AA139" i="26"/>
  <c r="AA133" i="26"/>
  <c r="AA131" i="26"/>
  <c r="AA134" i="26"/>
  <c r="AA136" i="26"/>
  <c r="AA138" i="26"/>
  <c r="AA142" i="26"/>
  <c r="AA144" i="26"/>
  <c r="AA100" i="25"/>
  <c r="H106" i="25"/>
  <c r="AA99" i="25"/>
  <c r="AA90" i="25"/>
  <c r="AA91" i="25"/>
  <c r="AA92" i="25"/>
  <c r="AA96" i="25"/>
  <c r="AA101" i="25"/>
  <c r="AA93" i="25"/>
  <c r="AA97" i="25"/>
  <c r="AA89" i="25"/>
  <c r="AA94" i="25"/>
  <c r="AA95" i="25"/>
  <c r="AA102" i="25"/>
  <c r="AA98" i="25"/>
  <c r="AA120" i="26"/>
  <c r="AA110" i="26"/>
  <c r="AA122" i="26"/>
  <c r="AA119" i="26"/>
  <c r="AA111" i="26"/>
  <c r="AA121" i="26"/>
  <c r="AA123" i="26"/>
  <c r="AA114" i="26"/>
  <c r="AA116" i="26"/>
  <c r="AA118" i="26"/>
  <c r="AA112" i="26"/>
  <c r="AA113" i="26"/>
  <c r="AA115" i="26"/>
  <c r="AA117" i="26"/>
  <c r="AA124" i="23"/>
  <c r="AA123" i="23"/>
  <c r="AA114" i="23"/>
  <c r="AA117" i="23"/>
  <c r="AA111" i="23"/>
  <c r="AA112" i="23"/>
  <c r="AA115" i="23"/>
  <c r="AA120" i="23"/>
  <c r="AA118" i="23"/>
  <c r="AA119" i="23"/>
  <c r="AA116" i="23"/>
  <c r="AA121" i="23"/>
  <c r="AA113" i="23"/>
  <c r="AA122" i="23"/>
  <c r="AA80" i="25"/>
  <c r="AA77" i="25"/>
  <c r="AA72" i="25"/>
  <c r="AA81" i="25"/>
  <c r="AA76" i="25"/>
  <c r="AA68" i="25"/>
  <c r="AA71" i="25"/>
  <c r="AA75" i="25"/>
  <c r="AA69" i="25"/>
  <c r="AA78" i="25"/>
  <c r="AA73" i="25"/>
  <c r="AA74" i="25"/>
  <c r="AA70" i="25"/>
  <c r="AA79" i="25"/>
  <c r="H23" i="17"/>
  <c r="H44" i="17" s="1"/>
  <c r="H65" i="17" s="1"/>
  <c r="H86" i="17" s="1"/>
  <c r="H107" i="17" s="1"/>
  <c r="AE40" i="17"/>
  <c r="AD40" i="17"/>
  <c r="AB40" i="17"/>
  <c r="AA40" i="17"/>
  <c r="AE39" i="17"/>
  <c r="AD39" i="17"/>
  <c r="AB39" i="17"/>
  <c r="AA39" i="17"/>
  <c r="AE38" i="17"/>
  <c r="AD38" i="17"/>
  <c r="AB38" i="17"/>
  <c r="AA38" i="17"/>
  <c r="AE37" i="17"/>
  <c r="AD37" i="17"/>
  <c r="AB37" i="17"/>
  <c r="AA37" i="17"/>
  <c r="AE36" i="17"/>
  <c r="AD36" i="17"/>
  <c r="AB36" i="17"/>
  <c r="AA36" i="17"/>
  <c r="AE35" i="17"/>
  <c r="AD35" i="17"/>
  <c r="AB35" i="17"/>
  <c r="AA35" i="17"/>
  <c r="AE34" i="17"/>
  <c r="AD34" i="17"/>
  <c r="AB34" i="17"/>
  <c r="AA34" i="17"/>
  <c r="AE33" i="17"/>
  <c r="AD33" i="17"/>
  <c r="AB33" i="17"/>
  <c r="AA33" i="17"/>
  <c r="AE32" i="17"/>
  <c r="AD32" i="17"/>
  <c r="AB32" i="17"/>
  <c r="AA32" i="17"/>
  <c r="AE31" i="17"/>
  <c r="AD31" i="17"/>
  <c r="AB31" i="17"/>
  <c r="AA31" i="17"/>
  <c r="AE30" i="17"/>
  <c r="AD30" i="17"/>
  <c r="AB30" i="17"/>
  <c r="AA30" i="17"/>
  <c r="AE29" i="17"/>
  <c r="AD29" i="17"/>
  <c r="AB29" i="17"/>
  <c r="AA29" i="17"/>
  <c r="AE28" i="17"/>
  <c r="AD28" i="17"/>
  <c r="AB28" i="17"/>
  <c r="AA28" i="17"/>
  <c r="AE27" i="17"/>
  <c r="AD27" i="17"/>
  <c r="AB27" i="17"/>
  <c r="AA27" i="17"/>
  <c r="AE19" i="17"/>
  <c r="AD19" i="17"/>
  <c r="AB19" i="17"/>
  <c r="AA19" i="17"/>
  <c r="AE18" i="17"/>
  <c r="AD18" i="17"/>
  <c r="AB18" i="17"/>
  <c r="AA18" i="17"/>
  <c r="AE17" i="17"/>
  <c r="AD17" i="17"/>
  <c r="AB17" i="17"/>
  <c r="AA17" i="17"/>
  <c r="AE16" i="17"/>
  <c r="AD16" i="17"/>
  <c r="AB16" i="17"/>
  <c r="AA16" i="17"/>
  <c r="AE15" i="17"/>
  <c r="AD15" i="17"/>
  <c r="AB15" i="17"/>
  <c r="AA15" i="17"/>
  <c r="AF14" i="17"/>
  <c r="AE14" i="17"/>
  <c r="AD14" i="17"/>
  <c r="AB14" i="17"/>
  <c r="AA14" i="17"/>
  <c r="AF13" i="17"/>
  <c r="AE13" i="17"/>
  <c r="AD13" i="17"/>
  <c r="AB13" i="17"/>
  <c r="AA13" i="17"/>
  <c r="AE12" i="17"/>
  <c r="AD12" i="17"/>
  <c r="AB12" i="17"/>
  <c r="AA12" i="17"/>
  <c r="AE11" i="17"/>
  <c r="AD11" i="17"/>
  <c r="AB11" i="17"/>
  <c r="AA11" i="17"/>
  <c r="AE10" i="17"/>
  <c r="AD10" i="17"/>
  <c r="AB10" i="17"/>
  <c r="AA10" i="17"/>
  <c r="AE9" i="17"/>
  <c r="AD9" i="17"/>
  <c r="AB9" i="17"/>
  <c r="AA9" i="17"/>
  <c r="AE8" i="17"/>
  <c r="AD8" i="17"/>
  <c r="AB8" i="17"/>
  <c r="AA8" i="17"/>
  <c r="AE7" i="17"/>
  <c r="AD7" i="17"/>
  <c r="AB7" i="17"/>
  <c r="AA7" i="17"/>
  <c r="AE6" i="17"/>
  <c r="AD6" i="17"/>
  <c r="AB6" i="17"/>
  <c r="AA6" i="17"/>
  <c r="Q3" i="21"/>
  <c r="R3" i="21"/>
  <c r="S3" i="21" s="1"/>
  <c r="T3" i="21"/>
  <c r="Q4" i="21"/>
  <c r="R4" i="21"/>
  <c r="S4" i="21" s="1"/>
  <c r="T4" i="21"/>
  <c r="Q5" i="21"/>
  <c r="R5" i="21"/>
  <c r="S5" i="21" s="1"/>
  <c r="T5" i="21"/>
  <c r="Q6" i="21"/>
  <c r="R6" i="21"/>
  <c r="S6" i="21" s="1"/>
  <c r="T6" i="21"/>
  <c r="Q7" i="21"/>
  <c r="R7" i="21"/>
  <c r="S7" i="21" s="1"/>
  <c r="T7" i="21"/>
  <c r="Q8" i="21"/>
  <c r="R8" i="21"/>
  <c r="S8" i="21" s="1"/>
  <c r="T8" i="21"/>
  <c r="Q9" i="21"/>
  <c r="R9" i="21"/>
  <c r="S9" i="21" s="1"/>
  <c r="T9" i="21"/>
  <c r="Q10" i="21"/>
  <c r="R10" i="21"/>
  <c r="S10" i="21" s="1"/>
  <c r="T10" i="21"/>
  <c r="Q11" i="21"/>
  <c r="R11" i="21"/>
  <c r="S11" i="21" s="1"/>
  <c r="T11" i="21"/>
  <c r="Q12" i="21"/>
  <c r="R12" i="21"/>
  <c r="S12" i="21" s="1"/>
  <c r="T12" i="21"/>
  <c r="Q13" i="21"/>
  <c r="R13" i="21"/>
  <c r="S13" i="21" s="1"/>
  <c r="T13" i="21"/>
  <c r="Q14" i="21"/>
  <c r="R14" i="21"/>
  <c r="S14" i="21" s="1"/>
  <c r="T14" i="21"/>
  <c r="Q15" i="21"/>
  <c r="R15" i="21"/>
  <c r="S15" i="21" s="1"/>
  <c r="T15" i="21"/>
  <c r="Q16" i="21"/>
  <c r="R16" i="21"/>
  <c r="S16" i="21" s="1"/>
  <c r="T16" i="21"/>
  <c r="Q17" i="21"/>
  <c r="R17" i="21"/>
  <c r="S17" i="21" s="1"/>
  <c r="T17" i="21"/>
  <c r="Q18" i="21"/>
  <c r="R18" i="21"/>
  <c r="S18" i="21" s="1"/>
  <c r="T18" i="21"/>
  <c r="Q19" i="21"/>
  <c r="R19" i="21"/>
  <c r="S19" i="21" s="1"/>
  <c r="T19" i="21"/>
  <c r="Q20" i="21"/>
  <c r="R20" i="21"/>
  <c r="S20" i="21" s="1"/>
  <c r="T20" i="21"/>
  <c r="Q21" i="21"/>
  <c r="R21" i="21"/>
  <c r="S21" i="21" s="1"/>
  <c r="T21" i="21"/>
  <c r="Q22" i="21"/>
  <c r="R22" i="21"/>
  <c r="S22" i="21" s="1"/>
  <c r="T22" i="21"/>
  <c r="Q23" i="21"/>
  <c r="R23" i="21"/>
  <c r="S23" i="21" s="1"/>
  <c r="T23" i="21"/>
  <c r="Q24" i="21"/>
  <c r="R24" i="21"/>
  <c r="S24" i="21" s="1"/>
  <c r="T24" i="21"/>
  <c r="Q25" i="21"/>
  <c r="R25" i="21"/>
  <c r="S25" i="21" s="1"/>
  <c r="T25" i="21"/>
  <c r="Q26" i="21"/>
  <c r="R26" i="21"/>
  <c r="S26" i="21" s="1"/>
  <c r="T26" i="21"/>
  <c r="Q27" i="21"/>
  <c r="R27" i="21"/>
  <c r="S27" i="21" s="1"/>
  <c r="T27" i="21"/>
  <c r="Q28" i="21"/>
  <c r="R28" i="21"/>
  <c r="S28" i="21" s="1"/>
  <c r="T28" i="21"/>
  <c r="Q29" i="21"/>
  <c r="R29" i="21"/>
  <c r="S29" i="21" s="1"/>
  <c r="T29" i="21"/>
  <c r="Q30" i="21"/>
  <c r="R30" i="21"/>
  <c r="S30" i="21" s="1"/>
  <c r="T30" i="21"/>
  <c r="Q31" i="21"/>
  <c r="R31" i="21"/>
  <c r="S31" i="21" s="1"/>
  <c r="T31" i="21"/>
  <c r="Q32" i="21"/>
  <c r="R32" i="21"/>
  <c r="S32" i="21" s="1"/>
  <c r="T32" i="21"/>
  <c r="Q33" i="21"/>
  <c r="R33" i="21"/>
  <c r="S33" i="21" s="1"/>
  <c r="T33" i="21"/>
  <c r="Q34" i="21"/>
  <c r="R34" i="21"/>
  <c r="S34" i="21" s="1"/>
  <c r="T34" i="21"/>
  <c r="Q35" i="21"/>
  <c r="R35" i="21"/>
  <c r="S35" i="21" s="1"/>
  <c r="T35" i="21"/>
  <c r="Q36" i="21"/>
  <c r="R36" i="21"/>
  <c r="S36" i="21" s="1"/>
  <c r="T36" i="21"/>
  <c r="Q37" i="21"/>
  <c r="R37" i="21"/>
  <c r="S37" i="21" s="1"/>
  <c r="T37" i="21"/>
  <c r="Q38" i="21"/>
  <c r="R38" i="21"/>
  <c r="S38" i="21" s="1"/>
  <c r="T38" i="21"/>
  <c r="Q39" i="21"/>
  <c r="R39" i="21"/>
  <c r="S39" i="21" s="1"/>
  <c r="T39" i="21"/>
  <c r="Q40" i="21"/>
  <c r="R40" i="21"/>
  <c r="S40" i="21" s="1"/>
  <c r="T40" i="21"/>
  <c r="Q41" i="21"/>
  <c r="R41" i="21"/>
  <c r="S41" i="21" s="1"/>
  <c r="T41" i="21"/>
  <c r="Q42" i="21"/>
  <c r="R42" i="21"/>
  <c r="S42" i="21" s="1"/>
  <c r="T42" i="21"/>
  <c r="Q43" i="21"/>
  <c r="R43" i="21"/>
  <c r="S43" i="21" s="1"/>
  <c r="T43" i="21"/>
  <c r="Q44" i="21"/>
  <c r="R44" i="21"/>
  <c r="S44" i="21" s="1"/>
  <c r="T44" i="21"/>
  <c r="Q45" i="21"/>
  <c r="R45" i="21"/>
  <c r="S45" i="21" s="1"/>
  <c r="T45" i="21"/>
  <c r="Q46" i="21"/>
  <c r="R46" i="21"/>
  <c r="S46" i="21" s="1"/>
  <c r="T46" i="21"/>
  <c r="Q47" i="21"/>
  <c r="R47" i="21"/>
  <c r="S47" i="21" s="1"/>
  <c r="T47" i="21"/>
  <c r="Q48" i="21"/>
  <c r="R48" i="21"/>
  <c r="S48" i="21" s="1"/>
  <c r="T48" i="21"/>
  <c r="Q49" i="21"/>
  <c r="R49" i="21"/>
  <c r="S49" i="21" s="1"/>
  <c r="T49" i="21"/>
  <c r="Q50" i="21"/>
  <c r="R50" i="21"/>
  <c r="S50" i="21" s="1"/>
  <c r="T50" i="21"/>
  <c r="Q51" i="21"/>
  <c r="R51" i="21"/>
  <c r="S51" i="21" s="1"/>
  <c r="T51" i="21"/>
  <c r="Q52" i="21"/>
  <c r="R52" i="21"/>
  <c r="S52" i="21" s="1"/>
  <c r="T52" i="21"/>
  <c r="Q53" i="21"/>
  <c r="R53" i="21"/>
  <c r="S53" i="21" s="1"/>
  <c r="T53" i="21"/>
  <c r="Q54" i="21"/>
  <c r="R54" i="21"/>
  <c r="S54" i="21" s="1"/>
  <c r="T54" i="21"/>
  <c r="Q55" i="21"/>
  <c r="R55" i="21"/>
  <c r="S55" i="21" s="1"/>
  <c r="T55" i="21"/>
  <c r="Q56" i="21"/>
  <c r="R56" i="21"/>
  <c r="S56" i="21" s="1"/>
  <c r="T56" i="21"/>
  <c r="Q57" i="21"/>
  <c r="R57" i="21"/>
  <c r="S57" i="21" s="1"/>
  <c r="T57" i="21"/>
  <c r="Q58" i="21"/>
  <c r="R58" i="21"/>
  <c r="S58" i="21" s="1"/>
  <c r="T58" i="21"/>
  <c r="Q59" i="21"/>
  <c r="R59" i="21"/>
  <c r="S59" i="21" s="1"/>
  <c r="T59" i="21"/>
  <c r="Q60" i="21"/>
  <c r="R60" i="21"/>
  <c r="S60" i="21" s="1"/>
  <c r="T60" i="21"/>
  <c r="Q61" i="21"/>
  <c r="R61" i="21"/>
  <c r="S61" i="21" s="1"/>
  <c r="T61" i="21"/>
  <c r="Q62" i="21"/>
  <c r="R62" i="21"/>
  <c r="S62" i="21" s="1"/>
  <c r="T62" i="21"/>
  <c r="Q63" i="21"/>
  <c r="R63" i="21"/>
  <c r="S63" i="21" s="1"/>
  <c r="T63" i="21"/>
  <c r="Q64" i="21"/>
  <c r="R64" i="21"/>
  <c r="S64" i="21" s="1"/>
  <c r="T64" i="21"/>
  <c r="Q65" i="21"/>
  <c r="R65" i="21"/>
  <c r="S65" i="21" s="1"/>
  <c r="T65" i="21"/>
  <c r="Q66" i="21"/>
  <c r="R66" i="21"/>
  <c r="S66" i="21" s="1"/>
  <c r="T66" i="21"/>
  <c r="Q67" i="21"/>
  <c r="R67" i="21"/>
  <c r="S67" i="21" s="1"/>
  <c r="T67" i="21"/>
  <c r="Q68" i="21"/>
  <c r="R68" i="21"/>
  <c r="S68" i="21" s="1"/>
  <c r="T68" i="21"/>
  <c r="Q69" i="21"/>
  <c r="R69" i="21"/>
  <c r="S69" i="21" s="1"/>
  <c r="T69" i="21"/>
  <c r="Q70" i="21"/>
  <c r="R70" i="21"/>
  <c r="S70" i="21" s="1"/>
  <c r="T70" i="21"/>
  <c r="Q71" i="21"/>
  <c r="R71" i="21"/>
  <c r="S71" i="21" s="1"/>
  <c r="T71" i="21"/>
  <c r="Q72" i="21"/>
  <c r="R72" i="21"/>
  <c r="S72" i="21" s="1"/>
  <c r="T72" i="21"/>
  <c r="Q73" i="21"/>
  <c r="R73" i="21"/>
  <c r="S73" i="21" s="1"/>
  <c r="T73" i="21"/>
  <c r="Q74" i="21"/>
  <c r="R74" i="21"/>
  <c r="S74" i="21" s="1"/>
  <c r="T74" i="21"/>
  <c r="Q75" i="21"/>
  <c r="R75" i="21"/>
  <c r="S75" i="21" s="1"/>
  <c r="T75" i="21"/>
  <c r="Q76" i="21"/>
  <c r="R76" i="21"/>
  <c r="S76" i="21" s="1"/>
  <c r="T76" i="21"/>
  <c r="Q77" i="21"/>
  <c r="R77" i="21"/>
  <c r="S77" i="21" s="1"/>
  <c r="T77" i="21"/>
  <c r="Q78" i="21"/>
  <c r="R78" i="21"/>
  <c r="S78" i="21" s="1"/>
  <c r="T78" i="21"/>
  <c r="Q79" i="21"/>
  <c r="R79" i="21"/>
  <c r="S79" i="21" s="1"/>
  <c r="T79" i="21"/>
  <c r="Q80" i="21"/>
  <c r="R80" i="21"/>
  <c r="S80" i="21" s="1"/>
  <c r="T80" i="21"/>
  <c r="Q81" i="21"/>
  <c r="R81" i="21"/>
  <c r="S81" i="21" s="1"/>
  <c r="T81" i="21"/>
  <c r="Q82" i="21"/>
  <c r="R82" i="21"/>
  <c r="S82" i="21" s="1"/>
  <c r="T82" i="21"/>
  <c r="Q83" i="21"/>
  <c r="R83" i="21"/>
  <c r="S83" i="21" s="1"/>
  <c r="T83" i="21"/>
  <c r="Q84" i="21"/>
  <c r="R84" i="21"/>
  <c r="S84" i="21" s="1"/>
  <c r="T84" i="21"/>
  <c r="Q85" i="21"/>
  <c r="R85" i="21"/>
  <c r="S85" i="21" s="1"/>
  <c r="T85" i="21"/>
  <c r="Q86" i="21"/>
  <c r="R86" i="21"/>
  <c r="S86" i="21" s="1"/>
  <c r="T86" i="21"/>
  <c r="Q87" i="21"/>
  <c r="R87" i="21"/>
  <c r="S87" i="21" s="1"/>
  <c r="T87" i="21"/>
  <c r="Q88" i="21"/>
  <c r="R88" i="21"/>
  <c r="S88" i="21" s="1"/>
  <c r="T88" i="21"/>
  <c r="Q89" i="21"/>
  <c r="R89" i="21"/>
  <c r="S89" i="21" s="1"/>
  <c r="T89" i="21"/>
  <c r="Q90" i="21"/>
  <c r="R90" i="21"/>
  <c r="S90" i="21" s="1"/>
  <c r="T90" i="21"/>
  <c r="Q91" i="21"/>
  <c r="R91" i="21"/>
  <c r="S91" i="21" s="1"/>
  <c r="T91" i="21"/>
  <c r="Q92" i="21"/>
  <c r="R92" i="21"/>
  <c r="S92" i="21" s="1"/>
  <c r="T92" i="21"/>
  <c r="Q93" i="21"/>
  <c r="R93" i="21"/>
  <c r="S93" i="21" s="1"/>
  <c r="T93" i="21"/>
  <c r="Q94" i="21"/>
  <c r="R94" i="21"/>
  <c r="S94" i="21" s="1"/>
  <c r="T94" i="21"/>
  <c r="Q95" i="21"/>
  <c r="R95" i="21"/>
  <c r="S95" i="21" s="1"/>
  <c r="T95" i="21"/>
  <c r="Q96" i="21"/>
  <c r="R96" i="21"/>
  <c r="S96" i="21" s="1"/>
  <c r="T96" i="21"/>
  <c r="Q97" i="21"/>
  <c r="R97" i="21"/>
  <c r="S97" i="21" s="1"/>
  <c r="T97" i="21"/>
  <c r="Q98" i="21"/>
  <c r="R98" i="21"/>
  <c r="S98" i="21" s="1"/>
  <c r="T98" i="21"/>
  <c r="Q99" i="21"/>
  <c r="R99" i="21"/>
  <c r="S99" i="21" s="1"/>
  <c r="T99" i="21"/>
  <c r="Q100" i="21"/>
  <c r="R100" i="21"/>
  <c r="S100" i="21" s="1"/>
  <c r="T100" i="21"/>
  <c r="Q101" i="21"/>
  <c r="R101" i="21"/>
  <c r="S101" i="21" s="1"/>
  <c r="T101" i="21"/>
  <c r="Q102" i="21"/>
  <c r="R102" i="21"/>
  <c r="S102" i="21" s="1"/>
  <c r="T102" i="21"/>
  <c r="Q103" i="21"/>
  <c r="R103" i="21"/>
  <c r="S103" i="21" s="1"/>
  <c r="T103" i="21"/>
  <c r="Q104" i="21"/>
  <c r="R104" i="21"/>
  <c r="S104" i="21" s="1"/>
  <c r="T104" i="21"/>
  <c r="Q105" i="21"/>
  <c r="R105" i="21"/>
  <c r="S105" i="21" s="1"/>
  <c r="T105" i="21"/>
  <c r="Q106" i="21"/>
  <c r="R106" i="21"/>
  <c r="S106" i="21" s="1"/>
  <c r="T106" i="21"/>
  <c r="Q107" i="21"/>
  <c r="R107" i="21"/>
  <c r="S107" i="21" s="1"/>
  <c r="T107" i="21"/>
  <c r="Q108" i="21"/>
  <c r="R108" i="21"/>
  <c r="S108" i="21" s="1"/>
  <c r="T108" i="21"/>
  <c r="Q109" i="21"/>
  <c r="R109" i="21"/>
  <c r="S109" i="21" s="1"/>
  <c r="T109" i="21"/>
  <c r="Q110" i="21"/>
  <c r="R110" i="21"/>
  <c r="S110" i="21" s="1"/>
  <c r="T110" i="21"/>
  <c r="Q111" i="21"/>
  <c r="R111" i="21"/>
  <c r="S111" i="21" s="1"/>
  <c r="T111" i="21"/>
  <c r="Q112" i="21"/>
  <c r="R112" i="21"/>
  <c r="S112" i="21" s="1"/>
  <c r="T112" i="21"/>
  <c r="Q113" i="21"/>
  <c r="R113" i="21"/>
  <c r="S113" i="21" s="1"/>
  <c r="T113" i="21"/>
  <c r="Q114" i="21"/>
  <c r="R114" i="21"/>
  <c r="S114" i="21" s="1"/>
  <c r="T114" i="21"/>
  <c r="Q115" i="21"/>
  <c r="R115" i="21"/>
  <c r="S115" i="21" s="1"/>
  <c r="T115" i="21"/>
  <c r="Q116" i="21"/>
  <c r="R116" i="21"/>
  <c r="S116" i="21" s="1"/>
  <c r="T116" i="21"/>
  <c r="Q117" i="21"/>
  <c r="R117" i="21"/>
  <c r="S117" i="21" s="1"/>
  <c r="T117" i="21"/>
  <c r="Q118" i="21"/>
  <c r="R118" i="21"/>
  <c r="S118" i="21" s="1"/>
  <c r="T118" i="21"/>
  <c r="Q119" i="21"/>
  <c r="R119" i="21"/>
  <c r="S119" i="21" s="1"/>
  <c r="T119" i="21"/>
  <c r="Q120" i="21"/>
  <c r="R120" i="21"/>
  <c r="S120" i="21" s="1"/>
  <c r="T120" i="21"/>
  <c r="Q121" i="21"/>
  <c r="R121" i="21"/>
  <c r="S121" i="21" s="1"/>
  <c r="T121" i="21"/>
  <c r="Q122" i="21"/>
  <c r="R122" i="21"/>
  <c r="S122" i="21" s="1"/>
  <c r="T122" i="21"/>
  <c r="Q123" i="21"/>
  <c r="R123" i="21"/>
  <c r="S123" i="21" s="1"/>
  <c r="T123" i="21"/>
  <c r="Q124" i="21"/>
  <c r="R124" i="21"/>
  <c r="S124" i="21" s="1"/>
  <c r="T124" i="21"/>
  <c r="Q125" i="21"/>
  <c r="R125" i="21"/>
  <c r="S125" i="21" s="1"/>
  <c r="T125" i="21"/>
  <c r="Q126" i="21"/>
  <c r="R126" i="21"/>
  <c r="S126" i="21" s="1"/>
  <c r="T126" i="21"/>
  <c r="Q127" i="21"/>
  <c r="R127" i="21"/>
  <c r="S127" i="21" s="1"/>
  <c r="T127" i="21"/>
  <c r="Q128" i="21"/>
  <c r="R128" i="21"/>
  <c r="S128" i="21" s="1"/>
  <c r="T128" i="21"/>
  <c r="Q129" i="21"/>
  <c r="R129" i="21"/>
  <c r="S129" i="21" s="1"/>
  <c r="T129" i="21"/>
  <c r="Q130" i="21"/>
  <c r="R130" i="21"/>
  <c r="S130" i="21" s="1"/>
  <c r="T130" i="21"/>
  <c r="Q131" i="21"/>
  <c r="R131" i="21"/>
  <c r="S131" i="21" s="1"/>
  <c r="T131" i="21"/>
  <c r="Q132" i="21"/>
  <c r="R132" i="21"/>
  <c r="S132" i="21" s="1"/>
  <c r="T132" i="21"/>
  <c r="Q133" i="21"/>
  <c r="R133" i="21"/>
  <c r="S133" i="21" s="1"/>
  <c r="T133" i="21"/>
  <c r="Q134" i="21"/>
  <c r="R134" i="21"/>
  <c r="S134" i="21" s="1"/>
  <c r="T134" i="21"/>
  <c r="Q135" i="21"/>
  <c r="R135" i="21"/>
  <c r="S135" i="21" s="1"/>
  <c r="T135" i="21"/>
  <c r="Q136" i="21"/>
  <c r="R136" i="21"/>
  <c r="S136" i="21" s="1"/>
  <c r="T136" i="21"/>
  <c r="Q137" i="21"/>
  <c r="R137" i="21"/>
  <c r="S137" i="21" s="1"/>
  <c r="T137" i="21"/>
  <c r="Q138" i="21"/>
  <c r="R138" i="21"/>
  <c r="S138" i="21" s="1"/>
  <c r="T138" i="21"/>
  <c r="Q139" i="21"/>
  <c r="R139" i="21"/>
  <c r="S139" i="21" s="1"/>
  <c r="T139" i="21"/>
  <c r="Q140" i="21"/>
  <c r="R140" i="21"/>
  <c r="S140" i="21" s="1"/>
  <c r="T140" i="21"/>
  <c r="Q141" i="21"/>
  <c r="R141" i="21"/>
  <c r="S141" i="21" s="1"/>
  <c r="T141" i="21"/>
  <c r="Q142" i="21"/>
  <c r="R142" i="21"/>
  <c r="S142" i="21" s="1"/>
  <c r="T142" i="21"/>
  <c r="Q143" i="21"/>
  <c r="R143" i="21"/>
  <c r="S143" i="21" s="1"/>
  <c r="T143" i="21"/>
  <c r="Q144" i="21"/>
  <c r="R144" i="21"/>
  <c r="S144" i="21" s="1"/>
  <c r="T144" i="21"/>
  <c r="Q145" i="21"/>
  <c r="R145" i="21"/>
  <c r="S145" i="21" s="1"/>
  <c r="T145" i="21"/>
  <c r="Q146" i="21"/>
  <c r="R146" i="21"/>
  <c r="S146" i="21" s="1"/>
  <c r="T146" i="21"/>
  <c r="Q147" i="21"/>
  <c r="R147" i="21"/>
  <c r="S147" i="21" s="1"/>
  <c r="T147" i="21"/>
  <c r="Q148" i="21"/>
  <c r="R148" i="21"/>
  <c r="S148" i="21" s="1"/>
  <c r="T148" i="21"/>
  <c r="Q149" i="21"/>
  <c r="R149" i="21"/>
  <c r="S149" i="21" s="1"/>
  <c r="T149" i="21"/>
  <c r="Q150" i="21"/>
  <c r="R150" i="21"/>
  <c r="S150" i="21" s="1"/>
  <c r="T150" i="21"/>
  <c r="Q151" i="21"/>
  <c r="R151" i="21"/>
  <c r="S151" i="21" s="1"/>
  <c r="T151" i="21"/>
  <c r="Q152" i="21"/>
  <c r="R152" i="21"/>
  <c r="S152" i="21" s="1"/>
  <c r="T152" i="21"/>
  <c r="Q153" i="21"/>
  <c r="R153" i="21"/>
  <c r="S153" i="21" s="1"/>
  <c r="T153" i="21"/>
  <c r="Q154" i="21"/>
  <c r="R154" i="21"/>
  <c r="S154" i="21" s="1"/>
  <c r="T154" i="21"/>
  <c r="Q155" i="21"/>
  <c r="R155" i="21"/>
  <c r="S155" i="21" s="1"/>
  <c r="T155" i="21"/>
  <c r="Q156" i="21"/>
  <c r="R156" i="21"/>
  <c r="S156" i="21" s="1"/>
  <c r="T156" i="21"/>
  <c r="Q157" i="21"/>
  <c r="R157" i="21"/>
  <c r="S157" i="21" s="1"/>
  <c r="T157" i="21"/>
  <c r="Q158" i="21"/>
  <c r="R158" i="21"/>
  <c r="S158" i="21" s="1"/>
  <c r="T158" i="21"/>
  <c r="Q159" i="21"/>
  <c r="R159" i="21"/>
  <c r="S159" i="21" s="1"/>
  <c r="T159" i="21"/>
  <c r="Q160" i="21"/>
  <c r="R160" i="21"/>
  <c r="S160" i="21" s="1"/>
  <c r="T160" i="21"/>
  <c r="Q161" i="21"/>
  <c r="R161" i="21"/>
  <c r="S161" i="21" s="1"/>
  <c r="T161" i="21"/>
  <c r="Q162" i="21"/>
  <c r="R162" i="21"/>
  <c r="S162" i="21" s="1"/>
  <c r="T162" i="21"/>
  <c r="Q163" i="21"/>
  <c r="R163" i="21"/>
  <c r="S163" i="21" s="1"/>
  <c r="T163" i="21"/>
  <c r="Q164" i="21"/>
  <c r="R164" i="21"/>
  <c r="S164" i="21" s="1"/>
  <c r="T164" i="21"/>
  <c r="Q165" i="21"/>
  <c r="R165" i="21"/>
  <c r="S165" i="21" s="1"/>
  <c r="T165" i="21"/>
  <c r="Q166" i="21"/>
  <c r="R166" i="21"/>
  <c r="S166" i="21" s="1"/>
  <c r="T166" i="21"/>
  <c r="Q167" i="21"/>
  <c r="R167" i="21"/>
  <c r="S167" i="21" s="1"/>
  <c r="T167" i="21"/>
  <c r="Q168" i="21"/>
  <c r="R168" i="21"/>
  <c r="S168" i="21" s="1"/>
  <c r="T168" i="21"/>
  <c r="Q169" i="21"/>
  <c r="R169" i="21"/>
  <c r="S169" i="21" s="1"/>
  <c r="T169" i="21"/>
  <c r="Q170" i="21"/>
  <c r="R170" i="21"/>
  <c r="S170" i="21" s="1"/>
  <c r="T170" i="21"/>
  <c r="Q171" i="21"/>
  <c r="R171" i="21"/>
  <c r="S171" i="21" s="1"/>
  <c r="T171" i="21"/>
  <c r="Q172" i="21"/>
  <c r="R172" i="21"/>
  <c r="S172" i="21" s="1"/>
  <c r="T172" i="21"/>
  <c r="Q173" i="21"/>
  <c r="R173" i="21"/>
  <c r="S173" i="21" s="1"/>
  <c r="T173" i="21"/>
  <c r="Q174" i="21"/>
  <c r="R174" i="21"/>
  <c r="S174" i="21" s="1"/>
  <c r="T174" i="21"/>
  <c r="Q175" i="21"/>
  <c r="R175" i="21"/>
  <c r="S175" i="21" s="1"/>
  <c r="T175" i="21"/>
  <c r="Q176" i="21"/>
  <c r="R176" i="21"/>
  <c r="S176" i="21" s="1"/>
  <c r="T176" i="21"/>
  <c r="Q177" i="21"/>
  <c r="R177" i="21"/>
  <c r="S177" i="21" s="1"/>
  <c r="T177" i="21"/>
  <c r="Q178" i="21"/>
  <c r="R178" i="21"/>
  <c r="S178" i="21" s="1"/>
  <c r="T178" i="21"/>
  <c r="Q179" i="21"/>
  <c r="R179" i="21"/>
  <c r="S179" i="21" s="1"/>
  <c r="T179" i="21"/>
  <c r="Q180" i="21"/>
  <c r="R180" i="21"/>
  <c r="S180" i="21" s="1"/>
  <c r="T180" i="21"/>
  <c r="Q181" i="21"/>
  <c r="R181" i="21"/>
  <c r="S181" i="21" s="1"/>
  <c r="T181" i="21"/>
  <c r="Q182" i="21"/>
  <c r="R182" i="21"/>
  <c r="S182" i="21" s="1"/>
  <c r="T182" i="21"/>
  <c r="Q183" i="21"/>
  <c r="R183" i="21"/>
  <c r="S183" i="21" s="1"/>
  <c r="T183" i="21"/>
  <c r="Q184" i="21"/>
  <c r="R184" i="21"/>
  <c r="S184" i="21" s="1"/>
  <c r="T184" i="21"/>
  <c r="Q185" i="21"/>
  <c r="R185" i="21"/>
  <c r="S185" i="21" s="1"/>
  <c r="T185" i="21"/>
  <c r="Q186" i="21"/>
  <c r="R186" i="21"/>
  <c r="S186" i="21" s="1"/>
  <c r="T186" i="21"/>
  <c r="Q187" i="21"/>
  <c r="R187" i="21"/>
  <c r="S187" i="21" s="1"/>
  <c r="T187" i="21"/>
  <c r="Q188" i="21"/>
  <c r="R188" i="21"/>
  <c r="S188" i="21" s="1"/>
  <c r="T188" i="21"/>
  <c r="Q189" i="21"/>
  <c r="R189" i="21"/>
  <c r="S189" i="21" s="1"/>
  <c r="T189" i="21"/>
  <c r="Q190" i="21"/>
  <c r="R190" i="21"/>
  <c r="S190" i="21" s="1"/>
  <c r="T190" i="21"/>
  <c r="Q191" i="21"/>
  <c r="R191" i="21"/>
  <c r="S191" i="21" s="1"/>
  <c r="T191" i="21"/>
  <c r="Q192" i="21"/>
  <c r="R192" i="21"/>
  <c r="S192" i="21" s="1"/>
  <c r="T192" i="21"/>
  <c r="Q193" i="21"/>
  <c r="R193" i="21"/>
  <c r="S193" i="21" s="1"/>
  <c r="T193" i="21"/>
  <c r="Q194" i="21"/>
  <c r="R194" i="21"/>
  <c r="S194" i="21" s="1"/>
  <c r="T194" i="21"/>
  <c r="Q195" i="21"/>
  <c r="R195" i="21"/>
  <c r="S195" i="21" s="1"/>
  <c r="T195" i="21"/>
  <c r="Q196" i="21"/>
  <c r="R196" i="21"/>
  <c r="S196" i="21" s="1"/>
  <c r="T196" i="21"/>
  <c r="Q197" i="21"/>
  <c r="R197" i="21"/>
  <c r="S197" i="21" s="1"/>
  <c r="T197" i="21"/>
  <c r="Q198" i="21"/>
  <c r="R198" i="21"/>
  <c r="S198" i="21" s="1"/>
  <c r="T198" i="21"/>
  <c r="Q199" i="21"/>
  <c r="R199" i="21"/>
  <c r="S199" i="21" s="1"/>
  <c r="T199" i="21"/>
  <c r="Q200" i="21"/>
  <c r="R200" i="21"/>
  <c r="S200" i="21" s="1"/>
  <c r="T200" i="21"/>
  <c r="Q201" i="21"/>
  <c r="R201" i="21"/>
  <c r="S201" i="21" s="1"/>
  <c r="T201" i="21"/>
  <c r="Q202" i="21"/>
  <c r="R202" i="21"/>
  <c r="S202" i="21" s="1"/>
  <c r="T202" i="21"/>
  <c r="Q203" i="21"/>
  <c r="R203" i="21"/>
  <c r="S203" i="21" s="1"/>
  <c r="T203" i="21"/>
  <c r="Q204" i="21"/>
  <c r="R204" i="21"/>
  <c r="S204" i="21" s="1"/>
  <c r="T204" i="21"/>
  <c r="Q205" i="21"/>
  <c r="R205" i="21"/>
  <c r="S205" i="21" s="1"/>
  <c r="T205" i="21"/>
  <c r="Q206" i="21"/>
  <c r="R206" i="21"/>
  <c r="S206" i="21" s="1"/>
  <c r="T206" i="21"/>
  <c r="Q207" i="21"/>
  <c r="R207" i="21"/>
  <c r="S207" i="21" s="1"/>
  <c r="T207" i="21"/>
  <c r="Q208" i="21"/>
  <c r="R208" i="21"/>
  <c r="S208" i="21" s="1"/>
  <c r="T208" i="21"/>
  <c r="Q209" i="21"/>
  <c r="R209" i="21"/>
  <c r="S209" i="21" s="1"/>
  <c r="T209" i="21"/>
  <c r="Q210" i="21"/>
  <c r="R210" i="21"/>
  <c r="S210" i="21" s="1"/>
  <c r="T210" i="21"/>
  <c r="Q211" i="21"/>
  <c r="R211" i="21"/>
  <c r="S211" i="21" s="1"/>
  <c r="T211" i="21"/>
  <c r="Q212" i="21"/>
  <c r="R212" i="21"/>
  <c r="S212" i="21" s="1"/>
  <c r="T212" i="21"/>
  <c r="Q213" i="21"/>
  <c r="R213" i="21"/>
  <c r="S213" i="21" s="1"/>
  <c r="T213" i="21"/>
  <c r="Q214" i="21"/>
  <c r="R214" i="21"/>
  <c r="S214" i="21" s="1"/>
  <c r="T214" i="21"/>
  <c r="Q215" i="21"/>
  <c r="R215" i="21"/>
  <c r="S215" i="21" s="1"/>
  <c r="T215" i="21"/>
  <c r="Q216" i="21"/>
  <c r="R216" i="21"/>
  <c r="S216" i="21" s="1"/>
  <c r="T216" i="21"/>
  <c r="Q217" i="21"/>
  <c r="R217" i="21"/>
  <c r="S217" i="21" s="1"/>
  <c r="T217" i="21"/>
  <c r="Q218" i="21"/>
  <c r="R218" i="21"/>
  <c r="S218" i="21" s="1"/>
  <c r="T218" i="21"/>
  <c r="Q219" i="21"/>
  <c r="R219" i="21"/>
  <c r="S219" i="21" s="1"/>
  <c r="T219" i="21"/>
  <c r="Q220" i="21"/>
  <c r="R220" i="21"/>
  <c r="S220" i="21" s="1"/>
  <c r="T220" i="21"/>
  <c r="Q221" i="21"/>
  <c r="R221" i="21"/>
  <c r="S221" i="21" s="1"/>
  <c r="T221" i="21"/>
  <c r="Q222" i="21"/>
  <c r="R222" i="21"/>
  <c r="S222" i="21" s="1"/>
  <c r="T222" i="21"/>
  <c r="Q223" i="21"/>
  <c r="R223" i="21"/>
  <c r="S223" i="21" s="1"/>
  <c r="T223" i="21"/>
  <c r="Q224" i="21"/>
  <c r="R224" i="21"/>
  <c r="S224" i="21" s="1"/>
  <c r="T224" i="21"/>
  <c r="Q225" i="21"/>
  <c r="R225" i="21"/>
  <c r="S225" i="21" s="1"/>
  <c r="T225" i="21"/>
  <c r="Q226" i="21"/>
  <c r="R226" i="21"/>
  <c r="S226" i="21" s="1"/>
  <c r="T226" i="21"/>
  <c r="Q227" i="21"/>
  <c r="R227" i="21"/>
  <c r="S227" i="21" s="1"/>
  <c r="T227" i="21"/>
  <c r="Q228" i="21"/>
  <c r="R228" i="21"/>
  <c r="S228" i="21" s="1"/>
  <c r="T228" i="21"/>
  <c r="Q229" i="21"/>
  <c r="R229" i="21"/>
  <c r="S229" i="21" s="1"/>
  <c r="T229" i="21"/>
  <c r="Q230" i="21"/>
  <c r="R230" i="21"/>
  <c r="S230" i="21" s="1"/>
  <c r="T230" i="21"/>
  <c r="Q231" i="21"/>
  <c r="R231" i="21"/>
  <c r="S231" i="21" s="1"/>
  <c r="T231" i="21"/>
  <c r="Q232" i="21"/>
  <c r="R232" i="21"/>
  <c r="S232" i="21" s="1"/>
  <c r="T232" i="21"/>
  <c r="Q233" i="21"/>
  <c r="R233" i="21"/>
  <c r="S233" i="21" s="1"/>
  <c r="T233" i="21"/>
  <c r="Q234" i="21"/>
  <c r="R234" i="21"/>
  <c r="S234" i="21" s="1"/>
  <c r="T234" i="21"/>
  <c r="Q235" i="21"/>
  <c r="R235" i="21"/>
  <c r="S235" i="21" s="1"/>
  <c r="T235" i="21"/>
  <c r="Q236" i="21"/>
  <c r="R236" i="21"/>
  <c r="S236" i="21" s="1"/>
  <c r="T236" i="21"/>
  <c r="Q237" i="21"/>
  <c r="R237" i="21"/>
  <c r="S237" i="21" s="1"/>
  <c r="T237" i="21"/>
  <c r="Q238" i="21"/>
  <c r="R238" i="21"/>
  <c r="S238" i="21" s="1"/>
  <c r="T238" i="21"/>
  <c r="Q239" i="21"/>
  <c r="R239" i="21"/>
  <c r="S239" i="21" s="1"/>
  <c r="T239" i="21"/>
  <c r="Q240" i="21"/>
  <c r="R240" i="21"/>
  <c r="S240" i="21" s="1"/>
  <c r="T240" i="21"/>
  <c r="Q241" i="21"/>
  <c r="R241" i="21"/>
  <c r="S241" i="21" s="1"/>
  <c r="T241" i="21"/>
  <c r="Q242" i="21"/>
  <c r="R242" i="21"/>
  <c r="S242" i="21" s="1"/>
  <c r="T242" i="21"/>
  <c r="Q243" i="21"/>
  <c r="R243" i="21"/>
  <c r="S243" i="21" s="1"/>
  <c r="T243" i="21"/>
  <c r="Q244" i="21"/>
  <c r="R244" i="21"/>
  <c r="S244" i="21" s="1"/>
  <c r="T244" i="21"/>
  <c r="Q245" i="21"/>
  <c r="R245" i="21"/>
  <c r="S245" i="21" s="1"/>
  <c r="T245" i="21"/>
  <c r="Q246" i="21"/>
  <c r="R246" i="21"/>
  <c r="S246" i="21" s="1"/>
  <c r="T246" i="21"/>
  <c r="Q247" i="21"/>
  <c r="R247" i="21"/>
  <c r="S247" i="21" s="1"/>
  <c r="T247" i="21"/>
  <c r="Q248" i="21"/>
  <c r="R248" i="21"/>
  <c r="S248" i="21" s="1"/>
  <c r="T248" i="21"/>
  <c r="Q249" i="21"/>
  <c r="R249" i="21"/>
  <c r="S249" i="21" s="1"/>
  <c r="T249" i="21"/>
  <c r="Q250" i="21"/>
  <c r="R250" i="21"/>
  <c r="S250" i="21" s="1"/>
  <c r="T250" i="21"/>
  <c r="Q251" i="21"/>
  <c r="R251" i="21"/>
  <c r="S251" i="21" s="1"/>
  <c r="T251" i="21"/>
  <c r="Q252" i="21"/>
  <c r="R252" i="21"/>
  <c r="S252" i="21" s="1"/>
  <c r="T252" i="21"/>
  <c r="Q253" i="21"/>
  <c r="R253" i="21"/>
  <c r="S253" i="21" s="1"/>
  <c r="T253" i="21"/>
  <c r="Q254" i="21"/>
  <c r="R254" i="21"/>
  <c r="S254" i="21" s="1"/>
  <c r="T254" i="21"/>
  <c r="Q255" i="21"/>
  <c r="R255" i="21"/>
  <c r="S255" i="21" s="1"/>
  <c r="T255" i="21"/>
  <c r="Q256" i="21"/>
  <c r="R256" i="21"/>
  <c r="S256" i="21" s="1"/>
  <c r="T256" i="21"/>
  <c r="Q257" i="21"/>
  <c r="R257" i="21"/>
  <c r="S257" i="21" s="1"/>
  <c r="T257" i="21"/>
  <c r="Q258" i="21"/>
  <c r="R258" i="21"/>
  <c r="S258" i="21" s="1"/>
  <c r="T258" i="21"/>
  <c r="Q259" i="21"/>
  <c r="R259" i="21"/>
  <c r="S259" i="21" s="1"/>
  <c r="T259" i="21"/>
  <c r="Q260" i="21"/>
  <c r="R260" i="21"/>
  <c r="S260" i="21" s="1"/>
  <c r="T260" i="21"/>
  <c r="Q261" i="21"/>
  <c r="R261" i="21"/>
  <c r="S261" i="21" s="1"/>
  <c r="T261" i="21"/>
  <c r="Q262" i="21"/>
  <c r="R262" i="21"/>
  <c r="S262" i="21" s="1"/>
  <c r="T262" i="21"/>
  <c r="Q263" i="21"/>
  <c r="R263" i="21"/>
  <c r="S263" i="21" s="1"/>
  <c r="T263" i="21"/>
  <c r="Q264" i="21"/>
  <c r="R264" i="21"/>
  <c r="S264" i="21" s="1"/>
  <c r="T264" i="21"/>
  <c r="Q265" i="21"/>
  <c r="R265" i="21"/>
  <c r="S265" i="21" s="1"/>
  <c r="T265" i="21"/>
  <c r="Q266" i="21"/>
  <c r="R266" i="21"/>
  <c r="S266" i="21" s="1"/>
  <c r="T266" i="21"/>
  <c r="Q267" i="21"/>
  <c r="R267" i="21"/>
  <c r="S267" i="21" s="1"/>
  <c r="T267" i="21"/>
  <c r="Q268" i="21"/>
  <c r="R268" i="21"/>
  <c r="S268" i="21" s="1"/>
  <c r="T268" i="21"/>
  <c r="Q269" i="21"/>
  <c r="R269" i="21"/>
  <c r="S269" i="21" s="1"/>
  <c r="T269" i="21"/>
  <c r="Q270" i="21"/>
  <c r="R270" i="21"/>
  <c r="S270" i="21" s="1"/>
  <c r="T270" i="21"/>
  <c r="Q271" i="21"/>
  <c r="R271" i="21"/>
  <c r="S271" i="21" s="1"/>
  <c r="T271" i="21"/>
  <c r="Q272" i="21"/>
  <c r="R272" i="21"/>
  <c r="S272" i="21" s="1"/>
  <c r="T272" i="21"/>
  <c r="Q273" i="21"/>
  <c r="R273" i="21"/>
  <c r="S273" i="21" s="1"/>
  <c r="T273" i="21"/>
  <c r="Q274" i="21"/>
  <c r="R274" i="21"/>
  <c r="S274" i="21" s="1"/>
  <c r="T274" i="21"/>
  <c r="Q275" i="21"/>
  <c r="R275" i="21"/>
  <c r="S275" i="21" s="1"/>
  <c r="T275" i="21"/>
  <c r="Q276" i="21"/>
  <c r="R276" i="21"/>
  <c r="S276" i="21" s="1"/>
  <c r="T276" i="21"/>
  <c r="Q277" i="21"/>
  <c r="R277" i="21"/>
  <c r="S277" i="21" s="1"/>
  <c r="T277" i="21"/>
  <c r="Q278" i="21"/>
  <c r="R278" i="21"/>
  <c r="S278" i="21" s="1"/>
  <c r="T278" i="21"/>
  <c r="Q279" i="21"/>
  <c r="R279" i="21"/>
  <c r="S279" i="21" s="1"/>
  <c r="T279" i="21"/>
  <c r="Q280" i="21"/>
  <c r="R280" i="21"/>
  <c r="S280" i="21" s="1"/>
  <c r="T280" i="21"/>
  <c r="Q281" i="21"/>
  <c r="R281" i="21"/>
  <c r="S281" i="21" s="1"/>
  <c r="T281" i="21"/>
  <c r="Q282" i="21"/>
  <c r="R282" i="21"/>
  <c r="S282" i="21" s="1"/>
  <c r="T282" i="21"/>
  <c r="Q283" i="21"/>
  <c r="R283" i="21"/>
  <c r="S283" i="21" s="1"/>
  <c r="T283" i="21"/>
  <c r="Q284" i="21"/>
  <c r="R284" i="21"/>
  <c r="S284" i="21" s="1"/>
  <c r="T284" i="21"/>
  <c r="Q285" i="21"/>
  <c r="R285" i="21"/>
  <c r="S285" i="21" s="1"/>
  <c r="T285" i="21"/>
  <c r="Q286" i="21"/>
  <c r="R286" i="21"/>
  <c r="S286" i="21" s="1"/>
  <c r="T286" i="21"/>
  <c r="Q287" i="21"/>
  <c r="R287" i="21"/>
  <c r="S287" i="21" s="1"/>
  <c r="T287" i="21"/>
  <c r="Q288" i="21"/>
  <c r="R288" i="21"/>
  <c r="S288" i="21" s="1"/>
  <c r="T288" i="21"/>
  <c r="Q289" i="21"/>
  <c r="R289" i="21"/>
  <c r="S289" i="21" s="1"/>
  <c r="T289" i="21"/>
  <c r="Q290" i="21"/>
  <c r="R290" i="21"/>
  <c r="S290" i="21" s="1"/>
  <c r="T290" i="21"/>
  <c r="Q291" i="21"/>
  <c r="R291" i="21"/>
  <c r="S291" i="21" s="1"/>
  <c r="T291" i="21"/>
  <c r="Q292" i="21"/>
  <c r="R292" i="21"/>
  <c r="S292" i="21" s="1"/>
  <c r="T292" i="21"/>
  <c r="Q293" i="21"/>
  <c r="R293" i="21"/>
  <c r="S293" i="21" s="1"/>
  <c r="T293" i="21"/>
  <c r="Q294" i="21"/>
  <c r="R294" i="21"/>
  <c r="S294" i="21" s="1"/>
  <c r="T294" i="21"/>
  <c r="Q295" i="21"/>
  <c r="R295" i="21"/>
  <c r="S295" i="21" s="1"/>
  <c r="T295" i="21"/>
  <c r="Q296" i="21"/>
  <c r="R296" i="21"/>
  <c r="S296" i="21" s="1"/>
  <c r="T296" i="21"/>
  <c r="Q297" i="21"/>
  <c r="R297" i="21"/>
  <c r="S297" i="21" s="1"/>
  <c r="T297" i="21"/>
  <c r="Q298" i="21"/>
  <c r="R298" i="21"/>
  <c r="S298" i="21" s="1"/>
  <c r="T298" i="21"/>
  <c r="Q299" i="21"/>
  <c r="R299" i="21"/>
  <c r="S299" i="21" s="1"/>
  <c r="T299" i="21"/>
  <c r="Q300" i="21"/>
  <c r="R300" i="21"/>
  <c r="S300" i="21" s="1"/>
  <c r="T300" i="21"/>
  <c r="Q301" i="21"/>
  <c r="R301" i="21"/>
  <c r="S301" i="21" s="1"/>
  <c r="T301" i="21"/>
  <c r="Q302" i="21"/>
  <c r="R302" i="21"/>
  <c r="S302" i="21" s="1"/>
  <c r="T302" i="21"/>
  <c r="Q303" i="21"/>
  <c r="R303" i="21"/>
  <c r="S303" i="21" s="1"/>
  <c r="T303" i="21"/>
  <c r="Q304" i="21"/>
  <c r="R304" i="21"/>
  <c r="S304" i="21" s="1"/>
  <c r="T304" i="21"/>
  <c r="Q305" i="21"/>
  <c r="R305" i="21"/>
  <c r="S305" i="21" s="1"/>
  <c r="T305" i="21"/>
  <c r="Q306" i="21"/>
  <c r="R306" i="21"/>
  <c r="S306" i="21" s="1"/>
  <c r="T306" i="21"/>
  <c r="Q307" i="21"/>
  <c r="R307" i="21"/>
  <c r="S307" i="21" s="1"/>
  <c r="T307" i="21"/>
  <c r="Q308" i="21"/>
  <c r="R308" i="21"/>
  <c r="S308" i="21" s="1"/>
  <c r="T308" i="21"/>
  <c r="Q309" i="21"/>
  <c r="R309" i="21"/>
  <c r="S309" i="21" s="1"/>
  <c r="T309" i="21"/>
  <c r="Q310" i="21"/>
  <c r="R310" i="21"/>
  <c r="S310" i="21" s="1"/>
  <c r="T310" i="21"/>
  <c r="Q311" i="21"/>
  <c r="R311" i="21"/>
  <c r="S311" i="21" s="1"/>
  <c r="T311" i="21"/>
  <c r="Q312" i="21"/>
  <c r="R312" i="21"/>
  <c r="S312" i="21" s="1"/>
  <c r="T312" i="21"/>
  <c r="Q313" i="21"/>
  <c r="R313" i="21"/>
  <c r="S313" i="21" s="1"/>
  <c r="T313" i="21"/>
  <c r="Q314" i="21"/>
  <c r="R314" i="21"/>
  <c r="S314" i="21" s="1"/>
  <c r="T314" i="21"/>
  <c r="Q315" i="21"/>
  <c r="R315" i="21"/>
  <c r="S315" i="21" s="1"/>
  <c r="T315" i="21"/>
  <c r="Q316" i="21"/>
  <c r="R316" i="21"/>
  <c r="S316" i="21" s="1"/>
  <c r="T316" i="21"/>
  <c r="Q317" i="21"/>
  <c r="R317" i="21"/>
  <c r="S317" i="21" s="1"/>
  <c r="T317" i="21"/>
  <c r="Q318" i="21"/>
  <c r="R318" i="21"/>
  <c r="S318" i="21" s="1"/>
  <c r="T318" i="21"/>
  <c r="Q319" i="21"/>
  <c r="R319" i="21"/>
  <c r="S319" i="21" s="1"/>
  <c r="T319" i="21"/>
  <c r="Q320" i="21"/>
  <c r="R320" i="21"/>
  <c r="S320" i="21" s="1"/>
  <c r="T320" i="21"/>
  <c r="Q321" i="21"/>
  <c r="R321" i="21"/>
  <c r="S321" i="21" s="1"/>
  <c r="T321" i="21"/>
  <c r="Q322" i="21"/>
  <c r="R322" i="21"/>
  <c r="S322" i="21" s="1"/>
  <c r="T322" i="21"/>
  <c r="Q323" i="21"/>
  <c r="R323" i="21"/>
  <c r="S323" i="21" s="1"/>
  <c r="T323" i="21"/>
  <c r="Q324" i="21"/>
  <c r="R324" i="21"/>
  <c r="S324" i="21" s="1"/>
  <c r="T324" i="21"/>
  <c r="Q325" i="21"/>
  <c r="R325" i="21"/>
  <c r="S325" i="21" s="1"/>
  <c r="T325" i="21"/>
  <c r="Q326" i="21"/>
  <c r="R326" i="21"/>
  <c r="S326" i="21" s="1"/>
  <c r="T326" i="21"/>
  <c r="Q327" i="21"/>
  <c r="R327" i="21"/>
  <c r="S327" i="21" s="1"/>
  <c r="T327" i="21"/>
  <c r="Q328" i="21"/>
  <c r="R328" i="21"/>
  <c r="S328" i="21" s="1"/>
  <c r="T328" i="21"/>
  <c r="Q329" i="21"/>
  <c r="R329" i="21"/>
  <c r="S329" i="21" s="1"/>
  <c r="T329" i="21"/>
  <c r="Q330" i="21"/>
  <c r="R330" i="21"/>
  <c r="S330" i="21" s="1"/>
  <c r="T330" i="21"/>
  <c r="Q331" i="21"/>
  <c r="R331" i="21"/>
  <c r="S331" i="21" s="1"/>
  <c r="T331" i="21"/>
  <c r="Q332" i="21"/>
  <c r="R332" i="21"/>
  <c r="S332" i="21" s="1"/>
  <c r="T332" i="21"/>
  <c r="Q333" i="21"/>
  <c r="R333" i="21"/>
  <c r="S333" i="21" s="1"/>
  <c r="T333" i="21"/>
  <c r="Q334" i="21"/>
  <c r="R334" i="21"/>
  <c r="S334" i="21" s="1"/>
  <c r="T334" i="21"/>
  <c r="Q335" i="21"/>
  <c r="R335" i="21"/>
  <c r="S335" i="21" s="1"/>
  <c r="T335" i="21"/>
  <c r="Q336" i="21"/>
  <c r="R336" i="21"/>
  <c r="S336" i="21" s="1"/>
  <c r="T336" i="21"/>
  <c r="Q337" i="21"/>
  <c r="R337" i="21"/>
  <c r="S337" i="21" s="1"/>
  <c r="T337" i="21"/>
  <c r="Q338" i="21"/>
  <c r="R338" i="21"/>
  <c r="S338" i="21" s="1"/>
  <c r="T338" i="21"/>
  <c r="Q339" i="21"/>
  <c r="R339" i="21"/>
  <c r="S339" i="21" s="1"/>
  <c r="T339" i="21"/>
  <c r="Q340" i="21"/>
  <c r="R340" i="21"/>
  <c r="S340" i="21" s="1"/>
  <c r="T340" i="21"/>
  <c r="Q341" i="21"/>
  <c r="R341" i="21"/>
  <c r="S341" i="21" s="1"/>
  <c r="T341" i="21"/>
  <c r="Q342" i="21"/>
  <c r="R342" i="21"/>
  <c r="S342" i="21" s="1"/>
  <c r="T342" i="21"/>
  <c r="Q343" i="21"/>
  <c r="R343" i="21"/>
  <c r="S343" i="21" s="1"/>
  <c r="T343" i="21"/>
  <c r="Q344" i="21"/>
  <c r="R344" i="21"/>
  <c r="S344" i="21" s="1"/>
  <c r="T344" i="21"/>
  <c r="Q345" i="21"/>
  <c r="R345" i="21"/>
  <c r="S345" i="21" s="1"/>
  <c r="T345" i="21"/>
  <c r="Q346" i="21"/>
  <c r="R346" i="21"/>
  <c r="S346" i="21" s="1"/>
  <c r="T346" i="21"/>
  <c r="Q347" i="21"/>
  <c r="R347" i="21"/>
  <c r="S347" i="21" s="1"/>
  <c r="T347" i="21"/>
  <c r="Q348" i="21"/>
  <c r="R348" i="21"/>
  <c r="S348" i="21" s="1"/>
  <c r="T348" i="21"/>
  <c r="Q349" i="21"/>
  <c r="R349" i="21"/>
  <c r="S349" i="21" s="1"/>
  <c r="T349" i="21"/>
  <c r="Q350" i="21"/>
  <c r="R350" i="21"/>
  <c r="S350" i="21" s="1"/>
  <c r="T350" i="21"/>
  <c r="Q351" i="21"/>
  <c r="R351" i="21"/>
  <c r="S351" i="21" s="1"/>
  <c r="T351" i="21"/>
  <c r="Q352" i="21"/>
  <c r="R352" i="21"/>
  <c r="S352" i="21" s="1"/>
  <c r="T352" i="21"/>
  <c r="Q353" i="21"/>
  <c r="R353" i="21"/>
  <c r="S353" i="21" s="1"/>
  <c r="T353" i="21"/>
  <c r="Q354" i="21"/>
  <c r="R354" i="21"/>
  <c r="S354" i="21" s="1"/>
  <c r="T354" i="21"/>
  <c r="Q355" i="21"/>
  <c r="R355" i="21"/>
  <c r="S355" i="21" s="1"/>
  <c r="T355" i="21"/>
  <c r="Q356" i="21"/>
  <c r="R356" i="21"/>
  <c r="S356" i="21" s="1"/>
  <c r="T356" i="21"/>
  <c r="Q357" i="21"/>
  <c r="R357" i="21"/>
  <c r="S357" i="21" s="1"/>
  <c r="T357" i="21"/>
  <c r="Q358" i="21"/>
  <c r="R358" i="21"/>
  <c r="S358" i="21" s="1"/>
  <c r="T358" i="21"/>
  <c r="Q359" i="21"/>
  <c r="R359" i="21"/>
  <c r="S359" i="21" s="1"/>
  <c r="T359" i="21"/>
  <c r="Q360" i="21"/>
  <c r="R360" i="21"/>
  <c r="S360" i="21" s="1"/>
  <c r="T360" i="21"/>
  <c r="Q361" i="21"/>
  <c r="R361" i="21"/>
  <c r="S361" i="21" s="1"/>
  <c r="T361" i="21"/>
  <c r="Q362" i="21"/>
  <c r="R362" i="21"/>
  <c r="S362" i="21" s="1"/>
  <c r="T362" i="21"/>
  <c r="Q363" i="21"/>
  <c r="R363" i="21"/>
  <c r="S363" i="21" s="1"/>
  <c r="T363" i="21"/>
  <c r="Q364" i="21"/>
  <c r="R364" i="21"/>
  <c r="S364" i="21" s="1"/>
  <c r="T364" i="21"/>
  <c r="Q365" i="21"/>
  <c r="R365" i="21"/>
  <c r="S365" i="21" s="1"/>
  <c r="T365" i="21"/>
  <c r="Q366" i="21"/>
  <c r="R366" i="21"/>
  <c r="S366" i="21" s="1"/>
  <c r="T366" i="21"/>
  <c r="R2" i="21"/>
  <c r="S2" i="21" s="1"/>
  <c r="T2" i="21"/>
  <c r="Q2" i="2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12" i="21"/>
  <c r="C313" i="21"/>
  <c r="C314" i="21"/>
  <c r="C315" i="21"/>
  <c r="C316" i="21"/>
  <c r="C317" i="21"/>
  <c r="C318" i="21"/>
  <c r="C319" i="21"/>
  <c r="C320" i="21"/>
  <c r="C321" i="21"/>
  <c r="C322" i="21"/>
  <c r="C323" i="21"/>
  <c r="C324" i="21"/>
  <c r="C325" i="21"/>
  <c r="C326" i="21"/>
  <c r="C327" i="21"/>
  <c r="C328" i="21"/>
  <c r="C329" i="21"/>
  <c r="C330" i="21"/>
  <c r="C331" i="21"/>
  <c r="C332" i="21"/>
  <c r="C333" i="21"/>
  <c r="C334" i="21"/>
  <c r="C335" i="21"/>
  <c r="C336" i="21"/>
  <c r="C337" i="21"/>
  <c r="C338" i="21"/>
  <c r="C339" i="21"/>
  <c r="C340" i="21"/>
  <c r="C341" i="21"/>
  <c r="C342" i="21"/>
  <c r="C343" i="21"/>
  <c r="C344" i="21"/>
  <c r="C345" i="21"/>
  <c r="C346" i="21"/>
  <c r="C347" i="21"/>
  <c r="C348" i="21"/>
  <c r="C349" i="21"/>
  <c r="C350" i="21"/>
  <c r="C351" i="21"/>
  <c r="C352" i="21"/>
  <c r="C353" i="21"/>
  <c r="C354" i="21"/>
  <c r="C355" i="21"/>
  <c r="C356" i="21"/>
  <c r="C357" i="21"/>
  <c r="C358" i="21"/>
  <c r="C359" i="21"/>
  <c r="C360" i="21"/>
  <c r="C361" i="21"/>
  <c r="C362" i="21"/>
  <c r="C363" i="21"/>
  <c r="C364" i="21"/>
  <c r="C365" i="21"/>
  <c r="C366" i="21"/>
  <c r="C2" i="21"/>
  <c r="L20" i="17"/>
  <c r="N27" i="17"/>
  <c r="M27" i="17"/>
  <c r="H27" i="17"/>
  <c r="G27" i="17"/>
  <c r="AA110" i="25" l="1"/>
  <c r="H127" i="25"/>
  <c r="H148" i="25" s="1"/>
  <c r="AA121" i="25"/>
  <c r="AA120" i="25"/>
  <c r="AA118" i="25"/>
  <c r="AA117" i="25"/>
  <c r="AA116" i="25"/>
  <c r="AA115" i="25"/>
  <c r="AA114" i="25"/>
  <c r="AA113" i="25"/>
  <c r="AA112" i="25"/>
  <c r="AA111" i="25"/>
  <c r="AA123" i="25"/>
  <c r="AA122" i="25"/>
  <c r="AA119" i="25"/>
  <c r="AA123" i="17"/>
  <c r="H128" i="17"/>
  <c r="H149" i="17" s="1"/>
  <c r="H170" i="17" s="1"/>
  <c r="AA122" i="17"/>
  <c r="AA119" i="17"/>
  <c r="AA124" i="17"/>
  <c r="AA114" i="17"/>
  <c r="AA111" i="17"/>
  <c r="AA113" i="17"/>
  <c r="AA112" i="17"/>
  <c r="AA120" i="17"/>
  <c r="AA117" i="17"/>
  <c r="AA115" i="17"/>
  <c r="AA118" i="17"/>
  <c r="AA121" i="17"/>
  <c r="AA116" i="17"/>
  <c r="AA99" i="17"/>
  <c r="AA91" i="17"/>
  <c r="AA101" i="17"/>
  <c r="AA95" i="17"/>
  <c r="AA96" i="17"/>
  <c r="AA103" i="17"/>
  <c r="AA97" i="17"/>
  <c r="AA100" i="17"/>
  <c r="AA102" i="17"/>
  <c r="AA90" i="17"/>
  <c r="AA93" i="17"/>
  <c r="AA98" i="17"/>
  <c r="AA94" i="17"/>
  <c r="AA92" i="17"/>
  <c r="AA82" i="17"/>
  <c r="AA69" i="17"/>
  <c r="AA80" i="17"/>
  <c r="AA72" i="17"/>
  <c r="AA73" i="17"/>
  <c r="AA70" i="17"/>
  <c r="AA76" i="17"/>
  <c r="AA71" i="17"/>
  <c r="AA75" i="17"/>
  <c r="AA74" i="17"/>
  <c r="AA77" i="17"/>
  <c r="AA79" i="17"/>
  <c r="AA78" i="17"/>
  <c r="AA81" i="17"/>
  <c r="E61" i="21"/>
  <c r="E45" i="21"/>
  <c r="E13" i="21"/>
  <c r="E24" i="21"/>
  <c r="E366" i="21"/>
  <c r="E362" i="21"/>
  <c r="E358" i="21"/>
  <c r="E354" i="21"/>
  <c r="E350" i="21"/>
  <c r="E346" i="21"/>
  <c r="E342" i="21"/>
  <c r="E338" i="21"/>
  <c r="E334" i="21"/>
  <c r="E330" i="21"/>
  <c r="E326" i="21"/>
  <c r="E322" i="21"/>
  <c r="E318" i="21"/>
  <c r="E314" i="21"/>
  <c r="E310" i="21"/>
  <c r="E306" i="21"/>
  <c r="E226" i="21"/>
  <c r="E162" i="21"/>
  <c r="E66" i="21"/>
  <c r="AA61" i="17"/>
  <c r="AA55" i="17"/>
  <c r="AA48" i="17"/>
  <c r="AA51" i="17"/>
  <c r="AA53" i="17"/>
  <c r="AA56" i="17"/>
  <c r="AA54" i="17"/>
  <c r="AA60" i="17"/>
  <c r="AA59" i="17"/>
  <c r="AA58" i="17"/>
  <c r="AA57" i="17"/>
  <c r="AA52" i="17"/>
  <c r="AA49" i="17"/>
  <c r="AA50" i="17"/>
  <c r="E363" i="21"/>
  <c r="E351" i="21"/>
  <c r="E347" i="21"/>
  <c r="E339" i="21"/>
  <c r="E335" i="21"/>
  <c r="E331" i="21"/>
  <c r="E327" i="21"/>
  <c r="E319" i="21"/>
  <c r="E311" i="21"/>
  <c r="E2" i="21"/>
  <c r="E364" i="21"/>
  <c r="E360" i="21"/>
  <c r="E356" i="21"/>
  <c r="E352" i="21"/>
  <c r="E348" i="21"/>
  <c r="E344" i="21"/>
  <c r="E340" i="21"/>
  <c r="E336" i="21"/>
  <c r="E332" i="21"/>
  <c r="E328" i="21"/>
  <c r="E324" i="21"/>
  <c r="E320" i="21"/>
  <c r="E316" i="21"/>
  <c r="E312" i="21"/>
  <c r="E308" i="21"/>
  <c r="E359" i="21"/>
  <c r="E355" i="21"/>
  <c r="E343" i="21"/>
  <c r="E323" i="21"/>
  <c r="E315" i="21"/>
  <c r="E307" i="21"/>
  <c r="E365" i="21"/>
  <c r="E361" i="21"/>
  <c r="E357" i="21"/>
  <c r="E353" i="21"/>
  <c r="E349" i="21"/>
  <c r="E345" i="21"/>
  <c r="E341" i="21"/>
  <c r="E337" i="21"/>
  <c r="E333" i="21"/>
  <c r="E329" i="21"/>
  <c r="E325" i="21"/>
  <c r="E321" i="21"/>
  <c r="E317" i="21"/>
  <c r="E313" i="21"/>
  <c r="E309" i="21"/>
  <c r="E184" i="21"/>
  <c r="E124" i="21"/>
  <c r="E120" i="21"/>
  <c r="E116" i="21"/>
  <c r="E112" i="21"/>
  <c r="E108" i="21"/>
  <c r="E104" i="21"/>
  <c r="E100" i="21"/>
  <c r="E88" i="21"/>
  <c r="E305" i="21"/>
  <c r="E304" i="21"/>
  <c r="E303" i="21"/>
  <c r="E302" i="21"/>
  <c r="E301" i="21"/>
  <c r="E300" i="21"/>
  <c r="E299" i="21"/>
  <c r="E298" i="21"/>
  <c r="E297" i="21"/>
  <c r="E296" i="21"/>
  <c r="E295" i="21"/>
  <c r="E294" i="21"/>
  <c r="E293" i="21"/>
  <c r="E292" i="21"/>
  <c r="E291" i="21"/>
  <c r="E290" i="21"/>
  <c r="E289" i="21"/>
  <c r="E288" i="21"/>
  <c r="E287" i="21"/>
  <c r="E286" i="21"/>
  <c r="E285" i="21"/>
  <c r="E284" i="21"/>
  <c r="E283" i="21"/>
  <c r="E282" i="21"/>
  <c r="E281" i="21"/>
  <c r="E280" i="21"/>
  <c r="E279" i="21"/>
  <c r="E278" i="21"/>
  <c r="E277" i="21"/>
  <c r="E276" i="21"/>
  <c r="E275" i="21"/>
  <c r="E274" i="21"/>
  <c r="E273" i="21"/>
  <c r="E272" i="21"/>
  <c r="E271" i="21"/>
  <c r="E270" i="21"/>
  <c r="E269" i="21"/>
  <c r="E268" i="21"/>
  <c r="E267" i="21"/>
  <c r="E266" i="21"/>
  <c r="E265" i="21"/>
  <c r="E264" i="21"/>
  <c r="E263" i="21"/>
  <c r="E262" i="21"/>
  <c r="E261" i="21"/>
  <c r="E260" i="21"/>
  <c r="E259" i="21"/>
  <c r="E258" i="21"/>
  <c r="E257" i="21"/>
  <c r="E256" i="21"/>
  <c r="E255" i="21"/>
  <c r="E254" i="21"/>
  <c r="E253" i="21"/>
  <c r="E252" i="21"/>
  <c r="E251" i="21"/>
  <c r="E250" i="21"/>
  <c r="E249" i="21"/>
  <c r="E248" i="21"/>
  <c r="E247" i="21"/>
  <c r="E246" i="21"/>
  <c r="E245" i="21"/>
  <c r="E241" i="21"/>
  <c r="E237" i="21"/>
  <c r="E233" i="21"/>
  <c r="E229" i="21"/>
  <c r="E225" i="21"/>
  <c r="E221" i="21"/>
  <c r="E217" i="21"/>
  <c r="E213" i="21"/>
  <c r="E209" i="21"/>
  <c r="E205" i="21"/>
  <c r="E201" i="21"/>
  <c r="E197" i="21"/>
  <c r="E194" i="21"/>
  <c r="E193" i="21"/>
  <c r="E189" i="21"/>
  <c r="E185" i="21"/>
  <c r="E181" i="21"/>
  <c r="E177" i="21"/>
  <c r="E173" i="21"/>
  <c r="E169" i="21"/>
  <c r="E165" i="21"/>
  <c r="E161" i="21"/>
  <c r="E157" i="21"/>
  <c r="E109" i="21"/>
  <c r="E216" i="21"/>
  <c r="E152" i="21"/>
  <c r="E98" i="21"/>
  <c r="E96" i="21"/>
  <c r="E92" i="21"/>
  <c r="E84" i="21"/>
  <c r="E80" i="21"/>
  <c r="E77" i="21"/>
  <c r="E76" i="21"/>
  <c r="E72" i="21"/>
  <c r="E56" i="21"/>
  <c r="E50" i="21"/>
  <c r="E49" i="21"/>
  <c r="E40" i="21"/>
  <c r="E38" i="21"/>
  <c r="E34" i="21"/>
  <c r="E29" i="21"/>
  <c r="E28" i="21"/>
  <c r="E18" i="21"/>
  <c r="E17" i="21"/>
  <c r="E8" i="21"/>
  <c r="E6" i="21"/>
  <c r="E153" i="21"/>
  <c r="E149" i="21"/>
  <c r="E145" i="21"/>
  <c r="E141" i="21"/>
  <c r="E137" i="21"/>
  <c r="E133" i="21"/>
  <c r="E130" i="21"/>
  <c r="E129" i="21"/>
  <c r="E125" i="21"/>
  <c r="E121" i="21"/>
  <c r="E93" i="21"/>
  <c r="AF27" i="17"/>
  <c r="E243" i="21"/>
  <c r="E239" i="21"/>
  <c r="E235" i="21"/>
  <c r="E231" i="21"/>
  <c r="E227" i="21"/>
  <c r="E223" i="21"/>
  <c r="E219" i="21"/>
  <c r="E215" i="21"/>
  <c r="E211" i="21"/>
  <c r="E207" i="21"/>
  <c r="E203" i="21"/>
  <c r="E199" i="21"/>
  <c r="E195" i="21"/>
  <c r="E191" i="21"/>
  <c r="E187" i="21"/>
  <c r="E183" i="21"/>
  <c r="E179" i="21"/>
  <c r="E175" i="21"/>
  <c r="E171" i="21"/>
  <c r="E167" i="21"/>
  <c r="E163" i="21"/>
  <c r="E159" i="21"/>
  <c r="E155" i="21"/>
  <c r="E151" i="21"/>
  <c r="E147" i="21"/>
  <c r="E143" i="21"/>
  <c r="E139" i="21"/>
  <c r="E135" i="21"/>
  <c r="E131" i="21"/>
  <c r="E127" i="21"/>
  <c r="E244" i="21"/>
  <c r="E240" i="21"/>
  <c r="E236" i="21"/>
  <c r="E232" i="21"/>
  <c r="E228" i="21"/>
  <c r="E224" i="21"/>
  <c r="E220" i="21"/>
  <c r="E212" i="21"/>
  <c r="E208" i="21"/>
  <c r="E204" i="21"/>
  <c r="E200" i="21"/>
  <c r="E196" i="21"/>
  <c r="E192" i="21"/>
  <c r="E188" i="21"/>
  <c r="E180" i="21"/>
  <c r="E176" i="21"/>
  <c r="E172" i="21"/>
  <c r="E168" i="21"/>
  <c r="E164" i="21"/>
  <c r="E160" i="21"/>
  <c r="E156" i="21"/>
  <c r="E148" i="21"/>
  <c r="E144" i="21"/>
  <c r="E140" i="21"/>
  <c r="E136" i="21"/>
  <c r="E132" i="21"/>
  <c r="E128" i="21"/>
  <c r="E242" i="21"/>
  <c r="E238" i="21"/>
  <c r="E234" i="21"/>
  <c r="E230" i="21"/>
  <c r="E222" i="21"/>
  <c r="E218" i="21"/>
  <c r="E214" i="21"/>
  <c r="E210" i="21"/>
  <c r="E206" i="21"/>
  <c r="E202" i="21"/>
  <c r="E198" i="21"/>
  <c r="E190" i="21"/>
  <c r="E186" i="21"/>
  <c r="E182" i="21"/>
  <c r="E178" i="21"/>
  <c r="E174" i="21"/>
  <c r="E170" i="21"/>
  <c r="E166" i="21"/>
  <c r="E158" i="21"/>
  <c r="E154" i="21"/>
  <c r="E150" i="21"/>
  <c r="E146" i="21"/>
  <c r="E142" i="21"/>
  <c r="E138" i="21"/>
  <c r="E134" i="21"/>
  <c r="E126" i="21"/>
  <c r="E122" i="21"/>
  <c r="E118" i="21"/>
  <c r="E114" i="21"/>
  <c r="E110" i="21"/>
  <c r="E106" i="21"/>
  <c r="E102" i="21"/>
  <c r="E94" i="21"/>
  <c r="E90" i="21"/>
  <c r="E86" i="21"/>
  <c r="E82" i="21"/>
  <c r="E78" i="21"/>
  <c r="E123" i="21"/>
  <c r="E119" i="21"/>
  <c r="E115" i="21"/>
  <c r="E111" i="21"/>
  <c r="E107" i="21"/>
  <c r="E103" i="21"/>
  <c r="E99" i="21"/>
  <c r="E95" i="21"/>
  <c r="E91" i="21"/>
  <c r="E87" i="21"/>
  <c r="E83" i="21"/>
  <c r="E79" i="21"/>
  <c r="E75" i="21"/>
  <c r="E74" i="21"/>
  <c r="E73" i="21"/>
  <c r="E71" i="21"/>
  <c r="E70" i="21"/>
  <c r="E69" i="21"/>
  <c r="E68" i="21"/>
  <c r="E67" i="21"/>
  <c r="E65" i="21"/>
  <c r="E64" i="21"/>
  <c r="E63" i="21"/>
  <c r="E62" i="21"/>
  <c r="E60" i="21"/>
  <c r="E58" i="21"/>
  <c r="E57" i="21"/>
  <c r="E53" i="21"/>
  <c r="E52" i="21"/>
  <c r="E48" i="21"/>
  <c r="E46" i="21"/>
  <c r="E42" i="21"/>
  <c r="E41" i="21"/>
  <c r="E117" i="21"/>
  <c r="E113" i="21"/>
  <c r="E105" i="21"/>
  <c r="E101" i="21"/>
  <c r="E97" i="21"/>
  <c r="E89" i="21"/>
  <c r="E85" i="21"/>
  <c r="E81" i="21"/>
  <c r="E54" i="21"/>
  <c r="E44" i="21"/>
  <c r="E33" i="21"/>
  <c r="E22" i="21"/>
  <c r="E12" i="21"/>
  <c r="E37" i="21"/>
  <c r="E36" i="21"/>
  <c r="E32" i="21"/>
  <c r="E30" i="21"/>
  <c r="E26" i="21"/>
  <c r="E25" i="21"/>
  <c r="E21" i="21"/>
  <c r="E20" i="21"/>
  <c r="E16" i="21"/>
  <c r="E14" i="21"/>
  <c r="E10" i="21"/>
  <c r="E9" i="21"/>
  <c r="E5" i="21"/>
  <c r="E4" i="21"/>
  <c r="E59" i="21"/>
  <c r="E55" i="21"/>
  <c r="E51" i="21"/>
  <c r="E47" i="21"/>
  <c r="E43" i="21"/>
  <c r="E39" i="21"/>
  <c r="E35" i="21"/>
  <c r="E31" i="21"/>
  <c r="E27" i="21"/>
  <c r="E23" i="21"/>
  <c r="E19" i="21"/>
  <c r="E15" i="21"/>
  <c r="E11" i="21"/>
  <c r="E7" i="21"/>
  <c r="E3" i="21"/>
  <c r="AA164" i="25" l="1"/>
  <c r="AA152" i="25"/>
  <c r="AA156" i="25"/>
  <c r="AA160" i="25"/>
  <c r="AA163" i="25"/>
  <c r="AA153" i="25"/>
  <c r="AA165" i="25"/>
  <c r="AA157" i="25"/>
  <c r="AA162" i="25"/>
  <c r="AA154" i="25"/>
  <c r="AA155" i="25"/>
  <c r="AA159" i="25"/>
  <c r="AA161" i="25"/>
  <c r="AA158" i="25"/>
  <c r="AA183" i="17"/>
  <c r="AA176" i="17"/>
  <c r="AA186" i="17"/>
  <c r="AA180" i="17"/>
  <c r="AA179" i="17"/>
  <c r="AA187" i="17"/>
  <c r="AA177" i="17"/>
  <c r="AA181" i="17"/>
  <c r="AA174" i="17"/>
  <c r="AA175" i="17"/>
  <c r="AA184" i="17"/>
  <c r="AA178" i="17"/>
  <c r="AA182" i="17"/>
  <c r="AA185" i="17"/>
  <c r="AA144" i="25"/>
  <c r="AA141" i="25"/>
  <c r="AA139" i="25"/>
  <c r="AA135" i="25"/>
  <c r="AA134" i="25"/>
  <c r="AA133" i="25"/>
  <c r="AA132" i="25"/>
  <c r="AA138" i="25"/>
  <c r="AA142" i="25"/>
  <c r="AA136" i="25"/>
  <c r="AA137" i="25"/>
  <c r="AA131" i="25"/>
  <c r="AA140" i="25"/>
  <c r="AA143" i="25"/>
  <c r="AA159" i="17"/>
  <c r="AA163" i="17"/>
  <c r="AA166" i="17"/>
  <c r="AA160" i="17"/>
  <c r="AA155" i="17"/>
  <c r="AA161" i="17"/>
  <c r="AA165" i="17"/>
  <c r="AA153" i="17"/>
  <c r="AA156" i="17"/>
  <c r="AA162" i="17"/>
  <c r="AA157" i="17"/>
  <c r="AA164" i="17"/>
  <c r="AA158" i="17"/>
  <c r="AA154" i="17"/>
  <c r="AA144" i="17"/>
  <c r="AA138" i="17"/>
  <c r="AA135" i="17"/>
  <c r="AA136" i="17"/>
  <c r="AA142" i="17"/>
  <c r="AA139" i="17"/>
  <c r="AA133" i="17"/>
  <c r="AA141" i="17"/>
  <c r="AA140" i="17"/>
  <c r="AA143" i="17"/>
  <c r="AA134" i="17"/>
  <c r="AA137" i="17"/>
  <c r="AA145" i="17"/>
  <c r="AA132" i="17"/>
  <c r="F15" i="17"/>
  <c r="H15" i="17" s="1"/>
  <c r="B39" i="17"/>
  <c r="B60" i="17" s="1"/>
  <c r="B81" i="17" s="1"/>
  <c r="B102" i="17" s="1"/>
  <c r="B123" i="17" s="1"/>
  <c r="B144" i="17" s="1"/>
  <c r="B165" i="17" s="1"/>
  <c r="B186" i="17" s="1"/>
  <c r="L42" i="17"/>
  <c r="D41" i="17"/>
  <c r="E42" i="17" s="1"/>
  <c r="L41" i="17"/>
  <c r="K41" i="17"/>
  <c r="J41" i="17"/>
  <c r="I41" i="17"/>
  <c r="R41" i="17"/>
  <c r="Q41" i="17"/>
  <c r="P41" i="17"/>
  <c r="F40" i="17"/>
  <c r="H40" i="17" s="1"/>
  <c r="E40" i="17"/>
  <c r="H39" i="17"/>
  <c r="H38" i="17"/>
  <c r="AF37" i="17"/>
  <c r="H36" i="17"/>
  <c r="H35" i="17"/>
  <c r="H34" i="17"/>
  <c r="H33" i="17"/>
  <c r="H32" i="17"/>
  <c r="H31" i="17"/>
  <c r="H30" i="17"/>
  <c r="D29" i="17"/>
  <c r="D28" i="17"/>
  <c r="L21" i="17"/>
  <c r="D20" i="17"/>
  <c r="A21" i="17" s="1"/>
  <c r="K20" i="17"/>
  <c r="J20" i="17"/>
  <c r="I20" i="17"/>
  <c r="R20" i="17"/>
  <c r="Q20" i="17"/>
  <c r="F19" i="17"/>
  <c r="H19" i="17" s="1"/>
  <c r="E19" i="17"/>
  <c r="F18" i="17"/>
  <c r="H18" i="17" s="1"/>
  <c r="E18" i="17"/>
  <c r="F17" i="17"/>
  <c r="H17" i="17" s="1"/>
  <c r="E17" i="17"/>
  <c r="F16" i="17"/>
  <c r="E16" i="17"/>
  <c r="AF16" i="17" s="1"/>
  <c r="E15" i="17"/>
  <c r="H14" i="17"/>
  <c r="G14" i="17"/>
  <c r="H13" i="17"/>
  <c r="G13" i="17"/>
  <c r="F12" i="17"/>
  <c r="H12" i="17" s="1"/>
  <c r="E12" i="17"/>
  <c r="F11" i="17"/>
  <c r="H11" i="17" s="1"/>
  <c r="E11" i="17"/>
  <c r="F10" i="17"/>
  <c r="H10" i="17" s="1"/>
  <c r="E10" i="17"/>
  <c r="F9" i="17"/>
  <c r="H9" i="17" s="1"/>
  <c r="E9" i="17"/>
  <c r="D8" i="17"/>
  <c r="F8" i="17"/>
  <c r="E8" i="17"/>
  <c r="D7" i="17"/>
  <c r="E7" i="17"/>
  <c r="F7" i="17" l="1"/>
  <c r="H7" i="17" s="1"/>
  <c r="Q21" i="17"/>
  <c r="R22" i="17" s="1"/>
  <c r="G17" i="17"/>
  <c r="AF17" i="17"/>
  <c r="G19" i="17"/>
  <c r="AF19" i="17"/>
  <c r="M20" i="17"/>
  <c r="G6" i="17"/>
  <c r="AF6" i="17"/>
  <c r="G9" i="17"/>
  <c r="AF9" i="17"/>
  <c r="G11" i="17"/>
  <c r="AF11" i="17"/>
  <c r="G15" i="17"/>
  <c r="AF15" i="17"/>
  <c r="G28" i="17"/>
  <c r="AF28" i="17"/>
  <c r="G31" i="17"/>
  <c r="AF31" i="17"/>
  <c r="G33" i="17"/>
  <c r="AF33" i="17"/>
  <c r="G35" i="17"/>
  <c r="AF35" i="17"/>
  <c r="G39" i="17"/>
  <c r="AF39" i="17"/>
  <c r="G8" i="17"/>
  <c r="AF8" i="17"/>
  <c r="G18" i="17"/>
  <c r="AF18" i="17"/>
  <c r="G7" i="17"/>
  <c r="AF7" i="17"/>
  <c r="G10" i="17"/>
  <c r="AF10" i="17"/>
  <c r="G12" i="17"/>
  <c r="AF12" i="17"/>
  <c r="G30" i="17"/>
  <c r="AF30" i="17"/>
  <c r="G32" i="17"/>
  <c r="AF32" i="17"/>
  <c r="G34" i="17"/>
  <c r="AF34" i="17"/>
  <c r="G36" i="17"/>
  <c r="AF36" i="17"/>
  <c r="G38" i="17"/>
  <c r="AF38" i="17"/>
  <c r="G40" i="17"/>
  <c r="AF40" i="17"/>
  <c r="N20" i="17"/>
  <c r="B30" i="17"/>
  <c r="B51" i="17" s="1"/>
  <c r="B72" i="17" s="1"/>
  <c r="B93" i="17" s="1"/>
  <c r="B114" i="17" s="1"/>
  <c r="B135" i="17" s="1"/>
  <c r="B156" i="17" s="1"/>
  <c r="B177" i="17" s="1"/>
  <c r="B28" i="17"/>
  <c r="B49" i="17" s="1"/>
  <c r="B70" i="17" s="1"/>
  <c r="B91" i="17" s="1"/>
  <c r="B112" i="17" s="1"/>
  <c r="B133" i="17" s="1"/>
  <c r="B154" i="17" s="1"/>
  <c r="B175" i="17" s="1"/>
  <c r="O20" i="17"/>
  <c r="H8" i="17"/>
  <c r="H29" i="17"/>
  <c r="H28" i="17"/>
  <c r="B29" i="17"/>
  <c r="B50" i="17" s="1"/>
  <c r="B71" i="17" s="1"/>
  <c r="B92" i="17" s="1"/>
  <c r="B113" i="17" s="1"/>
  <c r="B134" i="17" s="1"/>
  <c r="B155" i="17" s="1"/>
  <c r="B176" i="17" s="1"/>
  <c r="B38" i="17"/>
  <c r="B59" i="17" s="1"/>
  <c r="B80" i="17" s="1"/>
  <c r="B101" i="17" s="1"/>
  <c r="B122" i="17" s="1"/>
  <c r="B143" i="17" s="1"/>
  <c r="B164" i="17" s="1"/>
  <c r="B185" i="17" s="1"/>
  <c r="H6" i="17"/>
  <c r="P20" i="17"/>
  <c r="O41" i="17"/>
  <c r="F41" i="17"/>
  <c r="E21" i="17"/>
  <c r="A42" i="17"/>
  <c r="G29" i="17" l="1"/>
  <c r="AF29" i="17"/>
  <c r="E41" i="17"/>
  <c r="F20" i="17"/>
  <c r="C21" i="17" s="1"/>
  <c r="H41" i="17"/>
  <c r="C42" i="17"/>
  <c r="E20" i="17"/>
  <c r="J21" i="17" l="1"/>
  <c r="F21" i="17"/>
  <c r="F42" i="17"/>
  <c r="H20" i="17"/>
  <c r="J42" i="17"/>
  <c r="G41" i="17"/>
  <c r="G20" i="17"/>
</calcChain>
</file>

<file path=xl/comments1.xml><?xml version="1.0" encoding="utf-8"?>
<comments xmlns="http://schemas.openxmlformats.org/spreadsheetml/2006/main">
  <authors>
    <author>zhangy20/Zhang Yi(COSCON S.E.A)</author>
  </authors>
  <commentList>
    <comment ref="O19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调空箱需保留100TEU
</t>
        </r>
      </text>
    </comment>
    <comment ref="O4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调空箱需保留60TEU
</t>
        </r>
      </text>
    </comment>
    <comment ref="O6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调空箱需保留60TEU
</t>
        </r>
      </text>
    </comment>
    <comment ref="O10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调空箱需保留60TEU
</t>
        </r>
      </text>
    </comment>
    <comment ref="O12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调空箱需保留60TEU
</t>
        </r>
      </text>
    </comment>
    <comment ref="O14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调空箱需保留60TEU
</t>
        </r>
      </text>
    </comment>
    <comment ref="O16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调空箱需保留60TEU
</t>
        </r>
      </text>
    </comment>
    <comment ref="O187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调空箱需保留60TEU
</t>
        </r>
      </text>
    </comment>
  </commentList>
</comments>
</file>

<file path=xl/comments2.xml><?xml version="1.0" encoding="utf-8"?>
<comments xmlns="http://schemas.openxmlformats.org/spreadsheetml/2006/main">
  <authors>
    <author>zhangy20/Zhang Yi(COSCON S.E.A)</author>
  </authors>
  <commentList>
    <comment ref="O18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调空箱需保留100TEU
</t>
        </r>
      </text>
    </comment>
    <comment ref="O39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调空箱需保留60TEU
</t>
        </r>
      </text>
    </comment>
    <comment ref="O6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调空箱需保留60TEU
</t>
        </r>
      </text>
    </comment>
    <comment ref="O10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调空箱需保留60TEU
</t>
        </r>
      </text>
    </comment>
    <comment ref="O12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调空箱需保留60TEU
</t>
        </r>
      </text>
    </comment>
    <comment ref="O14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调空箱需保留60TEU
</t>
        </r>
      </text>
    </comment>
    <comment ref="O16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调空箱需保留60TEU
</t>
        </r>
      </text>
    </comment>
  </commentList>
</comments>
</file>

<file path=xl/comments3.xml><?xml version="1.0" encoding="utf-8"?>
<comments xmlns="http://schemas.openxmlformats.org/spreadsheetml/2006/main">
  <authors>
    <author>zhangy20/Zhang Yi(COSCON S.E.A)</author>
  </authors>
  <commentList>
    <comment ref="O18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调空箱需保留100TEU
</t>
        </r>
      </text>
    </comment>
    <comment ref="O6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调空箱需保留60TEU
</t>
        </r>
      </text>
    </comment>
    <comment ref="O8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调空箱需保留60TEU
</t>
        </r>
      </text>
    </comment>
    <comment ref="O10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调空箱需保留60TEU
</t>
        </r>
      </text>
    </comment>
    <comment ref="O12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调空箱需保留60TEU
</t>
        </r>
      </text>
    </comment>
    <comment ref="O14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调空箱需保留60TEU
</t>
        </r>
      </text>
    </comment>
    <comment ref="O16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调空箱需保留60TEU
</t>
        </r>
      </text>
    </comment>
  </commentList>
</comments>
</file>

<file path=xl/comments4.xml><?xml version="1.0" encoding="utf-8"?>
<comments xmlns="http://schemas.openxmlformats.org/spreadsheetml/2006/main">
  <authors>
    <author>zhangy20/Zhang Yi(COSCON S.E.A)</author>
  </authors>
  <commentList>
    <comment ref="O18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调空箱需保留100TEU
</t>
        </r>
      </text>
    </comment>
    <comment ref="O39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调空箱需保留60TEU
</t>
        </r>
      </text>
    </comment>
    <comment ref="O8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调空箱需保留60TEU
</t>
        </r>
      </text>
    </comment>
    <comment ref="O10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调空箱需保留60TEU
</t>
        </r>
      </text>
    </comment>
    <comment ref="O12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调空箱需保留60TEU
</t>
        </r>
      </text>
    </comment>
  </commentList>
</comments>
</file>

<file path=xl/comments5.xml><?xml version="1.0" encoding="utf-8"?>
<comments xmlns="http://schemas.openxmlformats.org/spreadsheetml/2006/main">
  <authors>
    <author>zhangy20/Zhang Yi(COSCON S.E.A)</author>
  </authors>
  <commentList>
    <comment ref="O6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调空箱需保留60TEU
</t>
        </r>
      </text>
    </comment>
    <comment ref="O8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调空箱需保留60TEU
</t>
        </r>
      </text>
    </comment>
  </commentList>
</comments>
</file>

<file path=xl/comments6.xml><?xml version="1.0" encoding="utf-8"?>
<comments xmlns="http://schemas.openxmlformats.org/spreadsheetml/2006/main">
  <authors>
    <author>zhangy20/Zhang Yi(COSCON S.E.A)</author>
  </authors>
  <commentList>
    <comment ref="O18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调空箱需保留100TEU
</t>
        </r>
      </text>
    </comment>
    <comment ref="O39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调空箱需保留60TEU
</t>
        </r>
      </text>
    </comment>
    <comment ref="O6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调空箱需保留60TEU
</t>
        </r>
      </text>
    </comment>
    <comment ref="O68" authorId="0">
      <text>
        <r>
          <rPr>
            <b/>
            <sz val="9"/>
            <color indexed="81"/>
            <rFont val="宋体"/>
            <family val="3"/>
            <charset val="134"/>
          </rPr>
          <t>zhangy20/Zhang Yi(COSCON S.E.A):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O8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调空箱需保留60TEU
</t>
        </r>
      </text>
    </comment>
    <comment ref="O89" authorId="0">
      <text>
        <r>
          <rPr>
            <b/>
            <sz val="9"/>
            <color indexed="81"/>
            <rFont val="宋体"/>
            <family val="3"/>
            <charset val="134"/>
          </rPr>
          <t>zhangy20/Zhang Yi(COSCON S.E.A):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O10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调空箱需保留60TEU
</t>
        </r>
      </text>
    </comment>
    <comment ref="O110" authorId="0">
      <text>
        <r>
          <rPr>
            <b/>
            <sz val="9"/>
            <color indexed="81"/>
            <rFont val="宋体"/>
            <family val="3"/>
            <charset val="134"/>
          </rPr>
          <t>zhangy20/Zhang Yi(COSCON S.E.A):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O12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调空箱需保留60TEU
</t>
        </r>
      </text>
    </comment>
    <comment ref="O14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调空箱需保留60TEU
</t>
        </r>
      </text>
    </comment>
    <comment ref="O16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调空箱需保留60TEU
</t>
        </r>
      </text>
    </comment>
    <comment ref="O18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调空箱需保留60TEU
</t>
        </r>
      </text>
    </comment>
  </commentList>
</comments>
</file>

<file path=xl/comments7.xml><?xml version="1.0" encoding="utf-8"?>
<comments xmlns="http://schemas.openxmlformats.org/spreadsheetml/2006/main">
  <authors>
    <author>zhangy20/Zhang Yi(COSCON S.E.A)</author>
  </authors>
  <commentList>
    <comment ref="O18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调空箱需保留100TEU
</t>
        </r>
      </text>
    </comment>
    <comment ref="O39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调空箱需保留60TEU
</t>
        </r>
      </text>
    </comment>
    <comment ref="O6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调空箱需保留60TEU
</t>
        </r>
      </text>
    </comment>
    <comment ref="O8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调空箱需保留60TEU
</t>
        </r>
      </text>
    </comment>
    <comment ref="O10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调空箱需保留60TEU
</t>
        </r>
      </text>
    </comment>
    <comment ref="O12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调空箱需保留60TEU
</t>
        </r>
      </text>
    </comment>
    <comment ref="O14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调空箱需保留60TEU
</t>
        </r>
      </text>
    </comment>
    <comment ref="O16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调空箱需保留60TEU
</t>
        </r>
      </text>
    </comment>
  </commentList>
</comments>
</file>

<file path=xl/sharedStrings.xml><?xml version="1.0" encoding="utf-8"?>
<sst xmlns="http://schemas.openxmlformats.org/spreadsheetml/2006/main" count="6958" uniqueCount="646">
  <si>
    <t>REGION</t>
  </si>
  <si>
    <t>ETD</t>
  </si>
  <si>
    <t>HKG</t>
  </si>
  <si>
    <t>SGP</t>
  </si>
  <si>
    <t>PKL</t>
  </si>
  <si>
    <t>TEU</t>
  </si>
  <si>
    <t>MT</t>
  </si>
  <si>
    <t>KR</t>
  </si>
  <si>
    <t>NGB</t>
  </si>
  <si>
    <t>SHA</t>
  </si>
  <si>
    <t>WUH</t>
  </si>
  <si>
    <t>DLC</t>
  </si>
  <si>
    <t>TSN</t>
  </si>
  <si>
    <t>TAO</t>
  </si>
  <si>
    <t>XMN</t>
  </si>
  <si>
    <t>T/S</t>
  </si>
  <si>
    <t>HUA</t>
  </si>
  <si>
    <t>TON</t>
  </si>
  <si>
    <t>T/S</t>
    <phoneticPr fontId="8" type="noConversion"/>
  </si>
  <si>
    <t>TWC</t>
    <phoneticPr fontId="8" type="noConversion"/>
  </si>
  <si>
    <t>T/S</t>
    <phoneticPr fontId="8" type="noConversion"/>
  </si>
  <si>
    <t>远程BOOKING</t>
    <phoneticPr fontId="8" type="noConversion"/>
  </si>
  <si>
    <t>Load before SHA</t>
    <phoneticPr fontId="8" type="noConversion"/>
  </si>
  <si>
    <t>Load after SHA</t>
    <phoneticPr fontId="8" type="noConversion"/>
  </si>
  <si>
    <t>GAP</t>
    <phoneticPr fontId="8" type="noConversion"/>
  </si>
  <si>
    <t>SA</t>
    <phoneticPr fontId="8" type="noConversion"/>
  </si>
  <si>
    <t>远程BOOKING</t>
    <phoneticPr fontId="8" type="noConversion"/>
  </si>
  <si>
    <t>REMARK</t>
    <phoneticPr fontId="8" type="noConversion"/>
  </si>
  <si>
    <r>
      <rPr>
        <sz val="10"/>
        <color rgb="FF000000"/>
        <rFont val="宋体"/>
        <family val="3"/>
        <charset val="134"/>
      </rPr>
      <t>近程</t>
    </r>
  </si>
  <si>
    <r>
      <rPr>
        <sz val="10"/>
        <color rgb="FF000000"/>
        <rFont val="宋体"/>
        <family val="3"/>
        <charset val="134"/>
      </rPr>
      <t>近程</t>
    </r>
    <phoneticPr fontId="8" type="noConversion"/>
  </si>
  <si>
    <t>TOTAL</t>
    <phoneticPr fontId="8" type="noConversion"/>
  </si>
  <si>
    <t>COSCO T/S</t>
    <phoneticPr fontId="8" type="noConversion"/>
  </si>
  <si>
    <t>SA</t>
    <phoneticPr fontId="8" type="noConversion"/>
  </si>
  <si>
    <r>
      <rPr>
        <sz val="10"/>
        <color rgb="FF000000"/>
        <rFont val="宋体"/>
        <family val="3"/>
        <charset val="134"/>
      </rPr>
      <t>近程</t>
    </r>
    <r>
      <rPr>
        <sz val="10"/>
        <color rgb="FF000000"/>
        <rFont val="Times New Roman"/>
        <family val="1"/>
      </rPr>
      <t>BOOKING</t>
    </r>
    <phoneticPr fontId="8" type="noConversion"/>
  </si>
  <si>
    <t>REMARK</t>
    <phoneticPr fontId="8" type="noConversion"/>
  </si>
  <si>
    <r>
      <rPr>
        <sz val="10"/>
        <color theme="1"/>
        <rFont val="宋体"/>
        <family val="3"/>
        <charset val="134"/>
      </rPr>
      <t>总舱位合计</t>
    </r>
    <phoneticPr fontId="8" type="noConversion"/>
  </si>
  <si>
    <r>
      <rPr>
        <sz val="10"/>
        <color theme="1"/>
        <rFont val="宋体"/>
        <family val="3"/>
        <charset val="134"/>
      </rPr>
      <t>合计</t>
    </r>
  </si>
  <si>
    <t>Week</t>
    <phoneticPr fontId="15" type="noConversion"/>
  </si>
  <si>
    <t>Time Id</t>
  </si>
  <si>
    <t>Reporting Week</t>
  </si>
  <si>
    <t>-</t>
    <phoneticPr fontId="8" type="noConversion"/>
  </si>
  <si>
    <t>BSA TEU</t>
    <phoneticPr fontId="15" type="noConversion"/>
  </si>
  <si>
    <t>REGION</t>
    <phoneticPr fontId="15" type="noConversion"/>
  </si>
  <si>
    <t>WEEK</t>
    <phoneticPr fontId="15" type="noConversion"/>
  </si>
  <si>
    <t>Booking</t>
    <phoneticPr fontId="15" type="noConversion"/>
  </si>
  <si>
    <t>M/V</t>
    <phoneticPr fontId="15" type="noConversion"/>
  </si>
  <si>
    <t>Line</t>
    <phoneticPr fontId="15" type="noConversion"/>
  </si>
  <si>
    <t xml:space="preserve">PMX </t>
    <phoneticPr fontId="8" type="noConversion"/>
  </si>
  <si>
    <r>
      <rPr>
        <sz val="10"/>
        <color theme="1"/>
        <rFont val="宋体"/>
        <family val="3"/>
        <charset val="134"/>
      </rPr>
      <t>装载率</t>
    </r>
    <phoneticPr fontId="8" type="noConversion"/>
  </si>
  <si>
    <r>
      <rPr>
        <sz val="10"/>
        <color theme="1"/>
        <rFont val="宋体"/>
        <family val="3"/>
        <charset val="134"/>
      </rPr>
      <t>离开上海港吃水</t>
    </r>
  </si>
  <si>
    <t>填写说明</t>
    <phoneticPr fontId="15" type="noConversion"/>
  </si>
  <si>
    <r>
      <t>REGION</t>
    </r>
    <r>
      <rPr>
        <sz val="10"/>
        <color theme="1"/>
        <rFont val="宋体"/>
        <family val="3"/>
        <charset val="134"/>
      </rPr>
      <t>按照舱位分配填写（口岸、国际中转、</t>
    </r>
    <r>
      <rPr>
        <sz val="10"/>
        <color theme="1"/>
        <rFont val="Times New Roman"/>
        <family val="1"/>
      </rPr>
      <t>NOVCC</t>
    </r>
    <r>
      <rPr>
        <sz val="10"/>
        <color theme="1"/>
        <rFont val="宋体"/>
        <family val="3"/>
        <charset val="134"/>
      </rPr>
      <t>等）</t>
    </r>
    <phoneticPr fontId="15" type="noConversion"/>
  </si>
  <si>
    <r>
      <t>A1</t>
    </r>
    <r>
      <rPr>
        <sz val="10"/>
        <color theme="1"/>
        <rFont val="宋体"/>
        <family val="3"/>
        <charset val="134"/>
      </rPr>
      <t>固定填写航线名称</t>
    </r>
    <phoneticPr fontId="15" type="noConversion"/>
  </si>
  <si>
    <r>
      <t>B1</t>
    </r>
    <r>
      <rPr>
        <sz val="10"/>
        <color theme="1"/>
        <rFont val="宋体"/>
        <family val="3"/>
        <charset val="134"/>
      </rPr>
      <t>当周船名航次</t>
    </r>
    <phoneticPr fontId="15" type="noConversion"/>
  </si>
  <si>
    <r>
      <t>E1 IRIS-2</t>
    </r>
    <r>
      <rPr>
        <sz val="10"/>
        <color theme="1"/>
        <rFont val="宋体"/>
        <family val="3"/>
        <charset val="134"/>
      </rPr>
      <t>格式船期</t>
    </r>
    <phoneticPr fontId="15" type="noConversion"/>
  </si>
  <si>
    <t>Dealy</t>
    <phoneticPr fontId="15" type="noConversion"/>
  </si>
  <si>
    <r>
      <t xml:space="preserve">Delay </t>
    </r>
    <r>
      <rPr>
        <sz val="10"/>
        <color theme="1"/>
        <rFont val="宋体"/>
        <family val="3"/>
        <charset val="134"/>
      </rPr>
      <t>填写脱班天数</t>
    </r>
    <phoneticPr fontId="15" type="noConversion"/>
  </si>
  <si>
    <r>
      <t>SA</t>
    </r>
    <r>
      <rPr>
        <sz val="10"/>
        <color theme="1"/>
        <rFont val="宋体"/>
        <family val="3"/>
        <charset val="134"/>
      </rPr>
      <t>列根据运管舱位分配填写</t>
    </r>
    <phoneticPr fontId="15" type="noConversion"/>
  </si>
  <si>
    <r>
      <rPr>
        <sz val="10"/>
        <color theme="1"/>
        <rFont val="宋体"/>
        <family val="3"/>
        <charset val="134"/>
      </rPr>
      <t>远程</t>
    </r>
    <r>
      <rPr>
        <sz val="10"/>
        <color theme="1"/>
        <rFont val="Times New Roman"/>
        <family val="1"/>
      </rPr>
      <t xml:space="preserve">BOOKING </t>
    </r>
    <r>
      <rPr>
        <sz val="10"/>
        <color theme="1"/>
        <rFont val="宋体"/>
        <family val="3"/>
        <charset val="134"/>
      </rPr>
      <t>按照口岸揽货进度填写</t>
    </r>
    <phoneticPr fontId="15" type="noConversion"/>
  </si>
  <si>
    <r>
      <t>GAP</t>
    </r>
    <r>
      <rPr>
        <sz val="10"/>
        <color theme="1"/>
        <rFont val="宋体"/>
        <family val="3"/>
        <charset val="134"/>
      </rPr>
      <t>列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宋体"/>
        <family val="3"/>
        <charset val="134"/>
      </rPr>
      <t>自动计算</t>
    </r>
    <phoneticPr fontId="15" type="noConversion"/>
  </si>
  <si>
    <r>
      <rPr>
        <sz val="10"/>
        <color theme="1"/>
        <rFont val="宋体"/>
        <family val="3"/>
        <charset val="134"/>
      </rPr>
      <t>近程</t>
    </r>
    <r>
      <rPr>
        <sz val="10"/>
        <color theme="1"/>
        <rFont val="Times New Roman"/>
        <family val="1"/>
      </rPr>
      <t xml:space="preserve">Booking </t>
    </r>
    <r>
      <rPr>
        <sz val="10"/>
        <color theme="1"/>
        <rFont val="宋体"/>
        <family val="3"/>
        <charset val="134"/>
      </rPr>
      <t>列可根据实际增减或不予填写</t>
    </r>
    <phoneticPr fontId="15" type="noConversion"/>
  </si>
  <si>
    <r>
      <t xml:space="preserve">ETD </t>
    </r>
    <r>
      <rPr>
        <sz val="10"/>
        <color theme="1"/>
        <rFont val="宋体"/>
        <family val="3"/>
        <charset val="134"/>
      </rPr>
      <t>实际靠泊港口填写预计船期，其他填写中转港或显示</t>
    </r>
    <r>
      <rPr>
        <sz val="10"/>
        <color theme="1"/>
        <rFont val="Times New Roman"/>
        <family val="1"/>
      </rPr>
      <t>T/S</t>
    </r>
    <phoneticPr fontId="15" type="noConversion"/>
  </si>
  <si>
    <r>
      <rPr>
        <sz val="10"/>
        <color theme="1"/>
        <rFont val="宋体"/>
        <family val="3"/>
        <charset val="134"/>
      </rPr>
      <t>维持</t>
    </r>
    <r>
      <rPr>
        <sz val="10"/>
        <color theme="1"/>
        <rFont val="Times New Roman"/>
        <family val="1"/>
      </rPr>
      <t>SA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Times New Roman"/>
        <family val="1"/>
      </rPr>
      <t>booking</t>
    </r>
    <r>
      <rPr>
        <sz val="10"/>
        <color theme="1"/>
        <rFont val="宋体"/>
        <family val="3"/>
        <charset val="134"/>
      </rPr>
      <t>数据与</t>
    </r>
    <r>
      <rPr>
        <sz val="10"/>
        <color theme="1"/>
        <rFont val="Times New Roman"/>
        <family val="1"/>
      </rPr>
      <t>AA</t>
    </r>
    <r>
      <rPr>
        <sz val="10"/>
        <color theme="1"/>
        <rFont val="宋体"/>
        <family val="3"/>
        <charset val="134"/>
      </rPr>
      <t>列后内容一一对应</t>
    </r>
    <phoneticPr fontId="15" type="noConversion"/>
  </si>
  <si>
    <t>PIX</t>
  </si>
  <si>
    <t>PIX</t>
    <phoneticPr fontId="8" type="noConversion"/>
  </si>
  <si>
    <t>PIX</t>
    <phoneticPr fontId="8" type="noConversion"/>
  </si>
  <si>
    <t>KOTA LAGU 151 W</t>
    <phoneticPr fontId="8" type="noConversion"/>
  </si>
  <si>
    <t>T/S</t>
    <phoneticPr fontId="8" type="noConversion"/>
  </si>
  <si>
    <t>GNS</t>
    <phoneticPr fontId="8" type="noConversion"/>
  </si>
  <si>
    <t>HAK</t>
    <phoneticPr fontId="8" type="noConversion"/>
  </si>
  <si>
    <t>离开华南总量</t>
    <phoneticPr fontId="8" type="noConversion"/>
  </si>
  <si>
    <t>TAO</t>
    <phoneticPr fontId="8" type="noConversion"/>
  </si>
  <si>
    <t>SHA</t>
    <phoneticPr fontId="8" type="noConversion"/>
  </si>
  <si>
    <t>NGB</t>
    <phoneticPr fontId="8" type="noConversion"/>
  </si>
  <si>
    <t>WUH</t>
    <phoneticPr fontId="8" type="noConversion"/>
  </si>
  <si>
    <t>DLC</t>
    <phoneticPr fontId="8" type="noConversion"/>
  </si>
  <si>
    <t>TSN</t>
    <phoneticPr fontId="8" type="noConversion"/>
  </si>
  <si>
    <t>HKG</t>
    <phoneticPr fontId="8" type="noConversion"/>
  </si>
  <si>
    <t>GNS</t>
    <phoneticPr fontId="8" type="noConversion"/>
  </si>
  <si>
    <t xml:space="preserve">COSCO DURBAN 047 W </t>
    <phoneticPr fontId="8" type="noConversion"/>
  </si>
  <si>
    <t xml:space="preserve">WAN HAI 503 130 W </t>
    <phoneticPr fontId="8" type="noConversion"/>
  </si>
  <si>
    <t xml:space="preserve">PIX </t>
    <phoneticPr fontId="8" type="noConversion"/>
  </si>
  <si>
    <t>ENSENADA 086 W</t>
    <phoneticPr fontId="8" type="noConversion"/>
  </si>
  <si>
    <t xml:space="preserve">WIN </t>
    <phoneticPr fontId="8" type="noConversion"/>
  </si>
  <si>
    <t xml:space="preserve">WIN </t>
    <phoneticPr fontId="8" type="noConversion"/>
  </si>
  <si>
    <t>WIN</t>
  </si>
  <si>
    <t>WIN</t>
    <phoneticPr fontId="8" type="noConversion"/>
  </si>
  <si>
    <t xml:space="preserve">TASMAN 016 W </t>
    <phoneticPr fontId="8" type="noConversion"/>
  </si>
  <si>
    <t>PIRAEUS 040 W</t>
    <phoneticPr fontId="8" type="noConversion"/>
  </si>
  <si>
    <t>AIS</t>
  </si>
  <si>
    <t>AIS</t>
    <phoneticPr fontId="8" type="noConversion"/>
  </si>
  <si>
    <t>AIS</t>
    <phoneticPr fontId="8" type="noConversion"/>
  </si>
  <si>
    <t xml:space="preserve">CLEMENS SCHULTE 014 W </t>
    <phoneticPr fontId="8" type="noConversion"/>
  </si>
  <si>
    <t xml:space="preserve">KMTC MUMBAI 017 W </t>
    <phoneticPr fontId="8" type="noConversion"/>
  </si>
  <si>
    <t>FCS</t>
  </si>
  <si>
    <t>FCS</t>
    <phoneticPr fontId="8" type="noConversion"/>
  </si>
  <si>
    <t>TIANJIN BRIDGE 012 W</t>
    <phoneticPr fontId="8" type="noConversion"/>
  </si>
  <si>
    <t>FCE</t>
    <phoneticPr fontId="8" type="noConversion"/>
  </si>
  <si>
    <t>WAN HAI 501 123 W</t>
    <phoneticPr fontId="8" type="noConversion"/>
  </si>
  <si>
    <t>FCE</t>
    <phoneticPr fontId="8" type="noConversion"/>
  </si>
  <si>
    <t>FCS</t>
    <phoneticPr fontId="8" type="noConversion"/>
  </si>
  <si>
    <t xml:space="preserve">VENETIA 006 W </t>
    <phoneticPr fontId="8" type="noConversion"/>
  </si>
  <si>
    <t xml:space="preserve">WAN HAI 508 152 W </t>
    <phoneticPr fontId="8" type="noConversion"/>
  </si>
  <si>
    <t>EFFECTIVE SVVD:</t>
    <phoneticPr fontId="17" type="noConversion"/>
  </si>
  <si>
    <t>SVC</t>
    <phoneticPr fontId="17" type="noConversion"/>
  </si>
  <si>
    <t>VSL/VOA</t>
    <phoneticPr fontId="17" type="noConversion"/>
  </si>
  <si>
    <t>ETD</t>
    <phoneticPr fontId="17" type="noConversion"/>
  </si>
  <si>
    <t>POL</t>
    <phoneticPr fontId="17" type="noConversion"/>
  </si>
  <si>
    <t>AIS</t>
    <phoneticPr fontId="17" type="noConversion"/>
  </si>
  <si>
    <t>PIRAEUS V.039W</t>
    <phoneticPr fontId="17" type="noConversion"/>
  </si>
  <si>
    <t>TAO</t>
    <phoneticPr fontId="17" type="noConversion"/>
  </si>
  <si>
    <t>CI2</t>
    <phoneticPr fontId="17" type="noConversion"/>
  </si>
  <si>
    <t>WANHAI 501 V.122W</t>
    <phoneticPr fontId="17" type="noConversion"/>
  </si>
  <si>
    <t>CISC</t>
    <phoneticPr fontId="17" type="noConversion"/>
  </si>
  <si>
    <t>COSCO HAMBURG V.123W</t>
    <phoneticPr fontId="17" type="noConversion"/>
  </si>
  <si>
    <t>TSN</t>
    <phoneticPr fontId="17" type="noConversion"/>
  </si>
  <si>
    <t xml:space="preserve">WIN </t>
    <phoneticPr fontId="17" type="noConversion"/>
  </si>
  <si>
    <t>TASMAN V.015W</t>
    <phoneticPr fontId="17" type="noConversion"/>
  </si>
  <si>
    <t>SHA</t>
    <phoneticPr fontId="17" type="noConversion"/>
  </si>
  <si>
    <t>CI1</t>
    <phoneticPr fontId="17" type="noConversion"/>
  </si>
  <si>
    <t>XIN CHANG SHU</t>
    <phoneticPr fontId="17" type="noConversion"/>
  </si>
  <si>
    <r>
      <rPr>
        <sz val="11"/>
        <color theme="1"/>
        <rFont val="宋体"/>
        <family val="2"/>
        <charset val="134"/>
      </rPr>
      <t>航线</t>
    </r>
    <phoneticPr fontId="17" type="noConversion"/>
  </si>
  <si>
    <t xml:space="preserve">CISC   </t>
    <phoneticPr fontId="17" type="noConversion"/>
  </si>
  <si>
    <t>WIN</t>
    <phoneticPr fontId="17" type="noConversion"/>
  </si>
  <si>
    <t>REGION</t>
    <phoneticPr fontId="8" type="noConversion"/>
  </si>
  <si>
    <t>NVA&amp;MUN</t>
    <phoneticPr fontId="17" type="noConversion"/>
  </si>
  <si>
    <t>SGP IPC</t>
    <phoneticPr fontId="17" type="noConversion"/>
  </si>
  <si>
    <t>PKL.W IPC</t>
    <phoneticPr fontId="17" type="noConversion"/>
  </si>
  <si>
    <t>NVA</t>
    <phoneticPr fontId="17" type="noConversion"/>
  </si>
  <si>
    <t>PKL.N IPC</t>
    <phoneticPr fontId="17" type="noConversion"/>
  </si>
  <si>
    <t>PKL IPC</t>
    <phoneticPr fontId="17" type="noConversion"/>
  </si>
  <si>
    <r>
      <rPr>
        <sz val="11"/>
        <color rgb="FF000000"/>
        <rFont val="宋体"/>
        <family val="3"/>
        <charset val="134"/>
      </rPr>
      <t>总舱位</t>
    </r>
    <phoneticPr fontId="17" type="noConversion"/>
  </si>
  <si>
    <t>600TEU/8400TON</t>
    <phoneticPr fontId="17" type="noConversion"/>
  </si>
  <si>
    <t>300TEU/4050MT</t>
    <phoneticPr fontId="17" type="noConversion"/>
  </si>
  <si>
    <t>700TEU/9450MT</t>
    <phoneticPr fontId="17" type="noConversion"/>
  </si>
  <si>
    <t>2400TEU/32400TONS</t>
    <phoneticPr fontId="17" type="noConversion"/>
  </si>
  <si>
    <t>350TEU/4900MT</t>
    <phoneticPr fontId="17" type="noConversion"/>
  </si>
  <si>
    <t>TW</t>
    <phoneticPr fontId="17" type="noConversion"/>
  </si>
  <si>
    <t>TAO</t>
    <phoneticPr fontId="8" type="noConversion"/>
  </si>
  <si>
    <t>TAO</t>
    <phoneticPr fontId="8" type="noConversion"/>
  </si>
  <si>
    <t>SHA</t>
    <phoneticPr fontId="8" type="noConversion"/>
  </si>
  <si>
    <t>NGB</t>
    <phoneticPr fontId="8" type="noConversion"/>
  </si>
  <si>
    <t>WUH</t>
    <phoneticPr fontId="8" type="noConversion"/>
  </si>
  <si>
    <t>DLC</t>
    <phoneticPr fontId="8" type="noConversion"/>
  </si>
  <si>
    <t>TSN</t>
    <phoneticPr fontId="8" type="noConversion"/>
  </si>
  <si>
    <t>TSN</t>
    <phoneticPr fontId="8" type="noConversion"/>
  </si>
  <si>
    <t>XMN/FOC</t>
    <phoneticPr fontId="17" type="noConversion"/>
  </si>
  <si>
    <t>HUA</t>
    <phoneticPr fontId="17" type="noConversion"/>
  </si>
  <si>
    <t>SGP</t>
    <phoneticPr fontId="17" type="noConversion"/>
  </si>
  <si>
    <t>SGP</t>
    <phoneticPr fontId="17" type="noConversion"/>
  </si>
  <si>
    <t>MYS</t>
    <phoneticPr fontId="17" type="noConversion"/>
  </si>
  <si>
    <t>MYS</t>
    <phoneticPr fontId="17" type="noConversion"/>
  </si>
  <si>
    <t>THL</t>
    <phoneticPr fontId="17" type="noConversion"/>
  </si>
  <si>
    <t>IDN</t>
    <phoneticPr fontId="17" type="noConversion"/>
  </si>
  <si>
    <t>MMR</t>
    <phoneticPr fontId="17" type="noConversion"/>
  </si>
  <si>
    <t>VNM</t>
    <phoneticPr fontId="17" type="noConversion"/>
  </si>
  <si>
    <t>PHL</t>
    <phoneticPr fontId="17" type="noConversion"/>
  </si>
  <si>
    <t>LKS</t>
    <phoneticPr fontId="17" type="noConversion"/>
  </si>
  <si>
    <t>HQR/HQS</t>
    <phoneticPr fontId="17" type="noConversion"/>
  </si>
  <si>
    <r>
      <rPr>
        <sz val="11"/>
        <color theme="1"/>
        <rFont val="宋体"/>
        <family val="3"/>
        <charset val="134"/>
      </rPr>
      <t>干线包舱</t>
    </r>
    <phoneticPr fontId="17" type="noConversion"/>
  </si>
  <si>
    <r>
      <rPr>
        <sz val="11"/>
        <color theme="1"/>
        <rFont val="Times New Roman"/>
        <family val="1"/>
      </rPr>
      <t>合计</t>
    </r>
    <phoneticPr fontId="8" type="noConversion"/>
  </si>
  <si>
    <t>EFFECTIVE SVVD:</t>
    <phoneticPr fontId="17" type="noConversion"/>
  </si>
  <si>
    <t>SVC</t>
    <phoneticPr fontId="17" type="noConversion"/>
  </si>
  <si>
    <t>VSL/VOA</t>
    <phoneticPr fontId="17" type="noConversion"/>
  </si>
  <si>
    <t>ETD</t>
    <phoneticPr fontId="17" type="noConversion"/>
  </si>
  <si>
    <t>POL</t>
    <phoneticPr fontId="17" type="noConversion"/>
  </si>
  <si>
    <t>FCE</t>
    <phoneticPr fontId="17" type="noConversion"/>
  </si>
  <si>
    <t>TBN</t>
    <phoneticPr fontId="17" type="noConversion"/>
  </si>
  <si>
    <t>SHA</t>
    <phoneticPr fontId="17" type="noConversion"/>
  </si>
  <si>
    <t>FCS</t>
    <phoneticPr fontId="17" type="noConversion"/>
  </si>
  <si>
    <t xml:space="preserve">FELIXSTOWE BRIDGE </t>
    <phoneticPr fontId="17" type="noConversion"/>
  </si>
  <si>
    <t>PUS</t>
    <phoneticPr fontId="17" type="noConversion"/>
  </si>
  <si>
    <t xml:space="preserve">REMARK: FCS BSA will updated as per the BSA of  NEW CYCLE </t>
    <phoneticPr fontId="8" type="noConversion"/>
  </si>
  <si>
    <t>航线</t>
    <phoneticPr fontId="17" type="noConversion"/>
  </si>
  <si>
    <t>TCX</t>
    <phoneticPr fontId="17" type="noConversion"/>
  </si>
  <si>
    <t>TSC</t>
    <phoneticPr fontId="17" type="noConversion"/>
  </si>
  <si>
    <t>SVX</t>
    <phoneticPr fontId="17" type="noConversion"/>
  </si>
  <si>
    <t>REGION</t>
    <phoneticPr fontId="8" type="noConversion"/>
  </si>
  <si>
    <t>NVA&amp;MUN</t>
    <phoneticPr fontId="17" type="noConversion"/>
  </si>
  <si>
    <t>SGP IPC</t>
    <phoneticPr fontId="17" type="noConversion"/>
  </si>
  <si>
    <t>PKL.W IPC</t>
    <phoneticPr fontId="17" type="noConversion"/>
  </si>
  <si>
    <t>NVA</t>
    <phoneticPr fontId="17" type="noConversion"/>
  </si>
  <si>
    <t>PKL.N IPC</t>
    <phoneticPr fontId="17" type="noConversion"/>
  </si>
  <si>
    <t>PKL IPC</t>
    <phoneticPr fontId="17" type="noConversion"/>
  </si>
  <si>
    <t>总舱位</t>
    <phoneticPr fontId="17" type="noConversion"/>
  </si>
  <si>
    <t>570TEU/7980MT</t>
    <phoneticPr fontId="17" type="noConversion"/>
  </si>
  <si>
    <t>749TEU/10486TONS</t>
    <phoneticPr fontId="17" type="noConversion"/>
  </si>
  <si>
    <t>412TEU/5768MT</t>
    <phoneticPr fontId="17" type="noConversion"/>
  </si>
  <si>
    <t>150TEU/2100MT</t>
    <phoneticPr fontId="17" type="noConversion"/>
  </si>
  <si>
    <t>90TEU/1260MT</t>
    <phoneticPr fontId="17" type="noConversion"/>
  </si>
  <si>
    <t>TW</t>
    <phoneticPr fontId="17" type="noConversion"/>
  </si>
  <si>
    <t>TAO</t>
    <phoneticPr fontId="8" type="noConversion"/>
  </si>
  <si>
    <t>SHA</t>
    <phoneticPr fontId="8" type="noConversion"/>
  </si>
  <si>
    <t>NGB</t>
    <phoneticPr fontId="8" type="noConversion"/>
  </si>
  <si>
    <t>NGB</t>
    <phoneticPr fontId="8" type="noConversion"/>
  </si>
  <si>
    <t>WUH</t>
    <phoneticPr fontId="8" type="noConversion"/>
  </si>
  <si>
    <t>DLC</t>
    <phoneticPr fontId="8" type="noConversion"/>
  </si>
  <si>
    <t>TSN</t>
    <phoneticPr fontId="8" type="noConversion"/>
  </si>
  <si>
    <t>XMN/FOC</t>
    <phoneticPr fontId="17" type="noConversion"/>
  </si>
  <si>
    <t>HUA</t>
    <phoneticPr fontId="17" type="noConversion"/>
  </si>
  <si>
    <t>SGP</t>
    <phoneticPr fontId="17" type="noConversion"/>
  </si>
  <si>
    <t>SGP</t>
    <phoneticPr fontId="17" type="noConversion"/>
  </si>
  <si>
    <t>MYS</t>
    <phoneticPr fontId="17" type="noConversion"/>
  </si>
  <si>
    <t>MYS</t>
    <phoneticPr fontId="17" type="noConversion"/>
  </si>
  <si>
    <t>THL</t>
    <phoneticPr fontId="17" type="noConversion"/>
  </si>
  <si>
    <t>THL</t>
    <phoneticPr fontId="17" type="noConversion"/>
  </si>
  <si>
    <t>THL</t>
    <phoneticPr fontId="17" type="noConversion"/>
  </si>
  <si>
    <t>IDN</t>
    <phoneticPr fontId="17" type="noConversion"/>
  </si>
  <si>
    <t>IDN</t>
    <phoneticPr fontId="17" type="noConversion"/>
  </si>
  <si>
    <t>MMR</t>
    <phoneticPr fontId="17" type="noConversion"/>
  </si>
  <si>
    <t>VNM</t>
    <phoneticPr fontId="17" type="noConversion"/>
  </si>
  <si>
    <t>PHL</t>
    <phoneticPr fontId="17" type="noConversion"/>
  </si>
  <si>
    <t>LKS</t>
    <phoneticPr fontId="17" type="noConversion"/>
  </si>
  <si>
    <t>HQR/HQS</t>
    <phoneticPr fontId="17" type="noConversion"/>
  </si>
  <si>
    <t>干线包舱</t>
    <phoneticPr fontId="17" type="noConversion"/>
  </si>
  <si>
    <t>合计</t>
    <phoneticPr fontId="8" type="noConversion"/>
  </si>
  <si>
    <t>EFFECTIVE SVVD:</t>
    <phoneticPr fontId="17" type="noConversion"/>
  </si>
  <si>
    <t>SVC</t>
    <phoneticPr fontId="17" type="noConversion"/>
  </si>
  <si>
    <t>VSL/VOY</t>
    <phoneticPr fontId="17" type="noConversion"/>
  </si>
  <si>
    <t>ETD</t>
    <phoneticPr fontId="17" type="noConversion"/>
  </si>
  <si>
    <t>POL</t>
    <phoneticPr fontId="17" type="noConversion"/>
  </si>
  <si>
    <t>PMX</t>
    <phoneticPr fontId="17" type="noConversion"/>
  </si>
  <si>
    <t>EVER UNIQUE V.166 W</t>
    <phoneticPr fontId="17" type="noConversion"/>
  </si>
  <si>
    <t>TAO</t>
    <phoneticPr fontId="17" type="noConversion"/>
  </si>
  <si>
    <t>NO CHANGE</t>
    <phoneticPr fontId="17" type="noConversion"/>
  </si>
  <si>
    <t>PIX</t>
    <phoneticPr fontId="17" type="noConversion"/>
  </si>
  <si>
    <t>ATHENS BRIDGE V.129 W</t>
    <phoneticPr fontId="17" type="noConversion"/>
  </si>
  <si>
    <t>FZH</t>
    <phoneticPr fontId="17" type="noConversion"/>
  </si>
  <si>
    <t>AGI</t>
    <phoneticPr fontId="17" type="noConversion"/>
  </si>
  <si>
    <t>EVER DIAMOND V.076W</t>
    <phoneticPr fontId="17" type="noConversion"/>
  </si>
  <si>
    <t>LCB</t>
    <phoneticPr fontId="17" type="noConversion"/>
  </si>
  <si>
    <t xml:space="preserve">REMARK: PMX BSA will update according to the new CYCLE </t>
    <phoneticPr fontId="8" type="noConversion"/>
  </si>
  <si>
    <t>航线</t>
    <phoneticPr fontId="17" type="noConversion"/>
  </si>
  <si>
    <t>REGION</t>
    <phoneticPr fontId="8" type="noConversion"/>
  </si>
  <si>
    <t>SAPT</t>
    <phoneticPr fontId="17" type="noConversion"/>
  </si>
  <si>
    <t>PICT&amp;MUN</t>
    <phoneticPr fontId="17" type="noConversion"/>
  </si>
  <si>
    <t>SGP IPC</t>
    <phoneticPr fontId="17" type="noConversion"/>
  </si>
  <si>
    <t>PKL.W IPC</t>
    <phoneticPr fontId="17" type="noConversion"/>
  </si>
  <si>
    <t>NVA&amp;MUN</t>
    <phoneticPr fontId="17" type="noConversion"/>
  </si>
  <si>
    <t>NVA</t>
    <phoneticPr fontId="17" type="noConversion"/>
  </si>
  <si>
    <t>CMB IPC</t>
    <phoneticPr fontId="17" type="noConversion"/>
  </si>
  <si>
    <t>总舱位</t>
    <phoneticPr fontId="17" type="noConversion"/>
  </si>
  <si>
    <r>
      <rPr>
        <sz val="10"/>
        <color theme="1"/>
        <rFont val="宋体"/>
        <family val="3"/>
        <charset val="134"/>
      </rPr>
      <t>大船：</t>
    </r>
    <r>
      <rPr>
        <sz val="10"/>
        <color theme="1"/>
        <rFont val="Cambria"/>
        <family val="1"/>
      </rPr>
      <t xml:space="preserve">1950TEU(25337TONS) </t>
    </r>
    <r>
      <rPr>
        <sz val="10"/>
        <color theme="1"/>
        <rFont val="宋体"/>
        <family val="3"/>
        <charset val="134"/>
      </rPr>
      <t/>
    </r>
    <phoneticPr fontId="17" type="noConversion"/>
  </si>
  <si>
    <t>总舱位</t>
    <phoneticPr fontId="17" type="noConversion"/>
  </si>
  <si>
    <t>1315TEU/17095TON</t>
    <phoneticPr fontId="17" type="noConversion"/>
  </si>
  <si>
    <t>600TEU/8400MT</t>
    <phoneticPr fontId="17" type="noConversion"/>
  </si>
  <si>
    <t>TW</t>
    <phoneticPr fontId="17" type="noConversion"/>
  </si>
  <si>
    <t>TAO</t>
    <phoneticPr fontId="8" type="noConversion"/>
  </si>
  <si>
    <t>TAO</t>
    <phoneticPr fontId="8" type="noConversion"/>
  </si>
  <si>
    <t>SHA</t>
    <phoneticPr fontId="8" type="noConversion"/>
  </si>
  <si>
    <t>SHA</t>
    <phoneticPr fontId="8" type="noConversion"/>
  </si>
  <si>
    <t>NGB</t>
    <phoneticPr fontId="8" type="noConversion"/>
  </si>
  <si>
    <t>NGB</t>
    <phoneticPr fontId="8" type="noConversion"/>
  </si>
  <si>
    <t>WUH</t>
    <phoneticPr fontId="8" type="noConversion"/>
  </si>
  <si>
    <t>DLC</t>
    <phoneticPr fontId="8" type="noConversion"/>
  </si>
  <si>
    <t>TSN</t>
    <phoneticPr fontId="8" type="noConversion"/>
  </si>
  <si>
    <t>XMN/FOC</t>
    <phoneticPr fontId="17" type="noConversion"/>
  </si>
  <si>
    <t>HUA</t>
    <phoneticPr fontId="17" type="noConversion"/>
  </si>
  <si>
    <t>SGP</t>
    <phoneticPr fontId="17" type="noConversion"/>
  </si>
  <si>
    <t>SGP</t>
    <phoneticPr fontId="17" type="noConversion"/>
  </si>
  <si>
    <t>MYS</t>
    <phoneticPr fontId="17" type="noConversion"/>
  </si>
  <si>
    <t>THL</t>
    <phoneticPr fontId="17" type="noConversion"/>
  </si>
  <si>
    <t>IDN</t>
    <phoneticPr fontId="17" type="noConversion"/>
  </si>
  <si>
    <t>IDN</t>
    <phoneticPr fontId="17" type="noConversion"/>
  </si>
  <si>
    <t>MMR</t>
    <phoneticPr fontId="17" type="noConversion"/>
  </si>
  <si>
    <t>VNM</t>
    <phoneticPr fontId="17" type="noConversion"/>
  </si>
  <si>
    <t>PHL</t>
    <phoneticPr fontId="17" type="noConversion"/>
  </si>
  <si>
    <t>LKS</t>
    <phoneticPr fontId="17" type="noConversion"/>
  </si>
  <si>
    <t>HQR/HQS</t>
    <phoneticPr fontId="17" type="noConversion"/>
  </si>
  <si>
    <t>HQR/HQS</t>
    <phoneticPr fontId="17" type="noConversion"/>
  </si>
  <si>
    <t>干线包舱</t>
    <phoneticPr fontId="17" type="noConversion"/>
  </si>
  <si>
    <t>APTD</t>
    <phoneticPr fontId="17" type="noConversion"/>
  </si>
  <si>
    <t>合计</t>
    <phoneticPr fontId="8" type="noConversion"/>
  </si>
  <si>
    <r>
      <t>F</t>
    </r>
    <r>
      <rPr>
        <sz val="11"/>
        <color theme="1"/>
        <rFont val="宋体"/>
        <family val="3"/>
        <charset val="134"/>
        <scheme val="minor"/>
      </rPr>
      <t>CS</t>
    </r>
    <phoneticPr fontId="8" type="noConversion"/>
  </si>
  <si>
    <r>
      <rPr>
        <sz val="12"/>
        <color theme="1"/>
        <rFont val="宋体"/>
        <family val="2"/>
        <charset val="134"/>
      </rPr>
      <t>航线</t>
    </r>
    <phoneticPr fontId="17" type="noConversion"/>
  </si>
  <si>
    <t>RCL SHIP/TSL SHIP</t>
    <phoneticPr fontId="17" type="noConversion"/>
  </si>
  <si>
    <t>CMA/APL SHIP</t>
    <phoneticPr fontId="17" type="noConversion"/>
  </si>
  <si>
    <t>COS SHIP</t>
    <phoneticPr fontId="17" type="noConversion"/>
  </si>
  <si>
    <t>TSL SHIP</t>
    <phoneticPr fontId="17" type="noConversion"/>
  </si>
  <si>
    <t>SMH SHIP( TIANJIN BRIDGE )</t>
    <phoneticPr fontId="17" type="noConversion"/>
  </si>
  <si>
    <t>SMH SHIP( SINO BRIDGE )</t>
    <phoneticPr fontId="17" type="noConversion"/>
  </si>
  <si>
    <t>REGION</t>
    <phoneticPr fontId="8" type="noConversion"/>
  </si>
  <si>
    <t>MAA</t>
    <phoneticPr fontId="17" type="noConversion"/>
  </si>
  <si>
    <t>SGP IPC</t>
    <phoneticPr fontId="17" type="noConversion"/>
  </si>
  <si>
    <t>PKL</t>
    <phoneticPr fontId="17" type="noConversion"/>
  </si>
  <si>
    <r>
      <rPr>
        <sz val="12"/>
        <color rgb="FF000000"/>
        <rFont val="宋体"/>
        <family val="3"/>
        <charset val="134"/>
      </rPr>
      <t>总舱位</t>
    </r>
    <phoneticPr fontId="17" type="noConversion"/>
  </si>
  <si>
    <t>650TEU/9100TONS</t>
    <phoneticPr fontId="17" type="noConversion"/>
  </si>
  <si>
    <t>780TEU/10918TONS</t>
    <phoneticPr fontId="17" type="noConversion"/>
  </si>
  <si>
    <t>780TEU/10918TONS</t>
    <phoneticPr fontId="8" type="noConversion"/>
  </si>
  <si>
    <t>690TEU/9660</t>
    <phoneticPr fontId="17" type="noConversion"/>
  </si>
  <si>
    <t>TAO</t>
    <phoneticPr fontId="8" type="noConversion"/>
  </si>
  <si>
    <t>WUH</t>
    <phoneticPr fontId="8" type="noConversion"/>
  </si>
  <si>
    <t>DLC</t>
    <phoneticPr fontId="8" type="noConversion"/>
  </si>
  <si>
    <t>TSN</t>
    <phoneticPr fontId="8" type="noConversion"/>
  </si>
  <si>
    <t>XMN/FOC</t>
    <phoneticPr fontId="17" type="noConversion"/>
  </si>
  <si>
    <t>HKG</t>
    <phoneticPr fontId="8" type="noConversion"/>
  </si>
  <si>
    <t>SGP</t>
    <phoneticPr fontId="17" type="noConversion"/>
  </si>
  <si>
    <t>MYS</t>
    <phoneticPr fontId="17" type="noConversion"/>
  </si>
  <si>
    <t>MMR</t>
    <phoneticPr fontId="17" type="noConversion"/>
  </si>
  <si>
    <t>VNM</t>
    <phoneticPr fontId="17" type="noConversion"/>
  </si>
  <si>
    <t>PHL</t>
    <phoneticPr fontId="17" type="noConversion"/>
  </si>
  <si>
    <t>LKS</t>
    <phoneticPr fontId="17" type="noConversion"/>
  </si>
  <si>
    <t>HQR/HQS</t>
    <phoneticPr fontId="8" type="noConversion"/>
  </si>
  <si>
    <t>干线包舱</t>
    <phoneticPr fontId="17" type="noConversion"/>
  </si>
  <si>
    <r>
      <rPr>
        <sz val="12"/>
        <color theme="1"/>
        <rFont val="Times New Roman"/>
        <family val="1"/>
      </rPr>
      <t>合计</t>
    </r>
    <phoneticPr fontId="8" type="noConversion"/>
  </si>
  <si>
    <t>LINE</t>
  </si>
  <si>
    <t>COSCOSEA</t>
  </si>
  <si>
    <t>VESSEL</t>
  </si>
  <si>
    <t>TEUs</t>
  </si>
  <si>
    <t>WT</t>
  </si>
  <si>
    <t>RF PLUGS</t>
  </si>
  <si>
    <t>SHA DFT</t>
  </si>
  <si>
    <t>MNL DFT</t>
  </si>
  <si>
    <t>RCL -  FELIXTOWE BRIDGE</t>
  </si>
  <si>
    <t>APL/CMA - CMA CGM Verdi</t>
  </si>
  <si>
    <r>
      <t xml:space="preserve">COSCO -  </t>
    </r>
    <r>
      <rPr>
        <sz val="11"/>
        <color theme="1"/>
        <rFont val="宋体"/>
        <family val="3"/>
        <charset val="134"/>
        <scheme val="minor"/>
      </rPr>
      <t>XIN QIN HUANG DAO</t>
    </r>
    <phoneticPr fontId="8" type="noConversion"/>
  </si>
  <si>
    <t>TS LINE - HERMA P</t>
  </si>
  <si>
    <t xml:space="preserve">SMH - MV Tianjin Bridge </t>
  </si>
  <si>
    <t>SMH - SINO BRIDGE</t>
    <phoneticPr fontId="35" type="noConversion"/>
  </si>
  <si>
    <r>
      <rPr>
        <sz val="12"/>
        <color theme="1"/>
        <rFont val="宋体"/>
        <family val="2"/>
        <charset val="134"/>
      </rPr>
      <t>航线</t>
    </r>
    <phoneticPr fontId="17" type="noConversion"/>
  </si>
  <si>
    <t>RCL SHIP/TSL SHIP</t>
    <phoneticPr fontId="17" type="noConversion"/>
  </si>
  <si>
    <t>CMA/APL SHIP</t>
    <phoneticPr fontId="17" type="noConversion"/>
  </si>
  <si>
    <t>COS SHIP</t>
    <phoneticPr fontId="17" type="noConversion"/>
  </si>
  <si>
    <t>TSL SHIP</t>
    <phoneticPr fontId="17" type="noConversion"/>
  </si>
  <si>
    <t>SMH SHIP( TIANJIN BRIDGE )</t>
    <phoneticPr fontId="17" type="noConversion"/>
  </si>
  <si>
    <t>SMH SHIP( SINO BRIDGE )</t>
    <phoneticPr fontId="17" type="noConversion"/>
  </si>
  <si>
    <t>MAA</t>
    <phoneticPr fontId="17" type="noConversion"/>
  </si>
  <si>
    <t>PKL</t>
    <phoneticPr fontId="17" type="noConversion"/>
  </si>
  <si>
    <r>
      <rPr>
        <sz val="12"/>
        <color rgb="FF000000"/>
        <rFont val="宋体"/>
        <family val="3"/>
        <charset val="134"/>
      </rPr>
      <t>总舱位</t>
    </r>
    <phoneticPr fontId="17" type="noConversion"/>
  </si>
  <si>
    <t>650TEU/9100TONS</t>
    <phoneticPr fontId="17" type="noConversion"/>
  </si>
  <si>
    <t>780TEU/10918TONS</t>
    <phoneticPr fontId="17" type="noConversion"/>
  </si>
  <si>
    <t>780TEU/10918TONS</t>
    <phoneticPr fontId="8" type="noConversion"/>
  </si>
  <si>
    <t>690TEU/9660</t>
    <phoneticPr fontId="17" type="noConversion"/>
  </si>
  <si>
    <t>HQR/HQS</t>
    <phoneticPr fontId="8" type="noConversion"/>
  </si>
  <si>
    <t>干线包舱</t>
    <phoneticPr fontId="17" type="noConversion"/>
  </si>
  <si>
    <r>
      <rPr>
        <sz val="12"/>
        <color theme="1"/>
        <rFont val="Times New Roman"/>
        <family val="1"/>
      </rPr>
      <t>合计</t>
    </r>
    <phoneticPr fontId="8" type="noConversion"/>
  </si>
  <si>
    <t>PMX :</t>
  </si>
  <si>
    <t xml:space="preserve">C Y C L E  12   -  A D J U S T E D   B S A  </t>
  </si>
  <si>
    <t>* After Swap *</t>
  </si>
  <si>
    <t>BSA</t>
  </si>
  <si>
    <t>COS</t>
  </si>
  <si>
    <t>EMC</t>
  </si>
  <si>
    <t>PIL</t>
  </si>
  <si>
    <t>WHL</t>
  </si>
  <si>
    <t>Kline</t>
  </si>
  <si>
    <t>TTL</t>
  </si>
  <si>
    <t>#</t>
  </si>
  <si>
    <t>VSL OPR</t>
  </si>
  <si>
    <t>VSL</t>
  </si>
  <si>
    <t>VOY</t>
  </si>
  <si>
    <t>%</t>
  </si>
  <si>
    <t>Remarks</t>
  </si>
  <si>
    <t>EVER UNIQUE</t>
  </si>
  <si>
    <t>V165</t>
  </si>
  <si>
    <t xml:space="preserve">1. COS release to WHL: </t>
  </si>
  <si>
    <t>ZANTE</t>
  </si>
  <si>
    <t>V108</t>
  </si>
  <si>
    <t xml:space="preserve">2. PIL release to WHL: </t>
  </si>
  <si>
    <t>LOS ANGELES TRADER</t>
  </si>
  <si>
    <t>V002</t>
  </si>
  <si>
    <t>3 EMC release to Kline :</t>
  </si>
  <si>
    <t>XIN CHANG SHU</t>
  </si>
  <si>
    <t>V205</t>
  </si>
  <si>
    <t xml:space="preserve">TALASSA </t>
  </si>
  <si>
    <t>V041</t>
  </si>
  <si>
    <t>NORTHERN PRIORITY</t>
  </si>
  <si>
    <t>V022</t>
  </si>
  <si>
    <t>* Note :</t>
  </si>
  <si>
    <t>20HC =</t>
  </si>
  <si>
    <t>1.00 TEU</t>
  </si>
  <si>
    <t>20HC to be separately indicated in forecasts</t>
  </si>
  <si>
    <t>40HC =</t>
  </si>
  <si>
    <t>2.00 TEU</t>
  </si>
  <si>
    <t>45HC =</t>
  </si>
  <si>
    <t>3.00 TEU</t>
  </si>
  <si>
    <t>45HC acceptance to be based on application approval.</t>
  </si>
  <si>
    <t>COS release 100teu/1300mt/10plug (SHA 890mt/PICT 1120mt) to WHL / PIL release 50teu/650mt/5plug(SHA 430mt/PICT 560mt) to WHL /</t>
  </si>
  <si>
    <t>EMC release 268teu/3484mt/25plug(SHA 2250mt on 4200 vsl, 2407mt on 3600vsl/PICT 3005mt on 4200vsl, 2984mt on 3600vsl)to Kline</t>
  </si>
  <si>
    <t>DWT</t>
  </si>
  <si>
    <t>SHA DWT</t>
  </si>
  <si>
    <t>3. EMC release to Kline on 4200vsl:</t>
  </si>
  <si>
    <t>4. EMC release to Kline on 3600vsl:</t>
  </si>
  <si>
    <t>PICT DWT</t>
  </si>
  <si>
    <t>REEFER</t>
  </si>
  <si>
    <t>PLUG</t>
  </si>
  <si>
    <t xml:space="preserve">Operator </t>
  </si>
  <si>
    <t xml:space="preserve">Service </t>
  </si>
  <si>
    <t xml:space="preserve">Co-Operator </t>
  </si>
  <si>
    <t>CHEN FANG</t>
  </si>
  <si>
    <t xml:space="preserve">CS, TS </t>
  </si>
  <si>
    <t xml:space="preserve">DU LIN </t>
  </si>
  <si>
    <t>CV1</t>
  </si>
  <si>
    <t>SIM KHENG YEE</t>
  </si>
  <si>
    <t>KTX3</t>
  </si>
  <si>
    <t xml:space="preserve">ONG SHUH HUEY </t>
  </si>
  <si>
    <t xml:space="preserve">NCT </t>
  </si>
  <si>
    <t xml:space="preserve">FRANK JIANG </t>
    <phoneticPr fontId="8" type="noConversion"/>
  </si>
  <si>
    <t>WANG JIA</t>
  </si>
  <si>
    <t>JCV</t>
  </si>
  <si>
    <t>SOO JUN GANG</t>
  </si>
  <si>
    <t>RBC2</t>
  </si>
  <si>
    <t xml:space="preserve">QUAH CHOON LIANG </t>
  </si>
  <si>
    <t xml:space="preserve">IRENE ANG </t>
  </si>
  <si>
    <t>CKI</t>
  </si>
  <si>
    <t>CNP2</t>
  </si>
  <si>
    <t>ZHU QIU YING</t>
  </si>
  <si>
    <t>KCM2</t>
  </si>
  <si>
    <t>RHY</t>
  </si>
  <si>
    <t>SVX</t>
  </si>
  <si>
    <t>CHINA-1</t>
  </si>
  <si>
    <t>IRENE ANG</t>
  </si>
  <si>
    <t>CTI1</t>
  </si>
  <si>
    <t>CVT-T</t>
  </si>
  <si>
    <t xml:space="preserve">FRANK JIANG </t>
  </si>
  <si>
    <t>CVT-V</t>
  </si>
  <si>
    <t>BMX</t>
  </si>
  <si>
    <t>CVX1</t>
  </si>
  <si>
    <t>SVG</t>
  </si>
  <si>
    <t xml:space="preserve">SIM KHENG YEE </t>
    <phoneticPr fontId="8" type="noConversion"/>
  </si>
  <si>
    <t xml:space="preserve">CISC </t>
  </si>
  <si>
    <t>CHH2</t>
  </si>
  <si>
    <t xml:space="preserve">CTJ </t>
  </si>
  <si>
    <t xml:space="preserve">JSM </t>
  </si>
  <si>
    <t>JVT</t>
  </si>
  <si>
    <t>CIX</t>
  </si>
  <si>
    <t>CSE</t>
  </si>
  <si>
    <t>PA1</t>
  </si>
  <si>
    <t>AGI</t>
  </si>
  <si>
    <t>CI2</t>
  </si>
  <si>
    <t>PMX</t>
  </si>
  <si>
    <t>MARIBOR 014 W</t>
    <phoneticPr fontId="8" type="noConversion"/>
  </si>
  <si>
    <t>HQ</t>
    <phoneticPr fontId="8" type="noConversion"/>
  </si>
  <si>
    <t>JPO TAURUS 021 W</t>
    <phoneticPr fontId="8" type="noConversion"/>
  </si>
  <si>
    <t>CI2</t>
    <phoneticPr fontId="8" type="noConversion"/>
  </si>
  <si>
    <t xml:space="preserve">WAN HAI 515 044 W </t>
    <phoneticPr fontId="8" type="noConversion"/>
  </si>
  <si>
    <t xml:space="preserve">COSCO HOUSTON 038 W </t>
    <phoneticPr fontId="8" type="noConversion"/>
  </si>
  <si>
    <t>PKG</t>
    <phoneticPr fontId="8" type="noConversion"/>
  </si>
  <si>
    <t>CISC</t>
    <phoneticPr fontId="8" type="noConversion"/>
  </si>
  <si>
    <t>CISC</t>
    <phoneticPr fontId="8" type="noConversion"/>
  </si>
  <si>
    <t>CISC</t>
    <phoneticPr fontId="8" type="noConversion"/>
  </si>
  <si>
    <t>CI1</t>
    <phoneticPr fontId="8" type="noConversion"/>
  </si>
  <si>
    <t>PKG</t>
    <phoneticPr fontId="8" type="noConversion"/>
  </si>
  <si>
    <t xml:space="preserve">EVER UNISON 167 W </t>
    <phoneticPr fontId="8" type="noConversion"/>
  </si>
  <si>
    <r>
      <t xml:space="preserve">H1 </t>
    </r>
    <r>
      <rPr>
        <sz val="10"/>
        <color theme="1"/>
        <rFont val="宋体"/>
        <family val="3"/>
        <charset val="134"/>
      </rPr>
      <t>周数，公式计算（以离开远东最后一港）</t>
    </r>
    <phoneticPr fontId="15" type="noConversion"/>
  </si>
  <si>
    <t>EVER UNION 171 W</t>
    <phoneticPr fontId="8" type="noConversion"/>
  </si>
  <si>
    <t xml:space="preserve">ZANTE 010 W </t>
    <phoneticPr fontId="8" type="noConversion"/>
  </si>
  <si>
    <t>COSCO HAMBURG 124 W</t>
    <phoneticPr fontId="8" type="noConversion"/>
  </si>
  <si>
    <t xml:space="preserve">WAN HAI 507 131 W </t>
    <phoneticPr fontId="8" type="noConversion"/>
  </si>
  <si>
    <t xml:space="preserve">COSCO NAGOYA 076 W </t>
    <phoneticPr fontId="8" type="noConversion"/>
  </si>
  <si>
    <t xml:space="preserve">E.R. SWEDEN 015 W </t>
    <phoneticPr fontId="8" type="noConversion"/>
  </si>
  <si>
    <t>WIN-SD7-086 W</t>
    <phoneticPr fontId="8" type="noConversion"/>
  </si>
  <si>
    <t>FCS FELIXSTOWE BRIDGE 077 W</t>
    <phoneticPr fontId="8" type="noConversion"/>
  </si>
  <si>
    <t>CI1-NP1-014 W</t>
    <phoneticPr fontId="8" type="noConversion"/>
  </si>
  <si>
    <t>HUA</t>
    <phoneticPr fontId="8" type="noConversion"/>
  </si>
  <si>
    <t>XMN</t>
    <phoneticPr fontId="8" type="noConversion"/>
  </si>
  <si>
    <t>CI1-ASV-131 W</t>
    <phoneticPr fontId="8" type="noConversion"/>
  </si>
  <si>
    <t>PMX-SBC-171 W</t>
    <phoneticPr fontId="8" type="noConversion"/>
  </si>
  <si>
    <t>跳新加坡</t>
    <phoneticPr fontId="8" type="noConversion"/>
  </si>
  <si>
    <t>PIX-RQ5-151 W</t>
    <phoneticPr fontId="8" type="noConversion"/>
  </si>
  <si>
    <t>PIX-CAT-047 W</t>
    <phoneticPr fontId="8" type="noConversion"/>
  </si>
  <si>
    <t>FCS-QG4-077 W</t>
    <phoneticPr fontId="8" type="noConversion"/>
  </si>
  <si>
    <t xml:space="preserve">CMA CGM VERDI 014 W </t>
    <phoneticPr fontId="8" type="noConversion"/>
  </si>
  <si>
    <t>FCE-RXF-123 W</t>
    <phoneticPr fontId="8" type="noConversion"/>
  </si>
  <si>
    <t>FCE-NY1-006 W</t>
    <phoneticPr fontId="8" type="noConversion"/>
  </si>
  <si>
    <t xml:space="preserve">SEASPAN HAMBURG 015 W </t>
    <phoneticPr fontId="8" type="noConversion"/>
  </si>
  <si>
    <t>CI2-TBZ-021 W</t>
    <phoneticPr fontId="8" type="noConversion"/>
  </si>
  <si>
    <t>HAK</t>
    <phoneticPr fontId="8" type="noConversion"/>
  </si>
  <si>
    <t xml:space="preserve">YM SUCCESS 134 W </t>
    <phoneticPr fontId="8" type="noConversion"/>
  </si>
  <si>
    <t>WAN HAI 513 046 W</t>
    <phoneticPr fontId="8" type="noConversion"/>
  </si>
  <si>
    <t>PMX-QT8-010 W</t>
    <phoneticPr fontId="8" type="noConversion"/>
  </si>
  <si>
    <t>PMX-N75-007 W</t>
    <phoneticPr fontId="8" type="noConversion"/>
  </si>
  <si>
    <t>PIX-ARV-130 W</t>
    <phoneticPr fontId="8" type="noConversion"/>
  </si>
  <si>
    <t>WIN-QYO-016 W</t>
    <phoneticPr fontId="8" type="noConversion"/>
  </si>
  <si>
    <t>WIN-QLT-015 W</t>
    <phoneticPr fontId="8" type="noConversion"/>
  </si>
  <si>
    <t>AIS-SGD-040 W</t>
    <phoneticPr fontId="8" type="noConversion"/>
  </si>
  <si>
    <t>AIS-R9M-014 W</t>
    <phoneticPr fontId="8" type="noConversion"/>
  </si>
  <si>
    <t>跳新加坡</t>
    <phoneticPr fontId="8" type="noConversion"/>
  </si>
  <si>
    <t>FCS-QZX-012 W</t>
    <phoneticPr fontId="8" type="noConversion"/>
  </si>
  <si>
    <t>OOCL</t>
    <phoneticPr fontId="8" type="noConversion"/>
  </si>
  <si>
    <t xml:space="preserve">XIN QIN HUANG DAO 043 W </t>
    <phoneticPr fontId="8" type="noConversion"/>
  </si>
  <si>
    <t>FCE-RFE-152 W</t>
    <phoneticPr fontId="8" type="noConversion"/>
  </si>
  <si>
    <t xml:space="preserve">NAVIOS VERMILION 101 W </t>
    <phoneticPr fontId="8" type="noConversion"/>
  </si>
  <si>
    <t>CI1-ROC-015 W</t>
    <phoneticPr fontId="8" type="noConversion"/>
  </si>
  <si>
    <t>合作方通知跳巴生</t>
    <phoneticPr fontId="8" type="noConversion"/>
  </si>
  <si>
    <t>离开蛇口总量</t>
    <phoneticPr fontId="8" type="noConversion"/>
  </si>
  <si>
    <t>关线</t>
    <phoneticPr fontId="8" type="noConversion"/>
  </si>
  <si>
    <t>GNS</t>
    <phoneticPr fontId="8" type="noConversion"/>
  </si>
  <si>
    <t>900TEU/12150MT</t>
    <phoneticPr fontId="17" type="noConversion"/>
  </si>
  <si>
    <t>1000TEU/13500MT (CUL 100TEU)</t>
    <phoneticPr fontId="17" type="noConversion"/>
  </si>
  <si>
    <t>2400TEU/32400TONS( PIL 300TEU)</t>
    <phoneticPr fontId="17" type="noConversion"/>
  </si>
  <si>
    <t>HAK</t>
    <phoneticPr fontId="17" type="noConversion"/>
  </si>
  <si>
    <t>SHK</t>
    <phoneticPr fontId="17" type="noConversion"/>
  </si>
  <si>
    <t>SGP</t>
    <phoneticPr fontId="17" type="noConversion"/>
  </si>
  <si>
    <t>MYS</t>
    <phoneticPr fontId="17" type="noConversion"/>
  </si>
  <si>
    <t>THL</t>
    <phoneticPr fontId="17" type="noConversion"/>
  </si>
  <si>
    <t>IDN</t>
    <phoneticPr fontId="17" type="noConversion"/>
  </si>
  <si>
    <t>MMR</t>
    <phoneticPr fontId="17" type="noConversion"/>
  </si>
  <si>
    <t>VNM</t>
    <phoneticPr fontId="17" type="noConversion"/>
  </si>
  <si>
    <t>PHL</t>
    <phoneticPr fontId="17" type="noConversion"/>
  </si>
  <si>
    <t>LKS</t>
    <phoneticPr fontId="17" type="noConversion"/>
  </si>
  <si>
    <t>HQR/HQS</t>
    <phoneticPr fontId="17" type="noConversion"/>
  </si>
  <si>
    <r>
      <rPr>
        <sz val="11"/>
        <color theme="1"/>
        <rFont val="宋体"/>
        <family val="3"/>
        <charset val="134"/>
      </rPr>
      <t>干线包舱</t>
    </r>
    <phoneticPr fontId="17" type="noConversion"/>
  </si>
  <si>
    <r>
      <rPr>
        <sz val="11"/>
        <color theme="1"/>
        <rFont val="Times New Roman"/>
        <family val="1"/>
      </rPr>
      <t>合计</t>
    </r>
    <phoneticPr fontId="8" type="noConversion"/>
  </si>
  <si>
    <t>EFFECTIVE SVVD:</t>
    <phoneticPr fontId="17" type="noConversion"/>
  </si>
  <si>
    <t>SVC</t>
    <phoneticPr fontId="17" type="noConversion"/>
  </si>
  <si>
    <t>VSL/VOA</t>
    <phoneticPr fontId="17" type="noConversion"/>
  </si>
  <si>
    <t>ETA</t>
    <phoneticPr fontId="17" type="noConversion"/>
  </si>
  <si>
    <t>POL</t>
    <phoneticPr fontId="17" type="noConversion"/>
  </si>
  <si>
    <t>CISC</t>
    <phoneticPr fontId="17" type="noConversion"/>
  </si>
  <si>
    <t>TBN</t>
    <phoneticPr fontId="17" type="noConversion"/>
  </si>
  <si>
    <t>TAO</t>
    <phoneticPr fontId="17" type="noConversion"/>
  </si>
  <si>
    <t>CI1</t>
    <phoneticPr fontId="17" type="noConversion"/>
  </si>
  <si>
    <t>Maribor</t>
    <phoneticPr fontId="17" type="noConversion"/>
  </si>
  <si>
    <t>4th April</t>
    <phoneticPr fontId="17" type="noConversion"/>
  </si>
  <si>
    <t>SHA</t>
    <phoneticPr fontId="17" type="noConversion"/>
  </si>
  <si>
    <t>AIS</t>
    <phoneticPr fontId="17" type="noConversion"/>
  </si>
  <si>
    <t xml:space="preserve">JPO ATAIR </t>
    <phoneticPr fontId="17" type="noConversion"/>
  </si>
  <si>
    <t>29th Mar</t>
    <phoneticPr fontId="17" type="noConversion"/>
  </si>
  <si>
    <r>
      <t>C</t>
    </r>
    <r>
      <rPr>
        <sz val="11"/>
        <color theme="1"/>
        <rFont val="宋体"/>
        <family val="3"/>
        <charset val="134"/>
        <scheme val="minor"/>
      </rPr>
      <t>I1/CI2舱位互换，CISC扩舱</t>
    </r>
    <phoneticPr fontId="8" type="noConversion"/>
  </si>
  <si>
    <t>XIN CHANG SHU 033 W/XIN XIA MEN 055W</t>
    <phoneticPr fontId="8" type="noConversion"/>
  </si>
  <si>
    <t>PMX-QM3-033 W/PMX-RMC-055 W</t>
    <phoneticPr fontId="8" type="noConversion"/>
  </si>
  <si>
    <t xml:space="preserve">KOTA LAMBANG 110 W </t>
    <phoneticPr fontId="8" type="noConversion"/>
  </si>
  <si>
    <t>PIX-RFA-110 W</t>
    <phoneticPr fontId="8" type="noConversion"/>
  </si>
  <si>
    <t xml:space="preserve">JPO ATAIR 001 W </t>
    <phoneticPr fontId="8" type="noConversion"/>
  </si>
  <si>
    <t>停航</t>
    <phoneticPr fontId="8" type="noConversion"/>
  </si>
  <si>
    <t>CONTI CANBERRA 210 W</t>
    <phoneticPr fontId="8" type="noConversion"/>
  </si>
  <si>
    <t>CI2-Q69-046 W</t>
    <phoneticPr fontId="8" type="noConversion"/>
  </si>
  <si>
    <t>CI2-CAN-038 W</t>
    <phoneticPr fontId="8" type="noConversion"/>
  </si>
  <si>
    <t>CI2-QAJ-044 W</t>
    <phoneticPr fontId="8" type="noConversion"/>
  </si>
  <si>
    <t>FCE-QT1-181 W</t>
    <phoneticPr fontId="8" type="noConversion"/>
  </si>
  <si>
    <t>CISC-SEE-167 W</t>
    <phoneticPr fontId="8" type="noConversion"/>
  </si>
  <si>
    <t>CISC-CBL-124 W</t>
    <phoneticPr fontId="8" type="noConversion"/>
  </si>
  <si>
    <t>跳高雄</t>
    <phoneticPr fontId="8" type="noConversion"/>
  </si>
  <si>
    <t xml:space="preserve">TALASSA 008 W </t>
    <phoneticPr fontId="8" type="noConversion"/>
  </si>
  <si>
    <t xml:space="preserve">LOS ANGELES TRADER 007 W </t>
    <phoneticPr fontId="8" type="noConversion"/>
  </si>
  <si>
    <t>FCE-N7E-101 W</t>
    <phoneticPr fontId="8" type="noConversion"/>
  </si>
  <si>
    <t>CI1-T72-076 W</t>
    <phoneticPr fontId="8" type="noConversion"/>
  </si>
  <si>
    <t>CI2-QUU-019 W</t>
    <phoneticPr fontId="8" type="noConversion"/>
  </si>
  <si>
    <t>CISC-SFP-134 W</t>
    <phoneticPr fontId="8" type="noConversion"/>
  </si>
  <si>
    <t>82/804  57/548</t>
    <phoneticPr fontId="8" type="noConversion"/>
  </si>
  <si>
    <t xml:space="preserve">ATHENS BRIDGE 131 W </t>
    <phoneticPr fontId="8" type="noConversion"/>
  </si>
  <si>
    <t>PIX-RKP-131 W</t>
    <phoneticPr fontId="8" type="noConversion"/>
  </si>
  <si>
    <t xml:space="preserve">KMTC DUBAI 016 W </t>
    <phoneticPr fontId="8" type="noConversion"/>
  </si>
  <si>
    <t xml:space="preserve">PL GERMANY 008 W </t>
    <phoneticPr fontId="8" type="noConversion"/>
  </si>
  <si>
    <t>FCS-A2K-008 W</t>
    <phoneticPr fontId="8" type="noConversion"/>
  </si>
  <si>
    <t>MARIBOR 015 W</t>
    <phoneticPr fontId="8" type="noConversion"/>
  </si>
  <si>
    <t>WAN HAI 517 036 W</t>
    <phoneticPr fontId="8" type="noConversion"/>
  </si>
  <si>
    <t>CI2-QCG-036 W</t>
    <phoneticPr fontId="8" type="noConversion"/>
  </si>
  <si>
    <t>CSAV TOCONAO 015 W</t>
    <phoneticPr fontId="8" type="noConversion"/>
  </si>
  <si>
    <t>CISC-S3V-015 W</t>
    <phoneticPr fontId="8" type="noConversion"/>
  </si>
  <si>
    <t>PMX-Q48-008 W</t>
    <phoneticPr fontId="8" type="noConversion"/>
  </si>
  <si>
    <t>NORTHERN GUILD  019 W</t>
    <phoneticPr fontId="8" type="noConversion"/>
  </si>
  <si>
    <t>AIS-Q9K-017 W</t>
    <phoneticPr fontId="8" type="noConversion"/>
  </si>
  <si>
    <t>离开华南港吃水</t>
    <phoneticPr fontId="8" type="noConversion"/>
  </si>
  <si>
    <t>FCS-RYK-043 W</t>
    <phoneticPr fontId="8" type="noConversion"/>
  </si>
  <si>
    <t>FCS-RA9-014 W</t>
    <phoneticPr fontId="8" type="noConversion"/>
  </si>
  <si>
    <t>HAK</t>
    <phoneticPr fontId="8" type="noConversion"/>
  </si>
  <si>
    <t xml:space="preserve">THURINGIA 181 W </t>
    <phoneticPr fontId="8" type="noConversion"/>
  </si>
  <si>
    <t>HAK</t>
    <phoneticPr fontId="8" type="noConversion"/>
  </si>
  <si>
    <t>CI2</t>
    <phoneticPr fontId="17" type="noConversion"/>
  </si>
  <si>
    <t xml:space="preserve">WAN HAI 517 </t>
    <phoneticPr fontId="17" type="noConversion"/>
  </si>
  <si>
    <t>6th Apr</t>
    <phoneticPr fontId="17" type="noConversion"/>
  </si>
  <si>
    <t>TAO</t>
    <phoneticPr fontId="17" type="noConversion"/>
  </si>
  <si>
    <t>CISC-SS7-210 W</t>
    <phoneticPr fontId="8" type="noConversion"/>
  </si>
  <si>
    <t>10th April</t>
    <phoneticPr fontId="17" type="noConversion"/>
  </si>
  <si>
    <t xml:space="preserve">COSCO SURABAYA 063 W </t>
    <phoneticPr fontId="8" type="noConversion"/>
  </si>
  <si>
    <t>RCL -  FELIXTOWE BRIDGE</t>
  </si>
  <si>
    <t xml:space="preserve">               611 </t>
  </si>
  <si>
    <t xml:space="preserve">            8,554 </t>
  </si>
  <si>
    <t xml:space="preserve">               734 </t>
  </si>
  <si>
    <t xml:space="preserve">          10,276 </t>
  </si>
  <si>
    <t>COSCO -  Xin Qin Huang Dao</t>
  </si>
  <si>
    <t xml:space="preserve">               735 </t>
  </si>
  <si>
    <t xml:space="preserve">          10,290 </t>
  </si>
  <si>
    <t>TS LINE - TBC</t>
  </si>
  <si>
    <t>SMH - MV PL Germany</t>
  </si>
  <si>
    <t>TOTAL :</t>
  </si>
  <si>
    <t xml:space="preserve">            3,550 </t>
  </si>
  <si>
    <t xml:space="preserve">          49,700 </t>
  </si>
  <si>
    <t xml:space="preserve">          26,900 </t>
  </si>
  <si>
    <t xml:space="preserve">          50,000 </t>
  </si>
  <si>
    <t xml:space="preserve">KOTA LAGU 152 W </t>
    <phoneticPr fontId="8" type="noConversion"/>
  </si>
  <si>
    <t>PMX-CFI-063 W</t>
    <phoneticPr fontId="8" type="noConversion"/>
  </si>
  <si>
    <t xml:space="preserve">EVER UNION 172 W </t>
    <phoneticPr fontId="8" type="noConversion"/>
  </si>
  <si>
    <t>PMX-SBC-172 W</t>
    <phoneticPr fontId="8" type="noConversion"/>
  </si>
  <si>
    <t>WIDE INDIA 017 W/RHL CONSTANTIA 015 W</t>
    <phoneticPr fontId="8" type="noConversion"/>
  </si>
  <si>
    <t>AIS-S1K-017 W/AIS-QDI-015 W</t>
    <phoneticPr fontId="8" type="noConversion"/>
  </si>
  <si>
    <t>AIS-TDF-001 W</t>
    <phoneticPr fontId="8" type="noConversion"/>
  </si>
  <si>
    <t xml:space="preserve">LODESTAR 001 W </t>
    <phoneticPr fontId="8" type="noConversion"/>
  </si>
  <si>
    <t>VENETIA 007 W</t>
    <phoneticPr fontId="8" type="noConversion"/>
  </si>
  <si>
    <t>FCE-NY1-007 W</t>
    <phoneticPr fontId="8" type="noConversion"/>
  </si>
  <si>
    <t>FCE-RXF-124 W</t>
    <phoneticPr fontId="8" type="noConversion"/>
  </si>
  <si>
    <t xml:space="preserve">WAN HAI 501 124 W </t>
    <phoneticPr fontId="8" type="noConversion"/>
  </si>
  <si>
    <t>WAN HAI 507 132 W</t>
    <phoneticPr fontId="8" type="noConversion"/>
  </si>
  <si>
    <t>CI1-ASV-132 W</t>
    <phoneticPr fontId="8" type="noConversion"/>
  </si>
  <si>
    <t>CI1-NP1-015 W</t>
    <phoneticPr fontId="8" type="noConversion"/>
  </si>
  <si>
    <t>JPO TAURUS 022 W</t>
    <phoneticPr fontId="8" type="noConversion"/>
  </si>
  <si>
    <t>CONTI CHAMPION 098 W</t>
    <phoneticPr fontId="8" type="noConversion"/>
  </si>
  <si>
    <t>CISC-STK-098 W</t>
    <phoneticPr fontId="8" type="noConversion"/>
  </si>
  <si>
    <t>跳巴生</t>
    <phoneticPr fontId="8" type="noConversion"/>
  </si>
  <si>
    <t>跳巴生</t>
    <phoneticPr fontId="8" type="noConversion"/>
  </si>
  <si>
    <t xml:space="preserve">COSCO ROTTERDAM 131 W </t>
    <phoneticPr fontId="8" type="noConversion"/>
  </si>
  <si>
    <t>PMX-CBK-131 W</t>
    <phoneticPr fontId="8" type="noConversion"/>
  </si>
  <si>
    <t xml:space="preserve">COSCO DURBAN 048 W </t>
    <phoneticPr fontId="8" type="noConversion"/>
  </si>
  <si>
    <t>PIX-CAT-048 W</t>
    <phoneticPr fontId="8" type="noConversion"/>
  </si>
  <si>
    <t>PIRAEUS 041W</t>
    <phoneticPr fontId="8" type="noConversion"/>
  </si>
  <si>
    <t xml:space="preserve">TIANJIN BRIDGE 013 W </t>
    <phoneticPr fontId="8" type="noConversion"/>
  </si>
  <si>
    <t>FCS-QZX-013 W</t>
    <phoneticPr fontId="8" type="noConversion"/>
  </si>
  <si>
    <t>SMH - Tianjin Bridge</t>
  </si>
  <si>
    <t>FCE-RFE-153 W</t>
    <phoneticPr fontId="8" type="noConversion"/>
  </si>
  <si>
    <t>跳宁波</t>
    <phoneticPr fontId="8" type="noConversion"/>
  </si>
  <si>
    <t>AGAMEMNON 016 W</t>
    <phoneticPr fontId="8" type="noConversion"/>
  </si>
  <si>
    <t>CISC-S4M-016 W</t>
    <phoneticPr fontId="8" type="noConversion"/>
  </si>
  <si>
    <t xml:space="preserve">WAN HAI 508 153 W </t>
    <phoneticPr fontId="8" type="noConversion"/>
  </si>
  <si>
    <t>CI1-ROC-016 W</t>
    <phoneticPr fontId="8" type="noConversion"/>
  </si>
  <si>
    <t>跳巴生</t>
    <phoneticPr fontId="8" type="noConversion"/>
  </si>
  <si>
    <t>跳香港</t>
    <phoneticPr fontId="8" type="noConversion"/>
  </si>
  <si>
    <t>COSCO -  Xin Qin Huang Dao</t>
  </si>
  <si>
    <t>TS LINE - LODESTAR</t>
  </si>
  <si>
    <t>HKG</t>
    <phoneticPr fontId="8" type="noConversion"/>
  </si>
  <si>
    <t>HAK</t>
    <phoneticPr fontId="8" type="noConversion"/>
  </si>
  <si>
    <t>PKG</t>
    <phoneticPr fontId="8" type="noConversion"/>
  </si>
  <si>
    <t>CISC-R9I-005 W</t>
    <phoneticPr fontId="8" type="noConversion"/>
  </si>
  <si>
    <t>AIS-SGD-041 W</t>
    <phoneticPr fontId="8" type="noConversion"/>
  </si>
  <si>
    <t xml:space="preserve">WAN HAI 515 045 W </t>
    <phoneticPr fontId="8" type="noConversion"/>
  </si>
  <si>
    <t>PMX-QAJ-045 W</t>
    <phoneticPr fontId="8" type="noConversion"/>
  </si>
  <si>
    <t xml:space="preserve">WAN HAI 503 131 W </t>
    <phoneticPr fontId="8" type="noConversion"/>
  </si>
  <si>
    <t>PIX-ARV-131 W</t>
    <phoneticPr fontId="8" type="noConversion"/>
  </si>
  <si>
    <t>CLEMENS SCHULTE 015 W</t>
    <phoneticPr fontId="8" type="noConversion"/>
  </si>
  <si>
    <t>AIS-R9M-015 W</t>
    <phoneticPr fontId="8" type="noConversion"/>
  </si>
  <si>
    <t xml:space="preserve">FELIXSTOWE BRIDGE 078 W </t>
    <phoneticPr fontId="8" type="noConversion"/>
  </si>
  <si>
    <t>FCS-QG4-078 W</t>
    <phoneticPr fontId="8" type="noConversion"/>
  </si>
  <si>
    <t xml:space="preserve">NAVIOS VERMILION 102 W </t>
    <phoneticPr fontId="8" type="noConversion"/>
  </si>
  <si>
    <t>FCE-N7E-102 W</t>
    <phoneticPr fontId="8" type="noConversion"/>
  </si>
  <si>
    <t>AIS-S2K-016 W</t>
    <phoneticPr fontId="8" type="noConversion"/>
  </si>
  <si>
    <t>跳蛇口</t>
    <phoneticPr fontId="8" type="noConversion"/>
  </si>
  <si>
    <t>PIX-RQ5-152 W</t>
    <phoneticPr fontId="8" type="noConversion"/>
  </si>
  <si>
    <t>FCS-N6W-001 W</t>
    <phoneticPr fontId="8" type="noConversion"/>
  </si>
  <si>
    <t>COSCO NAGOYA 077 W</t>
    <phoneticPr fontId="8" type="noConversion"/>
  </si>
  <si>
    <t>CI1-T72-077 W</t>
    <phoneticPr fontId="8" type="noConversion"/>
  </si>
  <si>
    <t>CI2-CAN-039 W</t>
    <phoneticPr fontId="8" type="noConversion"/>
  </si>
  <si>
    <t>COSCO HOUSTON 039 W</t>
    <phoneticPr fontId="8" type="noConversion"/>
  </si>
  <si>
    <t>PKG</t>
    <phoneticPr fontId="8" type="noConversion"/>
  </si>
  <si>
    <t>NORTHERN JUPITER 005 W</t>
    <phoneticPr fontId="8" type="noConversion"/>
  </si>
  <si>
    <t>CI2-TBZ-022 W</t>
    <phoneticPr fontId="8" type="noConversion"/>
  </si>
  <si>
    <t>SEASPAN HAMBURG 016 W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</si>
</sst>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月&quot;d&quot;日&quot;;@"/>
    <numFmt numFmtId="177" formatCode="dd/mm"/>
    <numFmt numFmtId="178" formatCode="_-* #,##0_-;\-* #,##0_-;_-* &quot;-&quot;??_-;_-@_-"/>
  </numFmts>
  <fonts count="56">
    <font>
      <sz val="11"/>
      <color theme="1"/>
      <name val="宋体"/>
      <charset val="134"/>
      <scheme val="minor"/>
    </font>
    <font>
      <sz val="10"/>
      <color rgb="FF000000"/>
      <name val="Times New Roman"/>
      <family val="1"/>
    </font>
    <font>
      <sz val="10"/>
      <color rgb="FF000000"/>
      <name val="宋体"/>
      <family val="3"/>
      <charset val="134"/>
    </font>
    <font>
      <sz val="10"/>
      <name val="Times New Roman"/>
      <family val="1"/>
    </font>
    <font>
      <sz val="10"/>
      <color rgb="FFFF0000"/>
      <name val="Times New Roman"/>
      <family val="1"/>
    </font>
    <font>
      <sz val="10"/>
      <color theme="1"/>
      <name val="Times New Roman"/>
      <family val="1"/>
    </font>
    <font>
      <sz val="10"/>
      <color rgb="FF0000FF"/>
      <name val="Times New Roman"/>
      <family val="1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name val="ＭＳ Ｐゴシック"/>
      <family val="2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Cambria"/>
      <family val="1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</font>
    <font>
      <sz val="11"/>
      <color rgb="FF000000"/>
      <name val="Cambria"/>
      <family val="1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FF0000"/>
      <name val="Cambria"/>
      <family val="1"/>
    </font>
    <font>
      <sz val="11"/>
      <color theme="1"/>
      <name val="Times New Roman"/>
      <family val="1"/>
    </font>
    <font>
      <sz val="11"/>
      <color rgb="FFFF0000"/>
      <name val="宋体"/>
      <family val="2"/>
      <scheme val="minor"/>
    </font>
    <font>
      <sz val="10"/>
      <color rgb="FFFF0000"/>
      <name val="Cambria"/>
      <family val="1"/>
    </font>
    <font>
      <sz val="12"/>
      <color theme="1"/>
      <name val="Cambria"/>
      <family val="1"/>
    </font>
    <font>
      <sz val="12"/>
      <color rgb="FF000000"/>
      <name val="Cambria"/>
      <family val="1"/>
    </font>
    <font>
      <sz val="12"/>
      <color rgb="FFFF0000"/>
      <name val="Cambria"/>
      <family val="1"/>
    </font>
    <font>
      <sz val="10"/>
      <color theme="1"/>
      <name val="Cambria"/>
      <family val="1"/>
    </font>
    <font>
      <sz val="12"/>
      <color theme="1"/>
      <name val="宋体"/>
      <family val="2"/>
      <charset val="134"/>
    </font>
    <font>
      <sz val="12"/>
      <color rgb="FF000000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b/>
      <sz val="8"/>
      <color rgb="FF7030A0"/>
      <name val="Times New Roman"/>
      <family val="1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8"/>
      <name val="Times New Roman"/>
      <family val="1"/>
    </font>
    <font>
      <sz val="11"/>
      <name val="Times New Roman"/>
      <family val="1"/>
    </font>
    <font>
      <b/>
      <u/>
      <sz val="11"/>
      <color indexed="8"/>
      <name val="Times New Roman"/>
      <family val="1"/>
    </font>
    <font>
      <b/>
      <sz val="11"/>
      <name val="Times New Roman"/>
      <family val="1"/>
    </font>
    <font>
      <b/>
      <sz val="11"/>
      <color indexed="8"/>
      <name val="Times New Roman"/>
      <family val="1"/>
    </font>
    <font>
      <b/>
      <sz val="13"/>
      <color rgb="FFFF0000"/>
      <name val="Times New Roman"/>
      <family val="1"/>
    </font>
    <font>
      <b/>
      <i/>
      <sz val="11"/>
      <color indexed="12"/>
      <name val="Times New Roman"/>
      <family val="1"/>
    </font>
    <font>
      <b/>
      <sz val="11"/>
      <color theme="1"/>
      <name val="宋体"/>
      <family val="1"/>
      <charset val="136"/>
      <scheme val="minor"/>
    </font>
    <font>
      <sz val="11"/>
      <color indexed="8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rgb="FFFF0000"/>
      <name val="Times New Roman"/>
      <family val="1"/>
    </font>
    <font>
      <sz val="10"/>
      <color indexed="8"/>
      <name val="新細明體"/>
      <family val="1"/>
      <charset val="136"/>
    </font>
    <font>
      <b/>
      <sz val="11"/>
      <color rgb="FF000000"/>
      <name val="Cambria"/>
      <family val="1"/>
    </font>
    <font>
      <sz val="9"/>
      <color indexed="81"/>
      <name val="宋体"/>
      <family val="3"/>
      <charset val="134"/>
    </font>
    <font>
      <b/>
      <sz val="10"/>
      <color rgb="FF7030A0"/>
      <name val="宋体"/>
      <family val="3"/>
      <charset val="134"/>
      <scheme val="minor"/>
    </font>
    <font>
      <b/>
      <u/>
      <sz val="10"/>
      <color rgb="FF7030A0"/>
      <name val="宋体"/>
      <family val="3"/>
      <charset val="134"/>
      <scheme val="minor"/>
    </font>
    <font>
      <b/>
      <sz val="10"/>
      <color rgb="FF7030A0"/>
      <name val="Times New Roman"/>
      <family val="1"/>
    </font>
    <font>
      <b/>
      <u/>
      <sz val="8"/>
      <color rgb="FF7030A0"/>
      <name val="Times New Roman"/>
      <family val="1"/>
    </font>
    <font>
      <b/>
      <sz val="1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DBE2E8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0" fillId="0" borderId="0"/>
    <xf numFmtId="0" fontId="11" fillId="0" borderId="0" applyFon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13" fillId="0" borderId="0"/>
  </cellStyleXfs>
  <cellXfs count="385">
    <xf numFmtId="0" fontId="0" fillId="0" borderId="0" xfId="0"/>
    <xf numFmtId="176" fontId="1" fillId="0" borderId="2" xfId="0" applyNumberFormat="1" applyFont="1" applyFill="1" applyBorder="1" applyAlignment="1">
      <alignment horizontal="center" vertical="center"/>
    </xf>
    <xf numFmtId="176" fontId="5" fillId="0" borderId="2" xfId="0" applyNumberFormat="1" applyFont="1" applyBorder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7" fillId="8" borderId="0" xfId="4" applyFont="1" applyFill="1"/>
    <xf numFmtId="0" fontId="38" fillId="9" borderId="0" xfId="4" applyFont="1" applyFill="1" applyBorder="1" applyAlignment="1">
      <alignment horizontal="center"/>
    </xf>
    <xf numFmtId="0" fontId="23" fillId="9" borderId="0" xfId="0" applyFont="1" applyFill="1"/>
    <xf numFmtId="0" fontId="40" fillId="9" borderId="0" xfId="4" applyFont="1" applyFill="1" applyBorder="1" applyAlignment="1">
      <alignment vertical="center"/>
    </xf>
    <xf numFmtId="1" fontId="23" fillId="9" borderId="0" xfId="0" applyNumberFormat="1" applyFont="1" applyFill="1" applyAlignment="1">
      <alignment horizontal="center"/>
    </xf>
    <xf numFmtId="1" fontId="23" fillId="8" borderId="0" xfId="0" applyNumberFormat="1" applyFont="1" applyFill="1" applyAlignment="1">
      <alignment horizontal="center"/>
    </xf>
    <xf numFmtId="0" fontId="49" fillId="11" borderId="17" xfId="0" applyFont="1" applyFill="1" applyBorder="1" applyAlignment="1">
      <alignment horizontal="center" vertical="center"/>
    </xf>
    <xf numFmtId="0" fontId="49" fillId="11" borderId="20" xfId="0" applyFont="1" applyFill="1" applyBorder="1" applyAlignment="1">
      <alignment horizontal="center" vertical="center"/>
    </xf>
    <xf numFmtId="0" fontId="19" fillId="12" borderId="23" xfId="0" applyFont="1" applyFill="1" applyBorder="1" applyAlignment="1">
      <alignment horizontal="center" vertical="center"/>
    </xf>
    <xf numFmtId="0" fontId="19" fillId="12" borderId="24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right" vertical="center"/>
    </xf>
    <xf numFmtId="0" fontId="1" fillId="4" borderId="7" xfId="0" applyFont="1" applyFill="1" applyBorder="1" applyAlignment="1">
      <alignment horizontal="left" vertical="center"/>
    </xf>
    <xf numFmtId="0" fontId="5" fillId="0" borderId="0" xfId="0" applyFont="1" applyAlignment="1"/>
    <xf numFmtId="0" fontId="5" fillId="0" borderId="0" xfId="0" applyFont="1"/>
    <xf numFmtId="0" fontId="1" fillId="0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5" fillId="0" borderId="2" xfId="0" applyFont="1" applyBorder="1"/>
    <xf numFmtId="0" fontId="5" fillId="3" borderId="2" xfId="0" applyFont="1" applyFill="1" applyBorder="1" applyAlignment="1">
      <alignment horizontal="center" vertical="center"/>
    </xf>
    <xf numFmtId="0" fontId="5" fillId="0" borderId="0" xfId="0" applyFont="1" applyFill="1"/>
    <xf numFmtId="0" fontId="0" fillId="0" borderId="0" xfId="0"/>
    <xf numFmtId="176" fontId="1" fillId="0" borderId="2" xfId="0" applyNumberFormat="1" applyFont="1" applyBorder="1" applyAlignment="1">
      <alignment horizontal="center" vertical="center"/>
    </xf>
    <xf numFmtId="176" fontId="5" fillId="0" borderId="0" xfId="0" applyNumberFormat="1" applyFont="1"/>
    <xf numFmtId="176" fontId="1" fillId="4" borderId="7" xfId="0" applyNumberFormat="1" applyFont="1" applyFill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9" fillId="0" borderId="0" xfId="0" applyFont="1"/>
    <xf numFmtId="0" fontId="16" fillId="0" borderId="16" xfId="0" applyFont="1" applyBorder="1" applyAlignment="1">
      <alignment vertical="center"/>
    </xf>
    <xf numFmtId="0" fontId="25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26" fillId="0" borderId="16" xfId="0" applyFont="1" applyBorder="1" applyAlignment="1">
      <alignment horizontal="center" vertical="center"/>
    </xf>
    <xf numFmtId="0" fontId="27" fillId="5" borderId="16" xfId="0" applyFont="1" applyFill="1" applyBorder="1" applyAlignment="1">
      <alignment horizontal="center" vertical="center"/>
    </xf>
    <xf numFmtId="0" fontId="26" fillId="5" borderId="16" xfId="0" applyFont="1" applyFill="1" applyBorder="1" applyAlignment="1">
      <alignment horizontal="center" vertical="center"/>
    </xf>
    <xf numFmtId="0" fontId="26" fillId="7" borderId="16" xfId="0" applyFont="1" applyFill="1" applyBorder="1" applyAlignment="1">
      <alignment horizontal="center" vertical="center"/>
    </xf>
    <xf numFmtId="0" fontId="32" fillId="5" borderId="1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7" borderId="17" xfId="0" applyFont="1" applyFill="1" applyBorder="1" applyAlignment="1"/>
    <xf numFmtId="0" fontId="9" fillId="2" borderId="17" xfId="0" applyFont="1" applyFill="1" applyBorder="1" applyAlignment="1"/>
    <xf numFmtId="0" fontId="34" fillId="2" borderId="21" xfId="1" applyFont="1" applyFill="1" applyBorder="1" applyAlignment="1">
      <alignment vertical="center"/>
    </xf>
    <xf numFmtId="176" fontId="16" fillId="0" borderId="16" xfId="0" applyNumberFormat="1" applyFont="1" applyBorder="1" applyAlignment="1">
      <alignment vertical="center"/>
    </xf>
    <xf numFmtId="0" fontId="1" fillId="4" borderId="7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/>
    <xf numFmtId="0" fontId="1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9" fillId="5" borderId="16" xfId="0" applyFont="1" applyFill="1" applyBorder="1" applyAlignment="1">
      <alignment horizontal="center" vertical="center"/>
    </xf>
    <xf numFmtId="0" fontId="16" fillId="5" borderId="16" xfId="0" applyFont="1" applyFill="1" applyBorder="1" applyAlignment="1">
      <alignment horizontal="center" vertical="center"/>
    </xf>
    <xf numFmtId="0" fontId="5" fillId="4" borderId="7" xfId="0" applyFont="1" applyFill="1" applyBorder="1" applyAlignment="1"/>
    <xf numFmtId="0" fontId="5" fillId="4" borderId="0" xfId="0" applyFont="1" applyFill="1" applyAlignment="1"/>
    <xf numFmtId="0" fontId="1" fillId="4" borderId="7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right" vertical="center"/>
    </xf>
    <xf numFmtId="0" fontId="1" fillId="4" borderId="0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1" fillId="0" borderId="0" xfId="0" applyFont="1" applyFill="1" applyBorder="1" applyAlignment="1">
      <alignment horizontal="center" vertical="center"/>
    </xf>
    <xf numFmtId="0" fontId="5" fillId="0" borderId="0" xfId="0" applyFont="1"/>
    <xf numFmtId="0" fontId="1" fillId="0" borderId="8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0" xfId="0" applyFont="1" applyBorder="1"/>
    <xf numFmtId="0" fontId="1" fillId="0" borderId="7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7" fillId="0" borderId="2" xfId="0" applyFont="1" applyBorder="1"/>
    <xf numFmtId="0" fontId="4" fillId="2" borderId="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5" fillId="0" borderId="0" xfId="0" applyFont="1" applyFill="1"/>
    <xf numFmtId="0" fontId="5" fillId="4" borderId="5" xfId="0" applyFont="1" applyFill="1" applyBorder="1" applyAlignment="1">
      <alignment horizontal="center" vertical="center"/>
    </xf>
    <xf numFmtId="0" fontId="7" fillId="0" borderId="0" xfId="0" applyFont="1" applyFill="1"/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0" fillId="0" borderId="0" xfId="0"/>
    <xf numFmtId="0" fontId="5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vertical="center"/>
    </xf>
    <xf numFmtId="0" fontId="9" fillId="0" borderId="0" xfId="0" applyFont="1"/>
    <xf numFmtId="0" fontId="16" fillId="0" borderId="16" xfId="0" applyFont="1" applyBorder="1" applyAlignment="1">
      <alignment vertical="center"/>
    </xf>
    <xf numFmtId="0" fontId="16" fillId="0" borderId="16" xfId="0" applyFont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 wrapText="1"/>
    </xf>
    <xf numFmtId="0" fontId="19" fillId="5" borderId="16" xfId="0" applyFont="1" applyFill="1" applyBorder="1" applyAlignment="1">
      <alignment horizontal="center" vertical="center"/>
    </xf>
    <xf numFmtId="0" fontId="16" fillId="5" borderId="16" xfId="0" applyFont="1" applyFill="1" applyBorder="1" applyAlignment="1">
      <alignment horizontal="center" vertical="center"/>
    </xf>
    <xf numFmtId="0" fontId="22" fillId="0" borderId="16" xfId="0" applyFont="1" applyFill="1" applyBorder="1" applyAlignment="1">
      <alignment horizontal="center" vertical="center" wrapText="1"/>
    </xf>
    <xf numFmtId="0" fontId="24" fillId="0" borderId="0" xfId="0" applyFont="1"/>
    <xf numFmtId="0" fontId="16" fillId="0" borderId="0" xfId="0" applyFont="1" applyBorder="1" applyAlignment="1">
      <alignment vertical="top"/>
    </xf>
    <xf numFmtId="0" fontId="16" fillId="0" borderId="0" xfId="0" applyFont="1" applyBorder="1" applyAlignment="1">
      <alignment vertical="center"/>
    </xf>
    <xf numFmtId="0" fontId="26" fillId="0" borderId="16" xfId="0" applyFont="1" applyBorder="1" applyAlignment="1">
      <alignment horizontal="center" vertical="center"/>
    </xf>
    <xf numFmtId="0" fontId="26" fillId="0" borderId="16" xfId="0" applyFont="1" applyFill="1" applyBorder="1" applyAlignment="1">
      <alignment horizontal="center" vertical="center" wrapText="1"/>
    </xf>
    <xf numFmtId="0" fontId="27" fillId="5" borderId="16" xfId="0" applyFont="1" applyFill="1" applyBorder="1" applyAlignment="1">
      <alignment horizontal="center" vertical="center"/>
    </xf>
    <xf numFmtId="0" fontId="26" fillId="5" borderId="16" xfId="0" applyFont="1" applyFill="1" applyBorder="1" applyAlignment="1">
      <alignment horizontal="center" vertical="center"/>
    </xf>
    <xf numFmtId="0" fontId="28" fillId="0" borderId="16" xfId="0" applyFont="1" applyFill="1" applyBorder="1" applyAlignment="1">
      <alignment horizontal="center" vertical="center" wrapText="1"/>
    </xf>
    <xf numFmtId="0" fontId="25" fillId="0" borderId="0" xfId="0" applyFont="1" applyBorder="1" applyAlignment="1">
      <alignment vertical="center"/>
    </xf>
    <xf numFmtId="0" fontId="29" fillId="6" borderId="16" xfId="0" applyFont="1" applyFill="1" applyBorder="1" applyAlignment="1">
      <alignment horizontal="center" vertical="center" wrapText="1"/>
    </xf>
    <xf numFmtId="0" fontId="29" fillId="0" borderId="11" xfId="0" applyFont="1" applyFill="1" applyBorder="1" applyAlignment="1">
      <alignment horizontal="center" vertical="center" wrapText="1"/>
    </xf>
    <xf numFmtId="0" fontId="29" fillId="0" borderId="16" xfId="0" applyFont="1" applyFill="1" applyBorder="1" applyAlignment="1">
      <alignment horizontal="center" vertical="center" wrapText="1"/>
    </xf>
    <xf numFmtId="0" fontId="26" fillId="6" borderId="0" xfId="0" applyFont="1" applyFill="1" applyAlignment="1">
      <alignment vertical="center"/>
    </xf>
    <xf numFmtId="0" fontId="26" fillId="6" borderId="16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31" fillId="7" borderId="16" xfId="0" applyFont="1" applyFill="1" applyBorder="1" applyAlignment="1">
      <alignment horizontal="center" vertical="center" wrapText="1"/>
    </xf>
    <xf numFmtId="0" fontId="26" fillId="2" borderId="16" xfId="0" applyFont="1" applyFill="1" applyBorder="1" applyAlignment="1">
      <alignment horizontal="center" vertical="center" wrapText="1"/>
    </xf>
    <xf numFmtId="0" fontId="31" fillId="2" borderId="16" xfId="0" applyFont="1" applyFill="1" applyBorder="1" applyAlignment="1">
      <alignment horizontal="center" vertical="center" wrapText="1"/>
    </xf>
    <xf numFmtId="0" fontId="28" fillId="2" borderId="16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9" fillId="0" borderId="17" xfId="0" applyFont="1" applyBorder="1" applyAlignment="1">
      <alignment horizontal="center"/>
    </xf>
    <xf numFmtId="0" fontId="36" fillId="5" borderId="22" xfId="2" applyFont="1" applyFill="1" applyBorder="1" applyAlignment="1">
      <alignment horizontal="center" vertical="center"/>
    </xf>
    <xf numFmtId="0" fontId="38" fillId="9" borderId="0" xfId="4" applyFont="1" applyFill="1" applyBorder="1" applyAlignment="1">
      <alignment horizontal="center"/>
    </xf>
    <xf numFmtId="0" fontId="39" fillId="9" borderId="0" xfId="0" applyFont="1" applyFill="1" applyAlignment="1">
      <alignment horizontal="left"/>
    </xf>
    <xf numFmtId="0" fontId="23" fillId="9" borderId="0" xfId="0" applyFont="1" applyFill="1"/>
    <xf numFmtId="0" fontId="38" fillId="9" borderId="0" xfId="4" applyFont="1" applyFill="1"/>
    <xf numFmtId="0" fontId="38" fillId="9" borderId="0" xfId="4" applyFont="1" applyFill="1" applyAlignment="1">
      <alignment horizontal="center"/>
    </xf>
    <xf numFmtId="0" fontId="38" fillId="9" borderId="0" xfId="4" applyFont="1" applyFill="1" applyBorder="1"/>
    <xf numFmtId="0" fontId="37" fillId="9" borderId="0" xfId="4" applyFont="1" applyFill="1" applyAlignment="1">
      <alignment horizontal="right"/>
    </xf>
    <xf numFmtId="0" fontId="40" fillId="0" borderId="0" xfId="4" applyFont="1" applyFill="1" applyBorder="1" applyAlignment="1">
      <alignment horizontal="right" vertical="center"/>
    </xf>
    <xf numFmtId="0" fontId="37" fillId="8" borderId="0" xfId="4" applyFont="1" applyFill="1"/>
    <xf numFmtId="0" fontId="3" fillId="9" borderId="0" xfId="4" applyFont="1" applyFill="1" applyBorder="1" applyAlignment="1">
      <alignment horizontal="right" vertical="center"/>
    </xf>
    <xf numFmtId="0" fontId="41" fillId="10" borderId="8" xfId="0" applyFont="1" applyFill="1" applyBorder="1" applyAlignment="1">
      <alignment horizontal="left"/>
    </xf>
    <xf numFmtId="0" fontId="41" fillId="10" borderId="12" xfId="0" applyFont="1" applyFill="1" applyBorder="1" applyAlignment="1">
      <alignment horizontal="center"/>
    </xf>
    <xf numFmtId="0" fontId="41" fillId="10" borderId="3" xfId="0" applyFont="1" applyFill="1" applyBorder="1" applyAlignment="1">
      <alignment horizontal="center"/>
    </xf>
    <xf numFmtId="0" fontId="42" fillId="9" borderId="0" xfId="4" applyFont="1" applyFill="1" applyBorder="1" applyAlignment="1">
      <alignment horizontal="center"/>
    </xf>
    <xf numFmtId="0" fontId="23" fillId="9" borderId="0" xfId="0" applyFont="1" applyFill="1" applyBorder="1" applyAlignment="1">
      <alignment horizontal="left"/>
    </xf>
    <xf numFmtId="0" fontId="40" fillId="9" borderId="0" xfId="4" applyFont="1" applyFill="1" applyBorder="1" applyAlignment="1">
      <alignment vertical="center"/>
    </xf>
    <xf numFmtId="0" fontId="43" fillId="9" borderId="0" xfId="4" quotePrefix="1" applyFont="1" applyFill="1" applyBorder="1" applyAlignment="1">
      <alignment vertical="center"/>
    </xf>
    <xf numFmtId="0" fontId="37" fillId="8" borderId="0" xfId="4" applyFont="1" applyFill="1" applyBorder="1"/>
    <xf numFmtId="0" fontId="39" fillId="10" borderId="4" xfId="0" applyFont="1" applyFill="1" applyBorder="1" applyAlignment="1">
      <alignment horizontal="left"/>
    </xf>
    <xf numFmtId="0" fontId="41" fillId="10" borderId="5" xfId="0" applyFont="1" applyFill="1" applyBorder="1" applyAlignment="1">
      <alignment horizontal="left"/>
    </xf>
    <xf numFmtId="0" fontId="41" fillId="10" borderId="5" xfId="0" applyFont="1" applyFill="1" applyBorder="1" applyAlignment="1">
      <alignment horizontal="center"/>
    </xf>
    <xf numFmtId="0" fontId="41" fillId="10" borderId="4" xfId="0" applyFont="1" applyFill="1" applyBorder="1" applyAlignment="1">
      <alignment horizontal="center"/>
    </xf>
    <xf numFmtId="0" fontId="41" fillId="10" borderId="15" xfId="0" applyFont="1" applyFill="1" applyBorder="1" applyAlignment="1">
      <alignment horizontal="center"/>
    </xf>
    <xf numFmtId="0" fontId="41" fillId="10" borderId="9" xfId="0" applyFont="1" applyFill="1" applyBorder="1" applyAlignment="1">
      <alignment horizontal="center"/>
    </xf>
    <xf numFmtId="0" fontId="23" fillId="8" borderId="0" xfId="0" applyFont="1" applyFill="1"/>
    <xf numFmtId="0" fontId="41" fillId="10" borderId="6" xfId="0" applyFont="1" applyFill="1" applyBorder="1" applyAlignment="1">
      <alignment horizontal="left"/>
    </xf>
    <xf numFmtId="0" fontId="41" fillId="10" borderId="7" xfId="0" applyFont="1" applyFill="1" applyBorder="1" applyAlignment="1">
      <alignment horizontal="left"/>
    </xf>
    <xf numFmtId="0" fontId="41" fillId="10" borderId="7" xfId="0" applyFont="1" applyFill="1" applyBorder="1" applyAlignment="1">
      <alignment horizontal="center"/>
    </xf>
    <xf numFmtId="0" fontId="41" fillId="10" borderId="1" xfId="0" applyFont="1" applyFill="1" applyBorder="1" applyAlignment="1">
      <alignment horizontal="center"/>
    </xf>
    <xf numFmtId="0" fontId="41" fillId="10" borderId="0" xfId="0" applyFont="1" applyFill="1" applyBorder="1" applyAlignment="1">
      <alignment horizontal="center"/>
    </xf>
    <xf numFmtId="0" fontId="41" fillId="10" borderId="14" xfId="0" applyFont="1" applyFill="1" applyBorder="1" applyAlignment="1">
      <alignment horizontal="center"/>
    </xf>
    <xf numFmtId="0" fontId="41" fillId="10" borderId="10" xfId="0" applyFont="1" applyFill="1" applyBorder="1" applyAlignment="1">
      <alignment horizontal="center"/>
    </xf>
    <xf numFmtId="0" fontId="41" fillId="10" borderId="11" xfId="0" applyFont="1" applyFill="1" applyBorder="1" applyAlignment="1">
      <alignment horizontal="center"/>
    </xf>
    <xf numFmtId="0" fontId="23" fillId="8" borderId="1" xfId="0" applyFont="1" applyFill="1" applyBorder="1" applyAlignment="1">
      <alignment horizontal="left"/>
    </xf>
    <xf numFmtId="0" fontId="38" fillId="8" borderId="0" xfId="0" applyFont="1" applyFill="1" applyBorder="1" applyAlignment="1">
      <alignment horizontal="left"/>
    </xf>
    <xf numFmtId="0" fontId="23" fillId="8" borderId="0" xfId="0" applyFont="1" applyFill="1" applyBorder="1" applyAlignment="1">
      <alignment horizontal="left"/>
    </xf>
    <xf numFmtId="0" fontId="38" fillId="9" borderId="0" xfId="0" applyFont="1" applyFill="1" applyBorder="1" applyAlignment="1">
      <alignment horizontal="center"/>
    </xf>
    <xf numFmtId="0" fontId="23" fillId="9" borderId="0" xfId="0" applyFont="1" applyFill="1" applyBorder="1" applyAlignment="1">
      <alignment horizontal="center"/>
    </xf>
    <xf numFmtId="0" fontId="38" fillId="9" borderId="4" xfId="0" applyFont="1" applyFill="1" applyBorder="1" applyAlignment="1">
      <alignment horizontal="center"/>
    </xf>
    <xf numFmtId="0" fontId="38" fillId="9" borderId="5" xfId="0" applyFont="1" applyFill="1" applyBorder="1" applyAlignment="1">
      <alignment horizontal="center"/>
    </xf>
    <xf numFmtId="0" fontId="38" fillId="9" borderId="15" xfId="0" applyFont="1" applyFill="1" applyBorder="1" applyAlignment="1">
      <alignment horizontal="center"/>
    </xf>
    <xf numFmtId="0" fontId="38" fillId="9" borderId="14" xfId="0" applyFont="1" applyFill="1" applyBorder="1" applyAlignment="1">
      <alignment horizontal="center"/>
    </xf>
    <xf numFmtId="0" fontId="0" fillId="9" borderId="13" xfId="0" quotePrefix="1" applyFill="1" applyBorder="1" applyAlignment="1">
      <alignment horizontal="left"/>
    </xf>
    <xf numFmtId="0" fontId="44" fillId="9" borderId="15" xfId="0" applyFont="1" applyFill="1" applyBorder="1" applyAlignment="1">
      <alignment horizontal="center"/>
    </xf>
    <xf numFmtId="0" fontId="23" fillId="9" borderId="1" xfId="0" applyFont="1" applyFill="1" applyBorder="1" applyAlignment="1">
      <alignment horizontal="left"/>
    </xf>
    <xf numFmtId="0" fontId="23" fillId="9" borderId="0" xfId="0" quotePrefix="1" applyFont="1" applyFill="1" applyBorder="1" applyAlignment="1">
      <alignment horizontal="left"/>
    </xf>
    <xf numFmtId="0" fontId="38" fillId="9" borderId="1" xfId="0" applyFont="1" applyFill="1" applyBorder="1" applyAlignment="1">
      <alignment horizontal="center"/>
    </xf>
    <xf numFmtId="0" fontId="45" fillId="9" borderId="13" xfId="0" applyFont="1" applyFill="1" applyBorder="1" applyAlignment="1">
      <alignment horizontal="left" wrapText="1"/>
    </xf>
    <xf numFmtId="0" fontId="46" fillId="9" borderId="14" xfId="0" applyFont="1" applyFill="1" applyBorder="1" applyAlignment="1">
      <alignment horizontal="center" wrapText="1"/>
    </xf>
    <xf numFmtId="0" fontId="45" fillId="9" borderId="14" xfId="0" applyFont="1" applyFill="1" applyBorder="1" applyAlignment="1">
      <alignment horizontal="center" wrapText="1"/>
    </xf>
    <xf numFmtId="0" fontId="47" fillId="9" borderId="0" xfId="0" applyFont="1" applyFill="1" applyBorder="1" applyAlignment="1">
      <alignment horizontal="center"/>
    </xf>
    <xf numFmtId="0" fontId="38" fillId="9" borderId="6" xfId="0" applyFont="1" applyFill="1" applyBorder="1" applyAlignment="1">
      <alignment horizontal="center"/>
    </xf>
    <xf numFmtId="0" fontId="38" fillId="9" borderId="7" xfId="0" applyFont="1" applyFill="1" applyBorder="1" applyAlignment="1">
      <alignment horizontal="center"/>
    </xf>
    <xf numFmtId="0" fontId="38" fillId="9" borderId="11" xfId="0" applyFont="1" applyFill="1" applyBorder="1" applyAlignment="1">
      <alignment horizontal="center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center"/>
    </xf>
    <xf numFmtId="0" fontId="23" fillId="9" borderId="8" xfId="0" applyFont="1" applyFill="1" applyBorder="1" applyAlignment="1">
      <alignment horizontal="left"/>
    </xf>
    <xf numFmtId="0" fontId="23" fillId="9" borderId="12" xfId="0" applyFont="1" applyFill="1" applyBorder="1" applyAlignment="1">
      <alignment horizontal="left"/>
    </xf>
    <xf numFmtId="0" fontId="23" fillId="9" borderId="12" xfId="0" applyFont="1" applyFill="1" applyBorder="1" applyAlignment="1">
      <alignment horizontal="center"/>
    </xf>
    <xf numFmtId="0" fontId="23" fillId="8" borderId="3" xfId="0" applyFont="1" applyFill="1" applyBorder="1" applyAlignment="1">
      <alignment horizontal="center"/>
    </xf>
    <xf numFmtId="0" fontId="23" fillId="9" borderId="6" xfId="0" applyFont="1" applyFill="1" applyBorder="1" applyAlignment="1">
      <alignment horizontal="center"/>
    </xf>
    <xf numFmtId="0" fontId="23" fillId="9" borderId="7" xfId="0" applyFont="1" applyFill="1" applyBorder="1" applyAlignment="1">
      <alignment horizontal="center"/>
    </xf>
    <xf numFmtId="0" fontId="23" fillId="9" borderId="16" xfId="0" applyFont="1" applyFill="1" applyBorder="1" applyAlignment="1">
      <alignment horizontal="center"/>
    </xf>
    <xf numFmtId="0" fontId="0" fillId="9" borderId="10" xfId="0" applyFill="1" applyBorder="1" applyAlignment="1">
      <alignment horizontal="left"/>
    </xf>
    <xf numFmtId="0" fontId="0" fillId="9" borderId="11" xfId="0" applyFill="1" applyBorder="1" applyAlignment="1">
      <alignment horizontal="center"/>
    </xf>
    <xf numFmtId="0" fontId="39" fillId="9" borderId="0" xfId="0" applyFont="1" applyFill="1"/>
    <xf numFmtId="0" fontId="23" fillId="8" borderId="0" xfId="0" applyFont="1" applyFill="1" applyAlignment="1"/>
    <xf numFmtId="0" fontId="23" fillId="9" borderId="0" xfId="0" applyFont="1" applyFill="1" applyAlignment="1">
      <alignment horizontal="center"/>
    </xf>
    <xf numFmtId="9" fontId="38" fillId="9" borderId="0" xfId="3" applyFont="1" applyFill="1" applyAlignment="1"/>
    <xf numFmtId="0" fontId="23" fillId="9" borderId="0" xfId="0" applyFont="1" applyFill="1" applyBorder="1" applyAlignment="1"/>
    <xf numFmtId="0" fontId="47" fillId="2" borderId="0" xfId="0" applyFont="1" applyFill="1" applyAlignment="1">
      <alignment horizontal="left"/>
    </xf>
    <xf numFmtId="0" fontId="23" fillId="2" borderId="0" xfId="0" applyFont="1" applyFill="1"/>
    <xf numFmtId="0" fontId="47" fillId="2" borderId="0" xfId="0" applyFont="1" applyFill="1"/>
    <xf numFmtId="0" fontId="23" fillId="2" borderId="0" xfId="0" applyFont="1" applyFill="1" applyAlignment="1">
      <alignment horizontal="center"/>
    </xf>
    <xf numFmtId="0" fontId="23" fillId="0" borderId="0" xfId="0" applyFont="1" applyFill="1"/>
    <xf numFmtId="0" fontId="41" fillId="10" borderId="6" xfId="0" applyFont="1" applyFill="1" applyBorder="1" applyAlignment="1">
      <alignment horizontal="center"/>
    </xf>
    <xf numFmtId="0" fontId="23" fillId="8" borderId="0" xfId="0" applyFont="1" applyFill="1" applyBorder="1" applyAlignment="1">
      <alignment horizontal="center"/>
    </xf>
    <xf numFmtId="9" fontId="23" fillId="8" borderId="0" xfId="3" applyFont="1" applyFill="1" applyBorder="1" applyAlignment="1">
      <alignment horizontal="center"/>
    </xf>
    <xf numFmtId="0" fontId="38" fillId="9" borderId="13" xfId="0" applyFont="1" applyFill="1" applyBorder="1" applyAlignment="1">
      <alignment horizontal="center"/>
    </xf>
    <xf numFmtId="0" fontId="0" fillId="9" borderId="1" xfId="0" quotePrefix="1" applyFill="1" applyBorder="1" applyAlignment="1">
      <alignment horizontal="left"/>
    </xf>
    <xf numFmtId="0" fontId="44" fillId="9" borderId="9" xfId="0" applyFont="1" applyFill="1" applyBorder="1" applyAlignment="1">
      <alignment horizontal="center"/>
    </xf>
    <xf numFmtId="0" fontId="45" fillId="9" borderId="1" xfId="0" applyFont="1" applyFill="1" applyBorder="1" applyAlignment="1">
      <alignment horizontal="left" wrapText="1"/>
    </xf>
    <xf numFmtId="0" fontId="44" fillId="9" borderId="13" xfId="0" applyFont="1" applyFill="1" applyBorder="1" applyAlignment="1">
      <alignment horizontal="center"/>
    </xf>
    <xf numFmtId="0" fontId="45" fillId="9" borderId="13" xfId="0" applyFont="1" applyFill="1" applyBorder="1" applyAlignment="1">
      <alignment horizontal="center" wrapText="1"/>
    </xf>
    <xf numFmtId="0" fontId="47" fillId="8" borderId="0" xfId="0" applyFont="1" applyFill="1" applyBorder="1" applyAlignment="1">
      <alignment horizontal="center"/>
    </xf>
    <xf numFmtId="0" fontId="0" fillId="9" borderId="1" xfId="0" applyFill="1" applyBorder="1" applyAlignment="1">
      <alignment horizontal="left"/>
    </xf>
    <xf numFmtId="0" fontId="0" fillId="9" borderId="13" xfId="0" applyFill="1" applyBorder="1" applyAlignment="1">
      <alignment horizontal="center"/>
    </xf>
    <xf numFmtId="0" fontId="38" fillId="9" borderId="8" xfId="0" applyFont="1" applyFill="1" applyBorder="1" applyAlignment="1">
      <alignment horizontal="center"/>
    </xf>
    <xf numFmtId="0" fontId="38" fillId="9" borderId="12" xfId="0" applyFont="1" applyFill="1" applyBorder="1" applyAlignment="1">
      <alignment horizontal="center"/>
    </xf>
    <xf numFmtId="0" fontId="0" fillId="9" borderId="6" xfId="0" applyFill="1" applyBorder="1" applyAlignment="1">
      <alignment horizontal="left"/>
    </xf>
    <xf numFmtId="0" fontId="0" fillId="9" borderId="10" xfId="0" applyFill="1" applyBorder="1" applyAlignment="1">
      <alignment horizontal="center"/>
    </xf>
    <xf numFmtId="0" fontId="41" fillId="10" borderId="15" xfId="0" applyFont="1" applyFill="1" applyBorder="1" applyAlignment="1">
      <alignment horizontal="left"/>
    </xf>
    <xf numFmtId="0" fontId="23" fillId="10" borderId="14" xfId="0" applyFont="1" applyFill="1" applyBorder="1"/>
    <xf numFmtId="0" fontId="38" fillId="8" borderId="1" xfId="0" applyFont="1" applyFill="1" applyBorder="1" applyAlignment="1">
      <alignment horizontal="left"/>
    </xf>
    <xf numFmtId="0" fontId="38" fillId="8" borderId="4" xfId="0" applyFont="1" applyFill="1" applyBorder="1" applyAlignment="1">
      <alignment horizontal="center"/>
    </xf>
    <xf numFmtId="0" fontId="38" fillId="8" borderId="5" xfId="0" applyFont="1" applyFill="1" applyBorder="1" applyAlignment="1">
      <alignment horizontal="center"/>
    </xf>
    <xf numFmtId="0" fontId="38" fillId="8" borderId="15" xfId="0" applyFont="1" applyFill="1" applyBorder="1" applyAlignment="1">
      <alignment horizontal="center"/>
    </xf>
    <xf numFmtId="0" fontId="23" fillId="8" borderId="14" xfId="0" applyFont="1" applyFill="1" applyBorder="1" applyAlignment="1">
      <alignment horizontal="center"/>
    </xf>
    <xf numFmtId="0" fontId="38" fillId="9" borderId="0" xfId="0" applyFont="1" applyFill="1" applyBorder="1" applyAlignment="1">
      <alignment horizontal="left"/>
    </xf>
    <xf numFmtId="0" fontId="38" fillId="8" borderId="1" xfId="0" applyFont="1" applyFill="1" applyBorder="1" applyAlignment="1">
      <alignment horizontal="center"/>
    </xf>
    <xf numFmtId="0" fontId="38" fillId="8" borderId="0" xfId="0" applyFont="1" applyFill="1" applyBorder="1" applyAlignment="1">
      <alignment horizontal="center"/>
    </xf>
    <xf numFmtId="0" fontId="38" fillId="8" borderId="14" xfId="0" applyFont="1" applyFill="1" applyBorder="1" applyAlignment="1">
      <alignment horizontal="center"/>
    </xf>
    <xf numFmtId="0" fontId="48" fillId="9" borderId="13" xfId="0" applyFont="1" applyFill="1" applyBorder="1" applyAlignment="1">
      <alignment horizontal="left" wrapText="1"/>
    </xf>
    <xf numFmtId="0" fontId="46" fillId="9" borderId="14" xfId="0" quotePrefix="1" applyFont="1" applyFill="1" applyBorder="1" applyAlignment="1">
      <alignment horizontal="center" wrapText="1"/>
    </xf>
    <xf numFmtId="0" fontId="38" fillId="8" borderId="6" xfId="0" applyFont="1" applyFill="1" applyBorder="1" applyAlignment="1">
      <alignment horizontal="center"/>
    </xf>
    <xf numFmtId="0" fontId="38" fillId="8" borderId="7" xfId="0" applyFont="1" applyFill="1" applyBorder="1" applyAlignment="1">
      <alignment horizontal="center"/>
    </xf>
    <xf numFmtId="0" fontId="38" fillId="8" borderId="11" xfId="0" applyFont="1" applyFill="1" applyBorder="1" applyAlignment="1">
      <alignment horizontal="center"/>
    </xf>
    <xf numFmtId="0" fontId="23" fillId="8" borderId="11" xfId="0" applyFont="1" applyFill="1" applyBorder="1" applyAlignment="1">
      <alignment horizontal="center"/>
    </xf>
    <xf numFmtId="0" fontId="23" fillId="9" borderId="3" xfId="0" applyFont="1" applyFill="1" applyBorder="1" applyAlignment="1">
      <alignment horizontal="center"/>
    </xf>
    <xf numFmtId="0" fontId="23" fillId="9" borderId="10" xfId="0" applyFont="1" applyFill="1" applyBorder="1" applyAlignment="1">
      <alignment horizontal="center"/>
    </xf>
    <xf numFmtId="0" fontId="23" fillId="8" borderId="10" xfId="0" applyFont="1" applyFill="1" applyBorder="1"/>
    <xf numFmtId="0" fontId="23" fillId="8" borderId="11" xfId="0" applyFont="1" applyFill="1" applyBorder="1"/>
    <xf numFmtId="9" fontId="23" fillId="9" borderId="0" xfId="3" applyFont="1" applyFill="1" applyBorder="1" applyAlignment="1">
      <alignment horizontal="center"/>
    </xf>
    <xf numFmtId="0" fontId="38" fillId="9" borderId="3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0" fontId="3" fillId="0" borderId="14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7" fillId="4" borderId="0" xfId="0" applyFont="1" applyFill="1" applyAlignment="1"/>
    <xf numFmtId="10" fontId="5" fillId="0" borderId="0" xfId="0" applyNumberFormat="1" applyFont="1" applyBorder="1"/>
    <xf numFmtId="0" fontId="1" fillId="0" borderId="13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16" fillId="0" borderId="16" xfId="0" applyFont="1" applyFill="1" applyBorder="1" applyAlignment="1">
      <alignment vertical="center"/>
    </xf>
    <xf numFmtId="58" fontId="0" fillId="0" borderId="0" xfId="0" applyNumberFormat="1"/>
    <xf numFmtId="58" fontId="9" fillId="0" borderId="0" xfId="0" applyNumberFormat="1" applyFont="1"/>
    <xf numFmtId="0" fontId="2" fillId="4" borderId="7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77" fontId="5" fillId="4" borderId="0" xfId="0" applyNumberFormat="1" applyFont="1" applyFill="1" applyAlignment="1"/>
    <xf numFmtId="0" fontId="51" fillId="7" borderId="17" xfId="0" applyFont="1" applyFill="1" applyBorder="1" applyAlignment="1">
      <alignment vertical="center" wrapText="1"/>
    </xf>
    <xf numFmtId="0" fontId="51" fillId="2" borderId="23" xfId="0" applyFont="1" applyFill="1" applyBorder="1" applyAlignment="1">
      <alignment vertical="center" wrapText="1"/>
    </xf>
    <xf numFmtId="0" fontId="1" fillId="12" borderId="28" xfId="0" applyFont="1" applyFill="1" applyBorder="1" applyAlignment="1">
      <alignment vertical="center" wrapText="1"/>
    </xf>
    <xf numFmtId="0" fontId="1" fillId="12" borderId="20" xfId="0" applyFont="1" applyFill="1" applyBorder="1" applyAlignment="1">
      <alignment vertical="center" wrapText="1"/>
    </xf>
    <xf numFmtId="0" fontId="1" fillId="12" borderId="24" xfId="0" applyFont="1" applyFill="1" applyBorder="1" applyAlignment="1">
      <alignment vertical="center" wrapText="1"/>
    </xf>
    <xf numFmtId="0" fontId="52" fillId="2" borderId="23" xfId="0" applyFont="1" applyFill="1" applyBorder="1" applyAlignment="1">
      <alignment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77" fontId="1" fillId="4" borderId="7" xfId="0" applyNumberFormat="1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78" fontId="1" fillId="12" borderId="24" xfId="0" applyNumberFormat="1" applyFont="1" applyFill="1" applyBorder="1" applyAlignment="1">
      <alignment vertical="center" wrapText="1"/>
    </xf>
    <xf numFmtId="178" fontId="1" fillId="12" borderId="20" xfId="0" applyNumberFormat="1" applyFont="1" applyFill="1" applyBorder="1" applyAlignment="1">
      <alignment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53" fillId="7" borderId="17" xfId="1" applyFont="1" applyFill="1" applyBorder="1" applyAlignment="1">
      <alignment horizontal="center" vertical="center"/>
    </xf>
    <xf numFmtId="0" fontId="53" fillId="2" borderId="17" xfId="1" applyFont="1" applyFill="1" applyBorder="1" applyAlignment="1">
      <alignment horizontal="center" vertical="center"/>
    </xf>
    <xf numFmtId="0" fontId="3" fillId="0" borderId="26" xfId="1" applyFont="1" applyFill="1" applyBorder="1" applyAlignment="1">
      <alignment horizontal="center" vertical="center"/>
    </xf>
    <xf numFmtId="0" fontId="3" fillId="0" borderId="28" xfId="1" applyFont="1" applyFill="1" applyBorder="1" applyAlignment="1">
      <alignment horizontal="center" vertical="center"/>
    </xf>
    <xf numFmtId="178" fontId="3" fillId="0" borderId="22" xfId="2" applyNumberFormat="1" applyFont="1" applyFill="1" applyBorder="1" applyAlignment="1">
      <alignment vertical="center"/>
    </xf>
    <xf numFmtId="0" fontId="54" fillId="2" borderId="17" xfId="1" applyFont="1" applyFill="1" applyBorder="1" applyAlignment="1">
      <alignment vertical="center"/>
    </xf>
    <xf numFmtId="178" fontId="55" fillId="0" borderId="29" xfId="2" applyNumberFormat="1" applyFont="1" applyFill="1" applyBorder="1" applyAlignment="1">
      <alignment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176" fontId="1" fillId="0" borderId="9" xfId="0" applyNumberFormat="1" applyFont="1" applyFill="1" applyBorder="1" applyAlignment="1">
      <alignment horizontal="center" vertical="center"/>
    </xf>
    <xf numFmtId="176" fontId="1" fillId="0" borderId="13" xfId="0" applyNumberFormat="1" applyFont="1" applyFill="1" applyBorder="1" applyAlignment="1">
      <alignment horizontal="center" vertical="center"/>
    </xf>
    <xf numFmtId="176" fontId="1" fillId="0" borderId="10" xfId="0" applyNumberFormat="1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3" fillId="7" borderId="18" xfId="1" applyFont="1" applyFill="1" applyBorder="1" applyAlignment="1">
      <alignment horizontal="center" vertical="center"/>
    </xf>
    <xf numFmtId="0" fontId="3" fillId="7" borderId="19" xfId="1" applyFont="1" applyFill="1" applyBorder="1" applyAlignment="1">
      <alignment horizontal="center" vertical="center"/>
    </xf>
    <xf numFmtId="0" fontId="3" fillId="7" borderId="20" xfId="1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vertical="center" wrapText="1"/>
    </xf>
    <xf numFmtId="0" fontId="1" fillId="7" borderId="19" xfId="0" applyFont="1" applyFill="1" applyBorder="1" applyAlignment="1">
      <alignment vertical="center" wrapText="1"/>
    </xf>
    <xf numFmtId="0" fontId="1" fillId="7" borderId="27" xfId="0" applyFont="1" applyFill="1" applyBorder="1" applyAlignment="1">
      <alignment vertical="center" wrapText="1"/>
    </xf>
    <xf numFmtId="0" fontId="16" fillId="0" borderId="8" xfId="0" applyFont="1" applyBorder="1" applyAlignment="1">
      <alignment vertical="top"/>
    </xf>
    <xf numFmtId="0" fontId="16" fillId="0" borderId="12" xfId="0" applyFont="1" applyBorder="1" applyAlignment="1">
      <alignment vertical="top"/>
    </xf>
    <xf numFmtId="0" fontId="16" fillId="0" borderId="3" xfId="0" applyFont="1" applyBorder="1" applyAlignment="1">
      <alignment vertical="top"/>
    </xf>
    <xf numFmtId="0" fontId="29" fillId="6" borderId="8" xfId="0" applyFont="1" applyFill="1" applyBorder="1" applyAlignment="1">
      <alignment horizontal="center" vertical="center" wrapText="1"/>
    </xf>
    <xf numFmtId="0" fontId="29" fillId="6" borderId="12" xfId="0" applyFont="1" applyFill="1" applyBorder="1" applyAlignment="1">
      <alignment horizontal="center" vertical="center" wrapText="1"/>
    </xf>
    <xf numFmtId="0" fontId="29" fillId="6" borderId="3" xfId="0" applyFont="1" applyFill="1" applyBorder="1" applyAlignment="1">
      <alignment horizontal="center" vertical="center" wrapText="1"/>
    </xf>
    <xf numFmtId="0" fontId="9" fillId="7" borderId="18" xfId="0" applyFont="1" applyFill="1" applyBorder="1" applyAlignment="1">
      <alignment horizontal="center"/>
    </xf>
    <xf numFmtId="0" fontId="9" fillId="7" borderId="19" xfId="0" applyFont="1" applyFill="1" applyBorder="1" applyAlignment="1">
      <alignment horizontal="center"/>
    </xf>
    <xf numFmtId="0" fontId="9" fillId="7" borderId="20" xfId="0" applyFont="1" applyFill="1" applyBorder="1" applyAlignment="1">
      <alignment horizontal="center"/>
    </xf>
    <xf numFmtId="0" fontId="26" fillId="0" borderId="16" xfId="0" applyFont="1" applyFill="1" applyBorder="1" applyAlignment="1">
      <alignment horizontal="center" vertical="center" wrapText="1"/>
    </xf>
    <xf numFmtId="0" fontId="16" fillId="0" borderId="16" xfId="0" applyFont="1" applyFill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 wrapText="1"/>
    </xf>
    <xf numFmtId="0" fontId="19" fillId="0" borderId="16" xfId="0" applyFont="1" applyFill="1" applyBorder="1" applyAlignment="1">
      <alignment horizontal="center" vertical="center"/>
    </xf>
    <xf numFmtId="0" fontId="26" fillId="0" borderId="8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 wrapText="1"/>
    </xf>
    <xf numFmtId="0" fontId="26" fillId="0" borderId="8" xfId="0" applyFont="1" applyFill="1" applyBorder="1" applyAlignment="1">
      <alignment horizontal="center" vertical="center" wrapText="1"/>
    </xf>
    <xf numFmtId="0" fontId="26" fillId="0" borderId="12" xfId="0" applyFont="1" applyFill="1" applyBorder="1" applyAlignment="1">
      <alignment horizontal="center" vertical="center" wrapText="1"/>
    </xf>
    <xf numFmtId="0" fontId="26" fillId="0" borderId="3" xfId="0" applyFont="1" applyFill="1" applyBorder="1" applyAlignment="1">
      <alignment horizontal="center" vertical="center" wrapText="1"/>
    </xf>
    <xf numFmtId="0" fontId="27" fillId="0" borderId="16" xfId="0" applyFont="1" applyFill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9" fillId="0" borderId="8" xfId="0" applyFont="1" applyFill="1" applyBorder="1" applyAlignment="1">
      <alignment horizontal="center" vertical="center" wrapText="1"/>
    </xf>
    <xf numFmtId="0" fontId="29" fillId="0" borderId="12" xfId="0" applyFont="1" applyFill="1" applyBorder="1" applyAlignment="1">
      <alignment horizontal="center" vertical="center" wrapText="1"/>
    </xf>
    <xf numFmtId="0" fontId="29" fillId="0" borderId="3" xfId="0" applyFont="1" applyFill="1" applyBorder="1" applyAlignment="1">
      <alignment horizontal="center" vertical="center" wrapText="1"/>
    </xf>
    <xf numFmtId="0" fontId="27" fillId="2" borderId="16" xfId="0" applyFont="1" applyFill="1" applyBorder="1" applyAlignment="1">
      <alignment horizontal="center" vertical="center" wrapText="1"/>
    </xf>
    <xf numFmtId="0" fontId="19" fillId="12" borderId="25" xfId="0" applyFont="1" applyFill="1" applyBorder="1" applyAlignment="1">
      <alignment horizontal="center" vertical="center"/>
    </xf>
    <xf numFmtId="0" fontId="19" fillId="12" borderId="26" xfId="0" applyFont="1" applyFill="1" applyBorder="1" applyAlignment="1">
      <alignment horizontal="center" vertical="center"/>
    </xf>
    <xf numFmtId="0" fontId="19" fillId="12" borderId="23" xfId="0" applyFont="1" applyFill="1" applyBorder="1" applyAlignment="1">
      <alignment horizontal="center" vertical="center"/>
    </xf>
  </cellXfs>
  <cellStyles count="5">
    <cellStyle name="Comma 3" xfId="2"/>
    <cellStyle name="Normal 5" xfId="1"/>
    <cellStyle name="百分比" xfId="3" builtinId="5"/>
    <cellStyle name="標準_Proforma Template Ver4_SOループ試算_v.0" xfId="4"/>
    <cellStyle name="常规" xfId="0" builtinId="0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6"/>
  <sheetViews>
    <sheetView topLeftCell="E61" workbookViewId="0">
      <selection activeCell="F77" sqref="F77:F83"/>
    </sheetView>
  </sheetViews>
  <sheetFormatPr defaultRowHeight="13.5"/>
  <cols>
    <col min="1" max="1" width="12.5" style="3" hidden="1" customWidth="1"/>
    <col min="2" max="3" width="18" style="3" hidden="1" customWidth="1"/>
    <col min="4" max="4" width="0" style="3" hidden="1" customWidth="1"/>
    <col min="5" max="5" width="14.875" style="4" customWidth="1"/>
    <col min="6" max="6" width="18" style="90" customWidth="1"/>
    <col min="7" max="16" width="24.875" style="4" customWidth="1"/>
    <col min="17" max="16384" width="9" style="3"/>
  </cols>
  <sheetData>
    <row r="1" spans="1:21">
      <c r="A1" s="3" t="s">
        <v>38</v>
      </c>
      <c r="B1" s="3" t="s">
        <v>39</v>
      </c>
      <c r="C1" s="3" t="s">
        <v>39</v>
      </c>
      <c r="F1" s="90" t="s">
        <v>39</v>
      </c>
    </row>
    <row r="2" spans="1:21">
      <c r="A2" s="3">
        <v>20180101</v>
      </c>
      <c r="B2" s="3">
        <v>201801</v>
      </c>
      <c r="C2" s="3">
        <f>B2-201800</f>
        <v>1</v>
      </c>
      <c r="E2" s="4" t="str">
        <f t="shared" ref="E2:E66" si="0">Q2&amp;U2&amp;S2&amp;U2&amp;T2</f>
        <v>2018-01-01</v>
      </c>
      <c r="F2" s="90">
        <v>1</v>
      </c>
      <c r="Q2" s="3" t="str">
        <f t="shared" ref="Q2:Q65" si="1">LEFT(A2,4)</f>
        <v>2018</v>
      </c>
      <c r="R2" s="3" t="str">
        <f t="shared" ref="R2:R65" si="2">RIGHT(A2,4)</f>
        <v>0101</v>
      </c>
      <c r="S2" s="3" t="str">
        <f>LEFT(R2,2)</f>
        <v>01</v>
      </c>
      <c r="T2" s="3" t="str">
        <f t="shared" ref="T2:T65" si="3">RIGHT(A2,2)</f>
        <v>01</v>
      </c>
      <c r="U2" s="5" t="s">
        <v>40</v>
      </c>
    </row>
    <row r="3" spans="1:21">
      <c r="A3" s="3">
        <v>20180102</v>
      </c>
      <c r="B3" s="3">
        <v>201801</v>
      </c>
      <c r="C3" s="3">
        <f t="shared" ref="C3:C66" si="4">B3-201800</f>
        <v>1</v>
      </c>
      <c r="E3" s="4" t="str">
        <f t="shared" si="0"/>
        <v>2018-01-02</v>
      </c>
      <c r="F3" s="90">
        <v>1</v>
      </c>
      <c r="Q3" s="3" t="str">
        <f t="shared" si="1"/>
        <v>2018</v>
      </c>
      <c r="R3" s="3" t="str">
        <f t="shared" si="2"/>
        <v>0102</v>
      </c>
      <c r="S3" s="3" t="str">
        <f t="shared" ref="S3:S66" si="5">LEFT(R3,2)</f>
        <v>01</v>
      </c>
      <c r="T3" s="3" t="str">
        <f t="shared" si="3"/>
        <v>02</v>
      </c>
      <c r="U3" s="5" t="s">
        <v>40</v>
      </c>
    </row>
    <row r="4" spans="1:21">
      <c r="A4" s="3">
        <v>20180103</v>
      </c>
      <c r="B4" s="3">
        <v>201801</v>
      </c>
      <c r="C4" s="3">
        <f t="shared" si="4"/>
        <v>1</v>
      </c>
      <c r="E4" s="4" t="str">
        <f t="shared" si="0"/>
        <v>2018-01-03</v>
      </c>
      <c r="F4" s="90">
        <v>1</v>
      </c>
      <c r="Q4" s="3" t="str">
        <f t="shared" si="1"/>
        <v>2018</v>
      </c>
      <c r="R4" s="3" t="str">
        <f t="shared" si="2"/>
        <v>0103</v>
      </c>
      <c r="S4" s="3" t="str">
        <f t="shared" si="5"/>
        <v>01</v>
      </c>
      <c r="T4" s="3" t="str">
        <f t="shared" si="3"/>
        <v>03</v>
      </c>
      <c r="U4" s="5" t="s">
        <v>40</v>
      </c>
    </row>
    <row r="5" spans="1:21">
      <c r="A5" s="3">
        <v>20180104</v>
      </c>
      <c r="B5" s="3">
        <v>201801</v>
      </c>
      <c r="C5" s="3">
        <f t="shared" si="4"/>
        <v>1</v>
      </c>
      <c r="E5" s="4" t="str">
        <f t="shared" si="0"/>
        <v>2018-01-04</v>
      </c>
      <c r="F5" s="90">
        <v>1</v>
      </c>
      <c r="Q5" s="3" t="str">
        <f t="shared" si="1"/>
        <v>2018</v>
      </c>
      <c r="R5" s="3" t="str">
        <f t="shared" si="2"/>
        <v>0104</v>
      </c>
      <c r="S5" s="3" t="str">
        <f t="shared" si="5"/>
        <v>01</v>
      </c>
      <c r="T5" s="3" t="str">
        <f t="shared" si="3"/>
        <v>04</v>
      </c>
      <c r="U5" s="5" t="s">
        <v>40</v>
      </c>
    </row>
    <row r="6" spans="1:21">
      <c r="A6" s="3">
        <v>20180105</v>
      </c>
      <c r="B6" s="3">
        <v>201801</v>
      </c>
      <c r="C6" s="3">
        <f t="shared" si="4"/>
        <v>1</v>
      </c>
      <c r="E6" s="4" t="str">
        <f t="shared" si="0"/>
        <v>2018-01-05</v>
      </c>
      <c r="F6" s="90">
        <v>1</v>
      </c>
      <c r="Q6" s="3" t="str">
        <f t="shared" si="1"/>
        <v>2018</v>
      </c>
      <c r="R6" s="3" t="str">
        <f t="shared" si="2"/>
        <v>0105</v>
      </c>
      <c r="S6" s="3" t="str">
        <f t="shared" si="5"/>
        <v>01</v>
      </c>
      <c r="T6" s="3" t="str">
        <f t="shared" si="3"/>
        <v>05</v>
      </c>
      <c r="U6" s="5" t="s">
        <v>40</v>
      </c>
    </row>
    <row r="7" spans="1:21">
      <c r="A7" s="3">
        <v>20180106</v>
      </c>
      <c r="B7" s="3">
        <v>201802</v>
      </c>
      <c r="C7" s="3">
        <f t="shared" si="4"/>
        <v>2</v>
      </c>
      <c r="E7" s="4" t="str">
        <f t="shared" si="0"/>
        <v>2018-01-06</v>
      </c>
      <c r="F7" s="90">
        <v>2</v>
      </c>
      <c r="Q7" s="3" t="str">
        <f t="shared" si="1"/>
        <v>2018</v>
      </c>
      <c r="R7" s="3" t="str">
        <f t="shared" si="2"/>
        <v>0106</v>
      </c>
      <c r="S7" s="3" t="str">
        <f t="shared" si="5"/>
        <v>01</v>
      </c>
      <c r="T7" s="3" t="str">
        <f t="shared" si="3"/>
        <v>06</v>
      </c>
      <c r="U7" s="5" t="s">
        <v>40</v>
      </c>
    </row>
    <row r="8" spans="1:21">
      <c r="A8" s="3">
        <v>20180107</v>
      </c>
      <c r="B8" s="3">
        <v>201802</v>
      </c>
      <c r="C8" s="3">
        <f t="shared" si="4"/>
        <v>2</v>
      </c>
      <c r="E8" s="4" t="str">
        <f t="shared" si="0"/>
        <v>2018-01-07</v>
      </c>
      <c r="F8" s="90">
        <v>2</v>
      </c>
      <c r="Q8" s="3" t="str">
        <f t="shared" si="1"/>
        <v>2018</v>
      </c>
      <c r="R8" s="3" t="str">
        <f t="shared" si="2"/>
        <v>0107</v>
      </c>
      <c r="S8" s="3" t="str">
        <f t="shared" si="5"/>
        <v>01</v>
      </c>
      <c r="T8" s="3" t="str">
        <f t="shared" si="3"/>
        <v>07</v>
      </c>
      <c r="U8" s="5" t="s">
        <v>40</v>
      </c>
    </row>
    <row r="9" spans="1:21">
      <c r="A9" s="3">
        <v>20180108</v>
      </c>
      <c r="B9" s="3">
        <v>201802</v>
      </c>
      <c r="C9" s="3">
        <f t="shared" si="4"/>
        <v>2</v>
      </c>
      <c r="E9" s="4" t="str">
        <f t="shared" si="0"/>
        <v>2018-01-08</v>
      </c>
      <c r="F9" s="90">
        <v>2</v>
      </c>
      <c r="Q9" s="3" t="str">
        <f t="shared" si="1"/>
        <v>2018</v>
      </c>
      <c r="R9" s="3" t="str">
        <f t="shared" si="2"/>
        <v>0108</v>
      </c>
      <c r="S9" s="3" t="str">
        <f t="shared" si="5"/>
        <v>01</v>
      </c>
      <c r="T9" s="3" t="str">
        <f t="shared" si="3"/>
        <v>08</v>
      </c>
      <c r="U9" s="5" t="s">
        <v>40</v>
      </c>
    </row>
    <row r="10" spans="1:21">
      <c r="A10" s="3">
        <v>20180109</v>
      </c>
      <c r="B10" s="3">
        <v>201802</v>
      </c>
      <c r="C10" s="3">
        <f t="shared" si="4"/>
        <v>2</v>
      </c>
      <c r="E10" s="4" t="str">
        <f t="shared" si="0"/>
        <v>2018-01-09</v>
      </c>
      <c r="F10" s="90">
        <v>2</v>
      </c>
      <c r="Q10" s="3" t="str">
        <f t="shared" si="1"/>
        <v>2018</v>
      </c>
      <c r="R10" s="3" t="str">
        <f t="shared" si="2"/>
        <v>0109</v>
      </c>
      <c r="S10" s="3" t="str">
        <f t="shared" si="5"/>
        <v>01</v>
      </c>
      <c r="T10" s="3" t="str">
        <f t="shared" si="3"/>
        <v>09</v>
      </c>
      <c r="U10" s="5" t="s">
        <v>40</v>
      </c>
    </row>
    <row r="11" spans="1:21">
      <c r="A11" s="3">
        <v>20180110</v>
      </c>
      <c r="B11" s="3">
        <v>201802</v>
      </c>
      <c r="C11" s="3">
        <f t="shared" si="4"/>
        <v>2</v>
      </c>
      <c r="E11" s="4" t="str">
        <f t="shared" si="0"/>
        <v>2018-01-10</v>
      </c>
      <c r="F11" s="90">
        <v>2</v>
      </c>
      <c r="Q11" s="3" t="str">
        <f t="shared" si="1"/>
        <v>2018</v>
      </c>
      <c r="R11" s="3" t="str">
        <f t="shared" si="2"/>
        <v>0110</v>
      </c>
      <c r="S11" s="3" t="str">
        <f t="shared" si="5"/>
        <v>01</v>
      </c>
      <c r="T11" s="3" t="str">
        <f t="shared" si="3"/>
        <v>10</v>
      </c>
      <c r="U11" s="5" t="s">
        <v>40</v>
      </c>
    </row>
    <row r="12" spans="1:21">
      <c r="A12" s="3">
        <v>20180111</v>
      </c>
      <c r="B12" s="3">
        <v>201802</v>
      </c>
      <c r="C12" s="3">
        <f t="shared" si="4"/>
        <v>2</v>
      </c>
      <c r="E12" s="4" t="str">
        <f t="shared" si="0"/>
        <v>2018-01-11</v>
      </c>
      <c r="F12" s="90">
        <v>2</v>
      </c>
      <c r="Q12" s="3" t="str">
        <f t="shared" si="1"/>
        <v>2018</v>
      </c>
      <c r="R12" s="3" t="str">
        <f t="shared" si="2"/>
        <v>0111</v>
      </c>
      <c r="S12" s="3" t="str">
        <f t="shared" si="5"/>
        <v>01</v>
      </c>
      <c r="T12" s="3" t="str">
        <f t="shared" si="3"/>
        <v>11</v>
      </c>
      <c r="U12" s="5" t="s">
        <v>40</v>
      </c>
    </row>
    <row r="13" spans="1:21">
      <c r="A13" s="3">
        <v>20180112</v>
      </c>
      <c r="B13" s="3">
        <v>201802</v>
      </c>
      <c r="C13" s="3">
        <f t="shared" si="4"/>
        <v>2</v>
      </c>
      <c r="E13" s="4" t="str">
        <f t="shared" si="0"/>
        <v>2018-01-12</v>
      </c>
      <c r="F13" s="90">
        <v>2</v>
      </c>
      <c r="Q13" s="3" t="str">
        <f t="shared" si="1"/>
        <v>2018</v>
      </c>
      <c r="R13" s="3" t="str">
        <f t="shared" si="2"/>
        <v>0112</v>
      </c>
      <c r="S13" s="3" t="str">
        <f t="shared" si="5"/>
        <v>01</v>
      </c>
      <c r="T13" s="3" t="str">
        <f t="shared" si="3"/>
        <v>12</v>
      </c>
      <c r="U13" s="5" t="s">
        <v>40</v>
      </c>
    </row>
    <row r="14" spans="1:21">
      <c r="A14" s="3">
        <v>20180113</v>
      </c>
      <c r="B14" s="3">
        <v>201803</v>
      </c>
      <c r="C14" s="3">
        <f t="shared" si="4"/>
        <v>3</v>
      </c>
      <c r="E14" s="4" t="str">
        <f t="shared" si="0"/>
        <v>2018-01-13</v>
      </c>
      <c r="F14" s="90">
        <v>3</v>
      </c>
      <c r="Q14" s="3" t="str">
        <f t="shared" si="1"/>
        <v>2018</v>
      </c>
      <c r="R14" s="3" t="str">
        <f t="shared" si="2"/>
        <v>0113</v>
      </c>
      <c r="S14" s="3" t="str">
        <f t="shared" si="5"/>
        <v>01</v>
      </c>
      <c r="T14" s="3" t="str">
        <f t="shared" si="3"/>
        <v>13</v>
      </c>
      <c r="U14" s="5" t="s">
        <v>40</v>
      </c>
    </row>
    <row r="15" spans="1:21">
      <c r="A15" s="3">
        <v>20180114</v>
      </c>
      <c r="B15" s="3">
        <v>201803</v>
      </c>
      <c r="C15" s="3">
        <f t="shared" si="4"/>
        <v>3</v>
      </c>
      <c r="E15" s="4" t="str">
        <f t="shared" si="0"/>
        <v>2018-01-14</v>
      </c>
      <c r="F15" s="90">
        <v>3</v>
      </c>
      <c r="Q15" s="3" t="str">
        <f t="shared" si="1"/>
        <v>2018</v>
      </c>
      <c r="R15" s="3" t="str">
        <f t="shared" si="2"/>
        <v>0114</v>
      </c>
      <c r="S15" s="3" t="str">
        <f t="shared" si="5"/>
        <v>01</v>
      </c>
      <c r="T15" s="3" t="str">
        <f t="shared" si="3"/>
        <v>14</v>
      </c>
      <c r="U15" s="5" t="s">
        <v>40</v>
      </c>
    </row>
    <row r="16" spans="1:21">
      <c r="A16" s="3">
        <v>20180115</v>
      </c>
      <c r="B16" s="3">
        <v>201803</v>
      </c>
      <c r="C16" s="3">
        <f t="shared" si="4"/>
        <v>3</v>
      </c>
      <c r="E16" s="4" t="str">
        <f t="shared" si="0"/>
        <v>2018-01-15</v>
      </c>
      <c r="F16" s="90">
        <v>3</v>
      </c>
      <c r="Q16" s="3" t="str">
        <f t="shared" si="1"/>
        <v>2018</v>
      </c>
      <c r="R16" s="3" t="str">
        <f t="shared" si="2"/>
        <v>0115</v>
      </c>
      <c r="S16" s="3" t="str">
        <f t="shared" si="5"/>
        <v>01</v>
      </c>
      <c r="T16" s="3" t="str">
        <f t="shared" si="3"/>
        <v>15</v>
      </c>
      <c r="U16" s="5" t="s">
        <v>40</v>
      </c>
    </row>
    <row r="17" spans="1:21">
      <c r="A17" s="3">
        <v>20180116</v>
      </c>
      <c r="B17" s="3">
        <v>201803</v>
      </c>
      <c r="C17" s="3">
        <f t="shared" si="4"/>
        <v>3</v>
      </c>
      <c r="E17" s="4" t="str">
        <f t="shared" si="0"/>
        <v>2018-01-16</v>
      </c>
      <c r="F17" s="90">
        <v>3</v>
      </c>
      <c r="Q17" s="3" t="str">
        <f t="shared" si="1"/>
        <v>2018</v>
      </c>
      <c r="R17" s="3" t="str">
        <f t="shared" si="2"/>
        <v>0116</v>
      </c>
      <c r="S17" s="3" t="str">
        <f t="shared" si="5"/>
        <v>01</v>
      </c>
      <c r="T17" s="3" t="str">
        <f t="shared" si="3"/>
        <v>16</v>
      </c>
      <c r="U17" s="5" t="s">
        <v>40</v>
      </c>
    </row>
    <row r="18" spans="1:21">
      <c r="A18" s="3">
        <v>20180117</v>
      </c>
      <c r="B18" s="3">
        <v>201803</v>
      </c>
      <c r="C18" s="3">
        <f t="shared" si="4"/>
        <v>3</v>
      </c>
      <c r="E18" s="4" t="str">
        <f t="shared" si="0"/>
        <v>2018-01-17</v>
      </c>
      <c r="F18" s="90">
        <v>3</v>
      </c>
      <c r="Q18" s="3" t="str">
        <f t="shared" si="1"/>
        <v>2018</v>
      </c>
      <c r="R18" s="3" t="str">
        <f t="shared" si="2"/>
        <v>0117</v>
      </c>
      <c r="S18" s="3" t="str">
        <f t="shared" si="5"/>
        <v>01</v>
      </c>
      <c r="T18" s="3" t="str">
        <f t="shared" si="3"/>
        <v>17</v>
      </c>
      <c r="U18" s="5" t="s">
        <v>40</v>
      </c>
    </row>
    <row r="19" spans="1:21">
      <c r="A19" s="3">
        <v>20180118</v>
      </c>
      <c r="B19" s="3">
        <v>201803</v>
      </c>
      <c r="C19" s="3">
        <f t="shared" si="4"/>
        <v>3</v>
      </c>
      <c r="E19" s="4" t="str">
        <f t="shared" si="0"/>
        <v>2018-01-18</v>
      </c>
      <c r="F19" s="90">
        <v>3</v>
      </c>
      <c r="Q19" s="3" t="str">
        <f t="shared" si="1"/>
        <v>2018</v>
      </c>
      <c r="R19" s="3" t="str">
        <f t="shared" si="2"/>
        <v>0118</v>
      </c>
      <c r="S19" s="3" t="str">
        <f t="shared" si="5"/>
        <v>01</v>
      </c>
      <c r="T19" s="3" t="str">
        <f t="shared" si="3"/>
        <v>18</v>
      </c>
      <c r="U19" s="5" t="s">
        <v>40</v>
      </c>
    </row>
    <row r="20" spans="1:21">
      <c r="A20" s="3">
        <v>20180119</v>
      </c>
      <c r="B20" s="3">
        <v>201803</v>
      </c>
      <c r="C20" s="3">
        <f t="shared" si="4"/>
        <v>3</v>
      </c>
      <c r="E20" s="4" t="str">
        <f t="shared" si="0"/>
        <v>2018-01-19</v>
      </c>
      <c r="F20" s="90">
        <v>3</v>
      </c>
      <c r="Q20" s="3" t="str">
        <f t="shared" si="1"/>
        <v>2018</v>
      </c>
      <c r="R20" s="3" t="str">
        <f t="shared" si="2"/>
        <v>0119</v>
      </c>
      <c r="S20" s="3" t="str">
        <f t="shared" si="5"/>
        <v>01</v>
      </c>
      <c r="T20" s="3" t="str">
        <f t="shared" si="3"/>
        <v>19</v>
      </c>
      <c r="U20" s="5" t="s">
        <v>40</v>
      </c>
    </row>
    <row r="21" spans="1:21">
      <c r="A21" s="3">
        <v>20180120</v>
      </c>
      <c r="B21" s="3">
        <v>201804</v>
      </c>
      <c r="C21" s="3">
        <f t="shared" si="4"/>
        <v>4</v>
      </c>
      <c r="E21" s="4" t="str">
        <f t="shared" si="0"/>
        <v>2018-01-20</v>
      </c>
      <c r="F21" s="90">
        <v>4</v>
      </c>
      <c r="Q21" s="3" t="str">
        <f t="shared" si="1"/>
        <v>2018</v>
      </c>
      <c r="R21" s="3" t="str">
        <f t="shared" si="2"/>
        <v>0120</v>
      </c>
      <c r="S21" s="3" t="str">
        <f t="shared" si="5"/>
        <v>01</v>
      </c>
      <c r="T21" s="3" t="str">
        <f t="shared" si="3"/>
        <v>20</v>
      </c>
      <c r="U21" s="5" t="s">
        <v>40</v>
      </c>
    </row>
    <row r="22" spans="1:21">
      <c r="A22" s="3">
        <v>20180121</v>
      </c>
      <c r="B22" s="3">
        <v>201804</v>
      </c>
      <c r="C22" s="3">
        <f t="shared" si="4"/>
        <v>4</v>
      </c>
      <c r="E22" s="4" t="str">
        <f t="shared" si="0"/>
        <v>2018-01-21</v>
      </c>
      <c r="F22" s="90">
        <v>4</v>
      </c>
      <c r="Q22" s="3" t="str">
        <f t="shared" si="1"/>
        <v>2018</v>
      </c>
      <c r="R22" s="3" t="str">
        <f t="shared" si="2"/>
        <v>0121</v>
      </c>
      <c r="S22" s="3" t="str">
        <f t="shared" si="5"/>
        <v>01</v>
      </c>
      <c r="T22" s="3" t="str">
        <f t="shared" si="3"/>
        <v>21</v>
      </c>
      <c r="U22" s="5" t="s">
        <v>40</v>
      </c>
    </row>
    <row r="23" spans="1:21">
      <c r="A23" s="3">
        <v>20180122</v>
      </c>
      <c r="B23" s="3">
        <v>201804</v>
      </c>
      <c r="C23" s="3">
        <f t="shared" si="4"/>
        <v>4</v>
      </c>
      <c r="E23" s="4" t="str">
        <f t="shared" si="0"/>
        <v>2018-01-22</v>
      </c>
      <c r="F23" s="90">
        <v>4</v>
      </c>
      <c r="Q23" s="3" t="str">
        <f t="shared" si="1"/>
        <v>2018</v>
      </c>
      <c r="R23" s="3" t="str">
        <f t="shared" si="2"/>
        <v>0122</v>
      </c>
      <c r="S23" s="3" t="str">
        <f t="shared" si="5"/>
        <v>01</v>
      </c>
      <c r="T23" s="3" t="str">
        <f t="shared" si="3"/>
        <v>22</v>
      </c>
      <c r="U23" s="5" t="s">
        <v>40</v>
      </c>
    </row>
    <row r="24" spans="1:21">
      <c r="A24" s="3">
        <v>20180123</v>
      </c>
      <c r="B24" s="3">
        <v>201804</v>
      </c>
      <c r="C24" s="3">
        <f t="shared" si="4"/>
        <v>4</v>
      </c>
      <c r="E24" s="4" t="str">
        <f t="shared" si="0"/>
        <v>2018-01-23</v>
      </c>
      <c r="F24" s="90">
        <v>4</v>
      </c>
      <c r="Q24" s="3" t="str">
        <f t="shared" si="1"/>
        <v>2018</v>
      </c>
      <c r="R24" s="3" t="str">
        <f t="shared" si="2"/>
        <v>0123</v>
      </c>
      <c r="S24" s="3" t="str">
        <f t="shared" si="5"/>
        <v>01</v>
      </c>
      <c r="T24" s="3" t="str">
        <f t="shared" si="3"/>
        <v>23</v>
      </c>
      <c r="U24" s="5" t="s">
        <v>40</v>
      </c>
    </row>
    <row r="25" spans="1:21">
      <c r="A25" s="3">
        <v>20180124</v>
      </c>
      <c r="B25" s="3">
        <v>201804</v>
      </c>
      <c r="C25" s="3">
        <f t="shared" si="4"/>
        <v>4</v>
      </c>
      <c r="E25" s="4" t="str">
        <f t="shared" si="0"/>
        <v>2018-01-24</v>
      </c>
      <c r="F25" s="90">
        <v>4</v>
      </c>
      <c r="Q25" s="3" t="str">
        <f t="shared" si="1"/>
        <v>2018</v>
      </c>
      <c r="R25" s="3" t="str">
        <f t="shared" si="2"/>
        <v>0124</v>
      </c>
      <c r="S25" s="3" t="str">
        <f t="shared" si="5"/>
        <v>01</v>
      </c>
      <c r="T25" s="3" t="str">
        <f t="shared" si="3"/>
        <v>24</v>
      </c>
      <c r="U25" s="5" t="s">
        <v>40</v>
      </c>
    </row>
    <row r="26" spans="1:21">
      <c r="A26" s="3">
        <v>20180125</v>
      </c>
      <c r="B26" s="3">
        <v>201804</v>
      </c>
      <c r="C26" s="3">
        <f t="shared" si="4"/>
        <v>4</v>
      </c>
      <c r="E26" s="4" t="str">
        <f t="shared" si="0"/>
        <v>2018-01-25</v>
      </c>
      <c r="F26" s="90">
        <v>4</v>
      </c>
      <c r="Q26" s="3" t="str">
        <f t="shared" si="1"/>
        <v>2018</v>
      </c>
      <c r="R26" s="3" t="str">
        <f t="shared" si="2"/>
        <v>0125</v>
      </c>
      <c r="S26" s="3" t="str">
        <f t="shared" si="5"/>
        <v>01</v>
      </c>
      <c r="T26" s="3" t="str">
        <f t="shared" si="3"/>
        <v>25</v>
      </c>
      <c r="U26" s="5" t="s">
        <v>40</v>
      </c>
    </row>
    <row r="27" spans="1:21">
      <c r="A27" s="3">
        <v>20180126</v>
      </c>
      <c r="B27" s="3">
        <v>201804</v>
      </c>
      <c r="C27" s="3">
        <f t="shared" si="4"/>
        <v>4</v>
      </c>
      <c r="E27" s="4" t="str">
        <f t="shared" si="0"/>
        <v>2018-01-26</v>
      </c>
      <c r="F27" s="90">
        <v>4</v>
      </c>
      <c r="Q27" s="3" t="str">
        <f t="shared" si="1"/>
        <v>2018</v>
      </c>
      <c r="R27" s="3" t="str">
        <f t="shared" si="2"/>
        <v>0126</v>
      </c>
      <c r="S27" s="3" t="str">
        <f t="shared" si="5"/>
        <v>01</v>
      </c>
      <c r="T27" s="3" t="str">
        <f t="shared" si="3"/>
        <v>26</v>
      </c>
      <c r="U27" s="5" t="s">
        <v>40</v>
      </c>
    </row>
    <row r="28" spans="1:21">
      <c r="A28" s="3">
        <v>20180127</v>
      </c>
      <c r="B28" s="3">
        <v>201805</v>
      </c>
      <c r="C28" s="3">
        <f t="shared" si="4"/>
        <v>5</v>
      </c>
      <c r="E28" s="4" t="str">
        <f t="shared" si="0"/>
        <v>2018-01-27</v>
      </c>
      <c r="F28" s="90">
        <v>5</v>
      </c>
      <c r="Q28" s="3" t="str">
        <f t="shared" si="1"/>
        <v>2018</v>
      </c>
      <c r="R28" s="3" t="str">
        <f t="shared" si="2"/>
        <v>0127</v>
      </c>
      <c r="S28" s="3" t="str">
        <f t="shared" si="5"/>
        <v>01</v>
      </c>
      <c r="T28" s="3" t="str">
        <f t="shared" si="3"/>
        <v>27</v>
      </c>
      <c r="U28" s="5" t="s">
        <v>40</v>
      </c>
    </row>
    <row r="29" spans="1:21">
      <c r="A29" s="3">
        <v>20180128</v>
      </c>
      <c r="B29" s="3">
        <v>201805</v>
      </c>
      <c r="C29" s="3">
        <f t="shared" si="4"/>
        <v>5</v>
      </c>
      <c r="E29" s="4" t="str">
        <f t="shared" si="0"/>
        <v>2018-01-28</v>
      </c>
      <c r="F29" s="90">
        <v>5</v>
      </c>
      <c r="Q29" s="3" t="str">
        <f t="shared" si="1"/>
        <v>2018</v>
      </c>
      <c r="R29" s="3" t="str">
        <f t="shared" si="2"/>
        <v>0128</v>
      </c>
      <c r="S29" s="3" t="str">
        <f t="shared" si="5"/>
        <v>01</v>
      </c>
      <c r="T29" s="3" t="str">
        <f t="shared" si="3"/>
        <v>28</v>
      </c>
      <c r="U29" s="5" t="s">
        <v>40</v>
      </c>
    </row>
    <row r="30" spans="1:21">
      <c r="A30" s="3">
        <v>20180129</v>
      </c>
      <c r="B30" s="3">
        <v>201805</v>
      </c>
      <c r="C30" s="3">
        <f t="shared" si="4"/>
        <v>5</v>
      </c>
      <c r="E30" s="4" t="str">
        <f t="shared" si="0"/>
        <v>2018-01-29</v>
      </c>
      <c r="F30" s="90">
        <v>5</v>
      </c>
      <c r="Q30" s="3" t="str">
        <f t="shared" si="1"/>
        <v>2018</v>
      </c>
      <c r="R30" s="3" t="str">
        <f t="shared" si="2"/>
        <v>0129</v>
      </c>
      <c r="S30" s="3" t="str">
        <f t="shared" si="5"/>
        <v>01</v>
      </c>
      <c r="T30" s="3" t="str">
        <f t="shared" si="3"/>
        <v>29</v>
      </c>
      <c r="U30" s="5" t="s">
        <v>40</v>
      </c>
    </row>
    <row r="31" spans="1:21">
      <c r="A31" s="3">
        <v>20180130</v>
      </c>
      <c r="B31" s="3">
        <v>201805</v>
      </c>
      <c r="C31" s="3">
        <f t="shared" si="4"/>
        <v>5</v>
      </c>
      <c r="E31" s="4" t="str">
        <f t="shared" si="0"/>
        <v>2018-01-30</v>
      </c>
      <c r="F31" s="90">
        <v>5</v>
      </c>
      <c r="Q31" s="3" t="str">
        <f t="shared" si="1"/>
        <v>2018</v>
      </c>
      <c r="R31" s="3" t="str">
        <f t="shared" si="2"/>
        <v>0130</v>
      </c>
      <c r="S31" s="3" t="str">
        <f t="shared" si="5"/>
        <v>01</v>
      </c>
      <c r="T31" s="3" t="str">
        <f t="shared" si="3"/>
        <v>30</v>
      </c>
      <c r="U31" s="5" t="s">
        <v>40</v>
      </c>
    </row>
    <row r="32" spans="1:21">
      <c r="A32" s="3">
        <v>20180131</v>
      </c>
      <c r="B32" s="3">
        <v>201805</v>
      </c>
      <c r="C32" s="3">
        <f t="shared" si="4"/>
        <v>5</v>
      </c>
      <c r="E32" s="4" t="str">
        <f t="shared" si="0"/>
        <v>2018-01-31</v>
      </c>
      <c r="F32" s="90">
        <v>5</v>
      </c>
      <c r="Q32" s="3" t="str">
        <f t="shared" si="1"/>
        <v>2018</v>
      </c>
      <c r="R32" s="3" t="str">
        <f t="shared" si="2"/>
        <v>0131</v>
      </c>
      <c r="S32" s="3" t="str">
        <f t="shared" si="5"/>
        <v>01</v>
      </c>
      <c r="T32" s="3" t="str">
        <f t="shared" si="3"/>
        <v>31</v>
      </c>
      <c r="U32" s="5" t="s">
        <v>40</v>
      </c>
    </row>
    <row r="33" spans="1:21">
      <c r="A33" s="3">
        <v>20180201</v>
      </c>
      <c r="B33" s="3">
        <v>201805</v>
      </c>
      <c r="C33" s="3">
        <f t="shared" si="4"/>
        <v>5</v>
      </c>
      <c r="E33" s="4" t="str">
        <f t="shared" si="0"/>
        <v>2018-02-01</v>
      </c>
      <c r="F33" s="90">
        <v>5</v>
      </c>
      <c r="Q33" s="3" t="str">
        <f t="shared" si="1"/>
        <v>2018</v>
      </c>
      <c r="R33" s="3" t="str">
        <f t="shared" si="2"/>
        <v>0201</v>
      </c>
      <c r="S33" s="3" t="str">
        <f t="shared" si="5"/>
        <v>02</v>
      </c>
      <c r="T33" s="3" t="str">
        <f t="shared" si="3"/>
        <v>01</v>
      </c>
      <c r="U33" s="5" t="s">
        <v>40</v>
      </c>
    </row>
    <row r="34" spans="1:21">
      <c r="A34" s="3">
        <v>20180202</v>
      </c>
      <c r="B34" s="3">
        <v>201805</v>
      </c>
      <c r="C34" s="3">
        <f t="shared" si="4"/>
        <v>5</v>
      </c>
      <c r="E34" s="4" t="str">
        <f t="shared" si="0"/>
        <v>2018-02-02</v>
      </c>
      <c r="F34" s="90">
        <v>5</v>
      </c>
      <c r="Q34" s="3" t="str">
        <f t="shared" si="1"/>
        <v>2018</v>
      </c>
      <c r="R34" s="3" t="str">
        <f t="shared" si="2"/>
        <v>0202</v>
      </c>
      <c r="S34" s="3" t="str">
        <f t="shared" si="5"/>
        <v>02</v>
      </c>
      <c r="T34" s="3" t="str">
        <f t="shared" si="3"/>
        <v>02</v>
      </c>
      <c r="U34" s="5" t="s">
        <v>40</v>
      </c>
    </row>
    <row r="35" spans="1:21">
      <c r="A35" s="3">
        <v>20180203</v>
      </c>
      <c r="B35" s="3">
        <v>201806</v>
      </c>
      <c r="C35" s="3">
        <f t="shared" si="4"/>
        <v>6</v>
      </c>
      <c r="E35" s="4" t="str">
        <f t="shared" si="0"/>
        <v>2018-02-03</v>
      </c>
      <c r="F35" s="90">
        <v>6</v>
      </c>
      <c r="Q35" s="3" t="str">
        <f t="shared" si="1"/>
        <v>2018</v>
      </c>
      <c r="R35" s="3" t="str">
        <f t="shared" si="2"/>
        <v>0203</v>
      </c>
      <c r="S35" s="3" t="str">
        <f t="shared" si="5"/>
        <v>02</v>
      </c>
      <c r="T35" s="3" t="str">
        <f t="shared" si="3"/>
        <v>03</v>
      </c>
      <c r="U35" s="5" t="s">
        <v>40</v>
      </c>
    </row>
    <row r="36" spans="1:21">
      <c r="A36" s="3">
        <v>20180204</v>
      </c>
      <c r="B36" s="3">
        <v>201806</v>
      </c>
      <c r="C36" s="3">
        <f t="shared" si="4"/>
        <v>6</v>
      </c>
      <c r="E36" s="4" t="str">
        <f t="shared" si="0"/>
        <v>2018-02-04</v>
      </c>
      <c r="F36" s="90">
        <v>6</v>
      </c>
      <c r="Q36" s="3" t="str">
        <f t="shared" si="1"/>
        <v>2018</v>
      </c>
      <c r="R36" s="3" t="str">
        <f t="shared" si="2"/>
        <v>0204</v>
      </c>
      <c r="S36" s="3" t="str">
        <f t="shared" si="5"/>
        <v>02</v>
      </c>
      <c r="T36" s="3" t="str">
        <f t="shared" si="3"/>
        <v>04</v>
      </c>
      <c r="U36" s="5" t="s">
        <v>40</v>
      </c>
    </row>
    <row r="37" spans="1:21">
      <c r="A37" s="3">
        <v>20180205</v>
      </c>
      <c r="B37" s="3">
        <v>201806</v>
      </c>
      <c r="C37" s="3">
        <f t="shared" si="4"/>
        <v>6</v>
      </c>
      <c r="E37" s="4" t="str">
        <f t="shared" si="0"/>
        <v>2018-02-05</v>
      </c>
      <c r="F37" s="90">
        <v>6</v>
      </c>
      <c r="Q37" s="3" t="str">
        <f t="shared" si="1"/>
        <v>2018</v>
      </c>
      <c r="R37" s="3" t="str">
        <f t="shared" si="2"/>
        <v>0205</v>
      </c>
      <c r="S37" s="3" t="str">
        <f t="shared" si="5"/>
        <v>02</v>
      </c>
      <c r="T37" s="3" t="str">
        <f t="shared" si="3"/>
        <v>05</v>
      </c>
      <c r="U37" s="5" t="s">
        <v>40</v>
      </c>
    </row>
    <row r="38" spans="1:21">
      <c r="A38" s="3">
        <v>20180206</v>
      </c>
      <c r="B38" s="3">
        <v>201806</v>
      </c>
      <c r="C38" s="3">
        <f t="shared" si="4"/>
        <v>6</v>
      </c>
      <c r="E38" s="4" t="str">
        <f t="shared" si="0"/>
        <v>2018-02-06</v>
      </c>
      <c r="F38" s="90">
        <v>6</v>
      </c>
      <c r="Q38" s="3" t="str">
        <f t="shared" si="1"/>
        <v>2018</v>
      </c>
      <c r="R38" s="3" t="str">
        <f t="shared" si="2"/>
        <v>0206</v>
      </c>
      <c r="S38" s="3" t="str">
        <f t="shared" si="5"/>
        <v>02</v>
      </c>
      <c r="T38" s="3" t="str">
        <f t="shared" si="3"/>
        <v>06</v>
      </c>
      <c r="U38" s="5" t="s">
        <v>40</v>
      </c>
    </row>
    <row r="39" spans="1:21">
      <c r="A39" s="3">
        <v>20180207</v>
      </c>
      <c r="B39" s="3">
        <v>201806</v>
      </c>
      <c r="C39" s="3">
        <f t="shared" si="4"/>
        <v>6</v>
      </c>
      <c r="E39" s="4" t="str">
        <f t="shared" si="0"/>
        <v>2018-02-07</v>
      </c>
      <c r="F39" s="90">
        <v>6</v>
      </c>
      <c r="Q39" s="3" t="str">
        <f t="shared" si="1"/>
        <v>2018</v>
      </c>
      <c r="R39" s="3" t="str">
        <f t="shared" si="2"/>
        <v>0207</v>
      </c>
      <c r="S39" s="3" t="str">
        <f t="shared" si="5"/>
        <v>02</v>
      </c>
      <c r="T39" s="3" t="str">
        <f t="shared" si="3"/>
        <v>07</v>
      </c>
      <c r="U39" s="5" t="s">
        <v>40</v>
      </c>
    </row>
    <row r="40" spans="1:21">
      <c r="A40" s="3">
        <v>20180208</v>
      </c>
      <c r="B40" s="3">
        <v>201806</v>
      </c>
      <c r="C40" s="3">
        <f t="shared" si="4"/>
        <v>6</v>
      </c>
      <c r="E40" s="4" t="str">
        <f t="shared" si="0"/>
        <v>2018-02-08</v>
      </c>
      <c r="F40" s="90">
        <v>6</v>
      </c>
      <c r="Q40" s="3" t="str">
        <f t="shared" si="1"/>
        <v>2018</v>
      </c>
      <c r="R40" s="3" t="str">
        <f t="shared" si="2"/>
        <v>0208</v>
      </c>
      <c r="S40" s="3" t="str">
        <f t="shared" si="5"/>
        <v>02</v>
      </c>
      <c r="T40" s="3" t="str">
        <f t="shared" si="3"/>
        <v>08</v>
      </c>
      <c r="U40" s="5" t="s">
        <v>40</v>
      </c>
    </row>
    <row r="41" spans="1:21">
      <c r="A41" s="3">
        <v>20180209</v>
      </c>
      <c r="B41" s="3">
        <v>201806</v>
      </c>
      <c r="C41" s="3">
        <f t="shared" si="4"/>
        <v>6</v>
      </c>
      <c r="E41" s="4" t="str">
        <f t="shared" si="0"/>
        <v>2018-02-09</v>
      </c>
      <c r="F41" s="90">
        <v>6</v>
      </c>
      <c r="Q41" s="3" t="str">
        <f t="shared" si="1"/>
        <v>2018</v>
      </c>
      <c r="R41" s="3" t="str">
        <f t="shared" si="2"/>
        <v>0209</v>
      </c>
      <c r="S41" s="3" t="str">
        <f t="shared" si="5"/>
        <v>02</v>
      </c>
      <c r="T41" s="3" t="str">
        <f t="shared" si="3"/>
        <v>09</v>
      </c>
      <c r="U41" s="5" t="s">
        <v>40</v>
      </c>
    </row>
    <row r="42" spans="1:21">
      <c r="A42" s="3">
        <v>20180210</v>
      </c>
      <c r="B42" s="3">
        <v>201807</v>
      </c>
      <c r="C42" s="3">
        <f t="shared" si="4"/>
        <v>7</v>
      </c>
      <c r="E42" s="4" t="str">
        <f t="shared" si="0"/>
        <v>2018-02-10</v>
      </c>
      <c r="F42" s="90">
        <v>7</v>
      </c>
      <c r="Q42" s="3" t="str">
        <f t="shared" si="1"/>
        <v>2018</v>
      </c>
      <c r="R42" s="3" t="str">
        <f t="shared" si="2"/>
        <v>0210</v>
      </c>
      <c r="S42" s="3" t="str">
        <f t="shared" si="5"/>
        <v>02</v>
      </c>
      <c r="T42" s="3" t="str">
        <f t="shared" si="3"/>
        <v>10</v>
      </c>
      <c r="U42" s="5" t="s">
        <v>40</v>
      </c>
    </row>
    <row r="43" spans="1:21">
      <c r="A43" s="3">
        <v>20180211</v>
      </c>
      <c r="B43" s="3">
        <v>201807</v>
      </c>
      <c r="C43" s="3">
        <f t="shared" si="4"/>
        <v>7</v>
      </c>
      <c r="E43" s="4" t="str">
        <f t="shared" si="0"/>
        <v>2018-02-11</v>
      </c>
      <c r="F43" s="90">
        <v>7</v>
      </c>
      <c r="Q43" s="3" t="str">
        <f t="shared" si="1"/>
        <v>2018</v>
      </c>
      <c r="R43" s="3" t="str">
        <f t="shared" si="2"/>
        <v>0211</v>
      </c>
      <c r="S43" s="3" t="str">
        <f t="shared" si="5"/>
        <v>02</v>
      </c>
      <c r="T43" s="3" t="str">
        <f t="shared" si="3"/>
        <v>11</v>
      </c>
      <c r="U43" s="5" t="s">
        <v>40</v>
      </c>
    </row>
    <row r="44" spans="1:21">
      <c r="A44" s="3">
        <v>20180212</v>
      </c>
      <c r="B44" s="3">
        <v>201807</v>
      </c>
      <c r="C44" s="3">
        <f t="shared" si="4"/>
        <v>7</v>
      </c>
      <c r="E44" s="4" t="str">
        <f t="shared" si="0"/>
        <v>2018-02-12</v>
      </c>
      <c r="F44" s="90">
        <v>7</v>
      </c>
      <c r="Q44" s="3" t="str">
        <f t="shared" si="1"/>
        <v>2018</v>
      </c>
      <c r="R44" s="3" t="str">
        <f t="shared" si="2"/>
        <v>0212</v>
      </c>
      <c r="S44" s="3" t="str">
        <f t="shared" si="5"/>
        <v>02</v>
      </c>
      <c r="T44" s="3" t="str">
        <f t="shared" si="3"/>
        <v>12</v>
      </c>
      <c r="U44" s="5" t="s">
        <v>40</v>
      </c>
    </row>
    <row r="45" spans="1:21">
      <c r="A45" s="3">
        <v>20180213</v>
      </c>
      <c r="B45" s="3">
        <v>201807</v>
      </c>
      <c r="C45" s="3">
        <f t="shared" si="4"/>
        <v>7</v>
      </c>
      <c r="E45" s="4" t="str">
        <f t="shared" si="0"/>
        <v>2018-02-13</v>
      </c>
      <c r="F45" s="90">
        <v>7</v>
      </c>
      <c r="Q45" s="3" t="str">
        <f t="shared" si="1"/>
        <v>2018</v>
      </c>
      <c r="R45" s="3" t="str">
        <f t="shared" si="2"/>
        <v>0213</v>
      </c>
      <c r="S45" s="3" t="str">
        <f t="shared" si="5"/>
        <v>02</v>
      </c>
      <c r="T45" s="3" t="str">
        <f t="shared" si="3"/>
        <v>13</v>
      </c>
      <c r="U45" s="5" t="s">
        <v>40</v>
      </c>
    </row>
    <row r="46" spans="1:21">
      <c r="A46" s="3">
        <v>20180214</v>
      </c>
      <c r="B46" s="3">
        <v>201807</v>
      </c>
      <c r="C46" s="3">
        <f t="shared" si="4"/>
        <v>7</v>
      </c>
      <c r="E46" s="4" t="str">
        <f t="shared" si="0"/>
        <v>2018-02-14</v>
      </c>
      <c r="F46" s="90">
        <v>7</v>
      </c>
      <c r="Q46" s="3" t="str">
        <f t="shared" si="1"/>
        <v>2018</v>
      </c>
      <c r="R46" s="3" t="str">
        <f t="shared" si="2"/>
        <v>0214</v>
      </c>
      <c r="S46" s="3" t="str">
        <f t="shared" si="5"/>
        <v>02</v>
      </c>
      <c r="T46" s="3" t="str">
        <f t="shared" si="3"/>
        <v>14</v>
      </c>
      <c r="U46" s="5" t="s">
        <v>40</v>
      </c>
    </row>
    <row r="47" spans="1:21">
      <c r="A47" s="3">
        <v>20180215</v>
      </c>
      <c r="B47" s="3">
        <v>201807</v>
      </c>
      <c r="C47" s="3">
        <f t="shared" si="4"/>
        <v>7</v>
      </c>
      <c r="E47" s="4" t="str">
        <f t="shared" si="0"/>
        <v>2018-02-15</v>
      </c>
      <c r="F47" s="90">
        <v>7</v>
      </c>
      <c r="Q47" s="3" t="str">
        <f t="shared" si="1"/>
        <v>2018</v>
      </c>
      <c r="R47" s="3" t="str">
        <f t="shared" si="2"/>
        <v>0215</v>
      </c>
      <c r="S47" s="3" t="str">
        <f t="shared" si="5"/>
        <v>02</v>
      </c>
      <c r="T47" s="3" t="str">
        <f t="shared" si="3"/>
        <v>15</v>
      </c>
      <c r="U47" s="5" t="s">
        <v>40</v>
      </c>
    </row>
    <row r="48" spans="1:21">
      <c r="A48" s="3">
        <v>20180216</v>
      </c>
      <c r="B48" s="3">
        <v>201807</v>
      </c>
      <c r="C48" s="3">
        <f t="shared" si="4"/>
        <v>7</v>
      </c>
      <c r="E48" s="4" t="str">
        <f t="shared" si="0"/>
        <v>2018-02-16</v>
      </c>
      <c r="F48" s="90">
        <v>7</v>
      </c>
      <c r="Q48" s="3" t="str">
        <f t="shared" si="1"/>
        <v>2018</v>
      </c>
      <c r="R48" s="3" t="str">
        <f t="shared" si="2"/>
        <v>0216</v>
      </c>
      <c r="S48" s="3" t="str">
        <f t="shared" si="5"/>
        <v>02</v>
      </c>
      <c r="T48" s="3" t="str">
        <f t="shared" si="3"/>
        <v>16</v>
      </c>
      <c r="U48" s="5" t="s">
        <v>40</v>
      </c>
    </row>
    <row r="49" spans="1:21">
      <c r="A49" s="3">
        <v>20180217</v>
      </c>
      <c r="B49" s="3">
        <v>201808</v>
      </c>
      <c r="C49" s="3">
        <f t="shared" si="4"/>
        <v>8</v>
      </c>
      <c r="E49" s="4" t="str">
        <f t="shared" si="0"/>
        <v>2018-02-17</v>
      </c>
      <c r="F49" s="90">
        <v>8</v>
      </c>
      <c r="Q49" s="3" t="str">
        <f t="shared" si="1"/>
        <v>2018</v>
      </c>
      <c r="R49" s="3" t="str">
        <f t="shared" si="2"/>
        <v>0217</v>
      </c>
      <c r="S49" s="3" t="str">
        <f t="shared" si="5"/>
        <v>02</v>
      </c>
      <c r="T49" s="3" t="str">
        <f t="shared" si="3"/>
        <v>17</v>
      </c>
      <c r="U49" s="5" t="s">
        <v>40</v>
      </c>
    </row>
    <row r="50" spans="1:21">
      <c r="A50" s="3">
        <v>20180218</v>
      </c>
      <c r="B50" s="3">
        <v>201808</v>
      </c>
      <c r="C50" s="3">
        <f t="shared" si="4"/>
        <v>8</v>
      </c>
      <c r="E50" s="4" t="str">
        <f t="shared" si="0"/>
        <v>2018-02-18</v>
      </c>
      <c r="F50" s="90">
        <v>8</v>
      </c>
      <c r="Q50" s="3" t="str">
        <f t="shared" si="1"/>
        <v>2018</v>
      </c>
      <c r="R50" s="3" t="str">
        <f t="shared" si="2"/>
        <v>0218</v>
      </c>
      <c r="S50" s="3" t="str">
        <f t="shared" si="5"/>
        <v>02</v>
      </c>
      <c r="T50" s="3" t="str">
        <f t="shared" si="3"/>
        <v>18</v>
      </c>
      <c r="U50" s="5" t="s">
        <v>40</v>
      </c>
    </row>
    <row r="51" spans="1:21">
      <c r="A51" s="3">
        <v>20180219</v>
      </c>
      <c r="B51" s="3">
        <v>201808</v>
      </c>
      <c r="C51" s="3">
        <f t="shared" si="4"/>
        <v>8</v>
      </c>
      <c r="E51" s="4" t="str">
        <f t="shared" si="0"/>
        <v>2018-02-19</v>
      </c>
      <c r="F51" s="90">
        <v>8</v>
      </c>
      <c r="Q51" s="3" t="str">
        <f t="shared" si="1"/>
        <v>2018</v>
      </c>
      <c r="R51" s="3" t="str">
        <f t="shared" si="2"/>
        <v>0219</v>
      </c>
      <c r="S51" s="3" t="str">
        <f t="shared" si="5"/>
        <v>02</v>
      </c>
      <c r="T51" s="3" t="str">
        <f t="shared" si="3"/>
        <v>19</v>
      </c>
      <c r="U51" s="5" t="s">
        <v>40</v>
      </c>
    </row>
    <row r="52" spans="1:21">
      <c r="A52" s="3">
        <v>20180220</v>
      </c>
      <c r="B52" s="3">
        <v>201808</v>
      </c>
      <c r="C52" s="3">
        <f t="shared" si="4"/>
        <v>8</v>
      </c>
      <c r="E52" s="4" t="str">
        <f t="shared" si="0"/>
        <v>2018-02-20</v>
      </c>
      <c r="F52" s="90">
        <v>8</v>
      </c>
      <c r="Q52" s="3" t="str">
        <f t="shared" si="1"/>
        <v>2018</v>
      </c>
      <c r="R52" s="3" t="str">
        <f t="shared" si="2"/>
        <v>0220</v>
      </c>
      <c r="S52" s="3" t="str">
        <f t="shared" si="5"/>
        <v>02</v>
      </c>
      <c r="T52" s="3" t="str">
        <f t="shared" si="3"/>
        <v>20</v>
      </c>
      <c r="U52" s="5" t="s">
        <v>40</v>
      </c>
    </row>
    <row r="53" spans="1:21">
      <c r="A53" s="3">
        <v>20180221</v>
      </c>
      <c r="B53" s="3">
        <v>201808</v>
      </c>
      <c r="C53" s="3">
        <f t="shared" si="4"/>
        <v>8</v>
      </c>
      <c r="E53" s="4" t="str">
        <f t="shared" si="0"/>
        <v>2018-02-21</v>
      </c>
      <c r="F53" s="90">
        <v>8</v>
      </c>
      <c r="Q53" s="3" t="str">
        <f t="shared" si="1"/>
        <v>2018</v>
      </c>
      <c r="R53" s="3" t="str">
        <f t="shared" si="2"/>
        <v>0221</v>
      </c>
      <c r="S53" s="3" t="str">
        <f t="shared" si="5"/>
        <v>02</v>
      </c>
      <c r="T53" s="3" t="str">
        <f t="shared" si="3"/>
        <v>21</v>
      </c>
      <c r="U53" s="5" t="s">
        <v>40</v>
      </c>
    </row>
    <row r="54" spans="1:21">
      <c r="A54" s="3">
        <v>20180222</v>
      </c>
      <c r="B54" s="3">
        <v>201808</v>
      </c>
      <c r="C54" s="3">
        <f t="shared" si="4"/>
        <v>8</v>
      </c>
      <c r="E54" s="4" t="str">
        <f t="shared" si="0"/>
        <v>2018-02-22</v>
      </c>
      <c r="F54" s="90">
        <v>8</v>
      </c>
      <c r="Q54" s="3" t="str">
        <f t="shared" si="1"/>
        <v>2018</v>
      </c>
      <c r="R54" s="3" t="str">
        <f t="shared" si="2"/>
        <v>0222</v>
      </c>
      <c r="S54" s="3" t="str">
        <f t="shared" si="5"/>
        <v>02</v>
      </c>
      <c r="T54" s="3" t="str">
        <f t="shared" si="3"/>
        <v>22</v>
      </c>
      <c r="U54" s="5" t="s">
        <v>40</v>
      </c>
    </row>
    <row r="55" spans="1:21">
      <c r="A55" s="3">
        <v>20180223</v>
      </c>
      <c r="B55" s="3">
        <v>201808</v>
      </c>
      <c r="C55" s="3">
        <f t="shared" si="4"/>
        <v>8</v>
      </c>
      <c r="E55" s="4" t="str">
        <f t="shared" si="0"/>
        <v>2018-02-23</v>
      </c>
      <c r="F55" s="90">
        <v>8</v>
      </c>
      <c r="Q55" s="3" t="str">
        <f t="shared" si="1"/>
        <v>2018</v>
      </c>
      <c r="R55" s="3" t="str">
        <f t="shared" si="2"/>
        <v>0223</v>
      </c>
      <c r="S55" s="3" t="str">
        <f t="shared" si="5"/>
        <v>02</v>
      </c>
      <c r="T55" s="3" t="str">
        <f t="shared" si="3"/>
        <v>23</v>
      </c>
      <c r="U55" s="5" t="s">
        <v>40</v>
      </c>
    </row>
    <row r="56" spans="1:21">
      <c r="A56" s="3">
        <v>20180224</v>
      </c>
      <c r="B56" s="3">
        <v>201809</v>
      </c>
      <c r="C56" s="3">
        <f t="shared" si="4"/>
        <v>9</v>
      </c>
      <c r="E56" s="4" t="str">
        <f t="shared" si="0"/>
        <v>2018-02-24</v>
      </c>
      <c r="F56" s="90">
        <v>9</v>
      </c>
      <c r="Q56" s="3" t="str">
        <f t="shared" si="1"/>
        <v>2018</v>
      </c>
      <c r="R56" s="3" t="str">
        <f t="shared" si="2"/>
        <v>0224</v>
      </c>
      <c r="S56" s="3" t="str">
        <f t="shared" si="5"/>
        <v>02</v>
      </c>
      <c r="T56" s="3" t="str">
        <f t="shared" si="3"/>
        <v>24</v>
      </c>
      <c r="U56" s="5" t="s">
        <v>40</v>
      </c>
    </row>
    <row r="57" spans="1:21">
      <c r="A57" s="3">
        <v>20180225</v>
      </c>
      <c r="B57" s="3">
        <v>201809</v>
      </c>
      <c r="C57" s="3">
        <f t="shared" si="4"/>
        <v>9</v>
      </c>
      <c r="E57" s="4" t="str">
        <f t="shared" si="0"/>
        <v>2018-02-25</v>
      </c>
      <c r="F57" s="90">
        <v>9</v>
      </c>
      <c r="Q57" s="3" t="str">
        <f t="shared" si="1"/>
        <v>2018</v>
      </c>
      <c r="R57" s="3" t="str">
        <f t="shared" si="2"/>
        <v>0225</v>
      </c>
      <c r="S57" s="3" t="str">
        <f t="shared" si="5"/>
        <v>02</v>
      </c>
      <c r="T57" s="3" t="str">
        <f t="shared" si="3"/>
        <v>25</v>
      </c>
      <c r="U57" s="5" t="s">
        <v>40</v>
      </c>
    </row>
    <row r="58" spans="1:21">
      <c r="A58" s="3">
        <v>20180226</v>
      </c>
      <c r="B58" s="3">
        <v>201809</v>
      </c>
      <c r="C58" s="3">
        <f t="shared" si="4"/>
        <v>9</v>
      </c>
      <c r="E58" s="4" t="str">
        <f t="shared" si="0"/>
        <v>2018-02-26</v>
      </c>
      <c r="F58" s="90">
        <v>9</v>
      </c>
      <c r="Q58" s="3" t="str">
        <f t="shared" si="1"/>
        <v>2018</v>
      </c>
      <c r="R58" s="3" t="str">
        <f t="shared" si="2"/>
        <v>0226</v>
      </c>
      <c r="S58" s="3" t="str">
        <f t="shared" si="5"/>
        <v>02</v>
      </c>
      <c r="T58" s="3" t="str">
        <f t="shared" si="3"/>
        <v>26</v>
      </c>
      <c r="U58" s="5" t="s">
        <v>40</v>
      </c>
    </row>
    <row r="59" spans="1:21">
      <c r="A59" s="3">
        <v>20180227</v>
      </c>
      <c r="B59" s="3">
        <v>201809</v>
      </c>
      <c r="C59" s="3">
        <f t="shared" si="4"/>
        <v>9</v>
      </c>
      <c r="E59" s="4" t="str">
        <f t="shared" si="0"/>
        <v>2018-02-27</v>
      </c>
      <c r="F59" s="90">
        <v>9</v>
      </c>
      <c r="Q59" s="3" t="str">
        <f t="shared" si="1"/>
        <v>2018</v>
      </c>
      <c r="R59" s="3" t="str">
        <f t="shared" si="2"/>
        <v>0227</v>
      </c>
      <c r="S59" s="3" t="str">
        <f t="shared" si="5"/>
        <v>02</v>
      </c>
      <c r="T59" s="3" t="str">
        <f t="shared" si="3"/>
        <v>27</v>
      </c>
      <c r="U59" s="5" t="s">
        <v>40</v>
      </c>
    </row>
    <row r="60" spans="1:21">
      <c r="A60" s="3">
        <v>20180228</v>
      </c>
      <c r="B60" s="3">
        <v>201809</v>
      </c>
      <c r="C60" s="3">
        <f t="shared" si="4"/>
        <v>9</v>
      </c>
      <c r="E60" s="4" t="str">
        <f t="shared" si="0"/>
        <v>2018-02-28</v>
      </c>
      <c r="F60" s="90">
        <v>9</v>
      </c>
      <c r="Q60" s="3" t="str">
        <f t="shared" si="1"/>
        <v>2018</v>
      </c>
      <c r="R60" s="3" t="str">
        <f t="shared" si="2"/>
        <v>0228</v>
      </c>
      <c r="S60" s="3" t="str">
        <f t="shared" si="5"/>
        <v>02</v>
      </c>
      <c r="T60" s="3" t="str">
        <f t="shared" si="3"/>
        <v>28</v>
      </c>
      <c r="U60" s="5" t="s">
        <v>40</v>
      </c>
    </row>
    <row r="61" spans="1:21">
      <c r="A61" s="3">
        <v>20180301</v>
      </c>
      <c r="B61" s="3">
        <v>201809</v>
      </c>
      <c r="C61" s="3">
        <f t="shared" si="4"/>
        <v>9</v>
      </c>
      <c r="E61" s="4" t="str">
        <f t="shared" si="0"/>
        <v>2018-03-01</v>
      </c>
      <c r="F61" s="90">
        <v>9</v>
      </c>
      <c r="Q61" s="3" t="str">
        <f t="shared" si="1"/>
        <v>2018</v>
      </c>
      <c r="R61" s="3" t="str">
        <f t="shared" si="2"/>
        <v>0301</v>
      </c>
      <c r="S61" s="3" t="str">
        <f t="shared" si="5"/>
        <v>03</v>
      </c>
      <c r="T61" s="3" t="str">
        <f t="shared" si="3"/>
        <v>01</v>
      </c>
      <c r="U61" s="5" t="s">
        <v>40</v>
      </c>
    </row>
    <row r="62" spans="1:21">
      <c r="A62" s="3">
        <v>20180302</v>
      </c>
      <c r="B62" s="3">
        <v>201809</v>
      </c>
      <c r="C62" s="3">
        <f t="shared" si="4"/>
        <v>9</v>
      </c>
      <c r="E62" s="4" t="str">
        <f t="shared" si="0"/>
        <v>2018-03-02</v>
      </c>
      <c r="F62" s="90">
        <v>9</v>
      </c>
      <c r="Q62" s="3" t="str">
        <f t="shared" si="1"/>
        <v>2018</v>
      </c>
      <c r="R62" s="3" t="str">
        <f t="shared" si="2"/>
        <v>0302</v>
      </c>
      <c r="S62" s="3" t="str">
        <f t="shared" si="5"/>
        <v>03</v>
      </c>
      <c r="T62" s="3" t="str">
        <f t="shared" si="3"/>
        <v>02</v>
      </c>
      <c r="U62" s="5" t="s">
        <v>40</v>
      </c>
    </row>
    <row r="63" spans="1:21">
      <c r="A63" s="3">
        <v>20180303</v>
      </c>
      <c r="B63" s="3">
        <v>201810</v>
      </c>
      <c r="C63" s="3">
        <f t="shared" si="4"/>
        <v>10</v>
      </c>
      <c r="E63" s="4" t="str">
        <f t="shared" si="0"/>
        <v>2018-03-03</v>
      </c>
      <c r="F63" s="90">
        <v>10</v>
      </c>
      <c r="Q63" s="3" t="str">
        <f t="shared" si="1"/>
        <v>2018</v>
      </c>
      <c r="R63" s="3" t="str">
        <f t="shared" si="2"/>
        <v>0303</v>
      </c>
      <c r="S63" s="3" t="str">
        <f t="shared" si="5"/>
        <v>03</v>
      </c>
      <c r="T63" s="3" t="str">
        <f t="shared" si="3"/>
        <v>03</v>
      </c>
      <c r="U63" s="5" t="s">
        <v>40</v>
      </c>
    </row>
    <row r="64" spans="1:21">
      <c r="A64" s="3">
        <v>20180304</v>
      </c>
      <c r="B64" s="3">
        <v>201810</v>
      </c>
      <c r="C64" s="3">
        <f t="shared" si="4"/>
        <v>10</v>
      </c>
      <c r="E64" s="4" t="str">
        <f t="shared" si="0"/>
        <v>2018-03-04</v>
      </c>
      <c r="F64" s="90">
        <v>10</v>
      </c>
      <c r="Q64" s="3" t="str">
        <f t="shared" si="1"/>
        <v>2018</v>
      </c>
      <c r="R64" s="3" t="str">
        <f t="shared" si="2"/>
        <v>0304</v>
      </c>
      <c r="S64" s="3" t="str">
        <f t="shared" si="5"/>
        <v>03</v>
      </c>
      <c r="T64" s="3" t="str">
        <f t="shared" si="3"/>
        <v>04</v>
      </c>
      <c r="U64" s="5" t="s">
        <v>40</v>
      </c>
    </row>
    <row r="65" spans="1:21">
      <c r="A65" s="3">
        <v>20180305</v>
      </c>
      <c r="B65" s="3">
        <v>201810</v>
      </c>
      <c r="C65" s="3">
        <f t="shared" si="4"/>
        <v>10</v>
      </c>
      <c r="E65" s="4" t="str">
        <f t="shared" si="0"/>
        <v>2018-03-05</v>
      </c>
      <c r="F65" s="90">
        <v>10</v>
      </c>
      <c r="Q65" s="3" t="str">
        <f t="shared" si="1"/>
        <v>2018</v>
      </c>
      <c r="R65" s="3" t="str">
        <f t="shared" si="2"/>
        <v>0305</v>
      </c>
      <c r="S65" s="3" t="str">
        <f t="shared" si="5"/>
        <v>03</v>
      </c>
      <c r="T65" s="3" t="str">
        <f t="shared" si="3"/>
        <v>05</v>
      </c>
      <c r="U65" s="5" t="s">
        <v>40</v>
      </c>
    </row>
    <row r="66" spans="1:21">
      <c r="A66" s="3">
        <v>20180306</v>
      </c>
      <c r="B66" s="3">
        <v>201810</v>
      </c>
      <c r="C66" s="3">
        <f t="shared" si="4"/>
        <v>10</v>
      </c>
      <c r="E66" s="4" t="str">
        <f t="shared" si="0"/>
        <v>2018-03-06</v>
      </c>
      <c r="F66" s="90">
        <v>10</v>
      </c>
      <c r="Q66" s="3" t="str">
        <f t="shared" ref="Q66:Q129" si="6">LEFT(A66,4)</f>
        <v>2018</v>
      </c>
      <c r="R66" s="3" t="str">
        <f t="shared" ref="R66:R129" si="7">RIGHT(A66,4)</f>
        <v>0306</v>
      </c>
      <c r="S66" s="3" t="str">
        <f t="shared" si="5"/>
        <v>03</v>
      </c>
      <c r="T66" s="3" t="str">
        <f t="shared" ref="T66:T129" si="8">RIGHT(A66,2)</f>
        <v>06</v>
      </c>
      <c r="U66" s="5" t="s">
        <v>40</v>
      </c>
    </row>
    <row r="67" spans="1:21">
      <c r="A67" s="3">
        <v>20180307</v>
      </c>
      <c r="B67" s="3">
        <v>201810</v>
      </c>
      <c r="C67" s="3">
        <f t="shared" ref="C67:C130" si="9">B67-201800</f>
        <v>10</v>
      </c>
      <c r="E67" s="4" t="str">
        <f t="shared" ref="E67:E130" si="10">Q67&amp;U67&amp;S67&amp;U67&amp;T67</f>
        <v>2018-03-07</v>
      </c>
      <c r="F67" s="90">
        <v>10</v>
      </c>
      <c r="Q67" s="3" t="str">
        <f t="shared" si="6"/>
        <v>2018</v>
      </c>
      <c r="R67" s="3" t="str">
        <f t="shared" si="7"/>
        <v>0307</v>
      </c>
      <c r="S67" s="3" t="str">
        <f t="shared" ref="S67:S130" si="11">LEFT(R67,2)</f>
        <v>03</v>
      </c>
      <c r="T67" s="3" t="str">
        <f t="shared" si="8"/>
        <v>07</v>
      </c>
      <c r="U67" s="5" t="s">
        <v>40</v>
      </c>
    </row>
    <row r="68" spans="1:21">
      <c r="A68" s="3">
        <v>20180308</v>
      </c>
      <c r="B68" s="3">
        <v>201810</v>
      </c>
      <c r="C68" s="3">
        <f t="shared" si="9"/>
        <v>10</v>
      </c>
      <c r="E68" s="4" t="str">
        <f t="shared" si="10"/>
        <v>2018-03-08</v>
      </c>
      <c r="F68" s="90">
        <v>10</v>
      </c>
      <c r="Q68" s="3" t="str">
        <f t="shared" si="6"/>
        <v>2018</v>
      </c>
      <c r="R68" s="3" t="str">
        <f t="shared" si="7"/>
        <v>0308</v>
      </c>
      <c r="S68" s="3" t="str">
        <f t="shared" si="11"/>
        <v>03</v>
      </c>
      <c r="T68" s="3" t="str">
        <f t="shared" si="8"/>
        <v>08</v>
      </c>
      <c r="U68" s="5" t="s">
        <v>40</v>
      </c>
    </row>
    <row r="69" spans="1:21">
      <c r="A69" s="3">
        <v>20180309</v>
      </c>
      <c r="B69" s="3">
        <v>201810</v>
      </c>
      <c r="C69" s="3">
        <f t="shared" si="9"/>
        <v>10</v>
      </c>
      <c r="E69" s="4" t="str">
        <f t="shared" si="10"/>
        <v>2018-03-09</v>
      </c>
      <c r="F69" s="90">
        <v>10</v>
      </c>
      <c r="Q69" s="3" t="str">
        <f t="shared" si="6"/>
        <v>2018</v>
      </c>
      <c r="R69" s="3" t="str">
        <f t="shared" si="7"/>
        <v>0309</v>
      </c>
      <c r="S69" s="3" t="str">
        <f t="shared" si="11"/>
        <v>03</v>
      </c>
      <c r="T69" s="3" t="str">
        <f t="shared" si="8"/>
        <v>09</v>
      </c>
      <c r="U69" s="5" t="s">
        <v>40</v>
      </c>
    </row>
    <row r="70" spans="1:21">
      <c r="A70" s="3">
        <v>20180310</v>
      </c>
      <c r="B70" s="3">
        <v>201811</v>
      </c>
      <c r="C70" s="3">
        <f t="shared" si="9"/>
        <v>11</v>
      </c>
      <c r="E70" s="4" t="str">
        <f t="shared" si="10"/>
        <v>2018-03-10</v>
      </c>
      <c r="F70" s="90">
        <v>11</v>
      </c>
      <c r="Q70" s="3" t="str">
        <f t="shared" si="6"/>
        <v>2018</v>
      </c>
      <c r="R70" s="3" t="str">
        <f t="shared" si="7"/>
        <v>0310</v>
      </c>
      <c r="S70" s="3" t="str">
        <f t="shared" si="11"/>
        <v>03</v>
      </c>
      <c r="T70" s="3" t="str">
        <f t="shared" si="8"/>
        <v>10</v>
      </c>
      <c r="U70" s="5" t="s">
        <v>40</v>
      </c>
    </row>
    <row r="71" spans="1:21">
      <c r="A71" s="3">
        <v>20180311</v>
      </c>
      <c r="B71" s="3">
        <v>201811</v>
      </c>
      <c r="C71" s="3">
        <f t="shared" si="9"/>
        <v>11</v>
      </c>
      <c r="E71" s="4" t="str">
        <f t="shared" si="10"/>
        <v>2018-03-11</v>
      </c>
      <c r="F71" s="90">
        <v>11</v>
      </c>
      <c r="Q71" s="3" t="str">
        <f t="shared" si="6"/>
        <v>2018</v>
      </c>
      <c r="R71" s="3" t="str">
        <f t="shared" si="7"/>
        <v>0311</v>
      </c>
      <c r="S71" s="3" t="str">
        <f t="shared" si="11"/>
        <v>03</v>
      </c>
      <c r="T71" s="3" t="str">
        <f t="shared" si="8"/>
        <v>11</v>
      </c>
      <c r="U71" s="5" t="s">
        <v>40</v>
      </c>
    </row>
    <row r="72" spans="1:21">
      <c r="A72" s="3">
        <v>20180312</v>
      </c>
      <c r="B72" s="3">
        <v>201811</v>
      </c>
      <c r="C72" s="3">
        <f t="shared" si="9"/>
        <v>11</v>
      </c>
      <c r="E72" s="4" t="str">
        <f t="shared" si="10"/>
        <v>2018-03-12</v>
      </c>
      <c r="F72" s="90">
        <v>11</v>
      </c>
      <c r="Q72" s="3" t="str">
        <f t="shared" si="6"/>
        <v>2018</v>
      </c>
      <c r="R72" s="3" t="str">
        <f t="shared" si="7"/>
        <v>0312</v>
      </c>
      <c r="S72" s="3" t="str">
        <f t="shared" si="11"/>
        <v>03</v>
      </c>
      <c r="T72" s="3" t="str">
        <f t="shared" si="8"/>
        <v>12</v>
      </c>
      <c r="U72" s="5" t="s">
        <v>40</v>
      </c>
    </row>
    <row r="73" spans="1:21">
      <c r="A73" s="3">
        <v>20180313</v>
      </c>
      <c r="B73" s="3">
        <v>201811</v>
      </c>
      <c r="C73" s="3">
        <f t="shared" si="9"/>
        <v>11</v>
      </c>
      <c r="E73" s="4" t="str">
        <f t="shared" si="10"/>
        <v>2018-03-13</v>
      </c>
      <c r="F73" s="90">
        <v>11</v>
      </c>
      <c r="Q73" s="3" t="str">
        <f t="shared" si="6"/>
        <v>2018</v>
      </c>
      <c r="R73" s="3" t="str">
        <f t="shared" si="7"/>
        <v>0313</v>
      </c>
      <c r="S73" s="3" t="str">
        <f t="shared" si="11"/>
        <v>03</v>
      </c>
      <c r="T73" s="3" t="str">
        <f t="shared" si="8"/>
        <v>13</v>
      </c>
      <c r="U73" s="5" t="s">
        <v>40</v>
      </c>
    </row>
    <row r="74" spans="1:21">
      <c r="A74" s="3">
        <v>20180314</v>
      </c>
      <c r="B74" s="3">
        <v>201811</v>
      </c>
      <c r="C74" s="3">
        <f t="shared" si="9"/>
        <v>11</v>
      </c>
      <c r="E74" s="4" t="str">
        <f t="shared" si="10"/>
        <v>2018-03-14</v>
      </c>
      <c r="F74" s="90">
        <v>11</v>
      </c>
      <c r="Q74" s="3" t="str">
        <f t="shared" si="6"/>
        <v>2018</v>
      </c>
      <c r="R74" s="3" t="str">
        <f t="shared" si="7"/>
        <v>0314</v>
      </c>
      <c r="S74" s="3" t="str">
        <f t="shared" si="11"/>
        <v>03</v>
      </c>
      <c r="T74" s="3" t="str">
        <f t="shared" si="8"/>
        <v>14</v>
      </c>
      <c r="U74" s="5" t="s">
        <v>40</v>
      </c>
    </row>
    <row r="75" spans="1:21">
      <c r="A75" s="3">
        <v>20180315</v>
      </c>
      <c r="B75" s="3">
        <v>201811</v>
      </c>
      <c r="C75" s="3">
        <f t="shared" si="9"/>
        <v>11</v>
      </c>
      <c r="E75" s="4" t="str">
        <f t="shared" si="10"/>
        <v>2018-03-15</v>
      </c>
      <c r="F75" s="90">
        <v>11</v>
      </c>
      <c r="Q75" s="3" t="str">
        <f t="shared" si="6"/>
        <v>2018</v>
      </c>
      <c r="R75" s="3" t="str">
        <f t="shared" si="7"/>
        <v>0315</v>
      </c>
      <c r="S75" s="3" t="str">
        <f t="shared" si="11"/>
        <v>03</v>
      </c>
      <c r="T75" s="3" t="str">
        <f t="shared" si="8"/>
        <v>15</v>
      </c>
      <c r="U75" s="5" t="s">
        <v>40</v>
      </c>
    </row>
    <row r="76" spans="1:21">
      <c r="A76" s="3">
        <v>20180316</v>
      </c>
      <c r="B76" s="3">
        <v>201811</v>
      </c>
      <c r="C76" s="3">
        <f t="shared" si="9"/>
        <v>11</v>
      </c>
      <c r="E76" s="4" t="str">
        <f t="shared" si="10"/>
        <v>2018-03-16</v>
      </c>
      <c r="F76" s="90">
        <v>11</v>
      </c>
      <c r="Q76" s="3" t="str">
        <f t="shared" si="6"/>
        <v>2018</v>
      </c>
      <c r="R76" s="3" t="str">
        <f t="shared" si="7"/>
        <v>0316</v>
      </c>
      <c r="S76" s="3" t="str">
        <f t="shared" si="11"/>
        <v>03</v>
      </c>
      <c r="T76" s="3" t="str">
        <f t="shared" si="8"/>
        <v>16</v>
      </c>
      <c r="U76" s="5" t="s">
        <v>40</v>
      </c>
    </row>
    <row r="77" spans="1:21">
      <c r="A77" s="3">
        <v>20180317</v>
      </c>
      <c r="B77" s="3">
        <v>201812</v>
      </c>
      <c r="C77" s="3">
        <f t="shared" si="9"/>
        <v>12</v>
      </c>
      <c r="E77" s="4" t="str">
        <f t="shared" si="10"/>
        <v>2018-03-17</v>
      </c>
      <c r="F77" s="90">
        <v>12</v>
      </c>
      <c r="Q77" s="3" t="str">
        <f t="shared" si="6"/>
        <v>2018</v>
      </c>
      <c r="R77" s="3" t="str">
        <f t="shared" si="7"/>
        <v>0317</v>
      </c>
      <c r="S77" s="3" t="str">
        <f t="shared" si="11"/>
        <v>03</v>
      </c>
      <c r="T77" s="3" t="str">
        <f t="shared" si="8"/>
        <v>17</v>
      </c>
      <c r="U77" s="5" t="s">
        <v>40</v>
      </c>
    </row>
    <row r="78" spans="1:21">
      <c r="A78" s="3">
        <v>20180318</v>
      </c>
      <c r="B78" s="3">
        <v>201812</v>
      </c>
      <c r="C78" s="3">
        <f t="shared" si="9"/>
        <v>12</v>
      </c>
      <c r="E78" s="4" t="str">
        <f t="shared" si="10"/>
        <v>2018-03-18</v>
      </c>
      <c r="F78" s="90">
        <v>12</v>
      </c>
      <c r="Q78" s="3" t="str">
        <f t="shared" si="6"/>
        <v>2018</v>
      </c>
      <c r="R78" s="3" t="str">
        <f t="shared" si="7"/>
        <v>0318</v>
      </c>
      <c r="S78" s="3" t="str">
        <f t="shared" si="11"/>
        <v>03</v>
      </c>
      <c r="T78" s="3" t="str">
        <f t="shared" si="8"/>
        <v>18</v>
      </c>
      <c r="U78" s="5" t="s">
        <v>40</v>
      </c>
    </row>
    <row r="79" spans="1:21">
      <c r="A79" s="3">
        <v>20180319</v>
      </c>
      <c r="B79" s="3">
        <v>201812</v>
      </c>
      <c r="C79" s="3">
        <f t="shared" si="9"/>
        <v>12</v>
      </c>
      <c r="E79" s="4" t="str">
        <f t="shared" si="10"/>
        <v>2018-03-19</v>
      </c>
      <c r="F79" s="90">
        <v>12</v>
      </c>
      <c r="Q79" s="3" t="str">
        <f t="shared" si="6"/>
        <v>2018</v>
      </c>
      <c r="R79" s="3" t="str">
        <f t="shared" si="7"/>
        <v>0319</v>
      </c>
      <c r="S79" s="3" t="str">
        <f t="shared" si="11"/>
        <v>03</v>
      </c>
      <c r="T79" s="3" t="str">
        <f t="shared" si="8"/>
        <v>19</v>
      </c>
      <c r="U79" s="5" t="s">
        <v>40</v>
      </c>
    </row>
    <row r="80" spans="1:21">
      <c r="A80" s="3">
        <v>20180320</v>
      </c>
      <c r="B80" s="3">
        <v>201812</v>
      </c>
      <c r="C80" s="3">
        <f t="shared" si="9"/>
        <v>12</v>
      </c>
      <c r="E80" s="4" t="str">
        <f t="shared" si="10"/>
        <v>2018-03-20</v>
      </c>
      <c r="F80" s="90">
        <v>12</v>
      </c>
      <c r="Q80" s="3" t="str">
        <f t="shared" si="6"/>
        <v>2018</v>
      </c>
      <c r="R80" s="3" t="str">
        <f t="shared" si="7"/>
        <v>0320</v>
      </c>
      <c r="S80" s="3" t="str">
        <f t="shared" si="11"/>
        <v>03</v>
      </c>
      <c r="T80" s="3" t="str">
        <f t="shared" si="8"/>
        <v>20</v>
      </c>
      <c r="U80" s="5" t="s">
        <v>40</v>
      </c>
    </row>
    <row r="81" spans="1:21">
      <c r="A81" s="3">
        <v>20180321</v>
      </c>
      <c r="B81" s="3">
        <v>201812</v>
      </c>
      <c r="C81" s="3">
        <f t="shared" si="9"/>
        <v>12</v>
      </c>
      <c r="E81" s="4" t="str">
        <f t="shared" si="10"/>
        <v>2018-03-21</v>
      </c>
      <c r="F81" s="90">
        <v>12</v>
      </c>
      <c r="Q81" s="3" t="str">
        <f t="shared" si="6"/>
        <v>2018</v>
      </c>
      <c r="R81" s="3" t="str">
        <f t="shared" si="7"/>
        <v>0321</v>
      </c>
      <c r="S81" s="3" t="str">
        <f t="shared" si="11"/>
        <v>03</v>
      </c>
      <c r="T81" s="3" t="str">
        <f t="shared" si="8"/>
        <v>21</v>
      </c>
      <c r="U81" s="5" t="s">
        <v>40</v>
      </c>
    </row>
    <row r="82" spans="1:21">
      <c r="A82" s="3">
        <v>20180322</v>
      </c>
      <c r="B82" s="3">
        <v>201812</v>
      </c>
      <c r="C82" s="3">
        <f t="shared" si="9"/>
        <v>12</v>
      </c>
      <c r="E82" s="4" t="str">
        <f t="shared" si="10"/>
        <v>2018-03-22</v>
      </c>
      <c r="F82" s="90">
        <v>12</v>
      </c>
      <c r="Q82" s="3" t="str">
        <f t="shared" si="6"/>
        <v>2018</v>
      </c>
      <c r="R82" s="3" t="str">
        <f t="shared" si="7"/>
        <v>0322</v>
      </c>
      <c r="S82" s="3" t="str">
        <f t="shared" si="11"/>
        <v>03</v>
      </c>
      <c r="T82" s="3" t="str">
        <f t="shared" si="8"/>
        <v>22</v>
      </c>
      <c r="U82" s="5" t="s">
        <v>40</v>
      </c>
    </row>
    <row r="83" spans="1:21">
      <c r="A83" s="3">
        <v>20180323</v>
      </c>
      <c r="B83" s="3">
        <v>201812</v>
      </c>
      <c r="C83" s="3">
        <f t="shared" si="9"/>
        <v>12</v>
      </c>
      <c r="E83" s="4" t="str">
        <f t="shared" si="10"/>
        <v>2018-03-23</v>
      </c>
      <c r="F83" s="90">
        <v>12</v>
      </c>
      <c r="Q83" s="3" t="str">
        <f t="shared" si="6"/>
        <v>2018</v>
      </c>
      <c r="R83" s="3" t="str">
        <f t="shared" si="7"/>
        <v>0323</v>
      </c>
      <c r="S83" s="3" t="str">
        <f t="shared" si="11"/>
        <v>03</v>
      </c>
      <c r="T83" s="3" t="str">
        <f t="shared" si="8"/>
        <v>23</v>
      </c>
      <c r="U83" s="5" t="s">
        <v>40</v>
      </c>
    </row>
    <row r="84" spans="1:21">
      <c r="A84" s="3">
        <v>20180324</v>
      </c>
      <c r="B84" s="3">
        <v>201813</v>
      </c>
      <c r="C84" s="3">
        <f t="shared" si="9"/>
        <v>13</v>
      </c>
      <c r="E84" s="4" t="str">
        <f t="shared" si="10"/>
        <v>2018-03-24</v>
      </c>
      <c r="F84" s="90">
        <v>13</v>
      </c>
      <c r="Q84" s="3" t="str">
        <f t="shared" si="6"/>
        <v>2018</v>
      </c>
      <c r="R84" s="3" t="str">
        <f t="shared" si="7"/>
        <v>0324</v>
      </c>
      <c r="S84" s="3" t="str">
        <f t="shared" si="11"/>
        <v>03</v>
      </c>
      <c r="T84" s="3" t="str">
        <f t="shared" si="8"/>
        <v>24</v>
      </c>
      <c r="U84" s="5" t="s">
        <v>40</v>
      </c>
    </row>
    <row r="85" spans="1:21">
      <c r="A85" s="3">
        <v>20180325</v>
      </c>
      <c r="B85" s="3">
        <v>201813</v>
      </c>
      <c r="C85" s="3">
        <f t="shared" si="9"/>
        <v>13</v>
      </c>
      <c r="E85" s="4" t="str">
        <f t="shared" si="10"/>
        <v>2018-03-25</v>
      </c>
      <c r="F85" s="90">
        <v>13</v>
      </c>
      <c r="Q85" s="3" t="str">
        <f t="shared" si="6"/>
        <v>2018</v>
      </c>
      <c r="R85" s="3" t="str">
        <f t="shared" si="7"/>
        <v>0325</v>
      </c>
      <c r="S85" s="3" t="str">
        <f t="shared" si="11"/>
        <v>03</v>
      </c>
      <c r="T85" s="3" t="str">
        <f t="shared" si="8"/>
        <v>25</v>
      </c>
      <c r="U85" s="5" t="s">
        <v>40</v>
      </c>
    </row>
    <row r="86" spans="1:21">
      <c r="A86" s="3">
        <v>20180326</v>
      </c>
      <c r="B86" s="3">
        <v>201813</v>
      </c>
      <c r="C86" s="3">
        <f t="shared" si="9"/>
        <v>13</v>
      </c>
      <c r="E86" s="4" t="str">
        <f t="shared" si="10"/>
        <v>2018-03-26</v>
      </c>
      <c r="F86" s="90">
        <v>13</v>
      </c>
      <c r="Q86" s="3" t="str">
        <f t="shared" si="6"/>
        <v>2018</v>
      </c>
      <c r="R86" s="3" t="str">
        <f t="shared" si="7"/>
        <v>0326</v>
      </c>
      <c r="S86" s="3" t="str">
        <f t="shared" si="11"/>
        <v>03</v>
      </c>
      <c r="T86" s="3" t="str">
        <f t="shared" si="8"/>
        <v>26</v>
      </c>
      <c r="U86" s="5" t="s">
        <v>40</v>
      </c>
    </row>
    <row r="87" spans="1:21">
      <c r="A87" s="3">
        <v>20180327</v>
      </c>
      <c r="B87" s="3">
        <v>201813</v>
      </c>
      <c r="C87" s="3">
        <f t="shared" si="9"/>
        <v>13</v>
      </c>
      <c r="E87" s="4" t="str">
        <f t="shared" si="10"/>
        <v>2018-03-27</v>
      </c>
      <c r="F87" s="90">
        <v>13</v>
      </c>
      <c r="Q87" s="3" t="str">
        <f t="shared" si="6"/>
        <v>2018</v>
      </c>
      <c r="R87" s="3" t="str">
        <f t="shared" si="7"/>
        <v>0327</v>
      </c>
      <c r="S87" s="3" t="str">
        <f t="shared" si="11"/>
        <v>03</v>
      </c>
      <c r="T87" s="3" t="str">
        <f t="shared" si="8"/>
        <v>27</v>
      </c>
      <c r="U87" s="5" t="s">
        <v>40</v>
      </c>
    </row>
    <row r="88" spans="1:21">
      <c r="A88" s="3">
        <v>20180328</v>
      </c>
      <c r="B88" s="3">
        <v>201813</v>
      </c>
      <c r="C88" s="3">
        <f t="shared" si="9"/>
        <v>13</v>
      </c>
      <c r="E88" s="4" t="str">
        <f t="shared" si="10"/>
        <v>2018-03-28</v>
      </c>
      <c r="F88" s="90">
        <v>13</v>
      </c>
      <c r="Q88" s="3" t="str">
        <f t="shared" si="6"/>
        <v>2018</v>
      </c>
      <c r="R88" s="3" t="str">
        <f t="shared" si="7"/>
        <v>0328</v>
      </c>
      <c r="S88" s="3" t="str">
        <f t="shared" si="11"/>
        <v>03</v>
      </c>
      <c r="T88" s="3" t="str">
        <f t="shared" si="8"/>
        <v>28</v>
      </c>
      <c r="U88" s="5" t="s">
        <v>40</v>
      </c>
    </row>
    <row r="89" spans="1:21">
      <c r="A89" s="3">
        <v>20180329</v>
      </c>
      <c r="B89" s="3">
        <v>201813</v>
      </c>
      <c r="C89" s="3">
        <f t="shared" si="9"/>
        <v>13</v>
      </c>
      <c r="E89" s="4" t="str">
        <f t="shared" si="10"/>
        <v>2018-03-29</v>
      </c>
      <c r="F89" s="90">
        <v>13</v>
      </c>
      <c r="Q89" s="3" t="str">
        <f t="shared" si="6"/>
        <v>2018</v>
      </c>
      <c r="R89" s="3" t="str">
        <f t="shared" si="7"/>
        <v>0329</v>
      </c>
      <c r="S89" s="3" t="str">
        <f t="shared" si="11"/>
        <v>03</v>
      </c>
      <c r="T89" s="3" t="str">
        <f t="shared" si="8"/>
        <v>29</v>
      </c>
      <c r="U89" s="5" t="s">
        <v>40</v>
      </c>
    </row>
    <row r="90" spans="1:21">
      <c r="A90" s="3">
        <v>20180330</v>
      </c>
      <c r="B90" s="3">
        <v>201813</v>
      </c>
      <c r="C90" s="3">
        <f t="shared" si="9"/>
        <v>13</v>
      </c>
      <c r="E90" s="4" t="str">
        <f t="shared" si="10"/>
        <v>2018-03-30</v>
      </c>
      <c r="F90" s="90">
        <v>13</v>
      </c>
      <c r="Q90" s="3" t="str">
        <f t="shared" si="6"/>
        <v>2018</v>
      </c>
      <c r="R90" s="3" t="str">
        <f t="shared" si="7"/>
        <v>0330</v>
      </c>
      <c r="S90" s="3" t="str">
        <f t="shared" si="11"/>
        <v>03</v>
      </c>
      <c r="T90" s="3" t="str">
        <f t="shared" si="8"/>
        <v>30</v>
      </c>
      <c r="U90" s="5" t="s">
        <v>40</v>
      </c>
    </row>
    <row r="91" spans="1:21">
      <c r="A91" s="3">
        <v>20180331</v>
      </c>
      <c r="B91" s="3">
        <v>201814</v>
      </c>
      <c r="C91" s="3">
        <f t="shared" si="9"/>
        <v>14</v>
      </c>
      <c r="E91" s="4" t="str">
        <f t="shared" si="10"/>
        <v>2018-03-31</v>
      </c>
      <c r="F91" s="90">
        <v>14</v>
      </c>
      <c r="Q91" s="3" t="str">
        <f t="shared" si="6"/>
        <v>2018</v>
      </c>
      <c r="R91" s="3" t="str">
        <f t="shared" si="7"/>
        <v>0331</v>
      </c>
      <c r="S91" s="3" t="str">
        <f t="shared" si="11"/>
        <v>03</v>
      </c>
      <c r="T91" s="3" t="str">
        <f t="shared" si="8"/>
        <v>31</v>
      </c>
      <c r="U91" s="5" t="s">
        <v>40</v>
      </c>
    </row>
    <row r="92" spans="1:21">
      <c r="A92" s="3">
        <v>20180401</v>
      </c>
      <c r="B92" s="3">
        <v>201814</v>
      </c>
      <c r="C92" s="3">
        <f t="shared" si="9"/>
        <v>14</v>
      </c>
      <c r="E92" s="4" t="str">
        <f t="shared" si="10"/>
        <v>2018-04-01</v>
      </c>
      <c r="F92" s="90">
        <v>14</v>
      </c>
      <c r="Q92" s="3" t="str">
        <f t="shared" si="6"/>
        <v>2018</v>
      </c>
      <c r="R92" s="3" t="str">
        <f t="shared" si="7"/>
        <v>0401</v>
      </c>
      <c r="S92" s="3" t="str">
        <f t="shared" si="11"/>
        <v>04</v>
      </c>
      <c r="T92" s="3" t="str">
        <f t="shared" si="8"/>
        <v>01</v>
      </c>
      <c r="U92" s="5" t="s">
        <v>40</v>
      </c>
    </row>
    <row r="93" spans="1:21">
      <c r="A93" s="3">
        <v>20180402</v>
      </c>
      <c r="B93" s="3">
        <v>201814</v>
      </c>
      <c r="C93" s="3">
        <f t="shared" si="9"/>
        <v>14</v>
      </c>
      <c r="E93" s="4" t="str">
        <f t="shared" si="10"/>
        <v>2018-04-02</v>
      </c>
      <c r="F93" s="90">
        <v>14</v>
      </c>
      <c r="Q93" s="3" t="str">
        <f t="shared" si="6"/>
        <v>2018</v>
      </c>
      <c r="R93" s="3" t="str">
        <f t="shared" si="7"/>
        <v>0402</v>
      </c>
      <c r="S93" s="3" t="str">
        <f t="shared" si="11"/>
        <v>04</v>
      </c>
      <c r="T93" s="3" t="str">
        <f t="shared" si="8"/>
        <v>02</v>
      </c>
      <c r="U93" s="5" t="s">
        <v>40</v>
      </c>
    </row>
    <row r="94" spans="1:21">
      <c r="A94" s="3">
        <v>20180403</v>
      </c>
      <c r="B94" s="3">
        <v>201814</v>
      </c>
      <c r="C94" s="3">
        <f t="shared" si="9"/>
        <v>14</v>
      </c>
      <c r="E94" s="4" t="str">
        <f t="shared" si="10"/>
        <v>2018-04-03</v>
      </c>
      <c r="F94" s="90">
        <v>14</v>
      </c>
      <c r="Q94" s="3" t="str">
        <f t="shared" si="6"/>
        <v>2018</v>
      </c>
      <c r="R94" s="3" t="str">
        <f t="shared" si="7"/>
        <v>0403</v>
      </c>
      <c r="S94" s="3" t="str">
        <f t="shared" si="11"/>
        <v>04</v>
      </c>
      <c r="T94" s="3" t="str">
        <f t="shared" si="8"/>
        <v>03</v>
      </c>
      <c r="U94" s="5" t="s">
        <v>40</v>
      </c>
    </row>
    <row r="95" spans="1:21">
      <c r="A95" s="3">
        <v>20180404</v>
      </c>
      <c r="B95" s="3">
        <v>201814</v>
      </c>
      <c r="C95" s="3">
        <f t="shared" si="9"/>
        <v>14</v>
      </c>
      <c r="E95" s="4" t="str">
        <f t="shared" si="10"/>
        <v>2018-04-04</v>
      </c>
      <c r="F95" s="90">
        <v>14</v>
      </c>
      <c r="Q95" s="3" t="str">
        <f t="shared" si="6"/>
        <v>2018</v>
      </c>
      <c r="R95" s="3" t="str">
        <f t="shared" si="7"/>
        <v>0404</v>
      </c>
      <c r="S95" s="3" t="str">
        <f t="shared" si="11"/>
        <v>04</v>
      </c>
      <c r="T95" s="3" t="str">
        <f t="shared" si="8"/>
        <v>04</v>
      </c>
      <c r="U95" s="5" t="s">
        <v>40</v>
      </c>
    </row>
    <row r="96" spans="1:21">
      <c r="A96" s="3">
        <v>20180405</v>
      </c>
      <c r="B96" s="3">
        <v>201814</v>
      </c>
      <c r="C96" s="3">
        <f t="shared" si="9"/>
        <v>14</v>
      </c>
      <c r="E96" s="4" t="str">
        <f t="shared" si="10"/>
        <v>2018-04-05</v>
      </c>
      <c r="F96" s="90">
        <v>14</v>
      </c>
      <c r="Q96" s="3" t="str">
        <f t="shared" si="6"/>
        <v>2018</v>
      </c>
      <c r="R96" s="3" t="str">
        <f t="shared" si="7"/>
        <v>0405</v>
      </c>
      <c r="S96" s="3" t="str">
        <f t="shared" si="11"/>
        <v>04</v>
      </c>
      <c r="T96" s="3" t="str">
        <f t="shared" si="8"/>
        <v>05</v>
      </c>
      <c r="U96" s="5" t="s">
        <v>40</v>
      </c>
    </row>
    <row r="97" spans="1:21">
      <c r="A97" s="3">
        <v>20180406</v>
      </c>
      <c r="B97" s="3">
        <v>201814</v>
      </c>
      <c r="C97" s="3">
        <f t="shared" si="9"/>
        <v>14</v>
      </c>
      <c r="E97" s="4" t="str">
        <f t="shared" si="10"/>
        <v>2018-04-06</v>
      </c>
      <c r="F97" s="90">
        <v>14</v>
      </c>
      <c r="Q97" s="3" t="str">
        <f t="shared" si="6"/>
        <v>2018</v>
      </c>
      <c r="R97" s="3" t="str">
        <f t="shared" si="7"/>
        <v>0406</v>
      </c>
      <c r="S97" s="3" t="str">
        <f t="shared" si="11"/>
        <v>04</v>
      </c>
      <c r="T97" s="3" t="str">
        <f t="shared" si="8"/>
        <v>06</v>
      </c>
      <c r="U97" s="5" t="s">
        <v>40</v>
      </c>
    </row>
    <row r="98" spans="1:21">
      <c r="A98" s="3">
        <v>20180407</v>
      </c>
      <c r="B98" s="3">
        <v>201815</v>
      </c>
      <c r="C98" s="3">
        <f t="shared" si="9"/>
        <v>15</v>
      </c>
      <c r="E98" s="4" t="str">
        <f t="shared" si="10"/>
        <v>2018-04-07</v>
      </c>
      <c r="F98" s="90">
        <v>15</v>
      </c>
      <c r="Q98" s="3" t="str">
        <f t="shared" si="6"/>
        <v>2018</v>
      </c>
      <c r="R98" s="3" t="str">
        <f t="shared" si="7"/>
        <v>0407</v>
      </c>
      <c r="S98" s="3" t="str">
        <f t="shared" si="11"/>
        <v>04</v>
      </c>
      <c r="T98" s="3" t="str">
        <f t="shared" si="8"/>
        <v>07</v>
      </c>
      <c r="U98" s="5" t="s">
        <v>40</v>
      </c>
    </row>
    <row r="99" spans="1:21">
      <c r="A99" s="3">
        <v>20180408</v>
      </c>
      <c r="B99" s="3">
        <v>201815</v>
      </c>
      <c r="C99" s="3">
        <f t="shared" si="9"/>
        <v>15</v>
      </c>
      <c r="E99" s="4" t="str">
        <f t="shared" si="10"/>
        <v>2018-04-08</v>
      </c>
      <c r="F99" s="90">
        <v>15</v>
      </c>
      <c r="Q99" s="3" t="str">
        <f t="shared" si="6"/>
        <v>2018</v>
      </c>
      <c r="R99" s="3" t="str">
        <f t="shared" si="7"/>
        <v>0408</v>
      </c>
      <c r="S99" s="3" t="str">
        <f t="shared" si="11"/>
        <v>04</v>
      </c>
      <c r="T99" s="3" t="str">
        <f t="shared" si="8"/>
        <v>08</v>
      </c>
      <c r="U99" s="5" t="s">
        <v>40</v>
      </c>
    </row>
    <row r="100" spans="1:21">
      <c r="A100" s="3">
        <v>20180409</v>
      </c>
      <c r="B100" s="3">
        <v>201815</v>
      </c>
      <c r="C100" s="3">
        <f t="shared" si="9"/>
        <v>15</v>
      </c>
      <c r="E100" s="4" t="str">
        <f t="shared" si="10"/>
        <v>2018-04-09</v>
      </c>
      <c r="F100" s="90">
        <v>15</v>
      </c>
      <c r="Q100" s="3" t="str">
        <f t="shared" si="6"/>
        <v>2018</v>
      </c>
      <c r="R100" s="3" t="str">
        <f t="shared" si="7"/>
        <v>0409</v>
      </c>
      <c r="S100" s="3" t="str">
        <f t="shared" si="11"/>
        <v>04</v>
      </c>
      <c r="T100" s="3" t="str">
        <f t="shared" si="8"/>
        <v>09</v>
      </c>
      <c r="U100" s="5" t="s">
        <v>40</v>
      </c>
    </row>
    <row r="101" spans="1:21">
      <c r="A101" s="3">
        <v>20180410</v>
      </c>
      <c r="B101" s="3">
        <v>201815</v>
      </c>
      <c r="C101" s="3">
        <f t="shared" si="9"/>
        <v>15</v>
      </c>
      <c r="E101" s="4" t="str">
        <f t="shared" si="10"/>
        <v>2018-04-10</v>
      </c>
      <c r="F101" s="90">
        <v>15</v>
      </c>
      <c r="Q101" s="3" t="str">
        <f t="shared" si="6"/>
        <v>2018</v>
      </c>
      <c r="R101" s="3" t="str">
        <f t="shared" si="7"/>
        <v>0410</v>
      </c>
      <c r="S101" s="3" t="str">
        <f t="shared" si="11"/>
        <v>04</v>
      </c>
      <c r="T101" s="3" t="str">
        <f t="shared" si="8"/>
        <v>10</v>
      </c>
      <c r="U101" s="5" t="s">
        <v>40</v>
      </c>
    </row>
    <row r="102" spans="1:21">
      <c r="A102" s="3">
        <v>20180411</v>
      </c>
      <c r="B102" s="3">
        <v>201815</v>
      </c>
      <c r="C102" s="3">
        <f t="shared" si="9"/>
        <v>15</v>
      </c>
      <c r="E102" s="4" t="str">
        <f t="shared" si="10"/>
        <v>2018-04-11</v>
      </c>
      <c r="F102" s="90">
        <v>15</v>
      </c>
      <c r="Q102" s="3" t="str">
        <f t="shared" si="6"/>
        <v>2018</v>
      </c>
      <c r="R102" s="3" t="str">
        <f t="shared" si="7"/>
        <v>0411</v>
      </c>
      <c r="S102" s="3" t="str">
        <f t="shared" si="11"/>
        <v>04</v>
      </c>
      <c r="T102" s="3" t="str">
        <f t="shared" si="8"/>
        <v>11</v>
      </c>
      <c r="U102" s="5" t="s">
        <v>40</v>
      </c>
    </row>
    <row r="103" spans="1:21">
      <c r="A103" s="3">
        <v>20180412</v>
      </c>
      <c r="B103" s="3">
        <v>201815</v>
      </c>
      <c r="C103" s="3">
        <f t="shared" si="9"/>
        <v>15</v>
      </c>
      <c r="E103" s="4" t="str">
        <f t="shared" si="10"/>
        <v>2018-04-12</v>
      </c>
      <c r="F103" s="90">
        <v>15</v>
      </c>
      <c r="Q103" s="3" t="str">
        <f t="shared" si="6"/>
        <v>2018</v>
      </c>
      <c r="R103" s="3" t="str">
        <f t="shared" si="7"/>
        <v>0412</v>
      </c>
      <c r="S103" s="3" t="str">
        <f t="shared" si="11"/>
        <v>04</v>
      </c>
      <c r="T103" s="3" t="str">
        <f t="shared" si="8"/>
        <v>12</v>
      </c>
      <c r="U103" s="5" t="s">
        <v>40</v>
      </c>
    </row>
    <row r="104" spans="1:21">
      <c r="A104" s="3">
        <v>20180413</v>
      </c>
      <c r="B104" s="3">
        <v>201815</v>
      </c>
      <c r="C104" s="3">
        <f t="shared" si="9"/>
        <v>15</v>
      </c>
      <c r="E104" s="4" t="str">
        <f t="shared" si="10"/>
        <v>2018-04-13</v>
      </c>
      <c r="F104" s="90">
        <v>15</v>
      </c>
      <c r="Q104" s="3" t="str">
        <f t="shared" si="6"/>
        <v>2018</v>
      </c>
      <c r="R104" s="3" t="str">
        <f t="shared" si="7"/>
        <v>0413</v>
      </c>
      <c r="S104" s="3" t="str">
        <f t="shared" si="11"/>
        <v>04</v>
      </c>
      <c r="T104" s="3" t="str">
        <f t="shared" si="8"/>
        <v>13</v>
      </c>
      <c r="U104" s="5" t="s">
        <v>40</v>
      </c>
    </row>
    <row r="105" spans="1:21">
      <c r="A105" s="3">
        <v>20180414</v>
      </c>
      <c r="B105" s="3">
        <v>201816</v>
      </c>
      <c r="C105" s="3">
        <f t="shared" si="9"/>
        <v>16</v>
      </c>
      <c r="E105" s="4" t="str">
        <f t="shared" si="10"/>
        <v>2018-04-14</v>
      </c>
      <c r="F105" s="90">
        <v>16</v>
      </c>
      <c r="Q105" s="3" t="str">
        <f t="shared" si="6"/>
        <v>2018</v>
      </c>
      <c r="R105" s="3" t="str">
        <f t="shared" si="7"/>
        <v>0414</v>
      </c>
      <c r="S105" s="3" t="str">
        <f t="shared" si="11"/>
        <v>04</v>
      </c>
      <c r="T105" s="3" t="str">
        <f t="shared" si="8"/>
        <v>14</v>
      </c>
      <c r="U105" s="5" t="s">
        <v>40</v>
      </c>
    </row>
    <row r="106" spans="1:21">
      <c r="A106" s="3">
        <v>20180415</v>
      </c>
      <c r="B106" s="3">
        <v>201816</v>
      </c>
      <c r="C106" s="3">
        <f t="shared" si="9"/>
        <v>16</v>
      </c>
      <c r="E106" s="4" t="str">
        <f t="shared" si="10"/>
        <v>2018-04-15</v>
      </c>
      <c r="F106" s="90">
        <v>16</v>
      </c>
      <c r="Q106" s="3" t="str">
        <f t="shared" si="6"/>
        <v>2018</v>
      </c>
      <c r="R106" s="3" t="str">
        <f t="shared" si="7"/>
        <v>0415</v>
      </c>
      <c r="S106" s="3" t="str">
        <f t="shared" si="11"/>
        <v>04</v>
      </c>
      <c r="T106" s="3" t="str">
        <f t="shared" si="8"/>
        <v>15</v>
      </c>
      <c r="U106" s="5" t="s">
        <v>40</v>
      </c>
    </row>
    <row r="107" spans="1:21">
      <c r="A107" s="3">
        <v>20180416</v>
      </c>
      <c r="B107" s="3">
        <v>201816</v>
      </c>
      <c r="C107" s="3">
        <f t="shared" si="9"/>
        <v>16</v>
      </c>
      <c r="E107" s="4" t="str">
        <f t="shared" si="10"/>
        <v>2018-04-16</v>
      </c>
      <c r="F107" s="90">
        <v>16</v>
      </c>
      <c r="Q107" s="3" t="str">
        <f t="shared" si="6"/>
        <v>2018</v>
      </c>
      <c r="R107" s="3" t="str">
        <f t="shared" si="7"/>
        <v>0416</v>
      </c>
      <c r="S107" s="3" t="str">
        <f t="shared" si="11"/>
        <v>04</v>
      </c>
      <c r="T107" s="3" t="str">
        <f t="shared" si="8"/>
        <v>16</v>
      </c>
      <c r="U107" s="5" t="s">
        <v>40</v>
      </c>
    </row>
    <row r="108" spans="1:21">
      <c r="A108" s="3">
        <v>20180417</v>
      </c>
      <c r="B108" s="3">
        <v>201816</v>
      </c>
      <c r="C108" s="3">
        <f t="shared" si="9"/>
        <v>16</v>
      </c>
      <c r="E108" s="4" t="str">
        <f t="shared" si="10"/>
        <v>2018-04-17</v>
      </c>
      <c r="F108" s="90">
        <v>16</v>
      </c>
      <c r="Q108" s="3" t="str">
        <f t="shared" si="6"/>
        <v>2018</v>
      </c>
      <c r="R108" s="3" t="str">
        <f t="shared" si="7"/>
        <v>0417</v>
      </c>
      <c r="S108" s="3" t="str">
        <f t="shared" si="11"/>
        <v>04</v>
      </c>
      <c r="T108" s="3" t="str">
        <f t="shared" si="8"/>
        <v>17</v>
      </c>
      <c r="U108" s="5" t="s">
        <v>40</v>
      </c>
    </row>
    <row r="109" spans="1:21">
      <c r="A109" s="3">
        <v>20180418</v>
      </c>
      <c r="B109" s="3">
        <v>201816</v>
      </c>
      <c r="C109" s="3">
        <f t="shared" si="9"/>
        <v>16</v>
      </c>
      <c r="E109" s="4" t="str">
        <f t="shared" si="10"/>
        <v>2018-04-18</v>
      </c>
      <c r="F109" s="90">
        <v>16</v>
      </c>
      <c r="Q109" s="3" t="str">
        <f t="shared" si="6"/>
        <v>2018</v>
      </c>
      <c r="R109" s="3" t="str">
        <f t="shared" si="7"/>
        <v>0418</v>
      </c>
      <c r="S109" s="3" t="str">
        <f t="shared" si="11"/>
        <v>04</v>
      </c>
      <c r="T109" s="3" t="str">
        <f t="shared" si="8"/>
        <v>18</v>
      </c>
      <c r="U109" s="5" t="s">
        <v>40</v>
      </c>
    </row>
    <row r="110" spans="1:21">
      <c r="A110" s="3">
        <v>20180419</v>
      </c>
      <c r="B110" s="3">
        <v>201816</v>
      </c>
      <c r="C110" s="3">
        <f t="shared" si="9"/>
        <v>16</v>
      </c>
      <c r="E110" s="4" t="str">
        <f t="shared" si="10"/>
        <v>2018-04-19</v>
      </c>
      <c r="F110" s="90">
        <v>16</v>
      </c>
      <c r="Q110" s="3" t="str">
        <f t="shared" si="6"/>
        <v>2018</v>
      </c>
      <c r="R110" s="3" t="str">
        <f t="shared" si="7"/>
        <v>0419</v>
      </c>
      <c r="S110" s="3" t="str">
        <f t="shared" si="11"/>
        <v>04</v>
      </c>
      <c r="T110" s="3" t="str">
        <f t="shared" si="8"/>
        <v>19</v>
      </c>
      <c r="U110" s="5" t="s">
        <v>40</v>
      </c>
    </row>
    <row r="111" spans="1:21">
      <c r="A111" s="3">
        <v>20180420</v>
      </c>
      <c r="B111" s="3">
        <v>201816</v>
      </c>
      <c r="C111" s="3">
        <f t="shared" si="9"/>
        <v>16</v>
      </c>
      <c r="E111" s="4" t="str">
        <f t="shared" si="10"/>
        <v>2018-04-20</v>
      </c>
      <c r="F111" s="90">
        <v>16</v>
      </c>
      <c r="Q111" s="3" t="str">
        <f t="shared" si="6"/>
        <v>2018</v>
      </c>
      <c r="R111" s="3" t="str">
        <f t="shared" si="7"/>
        <v>0420</v>
      </c>
      <c r="S111" s="3" t="str">
        <f t="shared" si="11"/>
        <v>04</v>
      </c>
      <c r="T111" s="3" t="str">
        <f t="shared" si="8"/>
        <v>20</v>
      </c>
      <c r="U111" s="5" t="s">
        <v>40</v>
      </c>
    </row>
    <row r="112" spans="1:21">
      <c r="A112" s="3">
        <v>20180421</v>
      </c>
      <c r="B112" s="3">
        <v>201817</v>
      </c>
      <c r="C112" s="3">
        <f t="shared" si="9"/>
        <v>17</v>
      </c>
      <c r="E112" s="4" t="str">
        <f t="shared" si="10"/>
        <v>2018-04-21</v>
      </c>
      <c r="F112" s="90">
        <v>17</v>
      </c>
      <c r="Q112" s="3" t="str">
        <f t="shared" si="6"/>
        <v>2018</v>
      </c>
      <c r="R112" s="3" t="str">
        <f t="shared" si="7"/>
        <v>0421</v>
      </c>
      <c r="S112" s="3" t="str">
        <f t="shared" si="11"/>
        <v>04</v>
      </c>
      <c r="T112" s="3" t="str">
        <f t="shared" si="8"/>
        <v>21</v>
      </c>
      <c r="U112" s="5" t="s">
        <v>40</v>
      </c>
    </row>
    <row r="113" spans="1:21">
      <c r="A113" s="3">
        <v>20180422</v>
      </c>
      <c r="B113" s="3">
        <v>201817</v>
      </c>
      <c r="C113" s="3">
        <f t="shared" si="9"/>
        <v>17</v>
      </c>
      <c r="E113" s="4" t="str">
        <f t="shared" si="10"/>
        <v>2018-04-22</v>
      </c>
      <c r="F113" s="90">
        <v>17</v>
      </c>
      <c r="Q113" s="3" t="str">
        <f t="shared" si="6"/>
        <v>2018</v>
      </c>
      <c r="R113" s="3" t="str">
        <f t="shared" si="7"/>
        <v>0422</v>
      </c>
      <c r="S113" s="3" t="str">
        <f t="shared" si="11"/>
        <v>04</v>
      </c>
      <c r="T113" s="3" t="str">
        <f t="shared" si="8"/>
        <v>22</v>
      </c>
      <c r="U113" s="5" t="s">
        <v>40</v>
      </c>
    </row>
    <row r="114" spans="1:21">
      <c r="A114" s="3">
        <v>20180423</v>
      </c>
      <c r="B114" s="3">
        <v>201817</v>
      </c>
      <c r="C114" s="3">
        <f t="shared" si="9"/>
        <v>17</v>
      </c>
      <c r="E114" s="4" t="str">
        <f t="shared" si="10"/>
        <v>2018-04-23</v>
      </c>
      <c r="F114" s="90">
        <v>17</v>
      </c>
      <c r="Q114" s="3" t="str">
        <f t="shared" si="6"/>
        <v>2018</v>
      </c>
      <c r="R114" s="3" t="str">
        <f t="shared" si="7"/>
        <v>0423</v>
      </c>
      <c r="S114" s="3" t="str">
        <f t="shared" si="11"/>
        <v>04</v>
      </c>
      <c r="T114" s="3" t="str">
        <f t="shared" si="8"/>
        <v>23</v>
      </c>
      <c r="U114" s="5" t="s">
        <v>40</v>
      </c>
    </row>
    <row r="115" spans="1:21">
      <c r="A115" s="3">
        <v>20180424</v>
      </c>
      <c r="B115" s="3">
        <v>201817</v>
      </c>
      <c r="C115" s="3">
        <f t="shared" si="9"/>
        <v>17</v>
      </c>
      <c r="E115" s="4" t="str">
        <f t="shared" si="10"/>
        <v>2018-04-24</v>
      </c>
      <c r="F115" s="90">
        <v>17</v>
      </c>
      <c r="Q115" s="3" t="str">
        <f t="shared" si="6"/>
        <v>2018</v>
      </c>
      <c r="R115" s="3" t="str">
        <f t="shared" si="7"/>
        <v>0424</v>
      </c>
      <c r="S115" s="3" t="str">
        <f t="shared" si="11"/>
        <v>04</v>
      </c>
      <c r="T115" s="3" t="str">
        <f t="shared" si="8"/>
        <v>24</v>
      </c>
      <c r="U115" s="5" t="s">
        <v>40</v>
      </c>
    </row>
    <row r="116" spans="1:21">
      <c r="A116" s="3">
        <v>20180425</v>
      </c>
      <c r="B116" s="3">
        <v>201817</v>
      </c>
      <c r="C116" s="3">
        <f t="shared" si="9"/>
        <v>17</v>
      </c>
      <c r="E116" s="4" t="str">
        <f t="shared" si="10"/>
        <v>2018-04-25</v>
      </c>
      <c r="F116" s="90">
        <v>17</v>
      </c>
      <c r="Q116" s="3" t="str">
        <f t="shared" si="6"/>
        <v>2018</v>
      </c>
      <c r="R116" s="3" t="str">
        <f t="shared" si="7"/>
        <v>0425</v>
      </c>
      <c r="S116" s="3" t="str">
        <f t="shared" si="11"/>
        <v>04</v>
      </c>
      <c r="T116" s="3" t="str">
        <f t="shared" si="8"/>
        <v>25</v>
      </c>
      <c r="U116" s="5" t="s">
        <v>40</v>
      </c>
    </row>
    <row r="117" spans="1:21">
      <c r="A117" s="3">
        <v>20180426</v>
      </c>
      <c r="B117" s="3">
        <v>201817</v>
      </c>
      <c r="C117" s="3">
        <f t="shared" si="9"/>
        <v>17</v>
      </c>
      <c r="E117" s="4" t="str">
        <f t="shared" si="10"/>
        <v>2018-04-26</v>
      </c>
      <c r="F117" s="90">
        <v>17</v>
      </c>
      <c r="Q117" s="3" t="str">
        <f t="shared" si="6"/>
        <v>2018</v>
      </c>
      <c r="R117" s="3" t="str">
        <f t="shared" si="7"/>
        <v>0426</v>
      </c>
      <c r="S117" s="3" t="str">
        <f t="shared" si="11"/>
        <v>04</v>
      </c>
      <c r="T117" s="3" t="str">
        <f t="shared" si="8"/>
        <v>26</v>
      </c>
      <c r="U117" s="5" t="s">
        <v>40</v>
      </c>
    </row>
    <row r="118" spans="1:21">
      <c r="A118" s="3">
        <v>20180427</v>
      </c>
      <c r="B118" s="3">
        <v>201817</v>
      </c>
      <c r="C118" s="3">
        <f t="shared" si="9"/>
        <v>17</v>
      </c>
      <c r="E118" s="4" t="str">
        <f t="shared" si="10"/>
        <v>2018-04-27</v>
      </c>
      <c r="F118" s="90">
        <v>17</v>
      </c>
      <c r="Q118" s="3" t="str">
        <f t="shared" si="6"/>
        <v>2018</v>
      </c>
      <c r="R118" s="3" t="str">
        <f t="shared" si="7"/>
        <v>0427</v>
      </c>
      <c r="S118" s="3" t="str">
        <f t="shared" si="11"/>
        <v>04</v>
      </c>
      <c r="T118" s="3" t="str">
        <f t="shared" si="8"/>
        <v>27</v>
      </c>
      <c r="U118" s="5" t="s">
        <v>40</v>
      </c>
    </row>
    <row r="119" spans="1:21">
      <c r="A119" s="3">
        <v>20180428</v>
      </c>
      <c r="B119" s="3">
        <v>201818</v>
      </c>
      <c r="C119" s="3">
        <f t="shared" si="9"/>
        <v>18</v>
      </c>
      <c r="E119" s="4" t="str">
        <f t="shared" si="10"/>
        <v>2018-04-28</v>
      </c>
      <c r="F119" s="90">
        <v>18</v>
      </c>
      <c r="Q119" s="3" t="str">
        <f t="shared" si="6"/>
        <v>2018</v>
      </c>
      <c r="R119" s="3" t="str">
        <f t="shared" si="7"/>
        <v>0428</v>
      </c>
      <c r="S119" s="3" t="str">
        <f t="shared" si="11"/>
        <v>04</v>
      </c>
      <c r="T119" s="3" t="str">
        <f t="shared" si="8"/>
        <v>28</v>
      </c>
      <c r="U119" s="5" t="s">
        <v>40</v>
      </c>
    </row>
    <row r="120" spans="1:21">
      <c r="A120" s="3">
        <v>20180429</v>
      </c>
      <c r="B120" s="3">
        <v>201818</v>
      </c>
      <c r="C120" s="3">
        <f t="shared" si="9"/>
        <v>18</v>
      </c>
      <c r="E120" s="4" t="str">
        <f t="shared" si="10"/>
        <v>2018-04-29</v>
      </c>
      <c r="F120" s="90">
        <v>18</v>
      </c>
      <c r="Q120" s="3" t="str">
        <f t="shared" si="6"/>
        <v>2018</v>
      </c>
      <c r="R120" s="3" t="str">
        <f t="shared" si="7"/>
        <v>0429</v>
      </c>
      <c r="S120" s="3" t="str">
        <f t="shared" si="11"/>
        <v>04</v>
      </c>
      <c r="T120" s="3" t="str">
        <f t="shared" si="8"/>
        <v>29</v>
      </c>
      <c r="U120" s="5" t="s">
        <v>40</v>
      </c>
    </row>
    <row r="121" spans="1:21">
      <c r="A121" s="3">
        <v>20180430</v>
      </c>
      <c r="B121" s="3">
        <v>201818</v>
      </c>
      <c r="C121" s="3">
        <f t="shared" si="9"/>
        <v>18</v>
      </c>
      <c r="E121" s="4" t="str">
        <f t="shared" si="10"/>
        <v>2018-04-30</v>
      </c>
      <c r="F121" s="90">
        <v>18</v>
      </c>
      <c r="Q121" s="3" t="str">
        <f t="shared" si="6"/>
        <v>2018</v>
      </c>
      <c r="R121" s="3" t="str">
        <f t="shared" si="7"/>
        <v>0430</v>
      </c>
      <c r="S121" s="3" t="str">
        <f t="shared" si="11"/>
        <v>04</v>
      </c>
      <c r="T121" s="3" t="str">
        <f t="shared" si="8"/>
        <v>30</v>
      </c>
      <c r="U121" s="5" t="s">
        <v>40</v>
      </c>
    </row>
    <row r="122" spans="1:21">
      <c r="A122" s="3">
        <v>20180501</v>
      </c>
      <c r="B122" s="3">
        <v>201818</v>
      </c>
      <c r="C122" s="3">
        <f t="shared" si="9"/>
        <v>18</v>
      </c>
      <c r="E122" s="4" t="str">
        <f t="shared" si="10"/>
        <v>2018-05-01</v>
      </c>
      <c r="F122" s="90">
        <v>18</v>
      </c>
      <c r="Q122" s="3" t="str">
        <f t="shared" si="6"/>
        <v>2018</v>
      </c>
      <c r="R122" s="3" t="str">
        <f t="shared" si="7"/>
        <v>0501</v>
      </c>
      <c r="S122" s="3" t="str">
        <f t="shared" si="11"/>
        <v>05</v>
      </c>
      <c r="T122" s="3" t="str">
        <f t="shared" si="8"/>
        <v>01</v>
      </c>
      <c r="U122" s="5" t="s">
        <v>40</v>
      </c>
    </row>
    <row r="123" spans="1:21">
      <c r="A123" s="3">
        <v>20180502</v>
      </c>
      <c r="B123" s="3">
        <v>201818</v>
      </c>
      <c r="C123" s="3">
        <f t="shared" si="9"/>
        <v>18</v>
      </c>
      <c r="E123" s="4" t="str">
        <f t="shared" si="10"/>
        <v>2018-05-02</v>
      </c>
      <c r="F123" s="90">
        <v>18</v>
      </c>
      <c r="Q123" s="3" t="str">
        <f t="shared" si="6"/>
        <v>2018</v>
      </c>
      <c r="R123" s="3" t="str">
        <f t="shared" si="7"/>
        <v>0502</v>
      </c>
      <c r="S123" s="3" t="str">
        <f t="shared" si="11"/>
        <v>05</v>
      </c>
      <c r="T123" s="3" t="str">
        <f t="shared" si="8"/>
        <v>02</v>
      </c>
      <c r="U123" s="5" t="s">
        <v>40</v>
      </c>
    </row>
    <row r="124" spans="1:21">
      <c r="A124" s="3">
        <v>20180503</v>
      </c>
      <c r="B124" s="3">
        <v>201818</v>
      </c>
      <c r="C124" s="3">
        <f t="shared" si="9"/>
        <v>18</v>
      </c>
      <c r="E124" s="4" t="str">
        <f t="shared" si="10"/>
        <v>2018-05-03</v>
      </c>
      <c r="F124" s="90">
        <v>18</v>
      </c>
      <c r="Q124" s="3" t="str">
        <f t="shared" si="6"/>
        <v>2018</v>
      </c>
      <c r="R124" s="3" t="str">
        <f t="shared" si="7"/>
        <v>0503</v>
      </c>
      <c r="S124" s="3" t="str">
        <f t="shared" si="11"/>
        <v>05</v>
      </c>
      <c r="T124" s="3" t="str">
        <f t="shared" si="8"/>
        <v>03</v>
      </c>
      <c r="U124" s="5" t="s">
        <v>40</v>
      </c>
    </row>
    <row r="125" spans="1:21">
      <c r="A125" s="3">
        <v>20180504</v>
      </c>
      <c r="B125" s="3">
        <v>201818</v>
      </c>
      <c r="C125" s="3">
        <f t="shared" si="9"/>
        <v>18</v>
      </c>
      <c r="E125" s="4" t="str">
        <f t="shared" si="10"/>
        <v>2018-05-04</v>
      </c>
      <c r="F125" s="90">
        <v>18</v>
      </c>
      <c r="Q125" s="3" t="str">
        <f t="shared" si="6"/>
        <v>2018</v>
      </c>
      <c r="R125" s="3" t="str">
        <f t="shared" si="7"/>
        <v>0504</v>
      </c>
      <c r="S125" s="3" t="str">
        <f t="shared" si="11"/>
        <v>05</v>
      </c>
      <c r="T125" s="3" t="str">
        <f t="shared" si="8"/>
        <v>04</v>
      </c>
      <c r="U125" s="5" t="s">
        <v>40</v>
      </c>
    </row>
    <row r="126" spans="1:21">
      <c r="A126" s="3">
        <v>20180505</v>
      </c>
      <c r="B126" s="3">
        <v>201819</v>
      </c>
      <c r="C126" s="3">
        <f t="shared" si="9"/>
        <v>19</v>
      </c>
      <c r="E126" s="4" t="str">
        <f t="shared" si="10"/>
        <v>2018-05-05</v>
      </c>
      <c r="F126" s="90">
        <v>19</v>
      </c>
      <c r="Q126" s="3" t="str">
        <f t="shared" si="6"/>
        <v>2018</v>
      </c>
      <c r="R126" s="3" t="str">
        <f t="shared" si="7"/>
        <v>0505</v>
      </c>
      <c r="S126" s="3" t="str">
        <f t="shared" si="11"/>
        <v>05</v>
      </c>
      <c r="T126" s="3" t="str">
        <f t="shared" si="8"/>
        <v>05</v>
      </c>
      <c r="U126" s="5" t="s">
        <v>40</v>
      </c>
    </row>
    <row r="127" spans="1:21">
      <c r="A127" s="3">
        <v>20180506</v>
      </c>
      <c r="B127" s="3">
        <v>201819</v>
      </c>
      <c r="C127" s="3">
        <f t="shared" si="9"/>
        <v>19</v>
      </c>
      <c r="E127" s="4" t="str">
        <f t="shared" si="10"/>
        <v>2018-05-06</v>
      </c>
      <c r="F127" s="90">
        <v>19</v>
      </c>
      <c r="Q127" s="3" t="str">
        <f t="shared" si="6"/>
        <v>2018</v>
      </c>
      <c r="R127" s="3" t="str">
        <f t="shared" si="7"/>
        <v>0506</v>
      </c>
      <c r="S127" s="3" t="str">
        <f t="shared" si="11"/>
        <v>05</v>
      </c>
      <c r="T127" s="3" t="str">
        <f t="shared" si="8"/>
        <v>06</v>
      </c>
      <c r="U127" s="5" t="s">
        <v>40</v>
      </c>
    </row>
    <row r="128" spans="1:21">
      <c r="A128" s="3">
        <v>20180507</v>
      </c>
      <c r="B128" s="3">
        <v>201819</v>
      </c>
      <c r="C128" s="3">
        <f t="shared" si="9"/>
        <v>19</v>
      </c>
      <c r="E128" s="4" t="str">
        <f t="shared" si="10"/>
        <v>2018-05-07</v>
      </c>
      <c r="F128" s="90">
        <v>19</v>
      </c>
      <c r="Q128" s="3" t="str">
        <f t="shared" si="6"/>
        <v>2018</v>
      </c>
      <c r="R128" s="3" t="str">
        <f t="shared" si="7"/>
        <v>0507</v>
      </c>
      <c r="S128" s="3" t="str">
        <f t="shared" si="11"/>
        <v>05</v>
      </c>
      <c r="T128" s="3" t="str">
        <f t="shared" si="8"/>
        <v>07</v>
      </c>
      <c r="U128" s="5" t="s">
        <v>40</v>
      </c>
    </row>
    <row r="129" spans="1:21">
      <c r="A129" s="3">
        <v>20180508</v>
      </c>
      <c r="B129" s="3">
        <v>201819</v>
      </c>
      <c r="C129" s="3">
        <f t="shared" si="9"/>
        <v>19</v>
      </c>
      <c r="E129" s="4" t="str">
        <f t="shared" si="10"/>
        <v>2018-05-08</v>
      </c>
      <c r="F129" s="90">
        <v>19</v>
      </c>
      <c r="Q129" s="3" t="str">
        <f t="shared" si="6"/>
        <v>2018</v>
      </c>
      <c r="R129" s="3" t="str">
        <f t="shared" si="7"/>
        <v>0508</v>
      </c>
      <c r="S129" s="3" t="str">
        <f t="shared" si="11"/>
        <v>05</v>
      </c>
      <c r="T129" s="3" t="str">
        <f t="shared" si="8"/>
        <v>08</v>
      </c>
      <c r="U129" s="5" t="s">
        <v>40</v>
      </c>
    </row>
    <row r="130" spans="1:21">
      <c r="A130" s="3">
        <v>20180509</v>
      </c>
      <c r="B130" s="3">
        <v>201819</v>
      </c>
      <c r="C130" s="3">
        <f t="shared" si="9"/>
        <v>19</v>
      </c>
      <c r="E130" s="4" t="str">
        <f t="shared" si="10"/>
        <v>2018-05-09</v>
      </c>
      <c r="F130" s="90">
        <v>19</v>
      </c>
      <c r="Q130" s="3" t="str">
        <f t="shared" ref="Q130:Q193" si="12">LEFT(A130,4)</f>
        <v>2018</v>
      </c>
      <c r="R130" s="3" t="str">
        <f t="shared" ref="R130:R193" si="13">RIGHT(A130,4)</f>
        <v>0509</v>
      </c>
      <c r="S130" s="3" t="str">
        <f t="shared" si="11"/>
        <v>05</v>
      </c>
      <c r="T130" s="3" t="str">
        <f t="shared" ref="T130:T193" si="14">RIGHT(A130,2)</f>
        <v>09</v>
      </c>
      <c r="U130" s="5" t="s">
        <v>40</v>
      </c>
    </row>
    <row r="131" spans="1:21">
      <c r="A131" s="3">
        <v>20180510</v>
      </c>
      <c r="B131" s="3">
        <v>201819</v>
      </c>
      <c r="C131" s="3">
        <f t="shared" ref="C131:C194" si="15">B131-201800</f>
        <v>19</v>
      </c>
      <c r="E131" s="4" t="str">
        <f t="shared" ref="E131:E194" si="16">Q131&amp;U131&amp;S131&amp;U131&amp;T131</f>
        <v>2018-05-10</v>
      </c>
      <c r="F131" s="90">
        <v>19</v>
      </c>
      <c r="Q131" s="3" t="str">
        <f t="shared" si="12"/>
        <v>2018</v>
      </c>
      <c r="R131" s="3" t="str">
        <f t="shared" si="13"/>
        <v>0510</v>
      </c>
      <c r="S131" s="3" t="str">
        <f t="shared" ref="S131:S194" si="17">LEFT(R131,2)</f>
        <v>05</v>
      </c>
      <c r="T131" s="3" t="str">
        <f t="shared" si="14"/>
        <v>10</v>
      </c>
      <c r="U131" s="5" t="s">
        <v>40</v>
      </c>
    </row>
    <row r="132" spans="1:21">
      <c r="A132" s="3">
        <v>20180511</v>
      </c>
      <c r="B132" s="3">
        <v>201819</v>
      </c>
      <c r="C132" s="3">
        <f t="shared" si="15"/>
        <v>19</v>
      </c>
      <c r="E132" s="4" t="str">
        <f t="shared" si="16"/>
        <v>2018-05-11</v>
      </c>
      <c r="F132" s="90">
        <v>19</v>
      </c>
      <c r="Q132" s="3" t="str">
        <f t="shared" si="12"/>
        <v>2018</v>
      </c>
      <c r="R132" s="3" t="str">
        <f t="shared" si="13"/>
        <v>0511</v>
      </c>
      <c r="S132" s="3" t="str">
        <f t="shared" si="17"/>
        <v>05</v>
      </c>
      <c r="T132" s="3" t="str">
        <f t="shared" si="14"/>
        <v>11</v>
      </c>
      <c r="U132" s="5" t="s">
        <v>40</v>
      </c>
    </row>
    <row r="133" spans="1:21">
      <c r="A133" s="3">
        <v>20180512</v>
      </c>
      <c r="B133" s="3">
        <v>201820</v>
      </c>
      <c r="C133" s="3">
        <f t="shared" si="15"/>
        <v>20</v>
      </c>
      <c r="E133" s="4" t="str">
        <f t="shared" si="16"/>
        <v>2018-05-12</v>
      </c>
      <c r="F133" s="90">
        <v>20</v>
      </c>
      <c r="Q133" s="3" t="str">
        <f t="shared" si="12"/>
        <v>2018</v>
      </c>
      <c r="R133" s="3" t="str">
        <f t="shared" si="13"/>
        <v>0512</v>
      </c>
      <c r="S133" s="3" t="str">
        <f t="shared" si="17"/>
        <v>05</v>
      </c>
      <c r="T133" s="3" t="str">
        <f t="shared" si="14"/>
        <v>12</v>
      </c>
      <c r="U133" s="5" t="s">
        <v>40</v>
      </c>
    </row>
    <row r="134" spans="1:21">
      <c r="A134" s="3">
        <v>20180513</v>
      </c>
      <c r="B134" s="3">
        <v>201820</v>
      </c>
      <c r="C134" s="3">
        <f t="shared" si="15"/>
        <v>20</v>
      </c>
      <c r="E134" s="4" t="str">
        <f t="shared" si="16"/>
        <v>2018-05-13</v>
      </c>
      <c r="F134" s="90">
        <v>20</v>
      </c>
      <c r="Q134" s="3" t="str">
        <f t="shared" si="12"/>
        <v>2018</v>
      </c>
      <c r="R134" s="3" t="str">
        <f t="shared" si="13"/>
        <v>0513</v>
      </c>
      <c r="S134" s="3" t="str">
        <f t="shared" si="17"/>
        <v>05</v>
      </c>
      <c r="T134" s="3" t="str">
        <f t="shared" si="14"/>
        <v>13</v>
      </c>
      <c r="U134" s="5" t="s">
        <v>40</v>
      </c>
    </row>
    <row r="135" spans="1:21">
      <c r="A135" s="3">
        <v>20180514</v>
      </c>
      <c r="B135" s="3">
        <v>201820</v>
      </c>
      <c r="C135" s="3">
        <f t="shared" si="15"/>
        <v>20</v>
      </c>
      <c r="E135" s="4" t="str">
        <f t="shared" si="16"/>
        <v>2018-05-14</v>
      </c>
      <c r="F135" s="90">
        <v>20</v>
      </c>
      <c r="Q135" s="3" t="str">
        <f t="shared" si="12"/>
        <v>2018</v>
      </c>
      <c r="R135" s="3" t="str">
        <f t="shared" si="13"/>
        <v>0514</v>
      </c>
      <c r="S135" s="3" t="str">
        <f t="shared" si="17"/>
        <v>05</v>
      </c>
      <c r="T135" s="3" t="str">
        <f t="shared" si="14"/>
        <v>14</v>
      </c>
      <c r="U135" s="5" t="s">
        <v>40</v>
      </c>
    </row>
    <row r="136" spans="1:21">
      <c r="A136" s="3">
        <v>20180515</v>
      </c>
      <c r="B136" s="3">
        <v>201820</v>
      </c>
      <c r="C136" s="3">
        <f t="shared" si="15"/>
        <v>20</v>
      </c>
      <c r="E136" s="4" t="str">
        <f t="shared" si="16"/>
        <v>2018-05-15</v>
      </c>
      <c r="F136" s="90">
        <v>20</v>
      </c>
      <c r="Q136" s="3" t="str">
        <f t="shared" si="12"/>
        <v>2018</v>
      </c>
      <c r="R136" s="3" t="str">
        <f t="shared" si="13"/>
        <v>0515</v>
      </c>
      <c r="S136" s="3" t="str">
        <f t="shared" si="17"/>
        <v>05</v>
      </c>
      <c r="T136" s="3" t="str">
        <f t="shared" si="14"/>
        <v>15</v>
      </c>
      <c r="U136" s="5" t="s">
        <v>40</v>
      </c>
    </row>
    <row r="137" spans="1:21">
      <c r="A137" s="3">
        <v>20180516</v>
      </c>
      <c r="B137" s="3">
        <v>201820</v>
      </c>
      <c r="C137" s="3">
        <f t="shared" si="15"/>
        <v>20</v>
      </c>
      <c r="E137" s="4" t="str">
        <f t="shared" si="16"/>
        <v>2018-05-16</v>
      </c>
      <c r="F137" s="90">
        <v>20</v>
      </c>
      <c r="Q137" s="3" t="str">
        <f t="shared" si="12"/>
        <v>2018</v>
      </c>
      <c r="R137" s="3" t="str">
        <f t="shared" si="13"/>
        <v>0516</v>
      </c>
      <c r="S137" s="3" t="str">
        <f t="shared" si="17"/>
        <v>05</v>
      </c>
      <c r="T137" s="3" t="str">
        <f t="shared" si="14"/>
        <v>16</v>
      </c>
      <c r="U137" s="5" t="s">
        <v>40</v>
      </c>
    </row>
    <row r="138" spans="1:21">
      <c r="A138" s="3">
        <v>20180517</v>
      </c>
      <c r="B138" s="3">
        <v>201820</v>
      </c>
      <c r="C138" s="3">
        <f t="shared" si="15"/>
        <v>20</v>
      </c>
      <c r="E138" s="4" t="str">
        <f t="shared" si="16"/>
        <v>2018-05-17</v>
      </c>
      <c r="F138" s="90">
        <v>20</v>
      </c>
      <c r="Q138" s="3" t="str">
        <f t="shared" si="12"/>
        <v>2018</v>
      </c>
      <c r="R138" s="3" t="str">
        <f t="shared" si="13"/>
        <v>0517</v>
      </c>
      <c r="S138" s="3" t="str">
        <f t="shared" si="17"/>
        <v>05</v>
      </c>
      <c r="T138" s="3" t="str">
        <f t="shared" si="14"/>
        <v>17</v>
      </c>
      <c r="U138" s="5" t="s">
        <v>40</v>
      </c>
    </row>
    <row r="139" spans="1:21">
      <c r="A139" s="3">
        <v>20180518</v>
      </c>
      <c r="B139" s="3">
        <v>201820</v>
      </c>
      <c r="C139" s="3">
        <f t="shared" si="15"/>
        <v>20</v>
      </c>
      <c r="E139" s="4" t="str">
        <f t="shared" si="16"/>
        <v>2018-05-18</v>
      </c>
      <c r="F139" s="90">
        <v>20</v>
      </c>
      <c r="Q139" s="3" t="str">
        <f t="shared" si="12"/>
        <v>2018</v>
      </c>
      <c r="R139" s="3" t="str">
        <f t="shared" si="13"/>
        <v>0518</v>
      </c>
      <c r="S139" s="3" t="str">
        <f t="shared" si="17"/>
        <v>05</v>
      </c>
      <c r="T139" s="3" t="str">
        <f t="shared" si="14"/>
        <v>18</v>
      </c>
      <c r="U139" s="5" t="s">
        <v>40</v>
      </c>
    </row>
    <row r="140" spans="1:21">
      <c r="A140" s="3">
        <v>20180519</v>
      </c>
      <c r="B140" s="3">
        <v>201821</v>
      </c>
      <c r="C140" s="3">
        <f t="shared" si="15"/>
        <v>21</v>
      </c>
      <c r="E140" s="4" t="str">
        <f t="shared" si="16"/>
        <v>2018-05-19</v>
      </c>
      <c r="F140" s="90">
        <v>21</v>
      </c>
      <c r="Q140" s="3" t="str">
        <f t="shared" si="12"/>
        <v>2018</v>
      </c>
      <c r="R140" s="3" t="str">
        <f t="shared" si="13"/>
        <v>0519</v>
      </c>
      <c r="S140" s="3" t="str">
        <f t="shared" si="17"/>
        <v>05</v>
      </c>
      <c r="T140" s="3" t="str">
        <f t="shared" si="14"/>
        <v>19</v>
      </c>
      <c r="U140" s="5" t="s">
        <v>40</v>
      </c>
    </row>
    <row r="141" spans="1:21">
      <c r="A141" s="3">
        <v>20180520</v>
      </c>
      <c r="B141" s="3">
        <v>201821</v>
      </c>
      <c r="C141" s="3">
        <f t="shared" si="15"/>
        <v>21</v>
      </c>
      <c r="E141" s="4" t="str">
        <f t="shared" si="16"/>
        <v>2018-05-20</v>
      </c>
      <c r="F141" s="90">
        <v>21</v>
      </c>
      <c r="Q141" s="3" t="str">
        <f t="shared" si="12"/>
        <v>2018</v>
      </c>
      <c r="R141" s="3" t="str">
        <f t="shared" si="13"/>
        <v>0520</v>
      </c>
      <c r="S141" s="3" t="str">
        <f t="shared" si="17"/>
        <v>05</v>
      </c>
      <c r="T141" s="3" t="str">
        <f t="shared" si="14"/>
        <v>20</v>
      </c>
      <c r="U141" s="5" t="s">
        <v>40</v>
      </c>
    </row>
    <row r="142" spans="1:21">
      <c r="A142" s="3">
        <v>20180521</v>
      </c>
      <c r="B142" s="3">
        <v>201821</v>
      </c>
      <c r="C142" s="3">
        <f t="shared" si="15"/>
        <v>21</v>
      </c>
      <c r="E142" s="4" t="str">
        <f t="shared" si="16"/>
        <v>2018-05-21</v>
      </c>
      <c r="F142" s="90">
        <v>21</v>
      </c>
      <c r="Q142" s="3" t="str">
        <f t="shared" si="12"/>
        <v>2018</v>
      </c>
      <c r="R142" s="3" t="str">
        <f t="shared" si="13"/>
        <v>0521</v>
      </c>
      <c r="S142" s="3" t="str">
        <f t="shared" si="17"/>
        <v>05</v>
      </c>
      <c r="T142" s="3" t="str">
        <f t="shared" si="14"/>
        <v>21</v>
      </c>
      <c r="U142" s="5" t="s">
        <v>40</v>
      </c>
    </row>
    <row r="143" spans="1:21">
      <c r="A143" s="3">
        <v>20180522</v>
      </c>
      <c r="B143" s="3">
        <v>201821</v>
      </c>
      <c r="C143" s="3">
        <f t="shared" si="15"/>
        <v>21</v>
      </c>
      <c r="E143" s="4" t="str">
        <f t="shared" si="16"/>
        <v>2018-05-22</v>
      </c>
      <c r="F143" s="90">
        <v>21</v>
      </c>
      <c r="Q143" s="3" t="str">
        <f t="shared" si="12"/>
        <v>2018</v>
      </c>
      <c r="R143" s="3" t="str">
        <f t="shared" si="13"/>
        <v>0522</v>
      </c>
      <c r="S143" s="3" t="str">
        <f t="shared" si="17"/>
        <v>05</v>
      </c>
      <c r="T143" s="3" t="str">
        <f t="shared" si="14"/>
        <v>22</v>
      </c>
      <c r="U143" s="5" t="s">
        <v>40</v>
      </c>
    </row>
    <row r="144" spans="1:21">
      <c r="A144" s="3">
        <v>20180523</v>
      </c>
      <c r="B144" s="3">
        <v>201821</v>
      </c>
      <c r="C144" s="3">
        <f t="shared" si="15"/>
        <v>21</v>
      </c>
      <c r="E144" s="4" t="str">
        <f t="shared" si="16"/>
        <v>2018-05-23</v>
      </c>
      <c r="F144" s="90">
        <v>21</v>
      </c>
      <c r="Q144" s="3" t="str">
        <f t="shared" si="12"/>
        <v>2018</v>
      </c>
      <c r="R144" s="3" t="str">
        <f t="shared" si="13"/>
        <v>0523</v>
      </c>
      <c r="S144" s="3" t="str">
        <f t="shared" si="17"/>
        <v>05</v>
      </c>
      <c r="T144" s="3" t="str">
        <f t="shared" si="14"/>
        <v>23</v>
      </c>
      <c r="U144" s="5" t="s">
        <v>40</v>
      </c>
    </row>
    <row r="145" spans="1:21">
      <c r="A145" s="3">
        <v>20180524</v>
      </c>
      <c r="B145" s="3">
        <v>201821</v>
      </c>
      <c r="C145" s="3">
        <f t="shared" si="15"/>
        <v>21</v>
      </c>
      <c r="E145" s="4" t="str">
        <f t="shared" si="16"/>
        <v>2018-05-24</v>
      </c>
      <c r="F145" s="90">
        <v>21</v>
      </c>
      <c r="Q145" s="3" t="str">
        <f t="shared" si="12"/>
        <v>2018</v>
      </c>
      <c r="R145" s="3" t="str">
        <f t="shared" si="13"/>
        <v>0524</v>
      </c>
      <c r="S145" s="3" t="str">
        <f t="shared" si="17"/>
        <v>05</v>
      </c>
      <c r="T145" s="3" t="str">
        <f t="shared" si="14"/>
        <v>24</v>
      </c>
      <c r="U145" s="5" t="s">
        <v>40</v>
      </c>
    </row>
    <row r="146" spans="1:21">
      <c r="A146" s="3">
        <v>20180525</v>
      </c>
      <c r="B146" s="3">
        <v>201821</v>
      </c>
      <c r="C146" s="3">
        <f t="shared" si="15"/>
        <v>21</v>
      </c>
      <c r="E146" s="4" t="str">
        <f t="shared" si="16"/>
        <v>2018-05-25</v>
      </c>
      <c r="F146" s="90">
        <v>21</v>
      </c>
      <c r="Q146" s="3" t="str">
        <f t="shared" si="12"/>
        <v>2018</v>
      </c>
      <c r="R146" s="3" t="str">
        <f t="shared" si="13"/>
        <v>0525</v>
      </c>
      <c r="S146" s="3" t="str">
        <f t="shared" si="17"/>
        <v>05</v>
      </c>
      <c r="T146" s="3" t="str">
        <f t="shared" si="14"/>
        <v>25</v>
      </c>
      <c r="U146" s="5" t="s">
        <v>40</v>
      </c>
    </row>
    <row r="147" spans="1:21">
      <c r="A147" s="3">
        <v>20180526</v>
      </c>
      <c r="B147" s="3">
        <v>201822</v>
      </c>
      <c r="C147" s="3">
        <f t="shared" si="15"/>
        <v>22</v>
      </c>
      <c r="E147" s="4" t="str">
        <f t="shared" si="16"/>
        <v>2018-05-26</v>
      </c>
      <c r="F147" s="90">
        <v>22</v>
      </c>
      <c r="Q147" s="3" t="str">
        <f t="shared" si="12"/>
        <v>2018</v>
      </c>
      <c r="R147" s="3" t="str">
        <f t="shared" si="13"/>
        <v>0526</v>
      </c>
      <c r="S147" s="3" t="str">
        <f t="shared" si="17"/>
        <v>05</v>
      </c>
      <c r="T147" s="3" t="str">
        <f t="shared" si="14"/>
        <v>26</v>
      </c>
      <c r="U147" s="5" t="s">
        <v>40</v>
      </c>
    </row>
    <row r="148" spans="1:21">
      <c r="A148" s="3">
        <v>20180527</v>
      </c>
      <c r="B148" s="3">
        <v>201822</v>
      </c>
      <c r="C148" s="3">
        <f t="shared" si="15"/>
        <v>22</v>
      </c>
      <c r="E148" s="4" t="str">
        <f t="shared" si="16"/>
        <v>2018-05-27</v>
      </c>
      <c r="F148" s="90">
        <v>22</v>
      </c>
      <c r="Q148" s="3" t="str">
        <f t="shared" si="12"/>
        <v>2018</v>
      </c>
      <c r="R148" s="3" t="str">
        <f t="shared" si="13"/>
        <v>0527</v>
      </c>
      <c r="S148" s="3" t="str">
        <f t="shared" si="17"/>
        <v>05</v>
      </c>
      <c r="T148" s="3" t="str">
        <f t="shared" si="14"/>
        <v>27</v>
      </c>
      <c r="U148" s="5" t="s">
        <v>40</v>
      </c>
    </row>
    <row r="149" spans="1:21">
      <c r="A149" s="3">
        <v>20180528</v>
      </c>
      <c r="B149" s="3">
        <v>201822</v>
      </c>
      <c r="C149" s="3">
        <f t="shared" si="15"/>
        <v>22</v>
      </c>
      <c r="E149" s="4" t="str">
        <f t="shared" si="16"/>
        <v>2018-05-28</v>
      </c>
      <c r="F149" s="90">
        <v>22</v>
      </c>
      <c r="Q149" s="3" t="str">
        <f t="shared" si="12"/>
        <v>2018</v>
      </c>
      <c r="R149" s="3" t="str">
        <f t="shared" si="13"/>
        <v>0528</v>
      </c>
      <c r="S149" s="3" t="str">
        <f t="shared" si="17"/>
        <v>05</v>
      </c>
      <c r="T149" s="3" t="str">
        <f t="shared" si="14"/>
        <v>28</v>
      </c>
      <c r="U149" s="5" t="s">
        <v>40</v>
      </c>
    </row>
    <row r="150" spans="1:21">
      <c r="A150" s="3">
        <v>20180529</v>
      </c>
      <c r="B150" s="3">
        <v>201822</v>
      </c>
      <c r="C150" s="3">
        <f t="shared" si="15"/>
        <v>22</v>
      </c>
      <c r="E150" s="4" t="str">
        <f t="shared" si="16"/>
        <v>2018-05-29</v>
      </c>
      <c r="F150" s="90">
        <v>22</v>
      </c>
      <c r="Q150" s="3" t="str">
        <f t="shared" si="12"/>
        <v>2018</v>
      </c>
      <c r="R150" s="3" t="str">
        <f t="shared" si="13"/>
        <v>0529</v>
      </c>
      <c r="S150" s="3" t="str">
        <f t="shared" si="17"/>
        <v>05</v>
      </c>
      <c r="T150" s="3" t="str">
        <f t="shared" si="14"/>
        <v>29</v>
      </c>
      <c r="U150" s="5" t="s">
        <v>40</v>
      </c>
    </row>
    <row r="151" spans="1:21">
      <c r="A151" s="3">
        <v>20180530</v>
      </c>
      <c r="B151" s="3">
        <v>201822</v>
      </c>
      <c r="C151" s="3">
        <f t="shared" si="15"/>
        <v>22</v>
      </c>
      <c r="E151" s="4" t="str">
        <f t="shared" si="16"/>
        <v>2018-05-30</v>
      </c>
      <c r="F151" s="90">
        <v>22</v>
      </c>
      <c r="Q151" s="3" t="str">
        <f t="shared" si="12"/>
        <v>2018</v>
      </c>
      <c r="R151" s="3" t="str">
        <f t="shared" si="13"/>
        <v>0530</v>
      </c>
      <c r="S151" s="3" t="str">
        <f t="shared" si="17"/>
        <v>05</v>
      </c>
      <c r="T151" s="3" t="str">
        <f t="shared" si="14"/>
        <v>30</v>
      </c>
      <c r="U151" s="5" t="s">
        <v>40</v>
      </c>
    </row>
    <row r="152" spans="1:21">
      <c r="A152" s="3">
        <v>20180531</v>
      </c>
      <c r="B152" s="3">
        <v>201822</v>
      </c>
      <c r="C152" s="3">
        <f t="shared" si="15"/>
        <v>22</v>
      </c>
      <c r="E152" s="4" t="str">
        <f t="shared" si="16"/>
        <v>2018-05-31</v>
      </c>
      <c r="F152" s="90">
        <v>22</v>
      </c>
      <c r="Q152" s="3" t="str">
        <f t="shared" si="12"/>
        <v>2018</v>
      </c>
      <c r="R152" s="3" t="str">
        <f t="shared" si="13"/>
        <v>0531</v>
      </c>
      <c r="S152" s="3" t="str">
        <f t="shared" si="17"/>
        <v>05</v>
      </c>
      <c r="T152" s="3" t="str">
        <f t="shared" si="14"/>
        <v>31</v>
      </c>
      <c r="U152" s="5" t="s">
        <v>40</v>
      </c>
    </row>
    <row r="153" spans="1:21">
      <c r="A153" s="3">
        <v>20180601</v>
      </c>
      <c r="B153" s="3">
        <v>201822</v>
      </c>
      <c r="C153" s="3">
        <f t="shared" si="15"/>
        <v>22</v>
      </c>
      <c r="E153" s="4" t="str">
        <f t="shared" si="16"/>
        <v>2018-06-01</v>
      </c>
      <c r="F153" s="90">
        <v>22</v>
      </c>
      <c r="Q153" s="3" t="str">
        <f t="shared" si="12"/>
        <v>2018</v>
      </c>
      <c r="R153" s="3" t="str">
        <f t="shared" si="13"/>
        <v>0601</v>
      </c>
      <c r="S153" s="3" t="str">
        <f t="shared" si="17"/>
        <v>06</v>
      </c>
      <c r="T153" s="3" t="str">
        <f t="shared" si="14"/>
        <v>01</v>
      </c>
      <c r="U153" s="5" t="s">
        <v>40</v>
      </c>
    </row>
    <row r="154" spans="1:21">
      <c r="A154" s="3">
        <v>20180602</v>
      </c>
      <c r="B154" s="3">
        <v>201823</v>
      </c>
      <c r="C154" s="3">
        <f t="shared" si="15"/>
        <v>23</v>
      </c>
      <c r="E154" s="4" t="str">
        <f t="shared" si="16"/>
        <v>2018-06-02</v>
      </c>
      <c r="F154" s="90">
        <v>23</v>
      </c>
      <c r="Q154" s="3" t="str">
        <f t="shared" si="12"/>
        <v>2018</v>
      </c>
      <c r="R154" s="3" t="str">
        <f t="shared" si="13"/>
        <v>0602</v>
      </c>
      <c r="S154" s="3" t="str">
        <f t="shared" si="17"/>
        <v>06</v>
      </c>
      <c r="T154" s="3" t="str">
        <f t="shared" si="14"/>
        <v>02</v>
      </c>
      <c r="U154" s="5" t="s">
        <v>40</v>
      </c>
    </row>
    <row r="155" spans="1:21">
      <c r="A155" s="3">
        <v>20180603</v>
      </c>
      <c r="B155" s="3">
        <v>201823</v>
      </c>
      <c r="C155" s="3">
        <f t="shared" si="15"/>
        <v>23</v>
      </c>
      <c r="E155" s="4" t="str">
        <f t="shared" si="16"/>
        <v>2018-06-03</v>
      </c>
      <c r="F155" s="90">
        <v>23</v>
      </c>
      <c r="Q155" s="3" t="str">
        <f t="shared" si="12"/>
        <v>2018</v>
      </c>
      <c r="R155" s="3" t="str">
        <f t="shared" si="13"/>
        <v>0603</v>
      </c>
      <c r="S155" s="3" t="str">
        <f t="shared" si="17"/>
        <v>06</v>
      </c>
      <c r="T155" s="3" t="str">
        <f t="shared" si="14"/>
        <v>03</v>
      </c>
      <c r="U155" s="5" t="s">
        <v>40</v>
      </c>
    </row>
    <row r="156" spans="1:21">
      <c r="A156" s="3">
        <v>20180604</v>
      </c>
      <c r="B156" s="3">
        <v>201823</v>
      </c>
      <c r="C156" s="3">
        <f t="shared" si="15"/>
        <v>23</v>
      </c>
      <c r="E156" s="4" t="str">
        <f t="shared" si="16"/>
        <v>2018-06-04</v>
      </c>
      <c r="F156" s="90">
        <v>23</v>
      </c>
      <c r="Q156" s="3" t="str">
        <f t="shared" si="12"/>
        <v>2018</v>
      </c>
      <c r="R156" s="3" t="str">
        <f t="shared" si="13"/>
        <v>0604</v>
      </c>
      <c r="S156" s="3" t="str">
        <f t="shared" si="17"/>
        <v>06</v>
      </c>
      <c r="T156" s="3" t="str">
        <f t="shared" si="14"/>
        <v>04</v>
      </c>
      <c r="U156" s="5" t="s">
        <v>40</v>
      </c>
    </row>
    <row r="157" spans="1:21">
      <c r="A157" s="3">
        <v>20180605</v>
      </c>
      <c r="B157" s="3">
        <v>201823</v>
      </c>
      <c r="C157" s="3">
        <f t="shared" si="15"/>
        <v>23</v>
      </c>
      <c r="E157" s="4" t="str">
        <f t="shared" si="16"/>
        <v>2018-06-05</v>
      </c>
      <c r="F157" s="90">
        <v>23</v>
      </c>
      <c r="Q157" s="3" t="str">
        <f t="shared" si="12"/>
        <v>2018</v>
      </c>
      <c r="R157" s="3" t="str">
        <f t="shared" si="13"/>
        <v>0605</v>
      </c>
      <c r="S157" s="3" t="str">
        <f t="shared" si="17"/>
        <v>06</v>
      </c>
      <c r="T157" s="3" t="str">
        <f t="shared" si="14"/>
        <v>05</v>
      </c>
      <c r="U157" s="5" t="s">
        <v>40</v>
      </c>
    </row>
    <row r="158" spans="1:21">
      <c r="A158" s="3">
        <v>20180606</v>
      </c>
      <c r="B158" s="3">
        <v>201823</v>
      </c>
      <c r="C158" s="3">
        <f t="shared" si="15"/>
        <v>23</v>
      </c>
      <c r="E158" s="4" t="str">
        <f t="shared" si="16"/>
        <v>2018-06-06</v>
      </c>
      <c r="F158" s="90">
        <v>23</v>
      </c>
      <c r="Q158" s="3" t="str">
        <f t="shared" si="12"/>
        <v>2018</v>
      </c>
      <c r="R158" s="3" t="str">
        <f t="shared" si="13"/>
        <v>0606</v>
      </c>
      <c r="S158" s="3" t="str">
        <f t="shared" si="17"/>
        <v>06</v>
      </c>
      <c r="T158" s="3" t="str">
        <f t="shared" si="14"/>
        <v>06</v>
      </c>
      <c r="U158" s="5" t="s">
        <v>40</v>
      </c>
    </row>
    <row r="159" spans="1:21">
      <c r="A159" s="3">
        <v>20180607</v>
      </c>
      <c r="B159" s="3">
        <v>201823</v>
      </c>
      <c r="C159" s="3">
        <f t="shared" si="15"/>
        <v>23</v>
      </c>
      <c r="E159" s="4" t="str">
        <f t="shared" si="16"/>
        <v>2018-06-07</v>
      </c>
      <c r="F159" s="90">
        <v>23</v>
      </c>
      <c r="Q159" s="3" t="str">
        <f t="shared" si="12"/>
        <v>2018</v>
      </c>
      <c r="R159" s="3" t="str">
        <f t="shared" si="13"/>
        <v>0607</v>
      </c>
      <c r="S159" s="3" t="str">
        <f t="shared" si="17"/>
        <v>06</v>
      </c>
      <c r="T159" s="3" t="str">
        <f t="shared" si="14"/>
        <v>07</v>
      </c>
      <c r="U159" s="5" t="s">
        <v>40</v>
      </c>
    </row>
    <row r="160" spans="1:21">
      <c r="A160" s="3">
        <v>20180608</v>
      </c>
      <c r="B160" s="3">
        <v>201823</v>
      </c>
      <c r="C160" s="3">
        <f t="shared" si="15"/>
        <v>23</v>
      </c>
      <c r="E160" s="4" t="str">
        <f t="shared" si="16"/>
        <v>2018-06-08</v>
      </c>
      <c r="F160" s="90">
        <v>23</v>
      </c>
      <c r="Q160" s="3" t="str">
        <f t="shared" si="12"/>
        <v>2018</v>
      </c>
      <c r="R160" s="3" t="str">
        <f t="shared" si="13"/>
        <v>0608</v>
      </c>
      <c r="S160" s="3" t="str">
        <f t="shared" si="17"/>
        <v>06</v>
      </c>
      <c r="T160" s="3" t="str">
        <f t="shared" si="14"/>
        <v>08</v>
      </c>
      <c r="U160" s="5" t="s">
        <v>40</v>
      </c>
    </row>
    <row r="161" spans="1:21">
      <c r="A161" s="3">
        <v>20180609</v>
      </c>
      <c r="B161" s="3">
        <v>201824</v>
      </c>
      <c r="C161" s="3">
        <f t="shared" si="15"/>
        <v>24</v>
      </c>
      <c r="E161" s="4" t="str">
        <f t="shared" si="16"/>
        <v>2018-06-09</v>
      </c>
      <c r="F161" s="90">
        <v>24</v>
      </c>
      <c r="Q161" s="3" t="str">
        <f t="shared" si="12"/>
        <v>2018</v>
      </c>
      <c r="R161" s="3" t="str">
        <f t="shared" si="13"/>
        <v>0609</v>
      </c>
      <c r="S161" s="3" t="str">
        <f t="shared" si="17"/>
        <v>06</v>
      </c>
      <c r="T161" s="3" t="str">
        <f t="shared" si="14"/>
        <v>09</v>
      </c>
      <c r="U161" s="5" t="s">
        <v>40</v>
      </c>
    </row>
    <row r="162" spans="1:21">
      <c r="A162" s="3">
        <v>20180610</v>
      </c>
      <c r="B162" s="3">
        <v>201824</v>
      </c>
      <c r="C162" s="3">
        <f t="shared" si="15"/>
        <v>24</v>
      </c>
      <c r="E162" s="4" t="str">
        <f t="shared" si="16"/>
        <v>2018-06-10</v>
      </c>
      <c r="F162" s="90">
        <v>24</v>
      </c>
      <c r="Q162" s="3" t="str">
        <f t="shared" si="12"/>
        <v>2018</v>
      </c>
      <c r="R162" s="3" t="str">
        <f t="shared" si="13"/>
        <v>0610</v>
      </c>
      <c r="S162" s="3" t="str">
        <f t="shared" si="17"/>
        <v>06</v>
      </c>
      <c r="T162" s="3" t="str">
        <f t="shared" si="14"/>
        <v>10</v>
      </c>
      <c r="U162" s="5" t="s">
        <v>40</v>
      </c>
    </row>
    <row r="163" spans="1:21">
      <c r="A163" s="3">
        <v>20180611</v>
      </c>
      <c r="B163" s="3">
        <v>201824</v>
      </c>
      <c r="C163" s="3">
        <f t="shared" si="15"/>
        <v>24</v>
      </c>
      <c r="E163" s="4" t="str">
        <f t="shared" si="16"/>
        <v>2018-06-11</v>
      </c>
      <c r="F163" s="90">
        <v>24</v>
      </c>
      <c r="Q163" s="3" t="str">
        <f t="shared" si="12"/>
        <v>2018</v>
      </c>
      <c r="R163" s="3" t="str">
        <f t="shared" si="13"/>
        <v>0611</v>
      </c>
      <c r="S163" s="3" t="str">
        <f t="shared" si="17"/>
        <v>06</v>
      </c>
      <c r="T163" s="3" t="str">
        <f t="shared" si="14"/>
        <v>11</v>
      </c>
      <c r="U163" s="5" t="s">
        <v>40</v>
      </c>
    </row>
    <row r="164" spans="1:21">
      <c r="A164" s="3">
        <v>20180612</v>
      </c>
      <c r="B164" s="3">
        <v>201824</v>
      </c>
      <c r="C164" s="3">
        <f t="shared" si="15"/>
        <v>24</v>
      </c>
      <c r="E164" s="4" t="str">
        <f t="shared" si="16"/>
        <v>2018-06-12</v>
      </c>
      <c r="F164" s="90">
        <v>24</v>
      </c>
      <c r="Q164" s="3" t="str">
        <f t="shared" si="12"/>
        <v>2018</v>
      </c>
      <c r="R164" s="3" t="str">
        <f t="shared" si="13"/>
        <v>0612</v>
      </c>
      <c r="S164" s="3" t="str">
        <f t="shared" si="17"/>
        <v>06</v>
      </c>
      <c r="T164" s="3" t="str">
        <f t="shared" si="14"/>
        <v>12</v>
      </c>
      <c r="U164" s="5" t="s">
        <v>40</v>
      </c>
    </row>
    <row r="165" spans="1:21">
      <c r="A165" s="3">
        <v>20180613</v>
      </c>
      <c r="B165" s="3">
        <v>201824</v>
      </c>
      <c r="C165" s="3">
        <f t="shared" si="15"/>
        <v>24</v>
      </c>
      <c r="E165" s="4" t="str">
        <f t="shared" si="16"/>
        <v>2018-06-13</v>
      </c>
      <c r="F165" s="90">
        <v>24</v>
      </c>
      <c r="Q165" s="3" t="str">
        <f t="shared" si="12"/>
        <v>2018</v>
      </c>
      <c r="R165" s="3" t="str">
        <f t="shared" si="13"/>
        <v>0613</v>
      </c>
      <c r="S165" s="3" t="str">
        <f t="shared" si="17"/>
        <v>06</v>
      </c>
      <c r="T165" s="3" t="str">
        <f t="shared" si="14"/>
        <v>13</v>
      </c>
      <c r="U165" s="5" t="s">
        <v>40</v>
      </c>
    </row>
    <row r="166" spans="1:21">
      <c r="A166" s="3">
        <v>20180614</v>
      </c>
      <c r="B166" s="3">
        <v>201824</v>
      </c>
      <c r="C166" s="3">
        <f t="shared" si="15"/>
        <v>24</v>
      </c>
      <c r="E166" s="4" t="str">
        <f t="shared" si="16"/>
        <v>2018-06-14</v>
      </c>
      <c r="F166" s="90">
        <v>24</v>
      </c>
      <c r="Q166" s="3" t="str">
        <f t="shared" si="12"/>
        <v>2018</v>
      </c>
      <c r="R166" s="3" t="str">
        <f t="shared" si="13"/>
        <v>0614</v>
      </c>
      <c r="S166" s="3" t="str">
        <f t="shared" si="17"/>
        <v>06</v>
      </c>
      <c r="T166" s="3" t="str">
        <f t="shared" si="14"/>
        <v>14</v>
      </c>
      <c r="U166" s="5" t="s">
        <v>40</v>
      </c>
    </row>
    <row r="167" spans="1:21">
      <c r="A167" s="3">
        <v>20180615</v>
      </c>
      <c r="B167" s="3">
        <v>201824</v>
      </c>
      <c r="C167" s="3">
        <f t="shared" si="15"/>
        <v>24</v>
      </c>
      <c r="E167" s="4" t="str">
        <f t="shared" si="16"/>
        <v>2018-06-15</v>
      </c>
      <c r="F167" s="90">
        <v>24</v>
      </c>
      <c r="Q167" s="3" t="str">
        <f t="shared" si="12"/>
        <v>2018</v>
      </c>
      <c r="R167" s="3" t="str">
        <f t="shared" si="13"/>
        <v>0615</v>
      </c>
      <c r="S167" s="3" t="str">
        <f t="shared" si="17"/>
        <v>06</v>
      </c>
      <c r="T167" s="3" t="str">
        <f t="shared" si="14"/>
        <v>15</v>
      </c>
      <c r="U167" s="5" t="s">
        <v>40</v>
      </c>
    </row>
    <row r="168" spans="1:21">
      <c r="A168" s="3">
        <v>20180616</v>
      </c>
      <c r="B168" s="3">
        <v>201825</v>
      </c>
      <c r="C168" s="3">
        <f t="shared" si="15"/>
        <v>25</v>
      </c>
      <c r="E168" s="4" t="str">
        <f t="shared" si="16"/>
        <v>2018-06-16</v>
      </c>
      <c r="F168" s="90">
        <v>25</v>
      </c>
      <c r="Q168" s="3" t="str">
        <f t="shared" si="12"/>
        <v>2018</v>
      </c>
      <c r="R168" s="3" t="str">
        <f t="shared" si="13"/>
        <v>0616</v>
      </c>
      <c r="S168" s="3" t="str">
        <f t="shared" si="17"/>
        <v>06</v>
      </c>
      <c r="T168" s="3" t="str">
        <f t="shared" si="14"/>
        <v>16</v>
      </c>
      <c r="U168" s="5" t="s">
        <v>40</v>
      </c>
    </row>
    <row r="169" spans="1:21">
      <c r="A169" s="3">
        <v>20180617</v>
      </c>
      <c r="B169" s="3">
        <v>201825</v>
      </c>
      <c r="C169" s="3">
        <f t="shared" si="15"/>
        <v>25</v>
      </c>
      <c r="E169" s="4" t="str">
        <f t="shared" si="16"/>
        <v>2018-06-17</v>
      </c>
      <c r="F169" s="90">
        <v>25</v>
      </c>
      <c r="Q169" s="3" t="str">
        <f t="shared" si="12"/>
        <v>2018</v>
      </c>
      <c r="R169" s="3" t="str">
        <f t="shared" si="13"/>
        <v>0617</v>
      </c>
      <c r="S169" s="3" t="str">
        <f t="shared" si="17"/>
        <v>06</v>
      </c>
      <c r="T169" s="3" t="str">
        <f t="shared" si="14"/>
        <v>17</v>
      </c>
      <c r="U169" s="5" t="s">
        <v>40</v>
      </c>
    </row>
    <row r="170" spans="1:21">
      <c r="A170" s="3">
        <v>20180618</v>
      </c>
      <c r="B170" s="3">
        <v>201825</v>
      </c>
      <c r="C170" s="3">
        <f t="shared" si="15"/>
        <v>25</v>
      </c>
      <c r="E170" s="4" t="str">
        <f t="shared" si="16"/>
        <v>2018-06-18</v>
      </c>
      <c r="F170" s="90">
        <v>25</v>
      </c>
      <c r="Q170" s="3" t="str">
        <f t="shared" si="12"/>
        <v>2018</v>
      </c>
      <c r="R170" s="3" t="str">
        <f t="shared" si="13"/>
        <v>0618</v>
      </c>
      <c r="S170" s="3" t="str">
        <f t="shared" si="17"/>
        <v>06</v>
      </c>
      <c r="T170" s="3" t="str">
        <f t="shared" si="14"/>
        <v>18</v>
      </c>
      <c r="U170" s="5" t="s">
        <v>40</v>
      </c>
    </row>
    <row r="171" spans="1:21">
      <c r="A171" s="3">
        <v>20180619</v>
      </c>
      <c r="B171" s="3">
        <v>201825</v>
      </c>
      <c r="C171" s="3">
        <f t="shared" si="15"/>
        <v>25</v>
      </c>
      <c r="E171" s="4" t="str">
        <f t="shared" si="16"/>
        <v>2018-06-19</v>
      </c>
      <c r="F171" s="90">
        <v>25</v>
      </c>
      <c r="Q171" s="3" t="str">
        <f t="shared" si="12"/>
        <v>2018</v>
      </c>
      <c r="R171" s="3" t="str">
        <f t="shared" si="13"/>
        <v>0619</v>
      </c>
      <c r="S171" s="3" t="str">
        <f t="shared" si="17"/>
        <v>06</v>
      </c>
      <c r="T171" s="3" t="str">
        <f t="shared" si="14"/>
        <v>19</v>
      </c>
      <c r="U171" s="5" t="s">
        <v>40</v>
      </c>
    </row>
    <row r="172" spans="1:21">
      <c r="A172" s="3">
        <v>20180620</v>
      </c>
      <c r="B172" s="3">
        <v>201825</v>
      </c>
      <c r="C172" s="3">
        <f t="shared" si="15"/>
        <v>25</v>
      </c>
      <c r="E172" s="4" t="str">
        <f t="shared" si="16"/>
        <v>2018-06-20</v>
      </c>
      <c r="F172" s="90">
        <v>25</v>
      </c>
      <c r="Q172" s="3" t="str">
        <f t="shared" si="12"/>
        <v>2018</v>
      </c>
      <c r="R172" s="3" t="str">
        <f t="shared" si="13"/>
        <v>0620</v>
      </c>
      <c r="S172" s="3" t="str">
        <f t="shared" si="17"/>
        <v>06</v>
      </c>
      <c r="T172" s="3" t="str">
        <f t="shared" si="14"/>
        <v>20</v>
      </c>
      <c r="U172" s="5" t="s">
        <v>40</v>
      </c>
    </row>
    <row r="173" spans="1:21">
      <c r="A173" s="3">
        <v>20180621</v>
      </c>
      <c r="B173" s="3">
        <v>201825</v>
      </c>
      <c r="C173" s="3">
        <f t="shared" si="15"/>
        <v>25</v>
      </c>
      <c r="E173" s="4" t="str">
        <f t="shared" si="16"/>
        <v>2018-06-21</v>
      </c>
      <c r="F173" s="90">
        <v>25</v>
      </c>
      <c r="Q173" s="3" t="str">
        <f t="shared" si="12"/>
        <v>2018</v>
      </c>
      <c r="R173" s="3" t="str">
        <f t="shared" si="13"/>
        <v>0621</v>
      </c>
      <c r="S173" s="3" t="str">
        <f t="shared" si="17"/>
        <v>06</v>
      </c>
      <c r="T173" s="3" t="str">
        <f t="shared" si="14"/>
        <v>21</v>
      </c>
      <c r="U173" s="5" t="s">
        <v>40</v>
      </c>
    </row>
    <row r="174" spans="1:21">
      <c r="A174" s="3">
        <v>20180622</v>
      </c>
      <c r="B174" s="3">
        <v>201825</v>
      </c>
      <c r="C174" s="3">
        <f t="shared" si="15"/>
        <v>25</v>
      </c>
      <c r="E174" s="4" t="str">
        <f t="shared" si="16"/>
        <v>2018-06-22</v>
      </c>
      <c r="F174" s="90">
        <v>25</v>
      </c>
      <c r="Q174" s="3" t="str">
        <f t="shared" si="12"/>
        <v>2018</v>
      </c>
      <c r="R174" s="3" t="str">
        <f t="shared" si="13"/>
        <v>0622</v>
      </c>
      <c r="S174" s="3" t="str">
        <f t="shared" si="17"/>
        <v>06</v>
      </c>
      <c r="T174" s="3" t="str">
        <f t="shared" si="14"/>
        <v>22</v>
      </c>
      <c r="U174" s="5" t="s">
        <v>40</v>
      </c>
    </row>
    <row r="175" spans="1:21">
      <c r="A175" s="3">
        <v>20180623</v>
      </c>
      <c r="B175" s="3">
        <v>201826</v>
      </c>
      <c r="C175" s="3">
        <f t="shared" si="15"/>
        <v>26</v>
      </c>
      <c r="E175" s="4" t="str">
        <f t="shared" si="16"/>
        <v>2018-06-23</v>
      </c>
      <c r="F175" s="90">
        <v>26</v>
      </c>
      <c r="Q175" s="3" t="str">
        <f t="shared" si="12"/>
        <v>2018</v>
      </c>
      <c r="R175" s="3" t="str">
        <f t="shared" si="13"/>
        <v>0623</v>
      </c>
      <c r="S175" s="3" t="str">
        <f t="shared" si="17"/>
        <v>06</v>
      </c>
      <c r="T175" s="3" t="str">
        <f t="shared" si="14"/>
        <v>23</v>
      </c>
      <c r="U175" s="5" t="s">
        <v>40</v>
      </c>
    </row>
    <row r="176" spans="1:21">
      <c r="A176" s="3">
        <v>20180624</v>
      </c>
      <c r="B176" s="3">
        <v>201826</v>
      </c>
      <c r="C176" s="3">
        <f t="shared" si="15"/>
        <v>26</v>
      </c>
      <c r="E176" s="4" t="str">
        <f t="shared" si="16"/>
        <v>2018-06-24</v>
      </c>
      <c r="F176" s="90">
        <v>26</v>
      </c>
      <c r="Q176" s="3" t="str">
        <f t="shared" si="12"/>
        <v>2018</v>
      </c>
      <c r="R176" s="3" t="str">
        <f t="shared" si="13"/>
        <v>0624</v>
      </c>
      <c r="S176" s="3" t="str">
        <f t="shared" si="17"/>
        <v>06</v>
      </c>
      <c r="T176" s="3" t="str">
        <f t="shared" si="14"/>
        <v>24</v>
      </c>
      <c r="U176" s="5" t="s">
        <v>40</v>
      </c>
    </row>
    <row r="177" spans="1:21">
      <c r="A177" s="3">
        <v>20180625</v>
      </c>
      <c r="B177" s="3">
        <v>201826</v>
      </c>
      <c r="C177" s="3">
        <f t="shared" si="15"/>
        <v>26</v>
      </c>
      <c r="E177" s="4" t="str">
        <f t="shared" si="16"/>
        <v>2018-06-25</v>
      </c>
      <c r="F177" s="90">
        <v>26</v>
      </c>
      <c r="Q177" s="3" t="str">
        <f t="shared" si="12"/>
        <v>2018</v>
      </c>
      <c r="R177" s="3" t="str">
        <f t="shared" si="13"/>
        <v>0625</v>
      </c>
      <c r="S177" s="3" t="str">
        <f t="shared" si="17"/>
        <v>06</v>
      </c>
      <c r="T177" s="3" t="str">
        <f t="shared" si="14"/>
        <v>25</v>
      </c>
      <c r="U177" s="5" t="s">
        <v>40</v>
      </c>
    </row>
    <row r="178" spans="1:21">
      <c r="A178" s="3">
        <v>20180626</v>
      </c>
      <c r="B178" s="3">
        <v>201826</v>
      </c>
      <c r="C178" s="3">
        <f t="shared" si="15"/>
        <v>26</v>
      </c>
      <c r="E178" s="4" t="str">
        <f t="shared" si="16"/>
        <v>2018-06-26</v>
      </c>
      <c r="F178" s="90">
        <v>26</v>
      </c>
      <c r="Q178" s="3" t="str">
        <f t="shared" si="12"/>
        <v>2018</v>
      </c>
      <c r="R178" s="3" t="str">
        <f t="shared" si="13"/>
        <v>0626</v>
      </c>
      <c r="S178" s="3" t="str">
        <f t="shared" si="17"/>
        <v>06</v>
      </c>
      <c r="T178" s="3" t="str">
        <f t="shared" si="14"/>
        <v>26</v>
      </c>
      <c r="U178" s="5" t="s">
        <v>40</v>
      </c>
    </row>
    <row r="179" spans="1:21">
      <c r="A179" s="3">
        <v>20180627</v>
      </c>
      <c r="B179" s="3">
        <v>201826</v>
      </c>
      <c r="C179" s="3">
        <f t="shared" si="15"/>
        <v>26</v>
      </c>
      <c r="E179" s="4" t="str">
        <f t="shared" si="16"/>
        <v>2018-06-27</v>
      </c>
      <c r="F179" s="90">
        <v>26</v>
      </c>
      <c r="Q179" s="3" t="str">
        <f t="shared" si="12"/>
        <v>2018</v>
      </c>
      <c r="R179" s="3" t="str">
        <f t="shared" si="13"/>
        <v>0627</v>
      </c>
      <c r="S179" s="3" t="str">
        <f t="shared" si="17"/>
        <v>06</v>
      </c>
      <c r="T179" s="3" t="str">
        <f t="shared" si="14"/>
        <v>27</v>
      </c>
      <c r="U179" s="5" t="s">
        <v>40</v>
      </c>
    </row>
    <row r="180" spans="1:21">
      <c r="A180" s="3">
        <v>20180628</v>
      </c>
      <c r="B180" s="3">
        <v>201826</v>
      </c>
      <c r="C180" s="3">
        <f t="shared" si="15"/>
        <v>26</v>
      </c>
      <c r="E180" s="4" t="str">
        <f t="shared" si="16"/>
        <v>2018-06-28</v>
      </c>
      <c r="F180" s="90">
        <v>26</v>
      </c>
      <c r="Q180" s="3" t="str">
        <f t="shared" si="12"/>
        <v>2018</v>
      </c>
      <c r="R180" s="3" t="str">
        <f t="shared" si="13"/>
        <v>0628</v>
      </c>
      <c r="S180" s="3" t="str">
        <f t="shared" si="17"/>
        <v>06</v>
      </c>
      <c r="T180" s="3" t="str">
        <f t="shared" si="14"/>
        <v>28</v>
      </c>
      <c r="U180" s="5" t="s">
        <v>40</v>
      </c>
    </row>
    <row r="181" spans="1:21">
      <c r="A181" s="3">
        <v>20180629</v>
      </c>
      <c r="B181" s="3">
        <v>201826</v>
      </c>
      <c r="C181" s="3">
        <f t="shared" si="15"/>
        <v>26</v>
      </c>
      <c r="E181" s="4" t="str">
        <f t="shared" si="16"/>
        <v>2018-06-29</v>
      </c>
      <c r="F181" s="90">
        <v>26</v>
      </c>
      <c r="Q181" s="3" t="str">
        <f t="shared" si="12"/>
        <v>2018</v>
      </c>
      <c r="R181" s="3" t="str">
        <f t="shared" si="13"/>
        <v>0629</v>
      </c>
      <c r="S181" s="3" t="str">
        <f t="shared" si="17"/>
        <v>06</v>
      </c>
      <c r="T181" s="3" t="str">
        <f t="shared" si="14"/>
        <v>29</v>
      </c>
      <c r="U181" s="5" t="s">
        <v>40</v>
      </c>
    </row>
    <row r="182" spans="1:21">
      <c r="A182" s="3">
        <v>20180630</v>
      </c>
      <c r="B182" s="3">
        <v>201827</v>
      </c>
      <c r="C182" s="3">
        <f t="shared" si="15"/>
        <v>27</v>
      </c>
      <c r="E182" s="4" t="str">
        <f t="shared" si="16"/>
        <v>2018-06-30</v>
      </c>
      <c r="F182" s="90">
        <v>27</v>
      </c>
      <c r="Q182" s="3" t="str">
        <f t="shared" si="12"/>
        <v>2018</v>
      </c>
      <c r="R182" s="3" t="str">
        <f t="shared" si="13"/>
        <v>0630</v>
      </c>
      <c r="S182" s="3" t="str">
        <f t="shared" si="17"/>
        <v>06</v>
      </c>
      <c r="T182" s="3" t="str">
        <f t="shared" si="14"/>
        <v>30</v>
      </c>
      <c r="U182" s="5" t="s">
        <v>40</v>
      </c>
    </row>
    <row r="183" spans="1:21">
      <c r="A183" s="3">
        <v>20180701</v>
      </c>
      <c r="B183" s="3">
        <v>201827</v>
      </c>
      <c r="C183" s="3">
        <f t="shared" si="15"/>
        <v>27</v>
      </c>
      <c r="E183" s="4" t="str">
        <f t="shared" si="16"/>
        <v>2018-07-01</v>
      </c>
      <c r="F183" s="90">
        <v>27</v>
      </c>
      <c r="Q183" s="3" t="str">
        <f t="shared" si="12"/>
        <v>2018</v>
      </c>
      <c r="R183" s="3" t="str">
        <f t="shared" si="13"/>
        <v>0701</v>
      </c>
      <c r="S183" s="3" t="str">
        <f t="shared" si="17"/>
        <v>07</v>
      </c>
      <c r="T183" s="3" t="str">
        <f t="shared" si="14"/>
        <v>01</v>
      </c>
      <c r="U183" s="5" t="s">
        <v>40</v>
      </c>
    </row>
    <row r="184" spans="1:21">
      <c r="A184" s="3">
        <v>20180702</v>
      </c>
      <c r="B184" s="3">
        <v>201827</v>
      </c>
      <c r="C184" s="3">
        <f t="shared" si="15"/>
        <v>27</v>
      </c>
      <c r="E184" s="4" t="str">
        <f t="shared" si="16"/>
        <v>2018-07-02</v>
      </c>
      <c r="F184" s="90">
        <v>27</v>
      </c>
      <c r="Q184" s="3" t="str">
        <f t="shared" si="12"/>
        <v>2018</v>
      </c>
      <c r="R184" s="3" t="str">
        <f t="shared" si="13"/>
        <v>0702</v>
      </c>
      <c r="S184" s="3" t="str">
        <f t="shared" si="17"/>
        <v>07</v>
      </c>
      <c r="T184" s="3" t="str">
        <f t="shared" si="14"/>
        <v>02</v>
      </c>
      <c r="U184" s="5" t="s">
        <v>40</v>
      </c>
    </row>
    <row r="185" spans="1:21">
      <c r="A185" s="3">
        <v>20180703</v>
      </c>
      <c r="B185" s="3">
        <v>201827</v>
      </c>
      <c r="C185" s="3">
        <f t="shared" si="15"/>
        <v>27</v>
      </c>
      <c r="E185" s="4" t="str">
        <f t="shared" si="16"/>
        <v>2018-07-03</v>
      </c>
      <c r="F185" s="90">
        <v>27</v>
      </c>
      <c r="Q185" s="3" t="str">
        <f t="shared" si="12"/>
        <v>2018</v>
      </c>
      <c r="R185" s="3" t="str">
        <f t="shared" si="13"/>
        <v>0703</v>
      </c>
      <c r="S185" s="3" t="str">
        <f t="shared" si="17"/>
        <v>07</v>
      </c>
      <c r="T185" s="3" t="str">
        <f t="shared" si="14"/>
        <v>03</v>
      </c>
      <c r="U185" s="5" t="s">
        <v>40</v>
      </c>
    </row>
    <row r="186" spans="1:21">
      <c r="A186" s="3">
        <v>20180704</v>
      </c>
      <c r="B186" s="3">
        <v>201827</v>
      </c>
      <c r="C186" s="3">
        <f t="shared" si="15"/>
        <v>27</v>
      </c>
      <c r="E186" s="4" t="str">
        <f t="shared" si="16"/>
        <v>2018-07-04</v>
      </c>
      <c r="F186" s="90">
        <v>27</v>
      </c>
      <c r="Q186" s="3" t="str">
        <f t="shared" si="12"/>
        <v>2018</v>
      </c>
      <c r="R186" s="3" t="str">
        <f t="shared" si="13"/>
        <v>0704</v>
      </c>
      <c r="S186" s="3" t="str">
        <f t="shared" si="17"/>
        <v>07</v>
      </c>
      <c r="T186" s="3" t="str">
        <f t="shared" si="14"/>
        <v>04</v>
      </c>
      <c r="U186" s="5" t="s">
        <v>40</v>
      </c>
    </row>
    <row r="187" spans="1:21">
      <c r="A187" s="3">
        <v>20180705</v>
      </c>
      <c r="B187" s="3">
        <v>201827</v>
      </c>
      <c r="C187" s="3">
        <f t="shared" si="15"/>
        <v>27</v>
      </c>
      <c r="E187" s="4" t="str">
        <f t="shared" si="16"/>
        <v>2018-07-05</v>
      </c>
      <c r="F187" s="90">
        <v>27</v>
      </c>
      <c r="Q187" s="3" t="str">
        <f t="shared" si="12"/>
        <v>2018</v>
      </c>
      <c r="R187" s="3" t="str">
        <f t="shared" si="13"/>
        <v>0705</v>
      </c>
      <c r="S187" s="3" t="str">
        <f t="shared" si="17"/>
        <v>07</v>
      </c>
      <c r="T187" s="3" t="str">
        <f t="shared" si="14"/>
        <v>05</v>
      </c>
      <c r="U187" s="5" t="s">
        <v>40</v>
      </c>
    </row>
    <row r="188" spans="1:21">
      <c r="A188" s="3">
        <v>20180706</v>
      </c>
      <c r="B188" s="3">
        <v>201827</v>
      </c>
      <c r="C188" s="3">
        <f t="shared" si="15"/>
        <v>27</v>
      </c>
      <c r="E188" s="4" t="str">
        <f t="shared" si="16"/>
        <v>2018-07-06</v>
      </c>
      <c r="F188" s="90">
        <v>27</v>
      </c>
      <c r="Q188" s="3" t="str">
        <f t="shared" si="12"/>
        <v>2018</v>
      </c>
      <c r="R188" s="3" t="str">
        <f t="shared" si="13"/>
        <v>0706</v>
      </c>
      <c r="S188" s="3" t="str">
        <f t="shared" si="17"/>
        <v>07</v>
      </c>
      <c r="T188" s="3" t="str">
        <f t="shared" si="14"/>
        <v>06</v>
      </c>
      <c r="U188" s="5" t="s">
        <v>40</v>
      </c>
    </row>
    <row r="189" spans="1:21">
      <c r="A189" s="3">
        <v>20180707</v>
      </c>
      <c r="B189" s="3">
        <v>201828</v>
      </c>
      <c r="C189" s="3">
        <f t="shared" si="15"/>
        <v>28</v>
      </c>
      <c r="E189" s="4" t="str">
        <f t="shared" si="16"/>
        <v>2018-07-07</v>
      </c>
      <c r="F189" s="90">
        <v>28</v>
      </c>
      <c r="Q189" s="3" t="str">
        <f t="shared" si="12"/>
        <v>2018</v>
      </c>
      <c r="R189" s="3" t="str">
        <f t="shared" si="13"/>
        <v>0707</v>
      </c>
      <c r="S189" s="3" t="str">
        <f t="shared" si="17"/>
        <v>07</v>
      </c>
      <c r="T189" s="3" t="str">
        <f t="shared" si="14"/>
        <v>07</v>
      </c>
      <c r="U189" s="5" t="s">
        <v>40</v>
      </c>
    </row>
    <row r="190" spans="1:21">
      <c r="A190" s="3">
        <v>20180708</v>
      </c>
      <c r="B190" s="3">
        <v>201828</v>
      </c>
      <c r="C190" s="3">
        <f t="shared" si="15"/>
        <v>28</v>
      </c>
      <c r="E190" s="4" t="str">
        <f t="shared" si="16"/>
        <v>2018-07-08</v>
      </c>
      <c r="F190" s="90">
        <v>28</v>
      </c>
      <c r="Q190" s="3" t="str">
        <f t="shared" si="12"/>
        <v>2018</v>
      </c>
      <c r="R190" s="3" t="str">
        <f t="shared" si="13"/>
        <v>0708</v>
      </c>
      <c r="S190" s="3" t="str">
        <f t="shared" si="17"/>
        <v>07</v>
      </c>
      <c r="T190" s="3" t="str">
        <f t="shared" si="14"/>
        <v>08</v>
      </c>
      <c r="U190" s="5" t="s">
        <v>40</v>
      </c>
    </row>
    <row r="191" spans="1:21">
      <c r="A191" s="3">
        <v>20180709</v>
      </c>
      <c r="B191" s="3">
        <v>201828</v>
      </c>
      <c r="C191" s="3">
        <f t="shared" si="15"/>
        <v>28</v>
      </c>
      <c r="E191" s="4" t="str">
        <f t="shared" si="16"/>
        <v>2018-07-09</v>
      </c>
      <c r="F191" s="90">
        <v>28</v>
      </c>
      <c r="Q191" s="3" t="str">
        <f t="shared" si="12"/>
        <v>2018</v>
      </c>
      <c r="R191" s="3" t="str">
        <f t="shared" si="13"/>
        <v>0709</v>
      </c>
      <c r="S191" s="3" t="str">
        <f t="shared" si="17"/>
        <v>07</v>
      </c>
      <c r="T191" s="3" t="str">
        <f t="shared" si="14"/>
        <v>09</v>
      </c>
      <c r="U191" s="5" t="s">
        <v>40</v>
      </c>
    </row>
    <row r="192" spans="1:21">
      <c r="A192" s="3">
        <v>20180710</v>
      </c>
      <c r="B192" s="3">
        <v>201828</v>
      </c>
      <c r="C192" s="3">
        <f t="shared" si="15"/>
        <v>28</v>
      </c>
      <c r="E192" s="4" t="str">
        <f t="shared" si="16"/>
        <v>2018-07-10</v>
      </c>
      <c r="F192" s="90">
        <v>28</v>
      </c>
      <c r="Q192" s="3" t="str">
        <f t="shared" si="12"/>
        <v>2018</v>
      </c>
      <c r="R192" s="3" t="str">
        <f t="shared" si="13"/>
        <v>0710</v>
      </c>
      <c r="S192" s="3" t="str">
        <f t="shared" si="17"/>
        <v>07</v>
      </c>
      <c r="T192" s="3" t="str">
        <f t="shared" si="14"/>
        <v>10</v>
      </c>
      <c r="U192" s="5" t="s">
        <v>40</v>
      </c>
    </row>
    <row r="193" spans="1:21">
      <c r="A193" s="3">
        <v>20180711</v>
      </c>
      <c r="B193" s="3">
        <v>201828</v>
      </c>
      <c r="C193" s="3">
        <f t="shared" si="15"/>
        <v>28</v>
      </c>
      <c r="E193" s="4" t="str">
        <f t="shared" si="16"/>
        <v>2018-07-11</v>
      </c>
      <c r="F193" s="90">
        <v>28</v>
      </c>
      <c r="Q193" s="3" t="str">
        <f t="shared" si="12"/>
        <v>2018</v>
      </c>
      <c r="R193" s="3" t="str">
        <f t="shared" si="13"/>
        <v>0711</v>
      </c>
      <c r="S193" s="3" t="str">
        <f t="shared" si="17"/>
        <v>07</v>
      </c>
      <c r="T193" s="3" t="str">
        <f t="shared" si="14"/>
        <v>11</v>
      </c>
      <c r="U193" s="5" t="s">
        <v>40</v>
      </c>
    </row>
    <row r="194" spans="1:21">
      <c r="A194" s="3">
        <v>20180712</v>
      </c>
      <c r="B194" s="3">
        <v>201828</v>
      </c>
      <c r="C194" s="3">
        <f t="shared" si="15"/>
        <v>28</v>
      </c>
      <c r="E194" s="4" t="str">
        <f t="shared" si="16"/>
        <v>2018-07-12</v>
      </c>
      <c r="F194" s="90">
        <v>28</v>
      </c>
      <c r="Q194" s="3" t="str">
        <f t="shared" ref="Q194:Q257" si="18">LEFT(A194,4)</f>
        <v>2018</v>
      </c>
      <c r="R194" s="3" t="str">
        <f t="shared" ref="R194:R257" si="19">RIGHT(A194,4)</f>
        <v>0712</v>
      </c>
      <c r="S194" s="3" t="str">
        <f t="shared" si="17"/>
        <v>07</v>
      </c>
      <c r="T194" s="3" t="str">
        <f t="shared" ref="T194:T257" si="20">RIGHT(A194,2)</f>
        <v>12</v>
      </c>
      <c r="U194" s="5" t="s">
        <v>40</v>
      </c>
    </row>
    <row r="195" spans="1:21">
      <c r="A195" s="3">
        <v>20180713</v>
      </c>
      <c r="B195" s="3">
        <v>201828</v>
      </c>
      <c r="C195" s="3">
        <f t="shared" ref="C195:C258" si="21">B195-201800</f>
        <v>28</v>
      </c>
      <c r="E195" s="4" t="str">
        <f t="shared" ref="E195:E258" si="22">Q195&amp;U195&amp;S195&amp;U195&amp;T195</f>
        <v>2018-07-13</v>
      </c>
      <c r="F195" s="90">
        <v>28</v>
      </c>
      <c r="Q195" s="3" t="str">
        <f t="shared" si="18"/>
        <v>2018</v>
      </c>
      <c r="R195" s="3" t="str">
        <f t="shared" si="19"/>
        <v>0713</v>
      </c>
      <c r="S195" s="3" t="str">
        <f t="shared" ref="S195:S258" si="23">LEFT(R195,2)</f>
        <v>07</v>
      </c>
      <c r="T195" s="3" t="str">
        <f t="shared" si="20"/>
        <v>13</v>
      </c>
      <c r="U195" s="5" t="s">
        <v>40</v>
      </c>
    </row>
    <row r="196" spans="1:21">
      <c r="A196" s="3">
        <v>20180714</v>
      </c>
      <c r="B196" s="3">
        <v>201829</v>
      </c>
      <c r="C196" s="3">
        <f t="shared" si="21"/>
        <v>29</v>
      </c>
      <c r="E196" s="4" t="str">
        <f t="shared" si="22"/>
        <v>2018-07-14</v>
      </c>
      <c r="F196" s="90">
        <v>29</v>
      </c>
      <c r="Q196" s="3" t="str">
        <f t="shared" si="18"/>
        <v>2018</v>
      </c>
      <c r="R196" s="3" t="str">
        <f t="shared" si="19"/>
        <v>0714</v>
      </c>
      <c r="S196" s="3" t="str">
        <f t="shared" si="23"/>
        <v>07</v>
      </c>
      <c r="T196" s="3" t="str">
        <f t="shared" si="20"/>
        <v>14</v>
      </c>
      <c r="U196" s="5" t="s">
        <v>40</v>
      </c>
    </row>
    <row r="197" spans="1:21">
      <c r="A197" s="3">
        <v>20180715</v>
      </c>
      <c r="B197" s="3">
        <v>201829</v>
      </c>
      <c r="C197" s="3">
        <f t="shared" si="21"/>
        <v>29</v>
      </c>
      <c r="E197" s="4" t="str">
        <f t="shared" si="22"/>
        <v>2018-07-15</v>
      </c>
      <c r="F197" s="90">
        <v>29</v>
      </c>
      <c r="Q197" s="3" t="str">
        <f t="shared" si="18"/>
        <v>2018</v>
      </c>
      <c r="R197" s="3" t="str">
        <f t="shared" si="19"/>
        <v>0715</v>
      </c>
      <c r="S197" s="3" t="str">
        <f t="shared" si="23"/>
        <v>07</v>
      </c>
      <c r="T197" s="3" t="str">
        <f t="shared" si="20"/>
        <v>15</v>
      </c>
      <c r="U197" s="5" t="s">
        <v>40</v>
      </c>
    </row>
    <row r="198" spans="1:21">
      <c r="A198" s="3">
        <v>20180716</v>
      </c>
      <c r="B198" s="3">
        <v>201829</v>
      </c>
      <c r="C198" s="3">
        <f t="shared" si="21"/>
        <v>29</v>
      </c>
      <c r="E198" s="4" t="str">
        <f t="shared" si="22"/>
        <v>2018-07-16</v>
      </c>
      <c r="F198" s="90">
        <v>29</v>
      </c>
      <c r="Q198" s="3" t="str">
        <f t="shared" si="18"/>
        <v>2018</v>
      </c>
      <c r="R198" s="3" t="str">
        <f t="shared" si="19"/>
        <v>0716</v>
      </c>
      <c r="S198" s="3" t="str">
        <f t="shared" si="23"/>
        <v>07</v>
      </c>
      <c r="T198" s="3" t="str">
        <f t="shared" si="20"/>
        <v>16</v>
      </c>
      <c r="U198" s="5" t="s">
        <v>40</v>
      </c>
    </row>
    <row r="199" spans="1:21">
      <c r="A199" s="3">
        <v>20180717</v>
      </c>
      <c r="B199" s="3">
        <v>201829</v>
      </c>
      <c r="C199" s="3">
        <f t="shared" si="21"/>
        <v>29</v>
      </c>
      <c r="E199" s="4" t="str">
        <f t="shared" si="22"/>
        <v>2018-07-17</v>
      </c>
      <c r="F199" s="90">
        <v>29</v>
      </c>
      <c r="Q199" s="3" t="str">
        <f t="shared" si="18"/>
        <v>2018</v>
      </c>
      <c r="R199" s="3" t="str">
        <f t="shared" si="19"/>
        <v>0717</v>
      </c>
      <c r="S199" s="3" t="str">
        <f t="shared" si="23"/>
        <v>07</v>
      </c>
      <c r="T199" s="3" t="str">
        <f t="shared" si="20"/>
        <v>17</v>
      </c>
      <c r="U199" s="5" t="s">
        <v>40</v>
      </c>
    </row>
    <row r="200" spans="1:21">
      <c r="A200" s="3">
        <v>20180718</v>
      </c>
      <c r="B200" s="3">
        <v>201829</v>
      </c>
      <c r="C200" s="3">
        <f t="shared" si="21"/>
        <v>29</v>
      </c>
      <c r="E200" s="4" t="str">
        <f t="shared" si="22"/>
        <v>2018-07-18</v>
      </c>
      <c r="F200" s="90">
        <v>29</v>
      </c>
      <c r="Q200" s="3" t="str">
        <f t="shared" si="18"/>
        <v>2018</v>
      </c>
      <c r="R200" s="3" t="str">
        <f t="shared" si="19"/>
        <v>0718</v>
      </c>
      <c r="S200" s="3" t="str">
        <f t="shared" si="23"/>
        <v>07</v>
      </c>
      <c r="T200" s="3" t="str">
        <f t="shared" si="20"/>
        <v>18</v>
      </c>
      <c r="U200" s="5" t="s">
        <v>40</v>
      </c>
    </row>
    <row r="201" spans="1:21">
      <c r="A201" s="3">
        <v>20180719</v>
      </c>
      <c r="B201" s="3">
        <v>201829</v>
      </c>
      <c r="C201" s="3">
        <f t="shared" si="21"/>
        <v>29</v>
      </c>
      <c r="E201" s="4" t="str">
        <f t="shared" si="22"/>
        <v>2018-07-19</v>
      </c>
      <c r="F201" s="90">
        <v>29</v>
      </c>
      <c r="Q201" s="3" t="str">
        <f t="shared" si="18"/>
        <v>2018</v>
      </c>
      <c r="R201" s="3" t="str">
        <f t="shared" si="19"/>
        <v>0719</v>
      </c>
      <c r="S201" s="3" t="str">
        <f t="shared" si="23"/>
        <v>07</v>
      </c>
      <c r="T201" s="3" t="str">
        <f t="shared" si="20"/>
        <v>19</v>
      </c>
      <c r="U201" s="5" t="s">
        <v>40</v>
      </c>
    </row>
    <row r="202" spans="1:21">
      <c r="A202" s="3">
        <v>20180720</v>
      </c>
      <c r="B202" s="3">
        <v>201829</v>
      </c>
      <c r="C202" s="3">
        <f t="shared" si="21"/>
        <v>29</v>
      </c>
      <c r="E202" s="4" t="str">
        <f t="shared" si="22"/>
        <v>2018-07-20</v>
      </c>
      <c r="F202" s="90">
        <v>29</v>
      </c>
      <c r="Q202" s="3" t="str">
        <f t="shared" si="18"/>
        <v>2018</v>
      </c>
      <c r="R202" s="3" t="str">
        <f t="shared" si="19"/>
        <v>0720</v>
      </c>
      <c r="S202" s="3" t="str">
        <f t="shared" si="23"/>
        <v>07</v>
      </c>
      <c r="T202" s="3" t="str">
        <f t="shared" si="20"/>
        <v>20</v>
      </c>
      <c r="U202" s="5" t="s">
        <v>40</v>
      </c>
    </row>
    <row r="203" spans="1:21">
      <c r="A203" s="3">
        <v>20180721</v>
      </c>
      <c r="B203" s="3">
        <v>201830</v>
      </c>
      <c r="C203" s="3">
        <f t="shared" si="21"/>
        <v>30</v>
      </c>
      <c r="E203" s="4" t="str">
        <f t="shared" si="22"/>
        <v>2018-07-21</v>
      </c>
      <c r="F203" s="90">
        <v>30</v>
      </c>
      <c r="Q203" s="3" t="str">
        <f t="shared" si="18"/>
        <v>2018</v>
      </c>
      <c r="R203" s="3" t="str">
        <f t="shared" si="19"/>
        <v>0721</v>
      </c>
      <c r="S203" s="3" t="str">
        <f t="shared" si="23"/>
        <v>07</v>
      </c>
      <c r="T203" s="3" t="str">
        <f t="shared" si="20"/>
        <v>21</v>
      </c>
      <c r="U203" s="5" t="s">
        <v>40</v>
      </c>
    </row>
    <row r="204" spans="1:21">
      <c r="A204" s="3">
        <v>20180722</v>
      </c>
      <c r="B204" s="3">
        <v>201830</v>
      </c>
      <c r="C204" s="3">
        <f t="shared" si="21"/>
        <v>30</v>
      </c>
      <c r="E204" s="4" t="str">
        <f t="shared" si="22"/>
        <v>2018-07-22</v>
      </c>
      <c r="F204" s="90">
        <v>30</v>
      </c>
      <c r="Q204" s="3" t="str">
        <f t="shared" si="18"/>
        <v>2018</v>
      </c>
      <c r="R204" s="3" t="str">
        <f t="shared" si="19"/>
        <v>0722</v>
      </c>
      <c r="S204" s="3" t="str">
        <f t="shared" si="23"/>
        <v>07</v>
      </c>
      <c r="T204" s="3" t="str">
        <f t="shared" si="20"/>
        <v>22</v>
      </c>
      <c r="U204" s="5" t="s">
        <v>40</v>
      </c>
    </row>
    <row r="205" spans="1:21">
      <c r="A205" s="3">
        <v>20180723</v>
      </c>
      <c r="B205" s="3">
        <v>201830</v>
      </c>
      <c r="C205" s="3">
        <f t="shared" si="21"/>
        <v>30</v>
      </c>
      <c r="E205" s="4" t="str">
        <f t="shared" si="22"/>
        <v>2018-07-23</v>
      </c>
      <c r="F205" s="90">
        <v>30</v>
      </c>
      <c r="Q205" s="3" t="str">
        <f t="shared" si="18"/>
        <v>2018</v>
      </c>
      <c r="R205" s="3" t="str">
        <f t="shared" si="19"/>
        <v>0723</v>
      </c>
      <c r="S205" s="3" t="str">
        <f t="shared" si="23"/>
        <v>07</v>
      </c>
      <c r="T205" s="3" t="str">
        <f t="shared" si="20"/>
        <v>23</v>
      </c>
      <c r="U205" s="5" t="s">
        <v>40</v>
      </c>
    </row>
    <row r="206" spans="1:21">
      <c r="A206" s="3">
        <v>20180724</v>
      </c>
      <c r="B206" s="3">
        <v>201830</v>
      </c>
      <c r="C206" s="3">
        <f t="shared" si="21"/>
        <v>30</v>
      </c>
      <c r="E206" s="4" t="str">
        <f t="shared" si="22"/>
        <v>2018-07-24</v>
      </c>
      <c r="F206" s="90">
        <v>30</v>
      </c>
      <c r="Q206" s="3" t="str">
        <f t="shared" si="18"/>
        <v>2018</v>
      </c>
      <c r="R206" s="3" t="str">
        <f t="shared" si="19"/>
        <v>0724</v>
      </c>
      <c r="S206" s="3" t="str">
        <f t="shared" si="23"/>
        <v>07</v>
      </c>
      <c r="T206" s="3" t="str">
        <f t="shared" si="20"/>
        <v>24</v>
      </c>
      <c r="U206" s="5" t="s">
        <v>40</v>
      </c>
    </row>
    <row r="207" spans="1:21">
      <c r="A207" s="3">
        <v>20180725</v>
      </c>
      <c r="B207" s="3">
        <v>201830</v>
      </c>
      <c r="C207" s="3">
        <f t="shared" si="21"/>
        <v>30</v>
      </c>
      <c r="E207" s="4" t="str">
        <f t="shared" si="22"/>
        <v>2018-07-25</v>
      </c>
      <c r="F207" s="90">
        <v>30</v>
      </c>
      <c r="Q207" s="3" t="str">
        <f t="shared" si="18"/>
        <v>2018</v>
      </c>
      <c r="R207" s="3" t="str">
        <f t="shared" si="19"/>
        <v>0725</v>
      </c>
      <c r="S207" s="3" t="str">
        <f t="shared" si="23"/>
        <v>07</v>
      </c>
      <c r="T207" s="3" t="str">
        <f t="shared" si="20"/>
        <v>25</v>
      </c>
      <c r="U207" s="5" t="s">
        <v>40</v>
      </c>
    </row>
    <row r="208" spans="1:21">
      <c r="A208" s="3">
        <v>20180726</v>
      </c>
      <c r="B208" s="3">
        <v>201830</v>
      </c>
      <c r="C208" s="3">
        <f t="shared" si="21"/>
        <v>30</v>
      </c>
      <c r="E208" s="4" t="str">
        <f t="shared" si="22"/>
        <v>2018-07-26</v>
      </c>
      <c r="F208" s="90">
        <v>30</v>
      </c>
      <c r="Q208" s="3" t="str">
        <f t="shared" si="18"/>
        <v>2018</v>
      </c>
      <c r="R208" s="3" t="str">
        <f t="shared" si="19"/>
        <v>0726</v>
      </c>
      <c r="S208" s="3" t="str">
        <f t="shared" si="23"/>
        <v>07</v>
      </c>
      <c r="T208" s="3" t="str">
        <f t="shared" si="20"/>
        <v>26</v>
      </c>
      <c r="U208" s="5" t="s">
        <v>40</v>
      </c>
    </row>
    <row r="209" spans="1:21">
      <c r="A209" s="3">
        <v>20180727</v>
      </c>
      <c r="B209" s="3">
        <v>201830</v>
      </c>
      <c r="C209" s="3">
        <f t="shared" si="21"/>
        <v>30</v>
      </c>
      <c r="E209" s="4" t="str">
        <f t="shared" si="22"/>
        <v>2018-07-27</v>
      </c>
      <c r="F209" s="90">
        <v>30</v>
      </c>
      <c r="Q209" s="3" t="str">
        <f t="shared" si="18"/>
        <v>2018</v>
      </c>
      <c r="R209" s="3" t="str">
        <f t="shared" si="19"/>
        <v>0727</v>
      </c>
      <c r="S209" s="3" t="str">
        <f t="shared" si="23"/>
        <v>07</v>
      </c>
      <c r="T209" s="3" t="str">
        <f t="shared" si="20"/>
        <v>27</v>
      </c>
      <c r="U209" s="5" t="s">
        <v>40</v>
      </c>
    </row>
    <row r="210" spans="1:21">
      <c r="A210" s="3">
        <v>20180728</v>
      </c>
      <c r="B210" s="3">
        <v>201831</v>
      </c>
      <c r="C210" s="3">
        <f t="shared" si="21"/>
        <v>31</v>
      </c>
      <c r="E210" s="4" t="str">
        <f t="shared" si="22"/>
        <v>2018-07-28</v>
      </c>
      <c r="F210" s="90">
        <v>31</v>
      </c>
      <c r="Q210" s="3" t="str">
        <f t="shared" si="18"/>
        <v>2018</v>
      </c>
      <c r="R210" s="3" t="str">
        <f t="shared" si="19"/>
        <v>0728</v>
      </c>
      <c r="S210" s="3" t="str">
        <f t="shared" si="23"/>
        <v>07</v>
      </c>
      <c r="T210" s="3" t="str">
        <f t="shared" si="20"/>
        <v>28</v>
      </c>
      <c r="U210" s="5" t="s">
        <v>40</v>
      </c>
    </row>
    <row r="211" spans="1:21">
      <c r="A211" s="3">
        <v>20180729</v>
      </c>
      <c r="B211" s="3">
        <v>201831</v>
      </c>
      <c r="C211" s="3">
        <f t="shared" si="21"/>
        <v>31</v>
      </c>
      <c r="E211" s="4" t="str">
        <f t="shared" si="22"/>
        <v>2018-07-29</v>
      </c>
      <c r="F211" s="90">
        <v>31</v>
      </c>
      <c r="Q211" s="3" t="str">
        <f t="shared" si="18"/>
        <v>2018</v>
      </c>
      <c r="R211" s="3" t="str">
        <f t="shared" si="19"/>
        <v>0729</v>
      </c>
      <c r="S211" s="3" t="str">
        <f t="shared" si="23"/>
        <v>07</v>
      </c>
      <c r="T211" s="3" t="str">
        <f t="shared" si="20"/>
        <v>29</v>
      </c>
      <c r="U211" s="5" t="s">
        <v>40</v>
      </c>
    </row>
    <row r="212" spans="1:21">
      <c r="A212" s="3">
        <v>20180730</v>
      </c>
      <c r="B212" s="3">
        <v>201831</v>
      </c>
      <c r="C212" s="3">
        <f t="shared" si="21"/>
        <v>31</v>
      </c>
      <c r="E212" s="4" t="str">
        <f t="shared" si="22"/>
        <v>2018-07-30</v>
      </c>
      <c r="F212" s="90">
        <v>31</v>
      </c>
      <c r="Q212" s="3" t="str">
        <f t="shared" si="18"/>
        <v>2018</v>
      </c>
      <c r="R212" s="3" t="str">
        <f t="shared" si="19"/>
        <v>0730</v>
      </c>
      <c r="S212" s="3" t="str">
        <f t="shared" si="23"/>
        <v>07</v>
      </c>
      <c r="T212" s="3" t="str">
        <f t="shared" si="20"/>
        <v>30</v>
      </c>
      <c r="U212" s="5" t="s">
        <v>40</v>
      </c>
    </row>
    <row r="213" spans="1:21">
      <c r="A213" s="3">
        <v>20180731</v>
      </c>
      <c r="B213" s="3">
        <v>201831</v>
      </c>
      <c r="C213" s="3">
        <f t="shared" si="21"/>
        <v>31</v>
      </c>
      <c r="E213" s="4" t="str">
        <f t="shared" si="22"/>
        <v>2018-07-31</v>
      </c>
      <c r="F213" s="90">
        <v>31</v>
      </c>
      <c r="Q213" s="3" t="str">
        <f t="shared" si="18"/>
        <v>2018</v>
      </c>
      <c r="R213" s="3" t="str">
        <f t="shared" si="19"/>
        <v>0731</v>
      </c>
      <c r="S213" s="3" t="str">
        <f t="shared" si="23"/>
        <v>07</v>
      </c>
      <c r="T213" s="3" t="str">
        <f t="shared" si="20"/>
        <v>31</v>
      </c>
      <c r="U213" s="5" t="s">
        <v>40</v>
      </c>
    </row>
    <row r="214" spans="1:21">
      <c r="A214" s="3">
        <v>20180801</v>
      </c>
      <c r="B214" s="3">
        <v>201831</v>
      </c>
      <c r="C214" s="3">
        <f t="shared" si="21"/>
        <v>31</v>
      </c>
      <c r="E214" s="4" t="str">
        <f t="shared" si="22"/>
        <v>2018-08-01</v>
      </c>
      <c r="F214" s="90">
        <v>31</v>
      </c>
      <c r="Q214" s="3" t="str">
        <f t="shared" si="18"/>
        <v>2018</v>
      </c>
      <c r="R214" s="3" t="str">
        <f t="shared" si="19"/>
        <v>0801</v>
      </c>
      <c r="S214" s="3" t="str">
        <f t="shared" si="23"/>
        <v>08</v>
      </c>
      <c r="T214" s="3" t="str">
        <f t="shared" si="20"/>
        <v>01</v>
      </c>
      <c r="U214" s="5" t="s">
        <v>40</v>
      </c>
    </row>
    <row r="215" spans="1:21">
      <c r="A215" s="3">
        <v>20180802</v>
      </c>
      <c r="B215" s="3">
        <v>201831</v>
      </c>
      <c r="C215" s="3">
        <f t="shared" si="21"/>
        <v>31</v>
      </c>
      <c r="E215" s="4" t="str">
        <f t="shared" si="22"/>
        <v>2018-08-02</v>
      </c>
      <c r="F215" s="90">
        <v>31</v>
      </c>
      <c r="Q215" s="3" t="str">
        <f t="shared" si="18"/>
        <v>2018</v>
      </c>
      <c r="R215" s="3" t="str">
        <f t="shared" si="19"/>
        <v>0802</v>
      </c>
      <c r="S215" s="3" t="str">
        <f t="shared" si="23"/>
        <v>08</v>
      </c>
      <c r="T215" s="3" t="str">
        <f t="shared" si="20"/>
        <v>02</v>
      </c>
      <c r="U215" s="5" t="s">
        <v>40</v>
      </c>
    </row>
    <row r="216" spans="1:21">
      <c r="A216" s="3">
        <v>20180803</v>
      </c>
      <c r="B216" s="3">
        <v>201831</v>
      </c>
      <c r="C216" s="3">
        <f t="shared" si="21"/>
        <v>31</v>
      </c>
      <c r="E216" s="4" t="str">
        <f t="shared" si="22"/>
        <v>2018-08-03</v>
      </c>
      <c r="F216" s="90">
        <v>31</v>
      </c>
      <c r="Q216" s="3" t="str">
        <f t="shared" si="18"/>
        <v>2018</v>
      </c>
      <c r="R216" s="3" t="str">
        <f t="shared" si="19"/>
        <v>0803</v>
      </c>
      <c r="S216" s="3" t="str">
        <f t="shared" si="23"/>
        <v>08</v>
      </c>
      <c r="T216" s="3" t="str">
        <f t="shared" si="20"/>
        <v>03</v>
      </c>
      <c r="U216" s="5" t="s">
        <v>40</v>
      </c>
    </row>
    <row r="217" spans="1:21">
      <c r="A217" s="3">
        <v>20180804</v>
      </c>
      <c r="B217" s="3">
        <v>201832</v>
      </c>
      <c r="C217" s="3">
        <f t="shared" si="21"/>
        <v>32</v>
      </c>
      <c r="E217" s="4" t="str">
        <f t="shared" si="22"/>
        <v>2018-08-04</v>
      </c>
      <c r="F217" s="90">
        <v>32</v>
      </c>
      <c r="Q217" s="3" t="str">
        <f t="shared" si="18"/>
        <v>2018</v>
      </c>
      <c r="R217" s="3" t="str">
        <f t="shared" si="19"/>
        <v>0804</v>
      </c>
      <c r="S217" s="3" t="str">
        <f t="shared" si="23"/>
        <v>08</v>
      </c>
      <c r="T217" s="3" t="str">
        <f t="shared" si="20"/>
        <v>04</v>
      </c>
      <c r="U217" s="5" t="s">
        <v>40</v>
      </c>
    </row>
    <row r="218" spans="1:21">
      <c r="A218" s="3">
        <v>20180805</v>
      </c>
      <c r="B218" s="3">
        <v>201832</v>
      </c>
      <c r="C218" s="3">
        <f t="shared" si="21"/>
        <v>32</v>
      </c>
      <c r="E218" s="4" t="str">
        <f t="shared" si="22"/>
        <v>2018-08-05</v>
      </c>
      <c r="F218" s="90">
        <v>32</v>
      </c>
      <c r="Q218" s="3" t="str">
        <f t="shared" si="18"/>
        <v>2018</v>
      </c>
      <c r="R218" s="3" t="str">
        <f t="shared" si="19"/>
        <v>0805</v>
      </c>
      <c r="S218" s="3" t="str">
        <f t="shared" si="23"/>
        <v>08</v>
      </c>
      <c r="T218" s="3" t="str">
        <f t="shared" si="20"/>
        <v>05</v>
      </c>
      <c r="U218" s="5" t="s">
        <v>40</v>
      </c>
    </row>
    <row r="219" spans="1:21">
      <c r="A219" s="3">
        <v>20180806</v>
      </c>
      <c r="B219" s="3">
        <v>201832</v>
      </c>
      <c r="C219" s="3">
        <f t="shared" si="21"/>
        <v>32</v>
      </c>
      <c r="E219" s="4" t="str">
        <f t="shared" si="22"/>
        <v>2018-08-06</v>
      </c>
      <c r="F219" s="90">
        <v>32</v>
      </c>
      <c r="Q219" s="3" t="str">
        <f t="shared" si="18"/>
        <v>2018</v>
      </c>
      <c r="R219" s="3" t="str">
        <f t="shared" si="19"/>
        <v>0806</v>
      </c>
      <c r="S219" s="3" t="str">
        <f t="shared" si="23"/>
        <v>08</v>
      </c>
      <c r="T219" s="3" t="str">
        <f t="shared" si="20"/>
        <v>06</v>
      </c>
      <c r="U219" s="5" t="s">
        <v>40</v>
      </c>
    </row>
    <row r="220" spans="1:21">
      <c r="A220" s="3">
        <v>20180807</v>
      </c>
      <c r="B220" s="3">
        <v>201832</v>
      </c>
      <c r="C220" s="3">
        <f t="shared" si="21"/>
        <v>32</v>
      </c>
      <c r="E220" s="4" t="str">
        <f t="shared" si="22"/>
        <v>2018-08-07</v>
      </c>
      <c r="F220" s="90">
        <v>32</v>
      </c>
      <c r="Q220" s="3" t="str">
        <f t="shared" si="18"/>
        <v>2018</v>
      </c>
      <c r="R220" s="3" t="str">
        <f t="shared" si="19"/>
        <v>0807</v>
      </c>
      <c r="S220" s="3" t="str">
        <f t="shared" si="23"/>
        <v>08</v>
      </c>
      <c r="T220" s="3" t="str">
        <f t="shared" si="20"/>
        <v>07</v>
      </c>
      <c r="U220" s="5" t="s">
        <v>40</v>
      </c>
    </row>
    <row r="221" spans="1:21">
      <c r="A221" s="3">
        <v>20180808</v>
      </c>
      <c r="B221" s="3">
        <v>201832</v>
      </c>
      <c r="C221" s="3">
        <f t="shared" si="21"/>
        <v>32</v>
      </c>
      <c r="E221" s="4" t="str">
        <f t="shared" si="22"/>
        <v>2018-08-08</v>
      </c>
      <c r="F221" s="90">
        <v>32</v>
      </c>
      <c r="Q221" s="3" t="str">
        <f t="shared" si="18"/>
        <v>2018</v>
      </c>
      <c r="R221" s="3" t="str">
        <f t="shared" si="19"/>
        <v>0808</v>
      </c>
      <c r="S221" s="3" t="str">
        <f t="shared" si="23"/>
        <v>08</v>
      </c>
      <c r="T221" s="3" t="str">
        <f t="shared" si="20"/>
        <v>08</v>
      </c>
      <c r="U221" s="5" t="s">
        <v>40</v>
      </c>
    </row>
    <row r="222" spans="1:21">
      <c r="A222" s="3">
        <v>20180809</v>
      </c>
      <c r="B222" s="3">
        <v>201832</v>
      </c>
      <c r="C222" s="3">
        <f t="shared" si="21"/>
        <v>32</v>
      </c>
      <c r="E222" s="4" t="str">
        <f t="shared" si="22"/>
        <v>2018-08-09</v>
      </c>
      <c r="F222" s="90">
        <v>32</v>
      </c>
      <c r="Q222" s="3" t="str">
        <f t="shared" si="18"/>
        <v>2018</v>
      </c>
      <c r="R222" s="3" t="str">
        <f t="shared" si="19"/>
        <v>0809</v>
      </c>
      <c r="S222" s="3" t="str">
        <f t="shared" si="23"/>
        <v>08</v>
      </c>
      <c r="T222" s="3" t="str">
        <f t="shared" si="20"/>
        <v>09</v>
      </c>
      <c r="U222" s="5" t="s">
        <v>40</v>
      </c>
    </row>
    <row r="223" spans="1:21">
      <c r="A223" s="3">
        <v>20180810</v>
      </c>
      <c r="B223" s="3">
        <v>201832</v>
      </c>
      <c r="C223" s="3">
        <f t="shared" si="21"/>
        <v>32</v>
      </c>
      <c r="E223" s="4" t="str">
        <f t="shared" si="22"/>
        <v>2018-08-10</v>
      </c>
      <c r="F223" s="90">
        <v>32</v>
      </c>
      <c r="Q223" s="3" t="str">
        <f t="shared" si="18"/>
        <v>2018</v>
      </c>
      <c r="R223" s="3" t="str">
        <f t="shared" si="19"/>
        <v>0810</v>
      </c>
      <c r="S223" s="3" t="str">
        <f t="shared" si="23"/>
        <v>08</v>
      </c>
      <c r="T223" s="3" t="str">
        <f t="shared" si="20"/>
        <v>10</v>
      </c>
      <c r="U223" s="5" t="s">
        <v>40</v>
      </c>
    </row>
    <row r="224" spans="1:21">
      <c r="A224" s="3">
        <v>20180811</v>
      </c>
      <c r="B224" s="3">
        <v>201833</v>
      </c>
      <c r="C224" s="3">
        <f t="shared" si="21"/>
        <v>33</v>
      </c>
      <c r="E224" s="4" t="str">
        <f t="shared" si="22"/>
        <v>2018-08-11</v>
      </c>
      <c r="F224" s="90">
        <v>33</v>
      </c>
      <c r="Q224" s="3" t="str">
        <f t="shared" si="18"/>
        <v>2018</v>
      </c>
      <c r="R224" s="3" t="str">
        <f t="shared" si="19"/>
        <v>0811</v>
      </c>
      <c r="S224" s="3" t="str">
        <f t="shared" si="23"/>
        <v>08</v>
      </c>
      <c r="T224" s="3" t="str">
        <f t="shared" si="20"/>
        <v>11</v>
      </c>
      <c r="U224" s="5" t="s">
        <v>40</v>
      </c>
    </row>
    <row r="225" spans="1:21">
      <c r="A225" s="3">
        <v>20180812</v>
      </c>
      <c r="B225" s="3">
        <v>201833</v>
      </c>
      <c r="C225" s="3">
        <f t="shared" si="21"/>
        <v>33</v>
      </c>
      <c r="E225" s="4" t="str">
        <f t="shared" si="22"/>
        <v>2018-08-12</v>
      </c>
      <c r="F225" s="90">
        <v>33</v>
      </c>
      <c r="Q225" s="3" t="str">
        <f t="shared" si="18"/>
        <v>2018</v>
      </c>
      <c r="R225" s="3" t="str">
        <f t="shared" si="19"/>
        <v>0812</v>
      </c>
      <c r="S225" s="3" t="str">
        <f t="shared" si="23"/>
        <v>08</v>
      </c>
      <c r="T225" s="3" t="str">
        <f t="shared" si="20"/>
        <v>12</v>
      </c>
      <c r="U225" s="5" t="s">
        <v>40</v>
      </c>
    </row>
    <row r="226" spans="1:21">
      <c r="A226" s="3">
        <v>20180813</v>
      </c>
      <c r="B226" s="3">
        <v>201833</v>
      </c>
      <c r="C226" s="3">
        <f t="shared" si="21"/>
        <v>33</v>
      </c>
      <c r="E226" s="4" t="str">
        <f t="shared" si="22"/>
        <v>2018-08-13</v>
      </c>
      <c r="F226" s="90">
        <v>33</v>
      </c>
      <c r="Q226" s="3" t="str">
        <f t="shared" si="18"/>
        <v>2018</v>
      </c>
      <c r="R226" s="3" t="str">
        <f t="shared" si="19"/>
        <v>0813</v>
      </c>
      <c r="S226" s="3" t="str">
        <f t="shared" si="23"/>
        <v>08</v>
      </c>
      <c r="T226" s="3" t="str">
        <f t="shared" si="20"/>
        <v>13</v>
      </c>
      <c r="U226" s="5" t="s">
        <v>40</v>
      </c>
    </row>
    <row r="227" spans="1:21">
      <c r="A227" s="3">
        <v>20180814</v>
      </c>
      <c r="B227" s="3">
        <v>201833</v>
      </c>
      <c r="C227" s="3">
        <f t="shared" si="21"/>
        <v>33</v>
      </c>
      <c r="E227" s="4" t="str">
        <f t="shared" si="22"/>
        <v>2018-08-14</v>
      </c>
      <c r="F227" s="90">
        <v>33</v>
      </c>
      <c r="Q227" s="3" t="str">
        <f t="shared" si="18"/>
        <v>2018</v>
      </c>
      <c r="R227" s="3" t="str">
        <f t="shared" si="19"/>
        <v>0814</v>
      </c>
      <c r="S227" s="3" t="str">
        <f t="shared" si="23"/>
        <v>08</v>
      </c>
      <c r="T227" s="3" t="str">
        <f t="shared" si="20"/>
        <v>14</v>
      </c>
      <c r="U227" s="5" t="s">
        <v>40</v>
      </c>
    </row>
    <row r="228" spans="1:21">
      <c r="A228" s="3">
        <v>20180815</v>
      </c>
      <c r="B228" s="3">
        <v>201833</v>
      </c>
      <c r="C228" s="3">
        <f t="shared" si="21"/>
        <v>33</v>
      </c>
      <c r="E228" s="4" t="str">
        <f t="shared" si="22"/>
        <v>2018-08-15</v>
      </c>
      <c r="F228" s="90">
        <v>33</v>
      </c>
      <c r="Q228" s="3" t="str">
        <f t="shared" si="18"/>
        <v>2018</v>
      </c>
      <c r="R228" s="3" t="str">
        <f t="shared" si="19"/>
        <v>0815</v>
      </c>
      <c r="S228" s="3" t="str">
        <f t="shared" si="23"/>
        <v>08</v>
      </c>
      <c r="T228" s="3" t="str">
        <f t="shared" si="20"/>
        <v>15</v>
      </c>
      <c r="U228" s="5" t="s">
        <v>40</v>
      </c>
    </row>
    <row r="229" spans="1:21">
      <c r="A229" s="3">
        <v>20180816</v>
      </c>
      <c r="B229" s="3">
        <v>201833</v>
      </c>
      <c r="C229" s="3">
        <f t="shared" si="21"/>
        <v>33</v>
      </c>
      <c r="E229" s="4" t="str">
        <f t="shared" si="22"/>
        <v>2018-08-16</v>
      </c>
      <c r="F229" s="90">
        <v>33</v>
      </c>
      <c r="Q229" s="3" t="str">
        <f t="shared" si="18"/>
        <v>2018</v>
      </c>
      <c r="R229" s="3" t="str">
        <f t="shared" si="19"/>
        <v>0816</v>
      </c>
      <c r="S229" s="3" t="str">
        <f t="shared" si="23"/>
        <v>08</v>
      </c>
      <c r="T229" s="3" t="str">
        <f t="shared" si="20"/>
        <v>16</v>
      </c>
      <c r="U229" s="5" t="s">
        <v>40</v>
      </c>
    </row>
    <row r="230" spans="1:21">
      <c r="A230" s="3">
        <v>20180817</v>
      </c>
      <c r="B230" s="3">
        <v>201833</v>
      </c>
      <c r="C230" s="3">
        <f t="shared" si="21"/>
        <v>33</v>
      </c>
      <c r="E230" s="4" t="str">
        <f t="shared" si="22"/>
        <v>2018-08-17</v>
      </c>
      <c r="F230" s="90">
        <v>33</v>
      </c>
      <c r="Q230" s="3" t="str">
        <f t="shared" si="18"/>
        <v>2018</v>
      </c>
      <c r="R230" s="3" t="str">
        <f t="shared" si="19"/>
        <v>0817</v>
      </c>
      <c r="S230" s="3" t="str">
        <f t="shared" si="23"/>
        <v>08</v>
      </c>
      <c r="T230" s="3" t="str">
        <f t="shared" si="20"/>
        <v>17</v>
      </c>
      <c r="U230" s="5" t="s">
        <v>40</v>
      </c>
    </row>
    <row r="231" spans="1:21">
      <c r="A231" s="3">
        <v>20180818</v>
      </c>
      <c r="B231" s="3">
        <v>201834</v>
      </c>
      <c r="C231" s="3">
        <f t="shared" si="21"/>
        <v>34</v>
      </c>
      <c r="E231" s="4" t="str">
        <f t="shared" si="22"/>
        <v>2018-08-18</v>
      </c>
      <c r="F231" s="90">
        <v>34</v>
      </c>
      <c r="Q231" s="3" t="str">
        <f t="shared" si="18"/>
        <v>2018</v>
      </c>
      <c r="R231" s="3" t="str">
        <f t="shared" si="19"/>
        <v>0818</v>
      </c>
      <c r="S231" s="3" t="str">
        <f t="shared" si="23"/>
        <v>08</v>
      </c>
      <c r="T231" s="3" t="str">
        <f t="shared" si="20"/>
        <v>18</v>
      </c>
      <c r="U231" s="5" t="s">
        <v>40</v>
      </c>
    </row>
    <row r="232" spans="1:21">
      <c r="A232" s="3">
        <v>20180819</v>
      </c>
      <c r="B232" s="3">
        <v>201834</v>
      </c>
      <c r="C232" s="3">
        <f t="shared" si="21"/>
        <v>34</v>
      </c>
      <c r="E232" s="4" t="str">
        <f t="shared" si="22"/>
        <v>2018-08-19</v>
      </c>
      <c r="F232" s="90">
        <v>34</v>
      </c>
      <c r="Q232" s="3" t="str">
        <f t="shared" si="18"/>
        <v>2018</v>
      </c>
      <c r="R232" s="3" t="str">
        <f t="shared" si="19"/>
        <v>0819</v>
      </c>
      <c r="S232" s="3" t="str">
        <f t="shared" si="23"/>
        <v>08</v>
      </c>
      <c r="T232" s="3" t="str">
        <f t="shared" si="20"/>
        <v>19</v>
      </c>
      <c r="U232" s="5" t="s">
        <v>40</v>
      </c>
    </row>
    <row r="233" spans="1:21">
      <c r="A233" s="3">
        <v>20180820</v>
      </c>
      <c r="B233" s="3">
        <v>201834</v>
      </c>
      <c r="C233" s="3">
        <f t="shared" si="21"/>
        <v>34</v>
      </c>
      <c r="E233" s="4" t="str">
        <f t="shared" si="22"/>
        <v>2018-08-20</v>
      </c>
      <c r="F233" s="90">
        <v>34</v>
      </c>
      <c r="Q233" s="3" t="str">
        <f t="shared" si="18"/>
        <v>2018</v>
      </c>
      <c r="R233" s="3" t="str">
        <f t="shared" si="19"/>
        <v>0820</v>
      </c>
      <c r="S233" s="3" t="str">
        <f t="shared" si="23"/>
        <v>08</v>
      </c>
      <c r="T233" s="3" t="str">
        <f t="shared" si="20"/>
        <v>20</v>
      </c>
      <c r="U233" s="5" t="s">
        <v>40</v>
      </c>
    </row>
    <row r="234" spans="1:21">
      <c r="A234" s="3">
        <v>20180821</v>
      </c>
      <c r="B234" s="3">
        <v>201834</v>
      </c>
      <c r="C234" s="3">
        <f t="shared" si="21"/>
        <v>34</v>
      </c>
      <c r="E234" s="4" t="str">
        <f t="shared" si="22"/>
        <v>2018-08-21</v>
      </c>
      <c r="F234" s="90">
        <v>34</v>
      </c>
      <c r="Q234" s="3" t="str">
        <f t="shared" si="18"/>
        <v>2018</v>
      </c>
      <c r="R234" s="3" t="str">
        <f t="shared" si="19"/>
        <v>0821</v>
      </c>
      <c r="S234" s="3" t="str">
        <f t="shared" si="23"/>
        <v>08</v>
      </c>
      <c r="T234" s="3" t="str">
        <f t="shared" si="20"/>
        <v>21</v>
      </c>
      <c r="U234" s="5" t="s">
        <v>40</v>
      </c>
    </row>
    <row r="235" spans="1:21">
      <c r="A235" s="3">
        <v>20180822</v>
      </c>
      <c r="B235" s="3">
        <v>201834</v>
      </c>
      <c r="C235" s="3">
        <f t="shared" si="21"/>
        <v>34</v>
      </c>
      <c r="E235" s="4" t="str">
        <f t="shared" si="22"/>
        <v>2018-08-22</v>
      </c>
      <c r="F235" s="90">
        <v>34</v>
      </c>
      <c r="Q235" s="3" t="str">
        <f t="shared" si="18"/>
        <v>2018</v>
      </c>
      <c r="R235" s="3" t="str">
        <f t="shared" si="19"/>
        <v>0822</v>
      </c>
      <c r="S235" s="3" t="str">
        <f t="shared" si="23"/>
        <v>08</v>
      </c>
      <c r="T235" s="3" t="str">
        <f t="shared" si="20"/>
        <v>22</v>
      </c>
      <c r="U235" s="5" t="s">
        <v>40</v>
      </c>
    </row>
    <row r="236" spans="1:21">
      <c r="A236" s="3">
        <v>20180823</v>
      </c>
      <c r="B236" s="3">
        <v>201834</v>
      </c>
      <c r="C236" s="3">
        <f t="shared" si="21"/>
        <v>34</v>
      </c>
      <c r="E236" s="4" t="str">
        <f t="shared" si="22"/>
        <v>2018-08-23</v>
      </c>
      <c r="F236" s="90">
        <v>34</v>
      </c>
      <c r="Q236" s="3" t="str">
        <f t="shared" si="18"/>
        <v>2018</v>
      </c>
      <c r="R236" s="3" t="str">
        <f t="shared" si="19"/>
        <v>0823</v>
      </c>
      <c r="S236" s="3" t="str">
        <f t="shared" si="23"/>
        <v>08</v>
      </c>
      <c r="T236" s="3" t="str">
        <f t="shared" si="20"/>
        <v>23</v>
      </c>
      <c r="U236" s="5" t="s">
        <v>40</v>
      </c>
    </row>
    <row r="237" spans="1:21">
      <c r="A237" s="3">
        <v>20180824</v>
      </c>
      <c r="B237" s="3">
        <v>201834</v>
      </c>
      <c r="C237" s="3">
        <f t="shared" si="21"/>
        <v>34</v>
      </c>
      <c r="E237" s="4" t="str">
        <f t="shared" si="22"/>
        <v>2018-08-24</v>
      </c>
      <c r="F237" s="90">
        <v>34</v>
      </c>
      <c r="Q237" s="3" t="str">
        <f t="shared" si="18"/>
        <v>2018</v>
      </c>
      <c r="R237" s="3" t="str">
        <f t="shared" si="19"/>
        <v>0824</v>
      </c>
      <c r="S237" s="3" t="str">
        <f t="shared" si="23"/>
        <v>08</v>
      </c>
      <c r="T237" s="3" t="str">
        <f t="shared" si="20"/>
        <v>24</v>
      </c>
      <c r="U237" s="5" t="s">
        <v>40</v>
      </c>
    </row>
    <row r="238" spans="1:21">
      <c r="A238" s="3">
        <v>20180825</v>
      </c>
      <c r="B238" s="3">
        <v>201835</v>
      </c>
      <c r="C238" s="3">
        <f t="shared" si="21"/>
        <v>35</v>
      </c>
      <c r="E238" s="4" t="str">
        <f t="shared" si="22"/>
        <v>2018-08-25</v>
      </c>
      <c r="F238" s="90">
        <v>35</v>
      </c>
      <c r="Q238" s="3" t="str">
        <f t="shared" si="18"/>
        <v>2018</v>
      </c>
      <c r="R238" s="3" t="str">
        <f t="shared" si="19"/>
        <v>0825</v>
      </c>
      <c r="S238" s="3" t="str">
        <f t="shared" si="23"/>
        <v>08</v>
      </c>
      <c r="T238" s="3" t="str">
        <f t="shared" si="20"/>
        <v>25</v>
      </c>
      <c r="U238" s="5" t="s">
        <v>40</v>
      </c>
    </row>
    <row r="239" spans="1:21">
      <c r="A239" s="3">
        <v>20180826</v>
      </c>
      <c r="B239" s="3">
        <v>201835</v>
      </c>
      <c r="C239" s="3">
        <f t="shared" si="21"/>
        <v>35</v>
      </c>
      <c r="E239" s="4" t="str">
        <f t="shared" si="22"/>
        <v>2018-08-26</v>
      </c>
      <c r="F239" s="90">
        <v>35</v>
      </c>
      <c r="Q239" s="3" t="str">
        <f t="shared" si="18"/>
        <v>2018</v>
      </c>
      <c r="R239" s="3" t="str">
        <f t="shared" si="19"/>
        <v>0826</v>
      </c>
      <c r="S239" s="3" t="str">
        <f t="shared" si="23"/>
        <v>08</v>
      </c>
      <c r="T239" s="3" t="str">
        <f t="shared" si="20"/>
        <v>26</v>
      </c>
      <c r="U239" s="5" t="s">
        <v>40</v>
      </c>
    </row>
    <row r="240" spans="1:21">
      <c r="A240" s="3">
        <v>20180827</v>
      </c>
      <c r="B240" s="3">
        <v>201835</v>
      </c>
      <c r="C240" s="3">
        <f t="shared" si="21"/>
        <v>35</v>
      </c>
      <c r="E240" s="4" t="str">
        <f t="shared" si="22"/>
        <v>2018-08-27</v>
      </c>
      <c r="F240" s="90">
        <v>35</v>
      </c>
      <c r="Q240" s="3" t="str">
        <f t="shared" si="18"/>
        <v>2018</v>
      </c>
      <c r="R240" s="3" t="str">
        <f t="shared" si="19"/>
        <v>0827</v>
      </c>
      <c r="S240" s="3" t="str">
        <f t="shared" si="23"/>
        <v>08</v>
      </c>
      <c r="T240" s="3" t="str">
        <f t="shared" si="20"/>
        <v>27</v>
      </c>
      <c r="U240" s="5" t="s">
        <v>40</v>
      </c>
    </row>
    <row r="241" spans="1:21">
      <c r="A241" s="3">
        <v>20180828</v>
      </c>
      <c r="B241" s="3">
        <v>201835</v>
      </c>
      <c r="C241" s="3">
        <f t="shared" si="21"/>
        <v>35</v>
      </c>
      <c r="E241" s="4" t="str">
        <f t="shared" si="22"/>
        <v>2018-08-28</v>
      </c>
      <c r="F241" s="90">
        <v>35</v>
      </c>
      <c r="Q241" s="3" t="str">
        <f t="shared" si="18"/>
        <v>2018</v>
      </c>
      <c r="R241" s="3" t="str">
        <f t="shared" si="19"/>
        <v>0828</v>
      </c>
      <c r="S241" s="3" t="str">
        <f t="shared" si="23"/>
        <v>08</v>
      </c>
      <c r="T241" s="3" t="str">
        <f t="shared" si="20"/>
        <v>28</v>
      </c>
      <c r="U241" s="5" t="s">
        <v>40</v>
      </c>
    </row>
    <row r="242" spans="1:21">
      <c r="A242" s="3">
        <v>20180829</v>
      </c>
      <c r="B242" s="3">
        <v>201835</v>
      </c>
      <c r="C242" s="3">
        <f t="shared" si="21"/>
        <v>35</v>
      </c>
      <c r="E242" s="4" t="str">
        <f t="shared" si="22"/>
        <v>2018-08-29</v>
      </c>
      <c r="F242" s="90">
        <v>35</v>
      </c>
      <c r="Q242" s="3" t="str">
        <f t="shared" si="18"/>
        <v>2018</v>
      </c>
      <c r="R242" s="3" t="str">
        <f t="shared" si="19"/>
        <v>0829</v>
      </c>
      <c r="S242" s="3" t="str">
        <f t="shared" si="23"/>
        <v>08</v>
      </c>
      <c r="T242" s="3" t="str">
        <f t="shared" si="20"/>
        <v>29</v>
      </c>
      <c r="U242" s="5" t="s">
        <v>40</v>
      </c>
    </row>
    <row r="243" spans="1:21">
      <c r="A243" s="3">
        <v>20180830</v>
      </c>
      <c r="B243" s="3">
        <v>201835</v>
      </c>
      <c r="C243" s="3">
        <f t="shared" si="21"/>
        <v>35</v>
      </c>
      <c r="E243" s="4" t="str">
        <f t="shared" si="22"/>
        <v>2018-08-30</v>
      </c>
      <c r="F243" s="90">
        <v>35</v>
      </c>
      <c r="Q243" s="3" t="str">
        <f t="shared" si="18"/>
        <v>2018</v>
      </c>
      <c r="R243" s="3" t="str">
        <f t="shared" si="19"/>
        <v>0830</v>
      </c>
      <c r="S243" s="3" t="str">
        <f t="shared" si="23"/>
        <v>08</v>
      </c>
      <c r="T243" s="3" t="str">
        <f t="shared" si="20"/>
        <v>30</v>
      </c>
      <c r="U243" s="5" t="s">
        <v>40</v>
      </c>
    </row>
    <row r="244" spans="1:21">
      <c r="A244" s="3">
        <v>20180831</v>
      </c>
      <c r="B244" s="3">
        <v>201835</v>
      </c>
      <c r="C244" s="3">
        <f t="shared" si="21"/>
        <v>35</v>
      </c>
      <c r="E244" s="4" t="str">
        <f t="shared" si="22"/>
        <v>2018-08-31</v>
      </c>
      <c r="F244" s="90">
        <v>35</v>
      </c>
      <c r="Q244" s="3" t="str">
        <f t="shared" si="18"/>
        <v>2018</v>
      </c>
      <c r="R244" s="3" t="str">
        <f t="shared" si="19"/>
        <v>0831</v>
      </c>
      <c r="S244" s="3" t="str">
        <f t="shared" si="23"/>
        <v>08</v>
      </c>
      <c r="T244" s="3" t="str">
        <f t="shared" si="20"/>
        <v>31</v>
      </c>
      <c r="U244" s="5" t="s">
        <v>40</v>
      </c>
    </row>
    <row r="245" spans="1:21">
      <c r="A245" s="3">
        <v>20180901</v>
      </c>
      <c r="B245" s="3">
        <v>201836</v>
      </c>
      <c r="C245" s="3">
        <f t="shared" si="21"/>
        <v>36</v>
      </c>
      <c r="E245" s="4" t="str">
        <f t="shared" si="22"/>
        <v>2018-09-01</v>
      </c>
      <c r="F245" s="90">
        <v>36</v>
      </c>
      <c r="Q245" s="3" t="str">
        <f t="shared" si="18"/>
        <v>2018</v>
      </c>
      <c r="R245" s="3" t="str">
        <f t="shared" si="19"/>
        <v>0901</v>
      </c>
      <c r="S245" s="3" t="str">
        <f t="shared" si="23"/>
        <v>09</v>
      </c>
      <c r="T245" s="3" t="str">
        <f t="shared" si="20"/>
        <v>01</v>
      </c>
      <c r="U245" s="5" t="s">
        <v>40</v>
      </c>
    </row>
    <row r="246" spans="1:21">
      <c r="A246" s="3">
        <v>20180902</v>
      </c>
      <c r="B246" s="3">
        <v>201836</v>
      </c>
      <c r="C246" s="3">
        <f t="shared" si="21"/>
        <v>36</v>
      </c>
      <c r="E246" s="4" t="str">
        <f t="shared" si="22"/>
        <v>2018-09-02</v>
      </c>
      <c r="F246" s="90">
        <v>36</v>
      </c>
      <c r="Q246" s="3" t="str">
        <f t="shared" si="18"/>
        <v>2018</v>
      </c>
      <c r="R246" s="3" t="str">
        <f t="shared" si="19"/>
        <v>0902</v>
      </c>
      <c r="S246" s="3" t="str">
        <f t="shared" si="23"/>
        <v>09</v>
      </c>
      <c r="T246" s="3" t="str">
        <f t="shared" si="20"/>
        <v>02</v>
      </c>
      <c r="U246" s="5" t="s">
        <v>40</v>
      </c>
    </row>
    <row r="247" spans="1:21">
      <c r="A247" s="3">
        <v>20180903</v>
      </c>
      <c r="B247" s="3">
        <v>201836</v>
      </c>
      <c r="C247" s="3">
        <f t="shared" si="21"/>
        <v>36</v>
      </c>
      <c r="E247" s="4" t="str">
        <f t="shared" si="22"/>
        <v>2018-09-03</v>
      </c>
      <c r="F247" s="90">
        <v>36</v>
      </c>
      <c r="Q247" s="3" t="str">
        <f t="shared" si="18"/>
        <v>2018</v>
      </c>
      <c r="R247" s="3" t="str">
        <f t="shared" si="19"/>
        <v>0903</v>
      </c>
      <c r="S247" s="3" t="str">
        <f t="shared" si="23"/>
        <v>09</v>
      </c>
      <c r="T247" s="3" t="str">
        <f t="shared" si="20"/>
        <v>03</v>
      </c>
      <c r="U247" s="5" t="s">
        <v>40</v>
      </c>
    </row>
    <row r="248" spans="1:21">
      <c r="A248" s="3">
        <v>20180904</v>
      </c>
      <c r="B248" s="3">
        <v>201836</v>
      </c>
      <c r="C248" s="3">
        <f t="shared" si="21"/>
        <v>36</v>
      </c>
      <c r="E248" s="4" t="str">
        <f t="shared" si="22"/>
        <v>2018-09-04</v>
      </c>
      <c r="F248" s="90">
        <v>36</v>
      </c>
      <c r="Q248" s="3" t="str">
        <f t="shared" si="18"/>
        <v>2018</v>
      </c>
      <c r="R248" s="3" t="str">
        <f t="shared" si="19"/>
        <v>0904</v>
      </c>
      <c r="S248" s="3" t="str">
        <f t="shared" si="23"/>
        <v>09</v>
      </c>
      <c r="T248" s="3" t="str">
        <f t="shared" si="20"/>
        <v>04</v>
      </c>
      <c r="U248" s="5" t="s">
        <v>40</v>
      </c>
    </row>
    <row r="249" spans="1:21">
      <c r="A249" s="3">
        <v>20180905</v>
      </c>
      <c r="B249" s="3">
        <v>201836</v>
      </c>
      <c r="C249" s="3">
        <f t="shared" si="21"/>
        <v>36</v>
      </c>
      <c r="E249" s="4" t="str">
        <f t="shared" si="22"/>
        <v>2018-09-05</v>
      </c>
      <c r="F249" s="90">
        <v>36</v>
      </c>
      <c r="Q249" s="3" t="str">
        <f t="shared" si="18"/>
        <v>2018</v>
      </c>
      <c r="R249" s="3" t="str">
        <f t="shared" si="19"/>
        <v>0905</v>
      </c>
      <c r="S249" s="3" t="str">
        <f t="shared" si="23"/>
        <v>09</v>
      </c>
      <c r="T249" s="3" t="str">
        <f t="shared" si="20"/>
        <v>05</v>
      </c>
      <c r="U249" s="5" t="s">
        <v>40</v>
      </c>
    </row>
    <row r="250" spans="1:21">
      <c r="A250" s="3">
        <v>20180906</v>
      </c>
      <c r="B250" s="3">
        <v>201836</v>
      </c>
      <c r="C250" s="3">
        <f t="shared" si="21"/>
        <v>36</v>
      </c>
      <c r="E250" s="4" t="str">
        <f t="shared" si="22"/>
        <v>2018-09-06</v>
      </c>
      <c r="F250" s="90">
        <v>36</v>
      </c>
      <c r="Q250" s="3" t="str">
        <f t="shared" si="18"/>
        <v>2018</v>
      </c>
      <c r="R250" s="3" t="str">
        <f t="shared" si="19"/>
        <v>0906</v>
      </c>
      <c r="S250" s="3" t="str">
        <f t="shared" si="23"/>
        <v>09</v>
      </c>
      <c r="T250" s="3" t="str">
        <f t="shared" si="20"/>
        <v>06</v>
      </c>
      <c r="U250" s="5" t="s">
        <v>40</v>
      </c>
    </row>
    <row r="251" spans="1:21">
      <c r="A251" s="3">
        <v>20180907</v>
      </c>
      <c r="B251" s="3">
        <v>201836</v>
      </c>
      <c r="C251" s="3">
        <f t="shared" si="21"/>
        <v>36</v>
      </c>
      <c r="E251" s="4" t="str">
        <f t="shared" si="22"/>
        <v>2018-09-07</v>
      </c>
      <c r="F251" s="90">
        <v>36</v>
      </c>
      <c r="Q251" s="3" t="str">
        <f t="shared" si="18"/>
        <v>2018</v>
      </c>
      <c r="R251" s="3" t="str">
        <f t="shared" si="19"/>
        <v>0907</v>
      </c>
      <c r="S251" s="3" t="str">
        <f t="shared" si="23"/>
        <v>09</v>
      </c>
      <c r="T251" s="3" t="str">
        <f t="shared" si="20"/>
        <v>07</v>
      </c>
      <c r="U251" s="5" t="s">
        <v>40</v>
      </c>
    </row>
    <row r="252" spans="1:21">
      <c r="A252" s="3">
        <v>20180908</v>
      </c>
      <c r="B252" s="3">
        <v>201837</v>
      </c>
      <c r="C252" s="3">
        <f t="shared" si="21"/>
        <v>37</v>
      </c>
      <c r="E252" s="4" t="str">
        <f t="shared" si="22"/>
        <v>2018-09-08</v>
      </c>
      <c r="F252" s="90">
        <v>37</v>
      </c>
      <c r="Q252" s="3" t="str">
        <f t="shared" si="18"/>
        <v>2018</v>
      </c>
      <c r="R252" s="3" t="str">
        <f t="shared" si="19"/>
        <v>0908</v>
      </c>
      <c r="S252" s="3" t="str">
        <f t="shared" si="23"/>
        <v>09</v>
      </c>
      <c r="T252" s="3" t="str">
        <f t="shared" si="20"/>
        <v>08</v>
      </c>
      <c r="U252" s="5" t="s">
        <v>40</v>
      </c>
    </row>
    <row r="253" spans="1:21">
      <c r="A253" s="3">
        <v>20180909</v>
      </c>
      <c r="B253" s="3">
        <v>201837</v>
      </c>
      <c r="C253" s="3">
        <f t="shared" si="21"/>
        <v>37</v>
      </c>
      <c r="E253" s="4" t="str">
        <f t="shared" si="22"/>
        <v>2018-09-09</v>
      </c>
      <c r="F253" s="90">
        <v>37</v>
      </c>
      <c r="Q253" s="3" t="str">
        <f t="shared" si="18"/>
        <v>2018</v>
      </c>
      <c r="R253" s="3" t="str">
        <f t="shared" si="19"/>
        <v>0909</v>
      </c>
      <c r="S253" s="3" t="str">
        <f t="shared" si="23"/>
        <v>09</v>
      </c>
      <c r="T253" s="3" t="str">
        <f t="shared" si="20"/>
        <v>09</v>
      </c>
      <c r="U253" s="5" t="s">
        <v>40</v>
      </c>
    </row>
    <row r="254" spans="1:21">
      <c r="A254" s="3">
        <v>20180910</v>
      </c>
      <c r="B254" s="3">
        <v>201837</v>
      </c>
      <c r="C254" s="3">
        <f t="shared" si="21"/>
        <v>37</v>
      </c>
      <c r="E254" s="4" t="str">
        <f t="shared" si="22"/>
        <v>2018-09-10</v>
      </c>
      <c r="F254" s="90">
        <v>37</v>
      </c>
      <c r="Q254" s="3" t="str">
        <f t="shared" si="18"/>
        <v>2018</v>
      </c>
      <c r="R254" s="3" t="str">
        <f t="shared" si="19"/>
        <v>0910</v>
      </c>
      <c r="S254" s="3" t="str">
        <f t="shared" si="23"/>
        <v>09</v>
      </c>
      <c r="T254" s="3" t="str">
        <f t="shared" si="20"/>
        <v>10</v>
      </c>
      <c r="U254" s="5" t="s">
        <v>40</v>
      </c>
    </row>
    <row r="255" spans="1:21">
      <c r="A255" s="3">
        <v>20180911</v>
      </c>
      <c r="B255" s="3">
        <v>201837</v>
      </c>
      <c r="C255" s="3">
        <f t="shared" si="21"/>
        <v>37</v>
      </c>
      <c r="E255" s="4" t="str">
        <f t="shared" si="22"/>
        <v>2018-09-11</v>
      </c>
      <c r="F255" s="90">
        <v>37</v>
      </c>
      <c r="Q255" s="3" t="str">
        <f t="shared" si="18"/>
        <v>2018</v>
      </c>
      <c r="R255" s="3" t="str">
        <f t="shared" si="19"/>
        <v>0911</v>
      </c>
      <c r="S255" s="3" t="str">
        <f t="shared" si="23"/>
        <v>09</v>
      </c>
      <c r="T255" s="3" t="str">
        <f t="shared" si="20"/>
        <v>11</v>
      </c>
      <c r="U255" s="5" t="s">
        <v>40</v>
      </c>
    </row>
    <row r="256" spans="1:21">
      <c r="A256" s="3">
        <v>20180912</v>
      </c>
      <c r="B256" s="3">
        <v>201837</v>
      </c>
      <c r="C256" s="3">
        <f t="shared" si="21"/>
        <v>37</v>
      </c>
      <c r="E256" s="4" t="str">
        <f t="shared" si="22"/>
        <v>2018-09-12</v>
      </c>
      <c r="F256" s="90">
        <v>37</v>
      </c>
      <c r="Q256" s="3" t="str">
        <f t="shared" si="18"/>
        <v>2018</v>
      </c>
      <c r="R256" s="3" t="str">
        <f t="shared" si="19"/>
        <v>0912</v>
      </c>
      <c r="S256" s="3" t="str">
        <f t="shared" si="23"/>
        <v>09</v>
      </c>
      <c r="T256" s="3" t="str">
        <f t="shared" si="20"/>
        <v>12</v>
      </c>
      <c r="U256" s="5" t="s">
        <v>40</v>
      </c>
    </row>
    <row r="257" spans="1:21">
      <c r="A257" s="3">
        <v>20180913</v>
      </c>
      <c r="B257" s="3">
        <v>201837</v>
      </c>
      <c r="C257" s="3">
        <f t="shared" si="21"/>
        <v>37</v>
      </c>
      <c r="E257" s="4" t="str">
        <f t="shared" si="22"/>
        <v>2018-09-13</v>
      </c>
      <c r="F257" s="90">
        <v>37</v>
      </c>
      <c r="Q257" s="3" t="str">
        <f t="shared" si="18"/>
        <v>2018</v>
      </c>
      <c r="R257" s="3" t="str">
        <f t="shared" si="19"/>
        <v>0913</v>
      </c>
      <c r="S257" s="3" t="str">
        <f t="shared" si="23"/>
        <v>09</v>
      </c>
      <c r="T257" s="3" t="str">
        <f t="shared" si="20"/>
        <v>13</v>
      </c>
      <c r="U257" s="5" t="s">
        <v>40</v>
      </c>
    </row>
    <row r="258" spans="1:21">
      <c r="A258" s="3">
        <v>20180914</v>
      </c>
      <c r="B258" s="3">
        <v>201837</v>
      </c>
      <c r="C258" s="3">
        <f t="shared" si="21"/>
        <v>37</v>
      </c>
      <c r="E258" s="4" t="str">
        <f t="shared" si="22"/>
        <v>2018-09-14</v>
      </c>
      <c r="F258" s="90">
        <v>37</v>
      </c>
      <c r="Q258" s="3" t="str">
        <f t="shared" ref="Q258:Q321" si="24">LEFT(A258,4)</f>
        <v>2018</v>
      </c>
      <c r="R258" s="3" t="str">
        <f t="shared" ref="R258:R321" si="25">RIGHT(A258,4)</f>
        <v>0914</v>
      </c>
      <c r="S258" s="3" t="str">
        <f t="shared" si="23"/>
        <v>09</v>
      </c>
      <c r="T258" s="3" t="str">
        <f t="shared" ref="T258:T322" si="26">RIGHT(A258,2)</f>
        <v>14</v>
      </c>
      <c r="U258" s="5" t="s">
        <v>40</v>
      </c>
    </row>
    <row r="259" spans="1:21">
      <c r="A259" s="3">
        <v>20180915</v>
      </c>
      <c r="B259" s="3">
        <v>201838</v>
      </c>
      <c r="C259" s="3">
        <f t="shared" ref="C259:C322" si="27">B259-201800</f>
        <v>38</v>
      </c>
      <c r="E259" s="4" t="str">
        <f t="shared" ref="E259:E322" si="28">Q259&amp;U259&amp;S259&amp;U259&amp;T259</f>
        <v>2018-09-15</v>
      </c>
      <c r="F259" s="90">
        <v>38</v>
      </c>
      <c r="Q259" s="3" t="str">
        <f t="shared" si="24"/>
        <v>2018</v>
      </c>
      <c r="R259" s="3" t="str">
        <f t="shared" si="25"/>
        <v>0915</v>
      </c>
      <c r="S259" s="3" t="str">
        <f t="shared" ref="S259:S322" si="29">LEFT(R259,2)</f>
        <v>09</v>
      </c>
      <c r="T259" s="3" t="str">
        <f t="shared" si="26"/>
        <v>15</v>
      </c>
      <c r="U259" s="5" t="s">
        <v>40</v>
      </c>
    </row>
    <row r="260" spans="1:21">
      <c r="A260" s="3">
        <v>20180916</v>
      </c>
      <c r="B260" s="3">
        <v>201838</v>
      </c>
      <c r="C260" s="3">
        <f t="shared" si="27"/>
        <v>38</v>
      </c>
      <c r="E260" s="4" t="str">
        <f t="shared" si="28"/>
        <v>2018-09-16</v>
      </c>
      <c r="F260" s="90">
        <v>38</v>
      </c>
      <c r="Q260" s="3" t="str">
        <f t="shared" si="24"/>
        <v>2018</v>
      </c>
      <c r="R260" s="3" t="str">
        <f t="shared" si="25"/>
        <v>0916</v>
      </c>
      <c r="S260" s="3" t="str">
        <f t="shared" si="29"/>
        <v>09</v>
      </c>
      <c r="T260" s="3" t="str">
        <f t="shared" si="26"/>
        <v>16</v>
      </c>
      <c r="U260" s="5" t="s">
        <v>40</v>
      </c>
    </row>
    <row r="261" spans="1:21">
      <c r="A261" s="3">
        <v>20180917</v>
      </c>
      <c r="B261" s="3">
        <v>201838</v>
      </c>
      <c r="C261" s="3">
        <f t="shared" si="27"/>
        <v>38</v>
      </c>
      <c r="E261" s="4" t="str">
        <f t="shared" si="28"/>
        <v>2018-09-17</v>
      </c>
      <c r="F261" s="90">
        <v>38</v>
      </c>
      <c r="Q261" s="3" t="str">
        <f t="shared" si="24"/>
        <v>2018</v>
      </c>
      <c r="R261" s="3" t="str">
        <f t="shared" si="25"/>
        <v>0917</v>
      </c>
      <c r="S261" s="3" t="str">
        <f t="shared" si="29"/>
        <v>09</v>
      </c>
      <c r="T261" s="3" t="str">
        <f t="shared" si="26"/>
        <v>17</v>
      </c>
      <c r="U261" s="5" t="s">
        <v>40</v>
      </c>
    </row>
    <row r="262" spans="1:21">
      <c r="A262" s="3">
        <v>20180918</v>
      </c>
      <c r="B262" s="3">
        <v>201838</v>
      </c>
      <c r="C262" s="3">
        <f t="shared" si="27"/>
        <v>38</v>
      </c>
      <c r="E262" s="4" t="str">
        <f t="shared" si="28"/>
        <v>2018-09-18</v>
      </c>
      <c r="F262" s="90">
        <v>38</v>
      </c>
      <c r="Q262" s="3" t="str">
        <f t="shared" si="24"/>
        <v>2018</v>
      </c>
      <c r="R262" s="3" t="str">
        <f t="shared" si="25"/>
        <v>0918</v>
      </c>
      <c r="S262" s="3" t="str">
        <f t="shared" si="29"/>
        <v>09</v>
      </c>
      <c r="T262" s="3" t="str">
        <f t="shared" si="26"/>
        <v>18</v>
      </c>
      <c r="U262" s="5" t="s">
        <v>40</v>
      </c>
    </row>
    <row r="263" spans="1:21">
      <c r="A263" s="3">
        <v>20180919</v>
      </c>
      <c r="B263" s="3">
        <v>201838</v>
      </c>
      <c r="C263" s="3">
        <f t="shared" si="27"/>
        <v>38</v>
      </c>
      <c r="E263" s="4" t="str">
        <f t="shared" si="28"/>
        <v>2018-09-19</v>
      </c>
      <c r="F263" s="90">
        <v>38</v>
      </c>
      <c r="Q263" s="3" t="str">
        <f t="shared" si="24"/>
        <v>2018</v>
      </c>
      <c r="R263" s="3" t="str">
        <f t="shared" si="25"/>
        <v>0919</v>
      </c>
      <c r="S263" s="3" t="str">
        <f t="shared" si="29"/>
        <v>09</v>
      </c>
      <c r="T263" s="3" t="str">
        <f t="shared" si="26"/>
        <v>19</v>
      </c>
      <c r="U263" s="5" t="s">
        <v>40</v>
      </c>
    </row>
    <row r="264" spans="1:21">
      <c r="A264" s="3">
        <v>20180920</v>
      </c>
      <c r="B264" s="3">
        <v>201838</v>
      </c>
      <c r="C264" s="3">
        <f t="shared" si="27"/>
        <v>38</v>
      </c>
      <c r="E264" s="4" t="str">
        <f t="shared" si="28"/>
        <v>2018-09-20</v>
      </c>
      <c r="F264" s="90">
        <v>38</v>
      </c>
      <c r="Q264" s="3" t="str">
        <f t="shared" si="24"/>
        <v>2018</v>
      </c>
      <c r="R264" s="3" t="str">
        <f t="shared" si="25"/>
        <v>0920</v>
      </c>
      <c r="S264" s="3" t="str">
        <f t="shared" si="29"/>
        <v>09</v>
      </c>
      <c r="T264" s="3" t="str">
        <f t="shared" si="26"/>
        <v>20</v>
      </c>
      <c r="U264" s="5" t="s">
        <v>40</v>
      </c>
    </row>
    <row r="265" spans="1:21">
      <c r="A265" s="3">
        <v>20180921</v>
      </c>
      <c r="B265" s="3">
        <v>201838</v>
      </c>
      <c r="C265" s="3">
        <f t="shared" si="27"/>
        <v>38</v>
      </c>
      <c r="E265" s="4" t="str">
        <f t="shared" si="28"/>
        <v>2018-09-21</v>
      </c>
      <c r="F265" s="90">
        <v>38</v>
      </c>
      <c r="Q265" s="3" t="str">
        <f t="shared" si="24"/>
        <v>2018</v>
      </c>
      <c r="R265" s="3" t="str">
        <f t="shared" si="25"/>
        <v>0921</v>
      </c>
      <c r="S265" s="3" t="str">
        <f t="shared" si="29"/>
        <v>09</v>
      </c>
      <c r="T265" s="3" t="str">
        <f t="shared" si="26"/>
        <v>21</v>
      </c>
      <c r="U265" s="5" t="s">
        <v>40</v>
      </c>
    </row>
    <row r="266" spans="1:21">
      <c r="A266" s="3">
        <v>20180922</v>
      </c>
      <c r="B266" s="3">
        <v>201839</v>
      </c>
      <c r="C266" s="3">
        <f t="shared" si="27"/>
        <v>39</v>
      </c>
      <c r="E266" s="4" t="str">
        <f t="shared" si="28"/>
        <v>2018-09-22</v>
      </c>
      <c r="F266" s="90">
        <v>39</v>
      </c>
      <c r="Q266" s="3" t="str">
        <f t="shared" si="24"/>
        <v>2018</v>
      </c>
      <c r="R266" s="3" t="str">
        <f t="shared" si="25"/>
        <v>0922</v>
      </c>
      <c r="S266" s="3" t="str">
        <f t="shared" si="29"/>
        <v>09</v>
      </c>
      <c r="T266" s="3" t="str">
        <f t="shared" si="26"/>
        <v>22</v>
      </c>
      <c r="U266" s="5" t="s">
        <v>40</v>
      </c>
    </row>
    <row r="267" spans="1:21">
      <c r="A267" s="3">
        <v>20180923</v>
      </c>
      <c r="B267" s="3">
        <v>201839</v>
      </c>
      <c r="C267" s="3">
        <f t="shared" si="27"/>
        <v>39</v>
      </c>
      <c r="E267" s="4" t="str">
        <f t="shared" si="28"/>
        <v>2018-09-23</v>
      </c>
      <c r="F267" s="90">
        <v>39</v>
      </c>
      <c r="Q267" s="3" t="str">
        <f t="shared" si="24"/>
        <v>2018</v>
      </c>
      <c r="R267" s="3" t="str">
        <f t="shared" si="25"/>
        <v>0923</v>
      </c>
      <c r="S267" s="3" t="str">
        <f t="shared" si="29"/>
        <v>09</v>
      </c>
      <c r="T267" s="3" t="str">
        <f t="shared" si="26"/>
        <v>23</v>
      </c>
      <c r="U267" s="5" t="s">
        <v>40</v>
      </c>
    </row>
    <row r="268" spans="1:21">
      <c r="A268" s="3">
        <v>20180924</v>
      </c>
      <c r="B268" s="3">
        <v>201839</v>
      </c>
      <c r="C268" s="3">
        <f t="shared" si="27"/>
        <v>39</v>
      </c>
      <c r="E268" s="4" t="str">
        <f t="shared" si="28"/>
        <v>2018-09-24</v>
      </c>
      <c r="F268" s="90">
        <v>39</v>
      </c>
      <c r="Q268" s="3" t="str">
        <f t="shared" si="24"/>
        <v>2018</v>
      </c>
      <c r="R268" s="3" t="str">
        <f t="shared" si="25"/>
        <v>0924</v>
      </c>
      <c r="S268" s="3" t="str">
        <f t="shared" si="29"/>
        <v>09</v>
      </c>
      <c r="T268" s="3" t="str">
        <f t="shared" si="26"/>
        <v>24</v>
      </c>
      <c r="U268" s="5" t="s">
        <v>40</v>
      </c>
    </row>
    <row r="269" spans="1:21">
      <c r="A269" s="3">
        <v>20180925</v>
      </c>
      <c r="B269" s="3">
        <v>201839</v>
      </c>
      <c r="C269" s="3">
        <f t="shared" si="27"/>
        <v>39</v>
      </c>
      <c r="E269" s="4" t="str">
        <f t="shared" si="28"/>
        <v>2018-09-25</v>
      </c>
      <c r="F269" s="90">
        <v>39</v>
      </c>
      <c r="Q269" s="3" t="str">
        <f t="shared" si="24"/>
        <v>2018</v>
      </c>
      <c r="R269" s="3" t="str">
        <f t="shared" si="25"/>
        <v>0925</v>
      </c>
      <c r="S269" s="3" t="str">
        <f t="shared" si="29"/>
        <v>09</v>
      </c>
      <c r="T269" s="3" t="str">
        <f t="shared" si="26"/>
        <v>25</v>
      </c>
      <c r="U269" s="5" t="s">
        <v>40</v>
      </c>
    </row>
    <row r="270" spans="1:21">
      <c r="A270" s="3">
        <v>20180926</v>
      </c>
      <c r="B270" s="3">
        <v>201839</v>
      </c>
      <c r="C270" s="3">
        <f t="shared" si="27"/>
        <v>39</v>
      </c>
      <c r="E270" s="4" t="str">
        <f t="shared" si="28"/>
        <v>2018-09-26</v>
      </c>
      <c r="F270" s="90">
        <v>39</v>
      </c>
      <c r="Q270" s="3" t="str">
        <f t="shared" si="24"/>
        <v>2018</v>
      </c>
      <c r="R270" s="3" t="str">
        <f t="shared" si="25"/>
        <v>0926</v>
      </c>
      <c r="S270" s="3" t="str">
        <f t="shared" si="29"/>
        <v>09</v>
      </c>
      <c r="T270" s="3" t="str">
        <f t="shared" si="26"/>
        <v>26</v>
      </c>
      <c r="U270" s="5" t="s">
        <v>40</v>
      </c>
    </row>
    <row r="271" spans="1:21">
      <c r="A271" s="3">
        <v>20180927</v>
      </c>
      <c r="B271" s="3">
        <v>201839</v>
      </c>
      <c r="C271" s="3">
        <f t="shared" si="27"/>
        <v>39</v>
      </c>
      <c r="E271" s="4" t="str">
        <f t="shared" si="28"/>
        <v>2018-09-27</v>
      </c>
      <c r="F271" s="90">
        <v>39</v>
      </c>
      <c r="Q271" s="3" t="str">
        <f t="shared" si="24"/>
        <v>2018</v>
      </c>
      <c r="R271" s="3" t="str">
        <f t="shared" si="25"/>
        <v>0927</v>
      </c>
      <c r="S271" s="3" t="str">
        <f t="shared" si="29"/>
        <v>09</v>
      </c>
      <c r="T271" s="3" t="str">
        <f t="shared" si="26"/>
        <v>27</v>
      </c>
      <c r="U271" s="5" t="s">
        <v>40</v>
      </c>
    </row>
    <row r="272" spans="1:21">
      <c r="A272" s="3">
        <v>20180928</v>
      </c>
      <c r="B272" s="3">
        <v>201839</v>
      </c>
      <c r="C272" s="3">
        <f t="shared" si="27"/>
        <v>39</v>
      </c>
      <c r="E272" s="4" t="str">
        <f t="shared" si="28"/>
        <v>2018-09-28</v>
      </c>
      <c r="F272" s="90">
        <v>39</v>
      </c>
      <c r="Q272" s="3" t="str">
        <f t="shared" si="24"/>
        <v>2018</v>
      </c>
      <c r="R272" s="3" t="str">
        <f t="shared" si="25"/>
        <v>0928</v>
      </c>
      <c r="S272" s="3" t="str">
        <f t="shared" si="29"/>
        <v>09</v>
      </c>
      <c r="T272" s="3" t="str">
        <f t="shared" si="26"/>
        <v>28</v>
      </c>
      <c r="U272" s="5" t="s">
        <v>40</v>
      </c>
    </row>
    <row r="273" spans="1:21">
      <c r="A273" s="3">
        <v>20180929</v>
      </c>
      <c r="B273" s="3">
        <v>201840</v>
      </c>
      <c r="C273" s="3">
        <f t="shared" si="27"/>
        <v>40</v>
      </c>
      <c r="E273" s="4" t="str">
        <f t="shared" si="28"/>
        <v>2018-09-29</v>
      </c>
      <c r="F273" s="90">
        <v>40</v>
      </c>
      <c r="Q273" s="3" t="str">
        <f t="shared" si="24"/>
        <v>2018</v>
      </c>
      <c r="R273" s="3" t="str">
        <f t="shared" si="25"/>
        <v>0929</v>
      </c>
      <c r="S273" s="3" t="str">
        <f t="shared" si="29"/>
        <v>09</v>
      </c>
      <c r="T273" s="3" t="str">
        <f t="shared" si="26"/>
        <v>29</v>
      </c>
      <c r="U273" s="5" t="s">
        <v>40</v>
      </c>
    </row>
    <row r="274" spans="1:21">
      <c r="A274" s="3">
        <v>20180930</v>
      </c>
      <c r="B274" s="3">
        <v>201840</v>
      </c>
      <c r="C274" s="3">
        <f t="shared" si="27"/>
        <v>40</v>
      </c>
      <c r="E274" s="4" t="str">
        <f t="shared" si="28"/>
        <v>2018-09-30</v>
      </c>
      <c r="F274" s="90">
        <v>40</v>
      </c>
      <c r="Q274" s="3" t="str">
        <f t="shared" si="24"/>
        <v>2018</v>
      </c>
      <c r="R274" s="3" t="str">
        <f t="shared" si="25"/>
        <v>0930</v>
      </c>
      <c r="S274" s="3" t="str">
        <f t="shared" si="29"/>
        <v>09</v>
      </c>
      <c r="T274" s="3" t="str">
        <f t="shared" si="26"/>
        <v>30</v>
      </c>
      <c r="U274" s="5" t="s">
        <v>40</v>
      </c>
    </row>
    <row r="275" spans="1:21">
      <c r="A275" s="3">
        <v>20181001</v>
      </c>
      <c r="B275" s="3">
        <v>201840</v>
      </c>
      <c r="C275" s="3">
        <f t="shared" si="27"/>
        <v>40</v>
      </c>
      <c r="E275" s="4" t="str">
        <f t="shared" si="28"/>
        <v>2018-10-01</v>
      </c>
      <c r="F275" s="90">
        <v>40</v>
      </c>
      <c r="Q275" s="3" t="str">
        <f t="shared" si="24"/>
        <v>2018</v>
      </c>
      <c r="R275" s="3" t="str">
        <f t="shared" si="25"/>
        <v>1001</v>
      </c>
      <c r="S275" s="3" t="str">
        <f t="shared" si="29"/>
        <v>10</v>
      </c>
      <c r="T275" s="3" t="str">
        <f t="shared" si="26"/>
        <v>01</v>
      </c>
      <c r="U275" s="5" t="s">
        <v>40</v>
      </c>
    </row>
    <row r="276" spans="1:21">
      <c r="A276" s="3">
        <v>20181002</v>
      </c>
      <c r="B276" s="3">
        <v>201840</v>
      </c>
      <c r="C276" s="3">
        <f t="shared" si="27"/>
        <v>40</v>
      </c>
      <c r="E276" s="4" t="str">
        <f t="shared" si="28"/>
        <v>2018-10-02</v>
      </c>
      <c r="F276" s="90">
        <v>40</v>
      </c>
      <c r="Q276" s="3" t="str">
        <f t="shared" si="24"/>
        <v>2018</v>
      </c>
      <c r="R276" s="3" t="str">
        <f t="shared" si="25"/>
        <v>1002</v>
      </c>
      <c r="S276" s="3" t="str">
        <f t="shared" si="29"/>
        <v>10</v>
      </c>
      <c r="T276" s="3" t="str">
        <f t="shared" si="26"/>
        <v>02</v>
      </c>
      <c r="U276" s="5" t="s">
        <v>40</v>
      </c>
    </row>
    <row r="277" spans="1:21">
      <c r="A277" s="3">
        <v>20181003</v>
      </c>
      <c r="B277" s="3">
        <v>201840</v>
      </c>
      <c r="C277" s="3">
        <f t="shared" si="27"/>
        <v>40</v>
      </c>
      <c r="E277" s="4" t="str">
        <f t="shared" si="28"/>
        <v>2018-10-03</v>
      </c>
      <c r="F277" s="90">
        <v>40</v>
      </c>
      <c r="Q277" s="3" t="str">
        <f t="shared" si="24"/>
        <v>2018</v>
      </c>
      <c r="R277" s="3" t="str">
        <f t="shared" si="25"/>
        <v>1003</v>
      </c>
      <c r="S277" s="3" t="str">
        <f t="shared" si="29"/>
        <v>10</v>
      </c>
      <c r="T277" s="3" t="str">
        <f t="shared" si="26"/>
        <v>03</v>
      </c>
      <c r="U277" s="5" t="s">
        <v>40</v>
      </c>
    </row>
    <row r="278" spans="1:21">
      <c r="A278" s="3">
        <v>20181004</v>
      </c>
      <c r="B278" s="3">
        <v>201840</v>
      </c>
      <c r="C278" s="3">
        <f t="shared" si="27"/>
        <v>40</v>
      </c>
      <c r="E278" s="4" t="str">
        <f t="shared" si="28"/>
        <v>2018-10-04</v>
      </c>
      <c r="F278" s="90">
        <v>40</v>
      </c>
      <c r="Q278" s="3" t="str">
        <f t="shared" si="24"/>
        <v>2018</v>
      </c>
      <c r="R278" s="3" t="str">
        <f t="shared" si="25"/>
        <v>1004</v>
      </c>
      <c r="S278" s="3" t="str">
        <f t="shared" si="29"/>
        <v>10</v>
      </c>
      <c r="T278" s="3" t="str">
        <f t="shared" si="26"/>
        <v>04</v>
      </c>
      <c r="U278" s="5" t="s">
        <v>40</v>
      </c>
    </row>
    <row r="279" spans="1:21">
      <c r="A279" s="3">
        <v>20181005</v>
      </c>
      <c r="B279" s="3">
        <v>201840</v>
      </c>
      <c r="C279" s="3">
        <f t="shared" si="27"/>
        <v>40</v>
      </c>
      <c r="E279" s="4" t="str">
        <f t="shared" si="28"/>
        <v>2018-10-05</v>
      </c>
      <c r="F279" s="90">
        <v>40</v>
      </c>
      <c r="Q279" s="3" t="str">
        <f t="shared" si="24"/>
        <v>2018</v>
      </c>
      <c r="R279" s="3" t="str">
        <f t="shared" si="25"/>
        <v>1005</v>
      </c>
      <c r="S279" s="3" t="str">
        <f t="shared" si="29"/>
        <v>10</v>
      </c>
      <c r="T279" s="3" t="str">
        <f t="shared" si="26"/>
        <v>05</v>
      </c>
      <c r="U279" s="5" t="s">
        <v>40</v>
      </c>
    </row>
    <row r="280" spans="1:21">
      <c r="A280" s="3">
        <v>20181006</v>
      </c>
      <c r="B280" s="3">
        <v>201841</v>
      </c>
      <c r="C280" s="3">
        <f t="shared" si="27"/>
        <v>41</v>
      </c>
      <c r="E280" s="4" t="str">
        <f t="shared" si="28"/>
        <v>2018-10-06</v>
      </c>
      <c r="F280" s="90">
        <v>41</v>
      </c>
      <c r="Q280" s="3" t="str">
        <f t="shared" si="24"/>
        <v>2018</v>
      </c>
      <c r="R280" s="3" t="str">
        <f t="shared" si="25"/>
        <v>1006</v>
      </c>
      <c r="S280" s="3" t="str">
        <f t="shared" si="29"/>
        <v>10</v>
      </c>
      <c r="T280" s="3" t="str">
        <f t="shared" si="26"/>
        <v>06</v>
      </c>
      <c r="U280" s="5" t="s">
        <v>40</v>
      </c>
    </row>
    <row r="281" spans="1:21">
      <c r="A281" s="3">
        <v>20181007</v>
      </c>
      <c r="B281" s="3">
        <v>201841</v>
      </c>
      <c r="C281" s="3">
        <f t="shared" si="27"/>
        <v>41</v>
      </c>
      <c r="E281" s="4" t="str">
        <f t="shared" si="28"/>
        <v>2018-10-07</v>
      </c>
      <c r="F281" s="90">
        <v>41</v>
      </c>
      <c r="Q281" s="3" t="str">
        <f t="shared" si="24"/>
        <v>2018</v>
      </c>
      <c r="R281" s="3" t="str">
        <f t="shared" si="25"/>
        <v>1007</v>
      </c>
      <c r="S281" s="3" t="str">
        <f t="shared" si="29"/>
        <v>10</v>
      </c>
      <c r="T281" s="3" t="str">
        <f t="shared" si="26"/>
        <v>07</v>
      </c>
      <c r="U281" s="5" t="s">
        <v>40</v>
      </c>
    </row>
    <row r="282" spans="1:21">
      <c r="A282" s="3">
        <v>20181008</v>
      </c>
      <c r="B282" s="3">
        <v>201841</v>
      </c>
      <c r="C282" s="3">
        <f t="shared" si="27"/>
        <v>41</v>
      </c>
      <c r="E282" s="4" t="str">
        <f t="shared" si="28"/>
        <v>2018-10-08</v>
      </c>
      <c r="F282" s="90">
        <v>41</v>
      </c>
      <c r="Q282" s="3" t="str">
        <f t="shared" si="24"/>
        <v>2018</v>
      </c>
      <c r="R282" s="3" t="str">
        <f t="shared" si="25"/>
        <v>1008</v>
      </c>
      <c r="S282" s="3" t="str">
        <f t="shared" si="29"/>
        <v>10</v>
      </c>
      <c r="T282" s="3" t="str">
        <f t="shared" si="26"/>
        <v>08</v>
      </c>
      <c r="U282" s="5" t="s">
        <v>40</v>
      </c>
    </row>
    <row r="283" spans="1:21">
      <c r="A283" s="3">
        <v>20181009</v>
      </c>
      <c r="B283" s="3">
        <v>201841</v>
      </c>
      <c r="C283" s="3">
        <f t="shared" si="27"/>
        <v>41</v>
      </c>
      <c r="E283" s="4" t="str">
        <f t="shared" si="28"/>
        <v>2018-10-09</v>
      </c>
      <c r="F283" s="90">
        <v>41</v>
      </c>
      <c r="Q283" s="3" t="str">
        <f t="shared" si="24"/>
        <v>2018</v>
      </c>
      <c r="R283" s="3" t="str">
        <f t="shared" si="25"/>
        <v>1009</v>
      </c>
      <c r="S283" s="3" t="str">
        <f t="shared" si="29"/>
        <v>10</v>
      </c>
      <c r="T283" s="3" t="str">
        <f t="shared" si="26"/>
        <v>09</v>
      </c>
      <c r="U283" s="5" t="s">
        <v>40</v>
      </c>
    </row>
    <row r="284" spans="1:21">
      <c r="A284" s="3">
        <v>20181010</v>
      </c>
      <c r="B284" s="3">
        <v>201841</v>
      </c>
      <c r="C284" s="3">
        <f t="shared" si="27"/>
        <v>41</v>
      </c>
      <c r="E284" s="4" t="str">
        <f t="shared" si="28"/>
        <v>2018-10-10</v>
      </c>
      <c r="F284" s="90">
        <v>41</v>
      </c>
      <c r="Q284" s="3" t="str">
        <f t="shared" si="24"/>
        <v>2018</v>
      </c>
      <c r="R284" s="3" t="str">
        <f t="shared" si="25"/>
        <v>1010</v>
      </c>
      <c r="S284" s="3" t="str">
        <f t="shared" si="29"/>
        <v>10</v>
      </c>
      <c r="T284" s="3" t="str">
        <f t="shared" si="26"/>
        <v>10</v>
      </c>
      <c r="U284" s="5" t="s">
        <v>40</v>
      </c>
    </row>
    <row r="285" spans="1:21">
      <c r="A285" s="3">
        <v>20181011</v>
      </c>
      <c r="B285" s="3">
        <v>201841</v>
      </c>
      <c r="C285" s="3">
        <f t="shared" si="27"/>
        <v>41</v>
      </c>
      <c r="E285" s="4" t="str">
        <f t="shared" si="28"/>
        <v>2018-10-11</v>
      </c>
      <c r="F285" s="90">
        <v>41</v>
      </c>
      <c r="Q285" s="3" t="str">
        <f t="shared" si="24"/>
        <v>2018</v>
      </c>
      <c r="R285" s="3" t="str">
        <f t="shared" si="25"/>
        <v>1011</v>
      </c>
      <c r="S285" s="3" t="str">
        <f t="shared" si="29"/>
        <v>10</v>
      </c>
      <c r="T285" s="3" t="str">
        <f t="shared" si="26"/>
        <v>11</v>
      </c>
      <c r="U285" s="5" t="s">
        <v>40</v>
      </c>
    </row>
    <row r="286" spans="1:21">
      <c r="A286" s="3">
        <v>20181012</v>
      </c>
      <c r="B286" s="3">
        <v>201841</v>
      </c>
      <c r="C286" s="3">
        <f t="shared" si="27"/>
        <v>41</v>
      </c>
      <c r="E286" s="4" t="str">
        <f t="shared" si="28"/>
        <v>2018-10-12</v>
      </c>
      <c r="F286" s="90">
        <v>41</v>
      </c>
      <c r="Q286" s="3" t="str">
        <f t="shared" si="24"/>
        <v>2018</v>
      </c>
      <c r="R286" s="3" t="str">
        <f t="shared" si="25"/>
        <v>1012</v>
      </c>
      <c r="S286" s="3" t="str">
        <f t="shared" si="29"/>
        <v>10</v>
      </c>
      <c r="T286" s="3" t="str">
        <f t="shared" si="26"/>
        <v>12</v>
      </c>
      <c r="U286" s="5" t="s">
        <v>40</v>
      </c>
    </row>
    <row r="287" spans="1:21">
      <c r="A287" s="3">
        <v>20181013</v>
      </c>
      <c r="B287" s="3">
        <v>201842</v>
      </c>
      <c r="C287" s="3">
        <f t="shared" si="27"/>
        <v>42</v>
      </c>
      <c r="E287" s="4" t="str">
        <f t="shared" si="28"/>
        <v>2018-10-13</v>
      </c>
      <c r="F287" s="90">
        <v>42</v>
      </c>
      <c r="Q287" s="3" t="str">
        <f t="shared" si="24"/>
        <v>2018</v>
      </c>
      <c r="R287" s="3" t="str">
        <f t="shared" si="25"/>
        <v>1013</v>
      </c>
      <c r="S287" s="3" t="str">
        <f t="shared" si="29"/>
        <v>10</v>
      </c>
      <c r="T287" s="3" t="str">
        <f t="shared" si="26"/>
        <v>13</v>
      </c>
      <c r="U287" s="5" t="s">
        <v>40</v>
      </c>
    </row>
    <row r="288" spans="1:21">
      <c r="A288" s="3">
        <v>20181014</v>
      </c>
      <c r="B288" s="3">
        <v>201842</v>
      </c>
      <c r="C288" s="3">
        <f t="shared" si="27"/>
        <v>42</v>
      </c>
      <c r="E288" s="4" t="str">
        <f t="shared" si="28"/>
        <v>2018-10-14</v>
      </c>
      <c r="F288" s="90">
        <v>42</v>
      </c>
      <c r="Q288" s="3" t="str">
        <f t="shared" si="24"/>
        <v>2018</v>
      </c>
      <c r="R288" s="3" t="str">
        <f t="shared" si="25"/>
        <v>1014</v>
      </c>
      <c r="S288" s="3" t="str">
        <f t="shared" si="29"/>
        <v>10</v>
      </c>
      <c r="T288" s="3" t="str">
        <f t="shared" si="26"/>
        <v>14</v>
      </c>
      <c r="U288" s="5" t="s">
        <v>40</v>
      </c>
    </row>
    <row r="289" spans="1:21">
      <c r="A289" s="3">
        <v>20181015</v>
      </c>
      <c r="B289" s="3">
        <v>201842</v>
      </c>
      <c r="C289" s="3">
        <f t="shared" si="27"/>
        <v>42</v>
      </c>
      <c r="E289" s="4" t="str">
        <f t="shared" si="28"/>
        <v>2018-10-15</v>
      </c>
      <c r="F289" s="90">
        <v>42</v>
      </c>
      <c r="Q289" s="3" t="str">
        <f t="shared" si="24"/>
        <v>2018</v>
      </c>
      <c r="R289" s="3" t="str">
        <f t="shared" si="25"/>
        <v>1015</v>
      </c>
      <c r="S289" s="3" t="str">
        <f t="shared" si="29"/>
        <v>10</v>
      </c>
      <c r="T289" s="3" t="str">
        <f t="shared" si="26"/>
        <v>15</v>
      </c>
      <c r="U289" s="5" t="s">
        <v>40</v>
      </c>
    </row>
    <row r="290" spans="1:21">
      <c r="A290" s="3">
        <v>20181016</v>
      </c>
      <c r="B290" s="3">
        <v>201842</v>
      </c>
      <c r="C290" s="3">
        <f t="shared" si="27"/>
        <v>42</v>
      </c>
      <c r="E290" s="4" t="str">
        <f t="shared" si="28"/>
        <v>2018-10-16</v>
      </c>
      <c r="F290" s="90">
        <v>42</v>
      </c>
      <c r="Q290" s="3" t="str">
        <f t="shared" si="24"/>
        <v>2018</v>
      </c>
      <c r="R290" s="3" t="str">
        <f t="shared" si="25"/>
        <v>1016</v>
      </c>
      <c r="S290" s="3" t="str">
        <f t="shared" si="29"/>
        <v>10</v>
      </c>
      <c r="T290" s="3" t="str">
        <f t="shared" si="26"/>
        <v>16</v>
      </c>
      <c r="U290" s="5" t="s">
        <v>40</v>
      </c>
    </row>
    <row r="291" spans="1:21">
      <c r="A291" s="3">
        <v>20181017</v>
      </c>
      <c r="B291" s="3">
        <v>201842</v>
      </c>
      <c r="C291" s="3">
        <f t="shared" si="27"/>
        <v>42</v>
      </c>
      <c r="E291" s="4" t="str">
        <f t="shared" si="28"/>
        <v>2018-10-17</v>
      </c>
      <c r="F291" s="90">
        <v>42</v>
      </c>
      <c r="Q291" s="3" t="str">
        <f t="shared" si="24"/>
        <v>2018</v>
      </c>
      <c r="R291" s="3" t="str">
        <f t="shared" si="25"/>
        <v>1017</v>
      </c>
      <c r="S291" s="3" t="str">
        <f t="shared" si="29"/>
        <v>10</v>
      </c>
      <c r="T291" s="3" t="str">
        <f t="shared" si="26"/>
        <v>17</v>
      </c>
      <c r="U291" s="5" t="s">
        <v>40</v>
      </c>
    </row>
    <row r="292" spans="1:21">
      <c r="A292" s="3">
        <v>20181018</v>
      </c>
      <c r="B292" s="3">
        <v>201842</v>
      </c>
      <c r="C292" s="3">
        <f t="shared" si="27"/>
        <v>42</v>
      </c>
      <c r="E292" s="4" t="str">
        <f t="shared" si="28"/>
        <v>2018-10-18</v>
      </c>
      <c r="F292" s="90">
        <v>42</v>
      </c>
      <c r="Q292" s="3" t="str">
        <f t="shared" si="24"/>
        <v>2018</v>
      </c>
      <c r="R292" s="3" t="str">
        <f t="shared" si="25"/>
        <v>1018</v>
      </c>
      <c r="S292" s="3" t="str">
        <f t="shared" si="29"/>
        <v>10</v>
      </c>
      <c r="T292" s="3" t="str">
        <f t="shared" si="26"/>
        <v>18</v>
      </c>
      <c r="U292" s="5" t="s">
        <v>40</v>
      </c>
    </row>
    <row r="293" spans="1:21">
      <c r="A293" s="3">
        <v>20181019</v>
      </c>
      <c r="B293" s="3">
        <v>201842</v>
      </c>
      <c r="C293" s="3">
        <f t="shared" si="27"/>
        <v>42</v>
      </c>
      <c r="E293" s="4" t="str">
        <f t="shared" si="28"/>
        <v>2018-10-19</v>
      </c>
      <c r="F293" s="90">
        <v>42</v>
      </c>
      <c r="Q293" s="3" t="str">
        <f t="shared" si="24"/>
        <v>2018</v>
      </c>
      <c r="R293" s="3" t="str">
        <f t="shared" si="25"/>
        <v>1019</v>
      </c>
      <c r="S293" s="3" t="str">
        <f t="shared" si="29"/>
        <v>10</v>
      </c>
      <c r="T293" s="3" t="str">
        <f t="shared" si="26"/>
        <v>19</v>
      </c>
      <c r="U293" s="5" t="s">
        <v>40</v>
      </c>
    </row>
    <row r="294" spans="1:21">
      <c r="A294" s="3">
        <v>20181020</v>
      </c>
      <c r="B294" s="3">
        <v>201843</v>
      </c>
      <c r="C294" s="3">
        <f t="shared" si="27"/>
        <v>43</v>
      </c>
      <c r="E294" s="4" t="str">
        <f t="shared" si="28"/>
        <v>2018-10-20</v>
      </c>
      <c r="F294" s="90">
        <v>43</v>
      </c>
      <c r="Q294" s="3" t="str">
        <f t="shared" si="24"/>
        <v>2018</v>
      </c>
      <c r="R294" s="3" t="str">
        <f t="shared" si="25"/>
        <v>1020</v>
      </c>
      <c r="S294" s="3" t="str">
        <f t="shared" si="29"/>
        <v>10</v>
      </c>
      <c r="T294" s="3" t="str">
        <f t="shared" si="26"/>
        <v>20</v>
      </c>
      <c r="U294" s="5" t="s">
        <v>40</v>
      </c>
    </row>
    <row r="295" spans="1:21">
      <c r="A295" s="3">
        <v>20181021</v>
      </c>
      <c r="B295" s="3">
        <v>201843</v>
      </c>
      <c r="C295" s="3">
        <f t="shared" si="27"/>
        <v>43</v>
      </c>
      <c r="E295" s="4" t="str">
        <f t="shared" si="28"/>
        <v>2018-10-21</v>
      </c>
      <c r="F295" s="90">
        <v>43</v>
      </c>
      <c r="Q295" s="3" t="str">
        <f t="shared" si="24"/>
        <v>2018</v>
      </c>
      <c r="R295" s="3" t="str">
        <f t="shared" si="25"/>
        <v>1021</v>
      </c>
      <c r="S295" s="3" t="str">
        <f t="shared" si="29"/>
        <v>10</v>
      </c>
      <c r="T295" s="3" t="str">
        <f t="shared" si="26"/>
        <v>21</v>
      </c>
      <c r="U295" s="5" t="s">
        <v>40</v>
      </c>
    </row>
    <row r="296" spans="1:21">
      <c r="A296" s="3">
        <v>20181022</v>
      </c>
      <c r="B296" s="3">
        <v>201843</v>
      </c>
      <c r="C296" s="3">
        <f t="shared" si="27"/>
        <v>43</v>
      </c>
      <c r="E296" s="4" t="str">
        <f t="shared" si="28"/>
        <v>2018-10-22</v>
      </c>
      <c r="F296" s="90">
        <v>43</v>
      </c>
      <c r="Q296" s="3" t="str">
        <f t="shared" si="24"/>
        <v>2018</v>
      </c>
      <c r="R296" s="3" t="str">
        <f t="shared" si="25"/>
        <v>1022</v>
      </c>
      <c r="S296" s="3" t="str">
        <f t="shared" si="29"/>
        <v>10</v>
      </c>
      <c r="T296" s="3" t="str">
        <f t="shared" si="26"/>
        <v>22</v>
      </c>
      <c r="U296" s="5" t="s">
        <v>40</v>
      </c>
    </row>
    <row r="297" spans="1:21">
      <c r="A297" s="3">
        <v>20181023</v>
      </c>
      <c r="B297" s="3">
        <v>201843</v>
      </c>
      <c r="C297" s="3">
        <f t="shared" si="27"/>
        <v>43</v>
      </c>
      <c r="E297" s="4" t="str">
        <f t="shared" si="28"/>
        <v>2018-10-23</v>
      </c>
      <c r="F297" s="90">
        <v>43</v>
      </c>
      <c r="Q297" s="3" t="str">
        <f t="shared" si="24"/>
        <v>2018</v>
      </c>
      <c r="R297" s="3" t="str">
        <f t="shared" si="25"/>
        <v>1023</v>
      </c>
      <c r="S297" s="3" t="str">
        <f t="shared" si="29"/>
        <v>10</v>
      </c>
      <c r="T297" s="3" t="str">
        <f t="shared" si="26"/>
        <v>23</v>
      </c>
      <c r="U297" s="5" t="s">
        <v>40</v>
      </c>
    </row>
    <row r="298" spans="1:21">
      <c r="A298" s="3">
        <v>20181024</v>
      </c>
      <c r="B298" s="3">
        <v>201843</v>
      </c>
      <c r="C298" s="3">
        <f t="shared" si="27"/>
        <v>43</v>
      </c>
      <c r="E298" s="4" t="str">
        <f t="shared" si="28"/>
        <v>2018-10-24</v>
      </c>
      <c r="F298" s="90">
        <v>43</v>
      </c>
      <c r="Q298" s="3" t="str">
        <f t="shared" si="24"/>
        <v>2018</v>
      </c>
      <c r="R298" s="3" t="str">
        <f t="shared" si="25"/>
        <v>1024</v>
      </c>
      <c r="S298" s="3" t="str">
        <f t="shared" si="29"/>
        <v>10</v>
      </c>
      <c r="T298" s="3" t="str">
        <f t="shared" si="26"/>
        <v>24</v>
      </c>
      <c r="U298" s="5" t="s">
        <v>40</v>
      </c>
    </row>
    <row r="299" spans="1:21">
      <c r="A299" s="3">
        <v>20181025</v>
      </c>
      <c r="B299" s="3">
        <v>201843</v>
      </c>
      <c r="C299" s="3">
        <f t="shared" si="27"/>
        <v>43</v>
      </c>
      <c r="E299" s="4" t="str">
        <f t="shared" si="28"/>
        <v>2018-10-25</v>
      </c>
      <c r="F299" s="90">
        <v>43</v>
      </c>
      <c r="Q299" s="3" t="str">
        <f t="shared" si="24"/>
        <v>2018</v>
      </c>
      <c r="R299" s="3" t="str">
        <f t="shared" si="25"/>
        <v>1025</v>
      </c>
      <c r="S299" s="3" t="str">
        <f t="shared" si="29"/>
        <v>10</v>
      </c>
      <c r="T299" s="3" t="str">
        <f t="shared" si="26"/>
        <v>25</v>
      </c>
      <c r="U299" s="5" t="s">
        <v>40</v>
      </c>
    </row>
    <row r="300" spans="1:21">
      <c r="A300" s="3">
        <v>20181026</v>
      </c>
      <c r="B300" s="3">
        <v>201843</v>
      </c>
      <c r="C300" s="3">
        <f t="shared" si="27"/>
        <v>43</v>
      </c>
      <c r="E300" s="4" t="str">
        <f t="shared" si="28"/>
        <v>2018-10-26</v>
      </c>
      <c r="F300" s="90">
        <v>43</v>
      </c>
      <c r="Q300" s="3" t="str">
        <f t="shared" si="24"/>
        <v>2018</v>
      </c>
      <c r="R300" s="3" t="str">
        <f t="shared" si="25"/>
        <v>1026</v>
      </c>
      <c r="S300" s="3" t="str">
        <f t="shared" si="29"/>
        <v>10</v>
      </c>
      <c r="T300" s="3" t="str">
        <f t="shared" si="26"/>
        <v>26</v>
      </c>
      <c r="U300" s="5" t="s">
        <v>40</v>
      </c>
    </row>
    <row r="301" spans="1:21">
      <c r="A301" s="3">
        <v>20181027</v>
      </c>
      <c r="B301" s="3">
        <v>201844</v>
      </c>
      <c r="C301" s="3">
        <f t="shared" si="27"/>
        <v>44</v>
      </c>
      <c r="E301" s="4" t="str">
        <f t="shared" si="28"/>
        <v>2018-10-27</v>
      </c>
      <c r="F301" s="90">
        <v>44</v>
      </c>
      <c r="Q301" s="3" t="str">
        <f t="shared" si="24"/>
        <v>2018</v>
      </c>
      <c r="R301" s="3" t="str">
        <f t="shared" si="25"/>
        <v>1027</v>
      </c>
      <c r="S301" s="3" t="str">
        <f t="shared" si="29"/>
        <v>10</v>
      </c>
      <c r="T301" s="3" t="str">
        <f t="shared" si="26"/>
        <v>27</v>
      </c>
      <c r="U301" s="5" t="s">
        <v>40</v>
      </c>
    </row>
    <row r="302" spans="1:21">
      <c r="A302" s="3">
        <v>20181028</v>
      </c>
      <c r="B302" s="3">
        <v>201844</v>
      </c>
      <c r="C302" s="3">
        <f t="shared" si="27"/>
        <v>44</v>
      </c>
      <c r="E302" s="4" t="str">
        <f t="shared" si="28"/>
        <v>2018-10-28</v>
      </c>
      <c r="F302" s="90">
        <v>44</v>
      </c>
      <c r="Q302" s="3" t="str">
        <f t="shared" si="24"/>
        <v>2018</v>
      </c>
      <c r="R302" s="3" t="str">
        <f t="shared" si="25"/>
        <v>1028</v>
      </c>
      <c r="S302" s="3" t="str">
        <f t="shared" si="29"/>
        <v>10</v>
      </c>
      <c r="T302" s="3" t="str">
        <f t="shared" si="26"/>
        <v>28</v>
      </c>
      <c r="U302" s="5" t="s">
        <v>40</v>
      </c>
    </row>
    <row r="303" spans="1:21">
      <c r="A303" s="3">
        <v>20181029</v>
      </c>
      <c r="B303" s="3">
        <v>201844</v>
      </c>
      <c r="C303" s="3">
        <f t="shared" si="27"/>
        <v>44</v>
      </c>
      <c r="E303" s="4" t="str">
        <f t="shared" si="28"/>
        <v>2018-10-29</v>
      </c>
      <c r="F303" s="90">
        <v>44</v>
      </c>
      <c r="Q303" s="3" t="str">
        <f t="shared" si="24"/>
        <v>2018</v>
      </c>
      <c r="R303" s="3" t="str">
        <f t="shared" si="25"/>
        <v>1029</v>
      </c>
      <c r="S303" s="3" t="str">
        <f t="shared" si="29"/>
        <v>10</v>
      </c>
      <c r="T303" s="3" t="str">
        <f t="shared" si="26"/>
        <v>29</v>
      </c>
      <c r="U303" s="5" t="s">
        <v>40</v>
      </c>
    </row>
    <row r="304" spans="1:21">
      <c r="A304" s="3">
        <v>20181030</v>
      </c>
      <c r="B304" s="3">
        <v>201844</v>
      </c>
      <c r="C304" s="3">
        <f t="shared" si="27"/>
        <v>44</v>
      </c>
      <c r="E304" s="4" t="str">
        <f t="shared" si="28"/>
        <v>2018-10-30</v>
      </c>
      <c r="F304" s="90">
        <v>44</v>
      </c>
      <c r="Q304" s="3" t="str">
        <f t="shared" si="24"/>
        <v>2018</v>
      </c>
      <c r="R304" s="3" t="str">
        <f t="shared" si="25"/>
        <v>1030</v>
      </c>
      <c r="S304" s="3" t="str">
        <f t="shared" si="29"/>
        <v>10</v>
      </c>
      <c r="T304" s="3" t="str">
        <f t="shared" si="26"/>
        <v>30</v>
      </c>
      <c r="U304" s="5" t="s">
        <v>40</v>
      </c>
    </row>
    <row r="305" spans="1:21">
      <c r="A305" s="3">
        <v>20181031</v>
      </c>
      <c r="B305" s="3">
        <v>201844</v>
      </c>
      <c r="C305" s="3">
        <f t="shared" si="27"/>
        <v>44</v>
      </c>
      <c r="E305" s="4" t="str">
        <f t="shared" si="28"/>
        <v>2018-10-31</v>
      </c>
      <c r="F305" s="90">
        <v>44</v>
      </c>
      <c r="Q305" s="3" t="str">
        <f t="shared" si="24"/>
        <v>2018</v>
      </c>
      <c r="R305" s="3" t="str">
        <f t="shared" si="25"/>
        <v>1031</v>
      </c>
      <c r="S305" s="3" t="str">
        <f t="shared" si="29"/>
        <v>10</v>
      </c>
      <c r="T305" s="3" t="str">
        <f t="shared" si="26"/>
        <v>31</v>
      </c>
      <c r="U305" s="5" t="s">
        <v>40</v>
      </c>
    </row>
    <row r="306" spans="1:21">
      <c r="A306" s="3">
        <v>20181101</v>
      </c>
      <c r="B306" s="3">
        <v>201844</v>
      </c>
      <c r="C306" s="3">
        <f t="shared" si="27"/>
        <v>44</v>
      </c>
      <c r="E306" s="4" t="str">
        <f t="shared" si="28"/>
        <v>2018-11-01</v>
      </c>
      <c r="F306" s="90">
        <v>44</v>
      </c>
      <c r="Q306" s="3" t="str">
        <f t="shared" si="24"/>
        <v>2018</v>
      </c>
      <c r="R306" s="3" t="str">
        <f t="shared" si="25"/>
        <v>1101</v>
      </c>
      <c r="S306" s="3" t="str">
        <f t="shared" si="29"/>
        <v>11</v>
      </c>
      <c r="T306" s="3" t="str">
        <f t="shared" si="26"/>
        <v>01</v>
      </c>
      <c r="U306" s="5" t="s">
        <v>40</v>
      </c>
    </row>
    <row r="307" spans="1:21">
      <c r="A307" s="3">
        <v>20181102</v>
      </c>
      <c r="B307" s="3">
        <v>201844</v>
      </c>
      <c r="C307" s="3">
        <f t="shared" si="27"/>
        <v>44</v>
      </c>
      <c r="E307" s="4" t="str">
        <f t="shared" si="28"/>
        <v>2018-11-02</v>
      </c>
      <c r="F307" s="90">
        <v>44</v>
      </c>
      <c r="Q307" s="3" t="str">
        <f t="shared" si="24"/>
        <v>2018</v>
      </c>
      <c r="R307" s="3" t="str">
        <f t="shared" si="25"/>
        <v>1102</v>
      </c>
      <c r="S307" s="3" t="str">
        <f t="shared" si="29"/>
        <v>11</v>
      </c>
      <c r="T307" s="3" t="str">
        <f t="shared" si="26"/>
        <v>02</v>
      </c>
      <c r="U307" s="5" t="s">
        <v>40</v>
      </c>
    </row>
    <row r="308" spans="1:21">
      <c r="A308" s="3">
        <v>20181103</v>
      </c>
      <c r="B308" s="3">
        <v>201845</v>
      </c>
      <c r="C308" s="3">
        <f t="shared" si="27"/>
        <v>45</v>
      </c>
      <c r="E308" s="4" t="str">
        <f t="shared" si="28"/>
        <v>2018-11-03</v>
      </c>
      <c r="F308" s="90">
        <v>45</v>
      </c>
      <c r="Q308" s="3" t="str">
        <f t="shared" si="24"/>
        <v>2018</v>
      </c>
      <c r="R308" s="3" t="str">
        <f t="shared" si="25"/>
        <v>1103</v>
      </c>
      <c r="S308" s="3" t="str">
        <f t="shared" si="29"/>
        <v>11</v>
      </c>
      <c r="T308" s="3" t="str">
        <f t="shared" si="26"/>
        <v>03</v>
      </c>
      <c r="U308" s="5" t="s">
        <v>40</v>
      </c>
    </row>
    <row r="309" spans="1:21">
      <c r="A309" s="3">
        <v>20181104</v>
      </c>
      <c r="B309" s="3">
        <v>201845</v>
      </c>
      <c r="C309" s="3">
        <f t="shared" si="27"/>
        <v>45</v>
      </c>
      <c r="E309" s="4" t="str">
        <f t="shared" si="28"/>
        <v>2018-11-04</v>
      </c>
      <c r="F309" s="90">
        <v>45</v>
      </c>
      <c r="Q309" s="3" t="str">
        <f t="shared" si="24"/>
        <v>2018</v>
      </c>
      <c r="R309" s="3" t="str">
        <f t="shared" si="25"/>
        <v>1104</v>
      </c>
      <c r="S309" s="3" t="str">
        <f t="shared" si="29"/>
        <v>11</v>
      </c>
      <c r="T309" s="3" t="str">
        <f t="shared" si="26"/>
        <v>04</v>
      </c>
      <c r="U309" s="5" t="s">
        <v>40</v>
      </c>
    </row>
    <row r="310" spans="1:21">
      <c r="A310" s="3">
        <v>20181105</v>
      </c>
      <c r="B310" s="3">
        <v>201845</v>
      </c>
      <c r="C310" s="3">
        <f t="shared" si="27"/>
        <v>45</v>
      </c>
      <c r="E310" s="4" t="str">
        <f t="shared" si="28"/>
        <v>2018-11-05</v>
      </c>
      <c r="F310" s="90">
        <v>45</v>
      </c>
      <c r="Q310" s="3" t="str">
        <f t="shared" si="24"/>
        <v>2018</v>
      </c>
      <c r="R310" s="3" t="str">
        <f t="shared" si="25"/>
        <v>1105</v>
      </c>
      <c r="S310" s="3" t="str">
        <f t="shared" si="29"/>
        <v>11</v>
      </c>
      <c r="T310" s="3" t="str">
        <f t="shared" si="26"/>
        <v>05</v>
      </c>
      <c r="U310" s="5" t="s">
        <v>40</v>
      </c>
    </row>
    <row r="311" spans="1:21">
      <c r="A311" s="3">
        <v>20181106</v>
      </c>
      <c r="B311" s="3">
        <v>201845</v>
      </c>
      <c r="C311" s="3">
        <f t="shared" si="27"/>
        <v>45</v>
      </c>
      <c r="E311" s="4" t="str">
        <f t="shared" si="28"/>
        <v>2018-11-06</v>
      </c>
      <c r="F311" s="90">
        <v>45</v>
      </c>
      <c r="Q311" s="3" t="str">
        <f t="shared" si="24"/>
        <v>2018</v>
      </c>
      <c r="R311" s="3" t="str">
        <f t="shared" si="25"/>
        <v>1106</v>
      </c>
      <c r="S311" s="3" t="str">
        <f t="shared" si="29"/>
        <v>11</v>
      </c>
      <c r="T311" s="3" t="str">
        <f t="shared" si="26"/>
        <v>06</v>
      </c>
      <c r="U311" s="5" t="s">
        <v>40</v>
      </c>
    </row>
    <row r="312" spans="1:21">
      <c r="A312" s="3">
        <v>20181107</v>
      </c>
      <c r="B312" s="3">
        <v>201845</v>
      </c>
      <c r="C312" s="3">
        <f t="shared" si="27"/>
        <v>45</v>
      </c>
      <c r="E312" s="4" t="str">
        <f t="shared" si="28"/>
        <v>2018-11-07</v>
      </c>
      <c r="F312" s="90">
        <v>45</v>
      </c>
      <c r="Q312" s="3" t="str">
        <f t="shared" si="24"/>
        <v>2018</v>
      </c>
      <c r="R312" s="3" t="str">
        <f t="shared" si="25"/>
        <v>1107</v>
      </c>
      <c r="S312" s="3" t="str">
        <f t="shared" si="29"/>
        <v>11</v>
      </c>
      <c r="T312" s="3" t="str">
        <f t="shared" si="26"/>
        <v>07</v>
      </c>
      <c r="U312" s="5" t="s">
        <v>40</v>
      </c>
    </row>
    <row r="313" spans="1:21">
      <c r="A313" s="3">
        <v>20181108</v>
      </c>
      <c r="B313" s="3">
        <v>201845</v>
      </c>
      <c r="C313" s="3">
        <f t="shared" si="27"/>
        <v>45</v>
      </c>
      <c r="E313" s="4" t="str">
        <f t="shared" si="28"/>
        <v>2018-11-08</v>
      </c>
      <c r="F313" s="90">
        <v>45</v>
      </c>
      <c r="Q313" s="3" t="str">
        <f t="shared" si="24"/>
        <v>2018</v>
      </c>
      <c r="R313" s="3" t="str">
        <f t="shared" si="25"/>
        <v>1108</v>
      </c>
      <c r="S313" s="3" t="str">
        <f t="shared" si="29"/>
        <v>11</v>
      </c>
      <c r="T313" s="3" t="str">
        <f t="shared" si="26"/>
        <v>08</v>
      </c>
      <c r="U313" s="5" t="s">
        <v>40</v>
      </c>
    </row>
    <row r="314" spans="1:21">
      <c r="A314" s="3">
        <v>20181109</v>
      </c>
      <c r="B314" s="3">
        <v>201845</v>
      </c>
      <c r="C314" s="3">
        <f t="shared" si="27"/>
        <v>45</v>
      </c>
      <c r="E314" s="4" t="str">
        <f t="shared" si="28"/>
        <v>2018-11-09</v>
      </c>
      <c r="F314" s="90">
        <v>45</v>
      </c>
      <c r="Q314" s="3" t="str">
        <f t="shared" si="24"/>
        <v>2018</v>
      </c>
      <c r="R314" s="3" t="str">
        <f t="shared" si="25"/>
        <v>1109</v>
      </c>
      <c r="S314" s="3" t="str">
        <f t="shared" si="29"/>
        <v>11</v>
      </c>
      <c r="T314" s="3" t="str">
        <f t="shared" si="26"/>
        <v>09</v>
      </c>
      <c r="U314" s="5" t="s">
        <v>40</v>
      </c>
    </row>
    <row r="315" spans="1:21">
      <c r="A315" s="3">
        <v>20181110</v>
      </c>
      <c r="B315" s="3">
        <v>201846</v>
      </c>
      <c r="C315" s="3">
        <f t="shared" si="27"/>
        <v>46</v>
      </c>
      <c r="E315" s="4" t="str">
        <f t="shared" si="28"/>
        <v>2018-11-10</v>
      </c>
      <c r="F315" s="90">
        <v>46</v>
      </c>
      <c r="Q315" s="3" t="str">
        <f t="shared" si="24"/>
        <v>2018</v>
      </c>
      <c r="R315" s="3" t="str">
        <f t="shared" si="25"/>
        <v>1110</v>
      </c>
      <c r="S315" s="3" t="str">
        <f t="shared" si="29"/>
        <v>11</v>
      </c>
      <c r="T315" s="3" t="str">
        <f t="shared" si="26"/>
        <v>10</v>
      </c>
      <c r="U315" s="5" t="s">
        <v>40</v>
      </c>
    </row>
    <row r="316" spans="1:21">
      <c r="A316" s="3">
        <v>20181111</v>
      </c>
      <c r="B316" s="3">
        <v>201846</v>
      </c>
      <c r="C316" s="3">
        <f t="shared" si="27"/>
        <v>46</v>
      </c>
      <c r="E316" s="4" t="str">
        <f t="shared" si="28"/>
        <v>2018-11-11</v>
      </c>
      <c r="F316" s="90">
        <v>46</v>
      </c>
      <c r="Q316" s="3" t="str">
        <f t="shared" si="24"/>
        <v>2018</v>
      </c>
      <c r="R316" s="3" t="str">
        <f t="shared" si="25"/>
        <v>1111</v>
      </c>
      <c r="S316" s="3" t="str">
        <f t="shared" si="29"/>
        <v>11</v>
      </c>
      <c r="T316" s="3" t="str">
        <f t="shared" si="26"/>
        <v>11</v>
      </c>
      <c r="U316" s="5" t="s">
        <v>40</v>
      </c>
    </row>
    <row r="317" spans="1:21">
      <c r="A317" s="3">
        <v>20181112</v>
      </c>
      <c r="B317" s="3">
        <v>201846</v>
      </c>
      <c r="C317" s="3">
        <f t="shared" si="27"/>
        <v>46</v>
      </c>
      <c r="E317" s="4" t="str">
        <f t="shared" si="28"/>
        <v>2018-11-12</v>
      </c>
      <c r="F317" s="90">
        <v>46</v>
      </c>
      <c r="Q317" s="3" t="str">
        <f t="shared" si="24"/>
        <v>2018</v>
      </c>
      <c r="R317" s="3" t="str">
        <f t="shared" si="25"/>
        <v>1112</v>
      </c>
      <c r="S317" s="3" t="str">
        <f t="shared" si="29"/>
        <v>11</v>
      </c>
      <c r="T317" s="3" t="str">
        <f t="shared" si="26"/>
        <v>12</v>
      </c>
      <c r="U317" s="5" t="s">
        <v>40</v>
      </c>
    </row>
    <row r="318" spans="1:21">
      <c r="A318" s="3">
        <v>20181113</v>
      </c>
      <c r="B318" s="3">
        <v>201846</v>
      </c>
      <c r="C318" s="3">
        <f t="shared" si="27"/>
        <v>46</v>
      </c>
      <c r="E318" s="4" t="str">
        <f t="shared" si="28"/>
        <v>2018-11-13</v>
      </c>
      <c r="F318" s="90">
        <v>46</v>
      </c>
      <c r="Q318" s="3" t="str">
        <f t="shared" si="24"/>
        <v>2018</v>
      </c>
      <c r="R318" s="3" t="str">
        <f t="shared" si="25"/>
        <v>1113</v>
      </c>
      <c r="S318" s="3" t="str">
        <f t="shared" si="29"/>
        <v>11</v>
      </c>
      <c r="T318" s="3" t="str">
        <f t="shared" si="26"/>
        <v>13</v>
      </c>
      <c r="U318" s="5" t="s">
        <v>40</v>
      </c>
    </row>
    <row r="319" spans="1:21">
      <c r="A319" s="3">
        <v>20181114</v>
      </c>
      <c r="B319" s="3">
        <v>201846</v>
      </c>
      <c r="C319" s="3">
        <f t="shared" si="27"/>
        <v>46</v>
      </c>
      <c r="E319" s="4" t="str">
        <f t="shared" si="28"/>
        <v>2018-11-14</v>
      </c>
      <c r="F319" s="90">
        <v>46</v>
      </c>
      <c r="Q319" s="3" t="str">
        <f t="shared" si="24"/>
        <v>2018</v>
      </c>
      <c r="R319" s="3" t="str">
        <f t="shared" si="25"/>
        <v>1114</v>
      </c>
      <c r="S319" s="3" t="str">
        <f t="shared" si="29"/>
        <v>11</v>
      </c>
      <c r="T319" s="3" t="str">
        <f t="shared" si="26"/>
        <v>14</v>
      </c>
      <c r="U319" s="5" t="s">
        <v>40</v>
      </c>
    </row>
    <row r="320" spans="1:21">
      <c r="A320" s="3">
        <v>20181115</v>
      </c>
      <c r="B320" s="3">
        <v>201846</v>
      </c>
      <c r="C320" s="3">
        <f t="shared" si="27"/>
        <v>46</v>
      </c>
      <c r="E320" s="4" t="str">
        <f t="shared" si="28"/>
        <v>2018-11-15</v>
      </c>
      <c r="F320" s="90">
        <v>46</v>
      </c>
      <c r="Q320" s="3" t="str">
        <f t="shared" si="24"/>
        <v>2018</v>
      </c>
      <c r="R320" s="3" t="str">
        <f t="shared" si="25"/>
        <v>1115</v>
      </c>
      <c r="S320" s="3" t="str">
        <f t="shared" si="29"/>
        <v>11</v>
      </c>
      <c r="T320" s="3" t="str">
        <f t="shared" si="26"/>
        <v>15</v>
      </c>
      <c r="U320" s="5" t="s">
        <v>40</v>
      </c>
    </row>
    <row r="321" spans="1:21">
      <c r="A321" s="3">
        <v>20181116</v>
      </c>
      <c r="B321" s="3">
        <v>201846</v>
      </c>
      <c r="C321" s="3">
        <f t="shared" si="27"/>
        <v>46</v>
      </c>
      <c r="E321" s="4" t="str">
        <f t="shared" si="28"/>
        <v>2018-11-16</v>
      </c>
      <c r="F321" s="90">
        <v>46</v>
      </c>
      <c r="Q321" s="3" t="str">
        <f t="shared" si="24"/>
        <v>2018</v>
      </c>
      <c r="R321" s="3" t="str">
        <f t="shared" si="25"/>
        <v>1116</v>
      </c>
      <c r="S321" s="3" t="str">
        <f t="shared" si="29"/>
        <v>11</v>
      </c>
      <c r="T321" s="3" t="str">
        <f t="shared" si="26"/>
        <v>16</v>
      </c>
      <c r="U321" s="5" t="s">
        <v>40</v>
      </c>
    </row>
    <row r="322" spans="1:21">
      <c r="A322" s="3">
        <v>20181117</v>
      </c>
      <c r="B322" s="3">
        <v>201847</v>
      </c>
      <c r="C322" s="3">
        <f t="shared" si="27"/>
        <v>47</v>
      </c>
      <c r="E322" s="4" t="str">
        <f t="shared" si="28"/>
        <v>2018-11-17</v>
      </c>
      <c r="F322" s="90">
        <v>47</v>
      </c>
      <c r="Q322" s="3" t="str">
        <f t="shared" ref="Q322:Q366" si="30">LEFT(A322,4)</f>
        <v>2018</v>
      </c>
      <c r="R322" s="3" t="str">
        <f t="shared" ref="R322:R366" si="31">RIGHT(A322,4)</f>
        <v>1117</v>
      </c>
      <c r="S322" s="3" t="str">
        <f t="shared" si="29"/>
        <v>11</v>
      </c>
      <c r="T322" s="3" t="str">
        <f t="shared" si="26"/>
        <v>17</v>
      </c>
      <c r="U322" s="5" t="s">
        <v>40</v>
      </c>
    </row>
    <row r="323" spans="1:21">
      <c r="A323" s="3">
        <v>20181118</v>
      </c>
      <c r="B323" s="3">
        <v>201847</v>
      </c>
      <c r="C323" s="3">
        <f t="shared" ref="C323:C366" si="32">B323-201800</f>
        <v>47</v>
      </c>
      <c r="E323" s="4" t="str">
        <f t="shared" ref="E323:E366" si="33">Q323&amp;U323&amp;S323&amp;U323&amp;T323</f>
        <v>2018-11-18</v>
      </c>
      <c r="F323" s="90">
        <v>47</v>
      </c>
      <c r="Q323" s="3" t="str">
        <f t="shared" si="30"/>
        <v>2018</v>
      </c>
      <c r="R323" s="3" t="str">
        <f t="shared" si="31"/>
        <v>1118</v>
      </c>
      <c r="S323" s="3" t="str">
        <f t="shared" ref="S323:S366" si="34">LEFT(R323,2)</f>
        <v>11</v>
      </c>
      <c r="T323" s="3" t="str">
        <f t="shared" ref="T323:T366" si="35">RIGHT(A323,2)</f>
        <v>18</v>
      </c>
      <c r="U323" s="5" t="s">
        <v>40</v>
      </c>
    </row>
    <row r="324" spans="1:21">
      <c r="A324" s="3">
        <v>20181119</v>
      </c>
      <c r="B324" s="3">
        <v>201847</v>
      </c>
      <c r="C324" s="3">
        <f t="shared" si="32"/>
        <v>47</v>
      </c>
      <c r="E324" s="4" t="str">
        <f t="shared" si="33"/>
        <v>2018-11-19</v>
      </c>
      <c r="F324" s="90">
        <v>47</v>
      </c>
      <c r="Q324" s="3" t="str">
        <f t="shared" si="30"/>
        <v>2018</v>
      </c>
      <c r="R324" s="3" t="str">
        <f t="shared" si="31"/>
        <v>1119</v>
      </c>
      <c r="S324" s="3" t="str">
        <f t="shared" si="34"/>
        <v>11</v>
      </c>
      <c r="T324" s="3" t="str">
        <f t="shared" si="35"/>
        <v>19</v>
      </c>
      <c r="U324" s="5" t="s">
        <v>40</v>
      </c>
    </row>
    <row r="325" spans="1:21">
      <c r="A325" s="3">
        <v>20181120</v>
      </c>
      <c r="B325" s="3">
        <v>201847</v>
      </c>
      <c r="C325" s="3">
        <f t="shared" si="32"/>
        <v>47</v>
      </c>
      <c r="E325" s="4" t="str">
        <f t="shared" si="33"/>
        <v>2018-11-20</v>
      </c>
      <c r="F325" s="90">
        <v>47</v>
      </c>
      <c r="Q325" s="3" t="str">
        <f t="shared" si="30"/>
        <v>2018</v>
      </c>
      <c r="R325" s="3" t="str">
        <f t="shared" si="31"/>
        <v>1120</v>
      </c>
      <c r="S325" s="3" t="str">
        <f t="shared" si="34"/>
        <v>11</v>
      </c>
      <c r="T325" s="3" t="str">
        <f t="shared" si="35"/>
        <v>20</v>
      </c>
      <c r="U325" s="5" t="s">
        <v>40</v>
      </c>
    </row>
    <row r="326" spans="1:21">
      <c r="A326" s="3">
        <v>20181121</v>
      </c>
      <c r="B326" s="3">
        <v>201847</v>
      </c>
      <c r="C326" s="3">
        <f t="shared" si="32"/>
        <v>47</v>
      </c>
      <c r="E326" s="4" t="str">
        <f t="shared" si="33"/>
        <v>2018-11-21</v>
      </c>
      <c r="F326" s="90">
        <v>47</v>
      </c>
      <c r="Q326" s="3" t="str">
        <f t="shared" si="30"/>
        <v>2018</v>
      </c>
      <c r="R326" s="3" t="str">
        <f t="shared" si="31"/>
        <v>1121</v>
      </c>
      <c r="S326" s="3" t="str">
        <f t="shared" si="34"/>
        <v>11</v>
      </c>
      <c r="T326" s="3" t="str">
        <f t="shared" si="35"/>
        <v>21</v>
      </c>
      <c r="U326" s="5" t="s">
        <v>40</v>
      </c>
    </row>
    <row r="327" spans="1:21">
      <c r="A327" s="3">
        <v>20181122</v>
      </c>
      <c r="B327" s="3">
        <v>201847</v>
      </c>
      <c r="C327" s="3">
        <f t="shared" si="32"/>
        <v>47</v>
      </c>
      <c r="E327" s="4" t="str">
        <f t="shared" si="33"/>
        <v>2018-11-22</v>
      </c>
      <c r="F327" s="90">
        <v>47</v>
      </c>
      <c r="Q327" s="3" t="str">
        <f t="shared" si="30"/>
        <v>2018</v>
      </c>
      <c r="R327" s="3" t="str">
        <f t="shared" si="31"/>
        <v>1122</v>
      </c>
      <c r="S327" s="3" t="str">
        <f t="shared" si="34"/>
        <v>11</v>
      </c>
      <c r="T327" s="3" t="str">
        <f t="shared" si="35"/>
        <v>22</v>
      </c>
      <c r="U327" s="5" t="s">
        <v>40</v>
      </c>
    </row>
    <row r="328" spans="1:21">
      <c r="A328" s="3">
        <v>20181123</v>
      </c>
      <c r="B328" s="3">
        <v>201847</v>
      </c>
      <c r="C328" s="3">
        <f t="shared" si="32"/>
        <v>47</v>
      </c>
      <c r="E328" s="4" t="str">
        <f t="shared" si="33"/>
        <v>2018-11-23</v>
      </c>
      <c r="F328" s="90">
        <v>47</v>
      </c>
      <c r="Q328" s="3" t="str">
        <f t="shared" si="30"/>
        <v>2018</v>
      </c>
      <c r="R328" s="3" t="str">
        <f t="shared" si="31"/>
        <v>1123</v>
      </c>
      <c r="S328" s="3" t="str">
        <f t="shared" si="34"/>
        <v>11</v>
      </c>
      <c r="T328" s="3" t="str">
        <f t="shared" si="35"/>
        <v>23</v>
      </c>
      <c r="U328" s="5" t="s">
        <v>40</v>
      </c>
    </row>
    <row r="329" spans="1:21">
      <c r="A329" s="3">
        <v>20181124</v>
      </c>
      <c r="B329" s="3">
        <v>201848</v>
      </c>
      <c r="C329" s="3">
        <f t="shared" si="32"/>
        <v>48</v>
      </c>
      <c r="E329" s="4" t="str">
        <f t="shared" si="33"/>
        <v>2018-11-24</v>
      </c>
      <c r="F329" s="90">
        <v>48</v>
      </c>
      <c r="Q329" s="3" t="str">
        <f t="shared" si="30"/>
        <v>2018</v>
      </c>
      <c r="R329" s="3" t="str">
        <f t="shared" si="31"/>
        <v>1124</v>
      </c>
      <c r="S329" s="3" t="str">
        <f t="shared" si="34"/>
        <v>11</v>
      </c>
      <c r="T329" s="3" t="str">
        <f t="shared" si="35"/>
        <v>24</v>
      </c>
      <c r="U329" s="5" t="s">
        <v>40</v>
      </c>
    </row>
    <row r="330" spans="1:21">
      <c r="A330" s="3">
        <v>20181125</v>
      </c>
      <c r="B330" s="3">
        <v>201848</v>
      </c>
      <c r="C330" s="3">
        <f t="shared" si="32"/>
        <v>48</v>
      </c>
      <c r="E330" s="4" t="str">
        <f t="shared" si="33"/>
        <v>2018-11-25</v>
      </c>
      <c r="F330" s="90">
        <v>48</v>
      </c>
      <c r="Q330" s="3" t="str">
        <f t="shared" si="30"/>
        <v>2018</v>
      </c>
      <c r="R330" s="3" t="str">
        <f t="shared" si="31"/>
        <v>1125</v>
      </c>
      <c r="S330" s="3" t="str">
        <f t="shared" si="34"/>
        <v>11</v>
      </c>
      <c r="T330" s="3" t="str">
        <f t="shared" si="35"/>
        <v>25</v>
      </c>
      <c r="U330" s="5" t="s">
        <v>40</v>
      </c>
    </row>
    <row r="331" spans="1:21">
      <c r="A331" s="3">
        <v>20181126</v>
      </c>
      <c r="B331" s="3">
        <v>201848</v>
      </c>
      <c r="C331" s="3">
        <f t="shared" si="32"/>
        <v>48</v>
      </c>
      <c r="E331" s="4" t="str">
        <f t="shared" si="33"/>
        <v>2018-11-26</v>
      </c>
      <c r="F331" s="90">
        <v>48</v>
      </c>
      <c r="Q331" s="3" t="str">
        <f t="shared" si="30"/>
        <v>2018</v>
      </c>
      <c r="R331" s="3" t="str">
        <f t="shared" si="31"/>
        <v>1126</v>
      </c>
      <c r="S331" s="3" t="str">
        <f t="shared" si="34"/>
        <v>11</v>
      </c>
      <c r="T331" s="3" t="str">
        <f t="shared" si="35"/>
        <v>26</v>
      </c>
      <c r="U331" s="5" t="s">
        <v>40</v>
      </c>
    </row>
    <row r="332" spans="1:21">
      <c r="A332" s="3">
        <v>20181127</v>
      </c>
      <c r="B332" s="3">
        <v>201848</v>
      </c>
      <c r="C332" s="3">
        <f t="shared" si="32"/>
        <v>48</v>
      </c>
      <c r="E332" s="4" t="str">
        <f t="shared" si="33"/>
        <v>2018-11-27</v>
      </c>
      <c r="F332" s="90">
        <v>48</v>
      </c>
      <c r="Q332" s="3" t="str">
        <f t="shared" si="30"/>
        <v>2018</v>
      </c>
      <c r="R332" s="3" t="str">
        <f t="shared" si="31"/>
        <v>1127</v>
      </c>
      <c r="S332" s="3" t="str">
        <f t="shared" si="34"/>
        <v>11</v>
      </c>
      <c r="T332" s="3" t="str">
        <f t="shared" si="35"/>
        <v>27</v>
      </c>
      <c r="U332" s="5" t="s">
        <v>40</v>
      </c>
    </row>
    <row r="333" spans="1:21">
      <c r="A333" s="3">
        <v>20181128</v>
      </c>
      <c r="B333" s="3">
        <v>201848</v>
      </c>
      <c r="C333" s="3">
        <f t="shared" si="32"/>
        <v>48</v>
      </c>
      <c r="E333" s="4" t="str">
        <f t="shared" si="33"/>
        <v>2018-11-28</v>
      </c>
      <c r="F333" s="90">
        <v>48</v>
      </c>
      <c r="Q333" s="3" t="str">
        <f t="shared" si="30"/>
        <v>2018</v>
      </c>
      <c r="R333" s="3" t="str">
        <f t="shared" si="31"/>
        <v>1128</v>
      </c>
      <c r="S333" s="3" t="str">
        <f t="shared" si="34"/>
        <v>11</v>
      </c>
      <c r="T333" s="3" t="str">
        <f t="shared" si="35"/>
        <v>28</v>
      </c>
      <c r="U333" s="5" t="s">
        <v>40</v>
      </c>
    </row>
    <row r="334" spans="1:21">
      <c r="A334" s="3">
        <v>20181129</v>
      </c>
      <c r="B334" s="3">
        <v>201848</v>
      </c>
      <c r="C334" s="3">
        <f t="shared" si="32"/>
        <v>48</v>
      </c>
      <c r="E334" s="4" t="str">
        <f t="shared" si="33"/>
        <v>2018-11-29</v>
      </c>
      <c r="F334" s="90">
        <v>48</v>
      </c>
      <c r="Q334" s="3" t="str">
        <f t="shared" si="30"/>
        <v>2018</v>
      </c>
      <c r="R334" s="3" t="str">
        <f t="shared" si="31"/>
        <v>1129</v>
      </c>
      <c r="S334" s="3" t="str">
        <f t="shared" si="34"/>
        <v>11</v>
      </c>
      <c r="T334" s="3" t="str">
        <f t="shared" si="35"/>
        <v>29</v>
      </c>
      <c r="U334" s="5" t="s">
        <v>40</v>
      </c>
    </row>
    <row r="335" spans="1:21">
      <c r="A335" s="3">
        <v>20181130</v>
      </c>
      <c r="B335" s="3">
        <v>201848</v>
      </c>
      <c r="C335" s="3">
        <f t="shared" si="32"/>
        <v>48</v>
      </c>
      <c r="E335" s="4" t="str">
        <f t="shared" si="33"/>
        <v>2018-11-30</v>
      </c>
      <c r="F335" s="90">
        <v>48</v>
      </c>
      <c r="Q335" s="3" t="str">
        <f t="shared" si="30"/>
        <v>2018</v>
      </c>
      <c r="R335" s="3" t="str">
        <f t="shared" si="31"/>
        <v>1130</v>
      </c>
      <c r="S335" s="3" t="str">
        <f t="shared" si="34"/>
        <v>11</v>
      </c>
      <c r="T335" s="3" t="str">
        <f t="shared" si="35"/>
        <v>30</v>
      </c>
      <c r="U335" s="5" t="s">
        <v>40</v>
      </c>
    </row>
    <row r="336" spans="1:21">
      <c r="A336" s="3">
        <v>20181201</v>
      </c>
      <c r="B336" s="3">
        <v>201849</v>
      </c>
      <c r="C336" s="3">
        <f t="shared" si="32"/>
        <v>49</v>
      </c>
      <c r="E336" s="4" t="str">
        <f t="shared" si="33"/>
        <v>2018-12-01</v>
      </c>
      <c r="F336" s="90">
        <v>49</v>
      </c>
      <c r="Q336" s="3" t="str">
        <f t="shared" si="30"/>
        <v>2018</v>
      </c>
      <c r="R336" s="3" t="str">
        <f t="shared" si="31"/>
        <v>1201</v>
      </c>
      <c r="S336" s="3" t="str">
        <f t="shared" si="34"/>
        <v>12</v>
      </c>
      <c r="T336" s="3" t="str">
        <f t="shared" si="35"/>
        <v>01</v>
      </c>
      <c r="U336" s="5" t="s">
        <v>40</v>
      </c>
    </row>
    <row r="337" spans="1:21">
      <c r="A337" s="3">
        <v>20181202</v>
      </c>
      <c r="B337" s="3">
        <v>201849</v>
      </c>
      <c r="C337" s="3">
        <f t="shared" si="32"/>
        <v>49</v>
      </c>
      <c r="E337" s="4" t="str">
        <f t="shared" si="33"/>
        <v>2018-12-02</v>
      </c>
      <c r="F337" s="90">
        <v>49</v>
      </c>
      <c r="Q337" s="3" t="str">
        <f t="shared" si="30"/>
        <v>2018</v>
      </c>
      <c r="R337" s="3" t="str">
        <f t="shared" si="31"/>
        <v>1202</v>
      </c>
      <c r="S337" s="3" t="str">
        <f t="shared" si="34"/>
        <v>12</v>
      </c>
      <c r="T337" s="3" t="str">
        <f t="shared" si="35"/>
        <v>02</v>
      </c>
      <c r="U337" s="5" t="s">
        <v>40</v>
      </c>
    </row>
    <row r="338" spans="1:21">
      <c r="A338" s="3">
        <v>20181203</v>
      </c>
      <c r="B338" s="3">
        <v>201849</v>
      </c>
      <c r="C338" s="3">
        <f t="shared" si="32"/>
        <v>49</v>
      </c>
      <c r="E338" s="4" t="str">
        <f t="shared" si="33"/>
        <v>2018-12-03</v>
      </c>
      <c r="F338" s="90">
        <v>49</v>
      </c>
      <c r="Q338" s="3" t="str">
        <f t="shared" si="30"/>
        <v>2018</v>
      </c>
      <c r="R338" s="3" t="str">
        <f t="shared" si="31"/>
        <v>1203</v>
      </c>
      <c r="S338" s="3" t="str">
        <f t="shared" si="34"/>
        <v>12</v>
      </c>
      <c r="T338" s="3" t="str">
        <f t="shared" si="35"/>
        <v>03</v>
      </c>
      <c r="U338" s="5" t="s">
        <v>40</v>
      </c>
    </row>
    <row r="339" spans="1:21">
      <c r="A339" s="3">
        <v>20181204</v>
      </c>
      <c r="B339" s="3">
        <v>201849</v>
      </c>
      <c r="C339" s="3">
        <f t="shared" si="32"/>
        <v>49</v>
      </c>
      <c r="E339" s="4" t="str">
        <f t="shared" si="33"/>
        <v>2018-12-04</v>
      </c>
      <c r="F339" s="90">
        <v>49</v>
      </c>
      <c r="Q339" s="3" t="str">
        <f t="shared" si="30"/>
        <v>2018</v>
      </c>
      <c r="R339" s="3" t="str">
        <f t="shared" si="31"/>
        <v>1204</v>
      </c>
      <c r="S339" s="3" t="str">
        <f t="shared" si="34"/>
        <v>12</v>
      </c>
      <c r="T339" s="3" t="str">
        <f t="shared" si="35"/>
        <v>04</v>
      </c>
      <c r="U339" s="5" t="s">
        <v>40</v>
      </c>
    </row>
    <row r="340" spans="1:21">
      <c r="A340" s="3">
        <v>20181205</v>
      </c>
      <c r="B340" s="3">
        <v>201849</v>
      </c>
      <c r="C340" s="3">
        <f t="shared" si="32"/>
        <v>49</v>
      </c>
      <c r="E340" s="4" t="str">
        <f t="shared" si="33"/>
        <v>2018-12-05</v>
      </c>
      <c r="F340" s="90">
        <v>49</v>
      </c>
      <c r="Q340" s="3" t="str">
        <f t="shared" si="30"/>
        <v>2018</v>
      </c>
      <c r="R340" s="3" t="str">
        <f t="shared" si="31"/>
        <v>1205</v>
      </c>
      <c r="S340" s="3" t="str">
        <f t="shared" si="34"/>
        <v>12</v>
      </c>
      <c r="T340" s="3" t="str">
        <f t="shared" si="35"/>
        <v>05</v>
      </c>
      <c r="U340" s="5" t="s">
        <v>40</v>
      </c>
    </row>
    <row r="341" spans="1:21">
      <c r="A341" s="3">
        <v>20181206</v>
      </c>
      <c r="B341" s="3">
        <v>201849</v>
      </c>
      <c r="C341" s="3">
        <f t="shared" si="32"/>
        <v>49</v>
      </c>
      <c r="E341" s="4" t="str">
        <f t="shared" si="33"/>
        <v>2018-12-06</v>
      </c>
      <c r="F341" s="90">
        <v>49</v>
      </c>
      <c r="Q341" s="3" t="str">
        <f t="shared" si="30"/>
        <v>2018</v>
      </c>
      <c r="R341" s="3" t="str">
        <f t="shared" si="31"/>
        <v>1206</v>
      </c>
      <c r="S341" s="3" t="str">
        <f t="shared" si="34"/>
        <v>12</v>
      </c>
      <c r="T341" s="3" t="str">
        <f t="shared" si="35"/>
        <v>06</v>
      </c>
      <c r="U341" s="5" t="s">
        <v>40</v>
      </c>
    </row>
    <row r="342" spans="1:21">
      <c r="A342" s="3">
        <v>20181207</v>
      </c>
      <c r="B342" s="3">
        <v>201849</v>
      </c>
      <c r="C342" s="3">
        <f t="shared" si="32"/>
        <v>49</v>
      </c>
      <c r="E342" s="4" t="str">
        <f t="shared" si="33"/>
        <v>2018-12-07</v>
      </c>
      <c r="F342" s="90">
        <v>49</v>
      </c>
      <c r="Q342" s="3" t="str">
        <f t="shared" si="30"/>
        <v>2018</v>
      </c>
      <c r="R342" s="3" t="str">
        <f t="shared" si="31"/>
        <v>1207</v>
      </c>
      <c r="S342" s="3" t="str">
        <f t="shared" si="34"/>
        <v>12</v>
      </c>
      <c r="T342" s="3" t="str">
        <f t="shared" si="35"/>
        <v>07</v>
      </c>
      <c r="U342" s="5" t="s">
        <v>40</v>
      </c>
    </row>
    <row r="343" spans="1:21">
      <c r="A343" s="3">
        <v>20181208</v>
      </c>
      <c r="B343" s="3">
        <v>201850</v>
      </c>
      <c r="C343" s="3">
        <f t="shared" si="32"/>
        <v>50</v>
      </c>
      <c r="E343" s="4" t="str">
        <f t="shared" si="33"/>
        <v>2018-12-08</v>
      </c>
      <c r="F343" s="90">
        <v>50</v>
      </c>
      <c r="Q343" s="3" t="str">
        <f t="shared" si="30"/>
        <v>2018</v>
      </c>
      <c r="R343" s="3" t="str">
        <f t="shared" si="31"/>
        <v>1208</v>
      </c>
      <c r="S343" s="3" t="str">
        <f t="shared" si="34"/>
        <v>12</v>
      </c>
      <c r="T343" s="3" t="str">
        <f t="shared" si="35"/>
        <v>08</v>
      </c>
      <c r="U343" s="5" t="s">
        <v>40</v>
      </c>
    </row>
    <row r="344" spans="1:21">
      <c r="A344" s="3">
        <v>20181209</v>
      </c>
      <c r="B344" s="3">
        <v>201850</v>
      </c>
      <c r="C344" s="3">
        <f t="shared" si="32"/>
        <v>50</v>
      </c>
      <c r="E344" s="4" t="str">
        <f t="shared" si="33"/>
        <v>2018-12-09</v>
      </c>
      <c r="F344" s="90">
        <v>50</v>
      </c>
      <c r="Q344" s="3" t="str">
        <f t="shared" si="30"/>
        <v>2018</v>
      </c>
      <c r="R344" s="3" t="str">
        <f t="shared" si="31"/>
        <v>1209</v>
      </c>
      <c r="S344" s="3" t="str">
        <f t="shared" si="34"/>
        <v>12</v>
      </c>
      <c r="T344" s="3" t="str">
        <f t="shared" si="35"/>
        <v>09</v>
      </c>
      <c r="U344" s="5" t="s">
        <v>40</v>
      </c>
    </row>
    <row r="345" spans="1:21">
      <c r="A345" s="3">
        <v>20181210</v>
      </c>
      <c r="B345" s="3">
        <v>201850</v>
      </c>
      <c r="C345" s="3">
        <f t="shared" si="32"/>
        <v>50</v>
      </c>
      <c r="E345" s="4" t="str">
        <f t="shared" si="33"/>
        <v>2018-12-10</v>
      </c>
      <c r="F345" s="90">
        <v>50</v>
      </c>
      <c r="Q345" s="3" t="str">
        <f t="shared" si="30"/>
        <v>2018</v>
      </c>
      <c r="R345" s="3" t="str">
        <f t="shared" si="31"/>
        <v>1210</v>
      </c>
      <c r="S345" s="3" t="str">
        <f t="shared" si="34"/>
        <v>12</v>
      </c>
      <c r="T345" s="3" t="str">
        <f t="shared" si="35"/>
        <v>10</v>
      </c>
      <c r="U345" s="5" t="s">
        <v>40</v>
      </c>
    </row>
    <row r="346" spans="1:21">
      <c r="A346" s="3">
        <v>20181211</v>
      </c>
      <c r="B346" s="3">
        <v>201850</v>
      </c>
      <c r="C346" s="3">
        <f t="shared" si="32"/>
        <v>50</v>
      </c>
      <c r="E346" s="4" t="str">
        <f t="shared" si="33"/>
        <v>2018-12-11</v>
      </c>
      <c r="F346" s="90">
        <v>50</v>
      </c>
      <c r="Q346" s="3" t="str">
        <f t="shared" si="30"/>
        <v>2018</v>
      </c>
      <c r="R346" s="3" t="str">
        <f t="shared" si="31"/>
        <v>1211</v>
      </c>
      <c r="S346" s="3" t="str">
        <f t="shared" si="34"/>
        <v>12</v>
      </c>
      <c r="T346" s="3" t="str">
        <f t="shared" si="35"/>
        <v>11</v>
      </c>
      <c r="U346" s="5" t="s">
        <v>40</v>
      </c>
    </row>
    <row r="347" spans="1:21">
      <c r="A347" s="3">
        <v>20181212</v>
      </c>
      <c r="B347" s="3">
        <v>201850</v>
      </c>
      <c r="C347" s="3">
        <f t="shared" si="32"/>
        <v>50</v>
      </c>
      <c r="E347" s="4" t="str">
        <f t="shared" si="33"/>
        <v>2018-12-12</v>
      </c>
      <c r="F347" s="90">
        <v>50</v>
      </c>
      <c r="Q347" s="3" t="str">
        <f t="shared" si="30"/>
        <v>2018</v>
      </c>
      <c r="R347" s="3" t="str">
        <f t="shared" si="31"/>
        <v>1212</v>
      </c>
      <c r="S347" s="3" t="str">
        <f t="shared" si="34"/>
        <v>12</v>
      </c>
      <c r="T347" s="3" t="str">
        <f t="shared" si="35"/>
        <v>12</v>
      </c>
      <c r="U347" s="5" t="s">
        <v>40</v>
      </c>
    </row>
    <row r="348" spans="1:21">
      <c r="A348" s="3">
        <v>20181213</v>
      </c>
      <c r="B348" s="3">
        <v>201850</v>
      </c>
      <c r="C348" s="3">
        <f t="shared" si="32"/>
        <v>50</v>
      </c>
      <c r="E348" s="4" t="str">
        <f t="shared" si="33"/>
        <v>2018-12-13</v>
      </c>
      <c r="F348" s="90">
        <v>50</v>
      </c>
      <c r="Q348" s="3" t="str">
        <f t="shared" si="30"/>
        <v>2018</v>
      </c>
      <c r="R348" s="3" t="str">
        <f t="shared" si="31"/>
        <v>1213</v>
      </c>
      <c r="S348" s="3" t="str">
        <f t="shared" si="34"/>
        <v>12</v>
      </c>
      <c r="T348" s="3" t="str">
        <f t="shared" si="35"/>
        <v>13</v>
      </c>
      <c r="U348" s="5" t="s">
        <v>40</v>
      </c>
    </row>
    <row r="349" spans="1:21">
      <c r="A349" s="3">
        <v>20181214</v>
      </c>
      <c r="B349" s="3">
        <v>201850</v>
      </c>
      <c r="C349" s="3">
        <f t="shared" si="32"/>
        <v>50</v>
      </c>
      <c r="E349" s="4" t="str">
        <f t="shared" si="33"/>
        <v>2018-12-14</v>
      </c>
      <c r="F349" s="90">
        <v>50</v>
      </c>
      <c r="Q349" s="3" t="str">
        <f t="shared" si="30"/>
        <v>2018</v>
      </c>
      <c r="R349" s="3" t="str">
        <f t="shared" si="31"/>
        <v>1214</v>
      </c>
      <c r="S349" s="3" t="str">
        <f t="shared" si="34"/>
        <v>12</v>
      </c>
      <c r="T349" s="3" t="str">
        <f t="shared" si="35"/>
        <v>14</v>
      </c>
      <c r="U349" s="5" t="s">
        <v>40</v>
      </c>
    </row>
    <row r="350" spans="1:21">
      <c r="A350" s="3">
        <v>20181215</v>
      </c>
      <c r="B350" s="3">
        <v>201851</v>
      </c>
      <c r="C350" s="3">
        <f t="shared" si="32"/>
        <v>51</v>
      </c>
      <c r="E350" s="4" t="str">
        <f t="shared" si="33"/>
        <v>2018-12-15</v>
      </c>
      <c r="F350" s="90">
        <v>51</v>
      </c>
      <c r="Q350" s="3" t="str">
        <f t="shared" si="30"/>
        <v>2018</v>
      </c>
      <c r="R350" s="3" t="str">
        <f t="shared" si="31"/>
        <v>1215</v>
      </c>
      <c r="S350" s="3" t="str">
        <f t="shared" si="34"/>
        <v>12</v>
      </c>
      <c r="T350" s="3" t="str">
        <f t="shared" si="35"/>
        <v>15</v>
      </c>
      <c r="U350" s="5" t="s">
        <v>40</v>
      </c>
    </row>
    <row r="351" spans="1:21">
      <c r="A351" s="3">
        <v>20181216</v>
      </c>
      <c r="B351" s="3">
        <v>201851</v>
      </c>
      <c r="C351" s="3">
        <f t="shared" si="32"/>
        <v>51</v>
      </c>
      <c r="E351" s="4" t="str">
        <f t="shared" si="33"/>
        <v>2018-12-16</v>
      </c>
      <c r="F351" s="90">
        <v>51</v>
      </c>
      <c r="Q351" s="3" t="str">
        <f t="shared" si="30"/>
        <v>2018</v>
      </c>
      <c r="R351" s="3" t="str">
        <f t="shared" si="31"/>
        <v>1216</v>
      </c>
      <c r="S351" s="3" t="str">
        <f t="shared" si="34"/>
        <v>12</v>
      </c>
      <c r="T351" s="3" t="str">
        <f t="shared" si="35"/>
        <v>16</v>
      </c>
      <c r="U351" s="5" t="s">
        <v>40</v>
      </c>
    </row>
    <row r="352" spans="1:21">
      <c r="A352" s="3">
        <v>20181217</v>
      </c>
      <c r="B352" s="3">
        <v>201851</v>
      </c>
      <c r="C352" s="3">
        <f t="shared" si="32"/>
        <v>51</v>
      </c>
      <c r="E352" s="4" t="str">
        <f t="shared" si="33"/>
        <v>2018-12-17</v>
      </c>
      <c r="F352" s="90">
        <v>51</v>
      </c>
      <c r="Q352" s="3" t="str">
        <f t="shared" si="30"/>
        <v>2018</v>
      </c>
      <c r="R352" s="3" t="str">
        <f t="shared" si="31"/>
        <v>1217</v>
      </c>
      <c r="S352" s="3" t="str">
        <f t="shared" si="34"/>
        <v>12</v>
      </c>
      <c r="T352" s="3" t="str">
        <f t="shared" si="35"/>
        <v>17</v>
      </c>
      <c r="U352" s="5" t="s">
        <v>40</v>
      </c>
    </row>
    <row r="353" spans="1:21">
      <c r="A353" s="3">
        <v>20181218</v>
      </c>
      <c r="B353" s="3">
        <v>201851</v>
      </c>
      <c r="C353" s="3">
        <f t="shared" si="32"/>
        <v>51</v>
      </c>
      <c r="E353" s="4" t="str">
        <f t="shared" si="33"/>
        <v>2018-12-18</v>
      </c>
      <c r="F353" s="90">
        <v>51</v>
      </c>
      <c r="Q353" s="3" t="str">
        <f t="shared" si="30"/>
        <v>2018</v>
      </c>
      <c r="R353" s="3" t="str">
        <f t="shared" si="31"/>
        <v>1218</v>
      </c>
      <c r="S353" s="3" t="str">
        <f t="shared" si="34"/>
        <v>12</v>
      </c>
      <c r="T353" s="3" t="str">
        <f t="shared" si="35"/>
        <v>18</v>
      </c>
      <c r="U353" s="5" t="s">
        <v>40</v>
      </c>
    </row>
    <row r="354" spans="1:21">
      <c r="A354" s="3">
        <v>20181219</v>
      </c>
      <c r="B354" s="3">
        <v>201851</v>
      </c>
      <c r="C354" s="3">
        <f t="shared" si="32"/>
        <v>51</v>
      </c>
      <c r="E354" s="4" t="str">
        <f t="shared" si="33"/>
        <v>2018-12-19</v>
      </c>
      <c r="F354" s="90">
        <v>51</v>
      </c>
      <c r="Q354" s="3" t="str">
        <f t="shared" si="30"/>
        <v>2018</v>
      </c>
      <c r="R354" s="3" t="str">
        <f t="shared" si="31"/>
        <v>1219</v>
      </c>
      <c r="S354" s="3" t="str">
        <f t="shared" si="34"/>
        <v>12</v>
      </c>
      <c r="T354" s="3" t="str">
        <f t="shared" si="35"/>
        <v>19</v>
      </c>
      <c r="U354" s="5" t="s">
        <v>40</v>
      </c>
    </row>
    <row r="355" spans="1:21">
      <c r="A355" s="3">
        <v>20181220</v>
      </c>
      <c r="B355" s="3">
        <v>201851</v>
      </c>
      <c r="C355" s="3">
        <f t="shared" si="32"/>
        <v>51</v>
      </c>
      <c r="E355" s="4" t="str">
        <f t="shared" si="33"/>
        <v>2018-12-20</v>
      </c>
      <c r="F355" s="90">
        <v>51</v>
      </c>
      <c r="Q355" s="3" t="str">
        <f t="shared" si="30"/>
        <v>2018</v>
      </c>
      <c r="R355" s="3" t="str">
        <f t="shared" si="31"/>
        <v>1220</v>
      </c>
      <c r="S355" s="3" t="str">
        <f t="shared" si="34"/>
        <v>12</v>
      </c>
      <c r="T355" s="3" t="str">
        <f t="shared" si="35"/>
        <v>20</v>
      </c>
      <c r="U355" s="5" t="s">
        <v>40</v>
      </c>
    </row>
    <row r="356" spans="1:21">
      <c r="A356" s="3">
        <v>20181221</v>
      </c>
      <c r="B356" s="3">
        <v>201851</v>
      </c>
      <c r="C356" s="3">
        <f t="shared" si="32"/>
        <v>51</v>
      </c>
      <c r="E356" s="4" t="str">
        <f t="shared" si="33"/>
        <v>2018-12-21</v>
      </c>
      <c r="F356" s="90">
        <v>51</v>
      </c>
      <c r="Q356" s="3" t="str">
        <f t="shared" si="30"/>
        <v>2018</v>
      </c>
      <c r="R356" s="3" t="str">
        <f t="shared" si="31"/>
        <v>1221</v>
      </c>
      <c r="S356" s="3" t="str">
        <f t="shared" si="34"/>
        <v>12</v>
      </c>
      <c r="T356" s="3" t="str">
        <f t="shared" si="35"/>
        <v>21</v>
      </c>
      <c r="U356" s="5" t="s">
        <v>40</v>
      </c>
    </row>
    <row r="357" spans="1:21">
      <c r="A357" s="3">
        <v>20181222</v>
      </c>
      <c r="B357" s="3">
        <v>201852</v>
      </c>
      <c r="C357" s="3">
        <f t="shared" si="32"/>
        <v>52</v>
      </c>
      <c r="E357" s="4" t="str">
        <f t="shared" si="33"/>
        <v>2018-12-22</v>
      </c>
      <c r="F357" s="90">
        <v>52</v>
      </c>
      <c r="Q357" s="3" t="str">
        <f t="shared" si="30"/>
        <v>2018</v>
      </c>
      <c r="R357" s="3" t="str">
        <f t="shared" si="31"/>
        <v>1222</v>
      </c>
      <c r="S357" s="3" t="str">
        <f t="shared" si="34"/>
        <v>12</v>
      </c>
      <c r="T357" s="3" t="str">
        <f t="shared" si="35"/>
        <v>22</v>
      </c>
      <c r="U357" s="5" t="s">
        <v>40</v>
      </c>
    </row>
    <row r="358" spans="1:21">
      <c r="A358" s="3">
        <v>20181223</v>
      </c>
      <c r="B358" s="3">
        <v>201852</v>
      </c>
      <c r="C358" s="3">
        <f t="shared" si="32"/>
        <v>52</v>
      </c>
      <c r="E358" s="4" t="str">
        <f t="shared" si="33"/>
        <v>2018-12-23</v>
      </c>
      <c r="F358" s="90">
        <v>52</v>
      </c>
      <c r="Q358" s="3" t="str">
        <f t="shared" si="30"/>
        <v>2018</v>
      </c>
      <c r="R358" s="3" t="str">
        <f t="shared" si="31"/>
        <v>1223</v>
      </c>
      <c r="S358" s="3" t="str">
        <f t="shared" si="34"/>
        <v>12</v>
      </c>
      <c r="T358" s="3" t="str">
        <f t="shared" si="35"/>
        <v>23</v>
      </c>
      <c r="U358" s="5" t="s">
        <v>40</v>
      </c>
    </row>
    <row r="359" spans="1:21">
      <c r="A359" s="3">
        <v>20181224</v>
      </c>
      <c r="B359" s="3">
        <v>201852</v>
      </c>
      <c r="C359" s="3">
        <f t="shared" si="32"/>
        <v>52</v>
      </c>
      <c r="E359" s="4" t="str">
        <f t="shared" si="33"/>
        <v>2018-12-24</v>
      </c>
      <c r="F359" s="90">
        <v>52</v>
      </c>
      <c r="Q359" s="3" t="str">
        <f t="shared" si="30"/>
        <v>2018</v>
      </c>
      <c r="R359" s="3" t="str">
        <f t="shared" si="31"/>
        <v>1224</v>
      </c>
      <c r="S359" s="3" t="str">
        <f t="shared" si="34"/>
        <v>12</v>
      </c>
      <c r="T359" s="3" t="str">
        <f t="shared" si="35"/>
        <v>24</v>
      </c>
      <c r="U359" s="5" t="s">
        <v>40</v>
      </c>
    </row>
    <row r="360" spans="1:21">
      <c r="A360" s="3">
        <v>20181225</v>
      </c>
      <c r="B360" s="3">
        <v>201852</v>
      </c>
      <c r="C360" s="3">
        <f t="shared" si="32"/>
        <v>52</v>
      </c>
      <c r="E360" s="4" t="str">
        <f t="shared" si="33"/>
        <v>2018-12-25</v>
      </c>
      <c r="F360" s="90">
        <v>52</v>
      </c>
      <c r="Q360" s="3" t="str">
        <f t="shared" si="30"/>
        <v>2018</v>
      </c>
      <c r="R360" s="3" t="str">
        <f t="shared" si="31"/>
        <v>1225</v>
      </c>
      <c r="S360" s="3" t="str">
        <f t="shared" si="34"/>
        <v>12</v>
      </c>
      <c r="T360" s="3" t="str">
        <f t="shared" si="35"/>
        <v>25</v>
      </c>
      <c r="U360" s="5" t="s">
        <v>40</v>
      </c>
    </row>
    <row r="361" spans="1:21">
      <c r="A361" s="3">
        <v>20181226</v>
      </c>
      <c r="B361" s="3">
        <v>201852</v>
      </c>
      <c r="C361" s="3">
        <f t="shared" si="32"/>
        <v>52</v>
      </c>
      <c r="E361" s="4" t="str">
        <f t="shared" si="33"/>
        <v>2018-12-26</v>
      </c>
      <c r="F361" s="90">
        <v>52</v>
      </c>
      <c r="Q361" s="3" t="str">
        <f t="shared" si="30"/>
        <v>2018</v>
      </c>
      <c r="R361" s="3" t="str">
        <f t="shared" si="31"/>
        <v>1226</v>
      </c>
      <c r="S361" s="3" t="str">
        <f t="shared" si="34"/>
        <v>12</v>
      </c>
      <c r="T361" s="3" t="str">
        <f t="shared" si="35"/>
        <v>26</v>
      </c>
      <c r="U361" s="5" t="s">
        <v>40</v>
      </c>
    </row>
    <row r="362" spans="1:21">
      <c r="A362" s="3">
        <v>20181227</v>
      </c>
      <c r="B362" s="3">
        <v>201852</v>
      </c>
      <c r="C362" s="3">
        <f t="shared" si="32"/>
        <v>52</v>
      </c>
      <c r="E362" s="4" t="str">
        <f t="shared" si="33"/>
        <v>2018-12-27</v>
      </c>
      <c r="F362" s="90">
        <v>52</v>
      </c>
      <c r="Q362" s="3" t="str">
        <f t="shared" si="30"/>
        <v>2018</v>
      </c>
      <c r="R362" s="3" t="str">
        <f t="shared" si="31"/>
        <v>1227</v>
      </c>
      <c r="S362" s="3" t="str">
        <f t="shared" si="34"/>
        <v>12</v>
      </c>
      <c r="T362" s="3" t="str">
        <f t="shared" si="35"/>
        <v>27</v>
      </c>
      <c r="U362" s="5" t="s">
        <v>40</v>
      </c>
    </row>
    <row r="363" spans="1:21">
      <c r="A363" s="3">
        <v>20181228</v>
      </c>
      <c r="B363" s="3">
        <v>201852</v>
      </c>
      <c r="C363" s="3">
        <f t="shared" si="32"/>
        <v>52</v>
      </c>
      <c r="E363" s="4" t="str">
        <f t="shared" si="33"/>
        <v>2018-12-28</v>
      </c>
      <c r="F363" s="90">
        <v>52</v>
      </c>
      <c r="Q363" s="3" t="str">
        <f t="shared" si="30"/>
        <v>2018</v>
      </c>
      <c r="R363" s="3" t="str">
        <f t="shared" si="31"/>
        <v>1228</v>
      </c>
      <c r="S363" s="3" t="str">
        <f t="shared" si="34"/>
        <v>12</v>
      </c>
      <c r="T363" s="3" t="str">
        <f t="shared" si="35"/>
        <v>28</v>
      </c>
      <c r="U363" s="5" t="s">
        <v>40</v>
      </c>
    </row>
    <row r="364" spans="1:21">
      <c r="A364" s="3">
        <v>20181229</v>
      </c>
      <c r="B364" s="3">
        <v>201901</v>
      </c>
      <c r="C364" s="3">
        <f t="shared" si="32"/>
        <v>101</v>
      </c>
      <c r="E364" s="4" t="str">
        <f t="shared" si="33"/>
        <v>2018-12-29</v>
      </c>
      <c r="F364" s="90">
        <v>101</v>
      </c>
      <c r="Q364" s="3" t="str">
        <f t="shared" si="30"/>
        <v>2018</v>
      </c>
      <c r="R364" s="3" t="str">
        <f t="shared" si="31"/>
        <v>1229</v>
      </c>
      <c r="S364" s="3" t="str">
        <f t="shared" si="34"/>
        <v>12</v>
      </c>
      <c r="T364" s="3" t="str">
        <f t="shared" si="35"/>
        <v>29</v>
      </c>
      <c r="U364" s="5" t="s">
        <v>40</v>
      </c>
    </row>
    <row r="365" spans="1:21">
      <c r="A365" s="3">
        <v>20181230</v>
      </c>
      <c r="B365" s="3">
        <v>201901</v>
      </c>
      <c r="C365" s="3">
        <f t="shared" si="32"/>
        <v>101</v>
      </c>
      <c r="E365" s="4" t="str">
        <f t="shared" si="33"/>
        <v>2018-12-30</v>
      </c>
      <c r="F365" s="90">
        <v>101</v>
      </c>
      <c r="Q365" s="3" t="str">
        <f t="shared" si="30"/>
        <v>2018</v>
      </c>
      <c r="R365" s="3" t="str">
        <f t="shared" si="31"/>
        <v>1230</v>
      </c>
      <c r="S365" s="3" t="str">
        <f t="shared" si="34"/>
        <v>12</v>
      </c>
      <c r="T365" s="3" t="str">
        <f t="shared" si="35"/>
        <v>30</v>
      </c>
      <c r="U365" s="5" t="s">
        <v>40</v>
      </c>
    </row>
    <row r="366" spans="1:21">
      <c r="A366" s="3">
        <v>20181231</v>
      </c>
      <c r="B366" s="3">
        <v>201901</v>
      </c>
      <c r="C366" s="3">
        <f t="shared" si="32"/>
        <v>101</v>
      </c>
      <c r="E366" s="4" t="str">
        <f t="shared" si="33"/>
        <v>2018-12-31</v>
      </c>
      <c r="F366" s="90">
        <v>101</v>
      </c>
      <c r="Q366" s="3" t="str">
        <f t="shared" si="30"/>
        <v>2018</v>
      </c>
      <c r="R366" s="3" t="str">
        <f t="shared" si="31"/>
        <v>1231</v>
      </c>
      <c r="S366" s="3" t="str">
        <f t="shared" si="34"/>
        <v>12</v>
      </c>
      <c r="T366" s="3" t="str">
        <f t="shared" si="35"/>
        <v>31</v>
      </c>
      <c r="U366" s="5" t="s">
        <v>40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67"/>
  <sheetViews>
    <sheetView topLeftCell="A139" workbookViewId="0">
      <selection activeCell="I140" sqref="I140"/>
    </sheetView>
  </sheetViews>
  <sheetFormatPr defaultRowHeight="13.5"/>
  <cols>
    <col min="1" max="2" width="9" style="25"/>
    <col min="3" max="18" width="6.875" style="87" customWidth="1"/>
    <col min="19" max="27" width="9" style="87"/>
    <col min="28" max="28" width="13.875" style="87" bestFit="1" customWidth="1"/>
    <col min="29" max="33" width="9" style="87"/>
    <col min="34" max="16384" width="9" style="25"/>
  </cols>
  <sheetData>
    <row r="1" spans="1:33" s="18" customFormat="1" ht="12.75" hidden="1" customHeight="1">
      <c r="A1" s="16" t="s">
        <v>437</v>
      </c>
      <c r="B1" s="17" t="s">
        <v>446</v>
      </c>
      <c r="C1" s="56"/>
      <c r="D1" s="57"/>
      <c r="E1" s="58" t="s">
        <v>531</v>
      </c>
      <c r="F1" s="57"/>
      <c r="G1" s="59" t="s">
        <v>37</v>
      </c>
      <c r="H1" s="60">
        <v>12</v>
      </c>
      <c r="I1" s="57"/>
      <c r="J1" s="57" t="s">
        <v>55</v>
      </c>
      <c r="K1" s="57"/>
      <c r="L1" s="57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2"/>
      <c r="Z1" s="62"/>
      <c r="AA1" s="62"/>
      <c r="AB1" s="62"/>
      <c r="AC1" s="62"/>
      <c r="AD1" s="63"/>
      <c r="AE1" s="63"/>
      <c r="AF1" s="63"/>
      <c r="AG1" s="63"/>
    </row>
    <row r="2" spans="1:33" s="19" customFormat="1" ht="12.75" hidden="1" customHeight="1">
      <c r="A2" s="340" t="s">
        <v>0</v>
      </c>
      <c r="B2" s="336" t="s">
        <v>1</v>
      </c>
      <c r="C2" s="331" t="s">
        <v>25</v>
      </c>
      <c r="D2" s="332"/>
      <c r="E2" s="331" t="s">
        <v>21</v>
      </c>
      <c r="F2" s="332"/>
      <c r="G2" s="335" t="s">
        <v>24</v>
      </c>
      <c r="H2" s="335"/>
      <c r="I2" s="328" t="s">
        <v>33</v>
      </c>
      <c r="J2" s="329"/>
      <c r="K2" s="329"/>
      <c r="L2" s="329"/>
      <c r="M2" s="329"/>
      <c r="N2" s="330"/>
      <c r="O2" s="331" t="s">
        <v>22</v>
      </c>
      <c r="P2" s="332"/>
      <c r="Q2" s="335" t="s">
        <v>23</v>
      </c>
      <c r="R2" s="335"/>
      <c r="S2" s="336" t="s">
        <v>27</v>
      </c>
      <c r="T2" s="64"/>
      <c r="U2" s="64"/>
      <c r="V2" s="64"/>
      <c r="W2" s="64"/>
      <c r="X2" s="64"/>
      <c r="Y2" s="339"/>
      <c r="Z2" s="85"/>
      <c r="AA2" s="61"/>
      <c r="AB2" s="61"/>
      <c r="AC2" s="61"/>
      <c r="AD2" s="61"/>
      <c r="AE2" s="61"/>
      <c r="AF2" s="61"/>
      <c r="AG2" s="65"/>
    </row>
    <row r="3" spans="1:33" s="19" customFormat="1" ht="12.75" hidden="1" customHeight="1">
      <c r="A3" s="341"/>
      <c r="B3" s="337"/>
      <c r="C3" s="333"/>
      <c r="D3" s="334"/>
      <c r="E3" s="333"/>
      <c r="F3" s="334"/>
      <c r="G3" s="335"/>
      <c r="H3" s="335"/>
      <c r="I3" s="66" t="s">
        <v>28</v>
      </c>
      <c r="J3" s="67" t="s">
        <v>3</v>
      </c>
      <c r="K3" s="66" t="s">
        <v>29</v>
      </c>
      <c r="L3" s="67" t="s">
        <v>4</v>
      </c>
      <c r="M3" s="328" t="s">
        <v>30</v>
      </c>
      <c r="N3" s="330"/>
      <c r="O3" s="333"/>
      <c r="P3" s="334"/>
      <c r="Q3" s="335"/>
      <c r="R3" s="335"/>
      <c r="S3" s="337"/>
      <c r="T3" s="64"/>
      <c r="U3" s="64"/>
      <c r="V3" s="64"/>
      <c r="W3" s="64"/>
      <c r="X3" s="64"/>
      <c r="Y3" s="339"/>
      <c r="Z3" s="85"/>
      <c r="AA3" s="61"/>
      <c r="AB3" s="61"/>
      <c r="AC3" s="61"/>
      <c r="AD3" s="61"/>
      <c r="AE3" s="61"/>
      <c r="AF3" s="61"/>
      <c r="AG3" s="65"/>
    </row>
    <row r="4" spans="1:33" s="19" customFormat="1" ht="12.75" hidden="1" customHeight="1">
      <c r="A4" s="342"/>
      <c r="B4" s="338"/>
      <c r="C4" s="68" t="s">
        <v>5</v>
      </c>
      <c r="D4" s="68" t="s">
        <v>6</v>
      </c>
      <c r="E4" s="67" t="s">
        <v>5</v>
      </c>
      <c r="F4" s="68" t="s">
        <v>6</v>
      </c>
      <c r="G4" s="68" t="s">
        <v>5</v>
      </c>
      <c r="H4" s="68" t="s">
        <v>6</v>
      </c>
      <c r="I4" s="67" t="s">
        <v>5</v>
      </c>
      <c r="J4" s="68" t="s">
        <v>6</v>
      </c>
      <c r="K4" s="67" t="s">
        <v>5</v>
      </c>
      <c r="L4" s="68" t="s">
        <v>6</v>
      </c>
      <c r="M4" s="68"/>
      <c r="N4" s="68"/>
      <c r="O4" s="67" t="s">
        <v>5</v>
      </c>
      <c r="P4" s="68" t="s">
        <v>6</v>
      </c>
      <c r="Q4" s="68" t="s">
        <v>5</v>
      </c>
      <c r="R4" s="68" t="s">
        <v>6</v>
      </c>
      <c r="S4" s="338"/>
      <c r="T4" s="64"/>
      <c r="U4" s="64"/>
      <c r="V4" s="64"/>
      <c r="W4" s="64"/>
      <c r="X4" s="64"/>
      <c r="Y4" s="339"/>
      <c r="Z4" s="85"/>
      <c r="AA4" s="61" t="s">
        <v>43</v>
      </c>
      <c r="AB4" s="61" t="s">
        <v>45</v>
      </c>
      <c r="AC4" s="61" t="s">
        <v>46</v>
      </c>
      <c r="AD4" s="61" t="s">
        <v>42</v>
      </c>
      <c r="AE4" s="61" t="s">
        <v>41</v>
      </c>
      <c r="AF4" s="61" t="s">
        <v>44</v>
      </c>
      <c r="AG4" s="65"/>
    </row>
    <row r="5" spans="1:33" s="19" customFormat="1" ht="12.75" hidden="1" customHeight="1">
      <c r="A5" s="21" t="s">
        <v>7</v>
      </c>
      <c r="B5" s="20" t="s">
        <v>67</v>
      </c>
      <c r="C5" s="68">
        <v>0</v>
      </c>
      <c r="D5" s="68">
        <v>0</v>
      </c>
      <c r="E5" s="69">
        <f t="shared" ref="E5:F14" si="0">O5+Q5</f>
        <v>0</v>
      </c>
      <c r="F5" s="70">
        <f t="shared" si="0"/>
        <v>0</v>
      </c>
      <c r="G5" s="68">
        <f t="shared" ref="G5:H14" si="1">E5-C5</f>
        <v>0</v>
      </c>
      <c r="H5" s="68">
        <f t="shared" si="1"/>
        <v>0</v>
      </c>
      <c r="I5" s="70"/>
      <c r="J5" s="70"/>
      <c r="K5" s="70"/>
      <c r="L5" s="70"/>
      <c r="M5" s="70">
        <f t="shared" ref="M5:N18" si="2">I5+K5</f>
        <v>0</v>
      </c>
      <c r="N5" s="70">
        <f t="shared" si="2"/>
        <v>0</v>
      </c>
      <c r="O5" s="71"/>
      <c r="P5" s="71"/>
      <c r="Q5" s="70"/>
      <c r="R5" s="70"/>
      <c r="S5" s="72"/>
      <c r="T5" s="252" t="e">
        <f>E5/C5</f>
        <v>#DIV/0!</v>
      </c>
      <c r="U5" s="73"/>
      <c r="V5" s="73"/>
      <c r="W5" s="73"/>
      <c r="X5" s="73"/>
      <c r="Y5" s="339"/>
      <c r="Z5" s="85"/>
      <c r="AA5" s="61">
        <f>H1</f>
        <v>12</v>
      </c>
      <c r="AB5" s="61" t="str">
        <f>E1</f>
        <v>CISC-CBL-124 W</v>
      </c>
      <c r="AC5" s="74" t="s">
        <v>437</v>
      </c>
      <c r="AD5" s="61" t="str">
        <f t="shared" ref="AD5:AD18" si="3">A5</f>
        <v>KR</v>
      </c>
      <c r="AE5" s="61">
        <f t="shared" ref="AE5:AE18" si="4">C5</f>
        <v>0</v>
      </c>
      <c r="AF5" s="61">
        <f t="shared" ref="AF5:AF18" si="5">E5</f>
        <v>0</v>
      </c>
      <c r="AG5" s="65"/>
    </row>
    <row r="6" spans="1:33" s="19" customFormat="1" ht="12.75" hidden="1" customHeight="1">
      <c r="A6" s="23" t="s">
        <v>13</v>
      </c>
      <c r="B6" s="1">
        <v>43167</v>
      </c>
      <c r="C6" s="68">
        <v>50</v>
      </c>
      <c r="D6" s="68">
        <v>675</v>
      </c>
      <c r="E6" s="69">
        <f t="shared" si="0"/>
        <v>15</v>
      </c>
      <c r="F6" s="70">
        <f t="shared" si="0"/>
        <v>231</v>
      </c>
      <c r="G6" s="68">
        <f t="shared" si="1"/>
        <v>-35</v>
      </c>
      <c r="H6" s="68">
        <f t="shared" si="1"/>
        <v>-444</v>
      </c>
      <c r="I6" s="75">
        <v>12</v>
      </c>
      <c r="J6" s="75">
        <v>241</v>
      </c>
      <c r="K6" s="70">
        <v>2</v>
      </c>
      <c r="L6" s="70">
        <v>58</v>
      </c>
      <c r="M6" s="70">
        <f t="shared" si="2"/>
        <v>14</v>
      </c>
      <c r="N6" s="70">
        <f t="shared" si="2"/>
        <v>299</v>
      </c>
      <c r="O6" s="75">
        <v>15</v>
      </c>
      <c r="P6" s="75">
        <v>231</v>
      </c>
      <c r="Q6" s="71"/>
      <c r="R6" s="71"/>
      <c r="S6" s="72"/>
      <c r="T6" s="252">
        <f t="shared" ref="T6:T16" si="6">E6/C6</f>
        <v>0.3</v>
      </c>
      <c r="U6" s="73"/>
      <c r="V6" s="73"/>
      <c r="W6" s="73"/>
      <c r="X6" s="73"/>
      <c r="Y6" s="65"/>
      <c r="Z6" s="65"/>
      <c r="AA6" s="61">
        <f>H1</f>
        <v>12</v>
      </c>
      <c r="AB6" s="61" t="str">
        <f>E1</f>
        <v>CISC-CBL-124 W</v>
      </c>
      <c r="AC6" s="74" t="s">
        <v>437</v>
      </c>
      <c r="AD6" s="61" t="str">
        <f t="shared" si="3"/>
        <v>TAO</v>
      </c>
      <c r="AE6" s="61">
        <f t="shared" si="4"/>
        <v>50</v>
      </c>
      <c r="AF6" s="61">
        <f t="shared" si="5"/>
        <v>15</v>
      </c>
      <c r="AG6" s="65"/>
    </row>
    <row r="7" spans="1:33" s="19" customFormat="1" ht="12.75" hidden="1" customHeight="1">
      <c r="A7" s="23" t="s">
        <v>9</v>
      </c>
      <c r="B7" s="1" t="s">
        <v>67</v>
      </c>
      <c r="C7" s="68">
        <v>0</v>
      </c>
      <c r="D7" s="68">
        <v>0</v>
      </c>
      <c r="E7" s="69">
        <f t="shared" si="0"/>
        <v>0</v>
      </c>
      <c r="F7" s="70">
        <f t="shared" si="0"/>
        <v>0</v>
      </c>
      <c r="G7" s="68">
        <f t="shared" si="1"/>
        <v>0</v>
      </c>
      <c r="H7" s="68">
        <f t="shared" si="1"/>
        <v>0</v>
      </c>
      <c r="I7" s="75"/>
      <c r="J7" s="75"/>
      <c r="K7" s="71"/>
      <c r="L7" s="71"/>
      <c r="M7" s="70">
        <f t="shared" si="2"/>
        <v>0</v>
      </c>
      <c r="N7" s="70">
        <f t="shared" si="2"/>
        <v>0</v>
      </c>
      <c r="O7" s="75"/>
      <c r="P7" s="75"/>
      <c r="Q7" s="71"/>
      <c r="R7" s="71"/>
      <c r="S7" s="72"/>
      <c r="T7" s="252" t="e">
        <f t="shared" si="6"/>
        <v>#DIV/0!</v>
      </c>
      <c r="U7" s="73"/>
      <c r="V7" s="73"/>
      <c r="W7" s="73"/>
      <c r="X7" s="73"/>
      <c r="Y7" s="65"/>
      <c r="Z7" s="65"/>
      <c r="AA7" s="61">
        <f>H1</f>
        <v>12</v>
      </c>
      <c r="AB7" s="61" t="str">
        <f>E1</f>
        <v>CISC-CBL-124 W</v>
      </c>
      <c r="AC7" s="74" t="s">
        <v>437</v>
      </c>
      <c r="AD7" s="61" t="str">
        <f t="shared" si="3"/>
        <v>SHA</v>
      </c>
      <c r="AE7" s="61">
        <f t="shared" si="4"/>
        <v>0</v>
      </c>
      <c r="AF7" s="61">
        <f t="shared" si="5"/>
        <v>0</v>
      </c>
      <c r="AG7" s="65"/>
    </row>
    <row r="8" spans="1:33" s="19" customFormat="1" ht="12.75" hidden="1" customHeight="1">
      <c r="A8" s="23" t="s">
        <v>8</v>
      </c>
      <c r="B8" s="1" t="s">
        <v>67</v>
      </c>
      <c r="C8" s="68">
        <v>0</v>
      </c>
      <c r="D8" s="68">
        <v>0</v>
      </c>
      <c r="E8" s="69">
        <f t="shared" si="0"/>
        <v>0</v>
      </c>
      <c r="F8" s="70">
        <f t="shared" si="0"/>
        <v>0</v>
      </c>
      <c r="G8" s="68">
        <f t="shared" si="1"/>
        <v>0</v>
      </c>
      <c r="H8" s="68">
        <f t="shared" si="1"/>
        <v>0</v>
      </c>
      <c r="I8" s="71"/>
      <c r="J8" s="71"/>
      <c r="K8" s="71"/>
      <c r="L8" s="71"/>
      <c r="M8" s="70">
        <f t="shared" si="2"/>
        <v>0</v>
      </c>
      <c r="N8" s="70">
        <f t="shared" si="2"/>
        <v>0</v>
      </c>
      <c r="O8" s="71"/>
      <c r="P8" s="71"/>
      <c r="Q8" s="71"/>
      <c r="R8" s="71"/>
      <c r="S8" s="72"/>
      <c r="T8" s="252" t="e">
        <f t="shared" si="6"/>
        <v>#DIV/0!</v>
      </c>
      <c r="U8" s="73"/>
      <c r="V8" s="73"/>
      <c r="W8" s="73"/>
      <c r="X8" s="73"/>
      <c r="Y8" s="65"/>
      <c r="Z8" s="65"/>
      <c r="AA8" s="61">
        <f>H1</f>
        <v>12</v>
      </c>
      <c r="AB8" s="61" t="str">
        <f>E1</f>
        <v>CISC-CBL-124 W</v>
      </c>
      <c r="AC8" s="74" t="s">
        <v>437</v>
      </c>
      <c r="AD8" s="61" t="str">
        <f t="shared" si="3"/>
        <v>NGB</v>
      </c>
      <c r="AE8" s="61">
        <f t="shared" si="4"/>
        <v>0</v>
      </c>
      <c r="AF8" s="61">
        <f t="shared" si="5"/>
        <v>0</v>
      </c>
      <c r="AG8" s="65"/>
    </row>
    <row r="9" spans="1:33" s="19" customFormat="1" ht="12.75" hidden="1" customHeight="1">
      <c r="A9" s="23" t="s">
        <v>10</v>
      </c>
      <c r="B9" s="1" t="s">
        <v>67</v>
      </c>
      <c r="C9" s="68">
        <v>0</v>
      </c>
      <c r="D9" s="68">
        <v>0</v>
      </c>
      <c r="E9" s="69">
        <f t="shared" si="0"/>
        <v>0</v>
      </c>
      <c r="F9" s="70">
        <f t="shared" si="0"/>
        <v>0</v>
      </c>
      <c r="G9" s="68">
        <f t="shared" si="1"/>
        <v>0</v>
      </c>
      <c r="H9" s="68">
        <f t="shared" si="1"/>
        <v>0</v>
      </c>
      <c r="I9" s="75"/>
      <c r="J9" s="75"/>
      <c r="K9" s="70"/>
      <c r="L9" s="70"/>
      <c r="M9" s="70">
        <f t="shared" si="2"/>
        <v>0</v>
      </c>
      <c r="N9" s="70">
        <f t="shared" si="2"/>
        <v>0</v>
      </c>
      <c r="O9" s="75"/>
      <c r="P9" s="75"/>
      <c r="Q9" s="70"/>
      <c r="R9" s="70"/>
      <c r="S9" s="72"/>
      <c r="T9" s="252" t="e">
        <f t="shared" si="6"/>
        <v>#DIV/0!</v>
      </c>
      <c r="U9" s="73"/>
      <c r="V9" s="73"/>
      <c r="W9" s="73"/>
      <c r="X9" s="73"/>
      <c r="Y9" s="65"/>
      <c r="Z9" s="65"/>
      <c r="AA9" s="61">
        <f>H1</f>
        <v>12</v>
      </c>
      <c r="AB9" s="61" t="str">
        <f>E1</f>
        <v>CISC-CBL-124 W</v>
      </c>
      <c r="AC9" s="74" t="s">
        <v>437</v>
      </c>
      <c r="AD9" s="61" t="str">
        <f t="shared" si="3"/>
        <v>WUH</v>
      </c>
      <c r="AE9" s="61">
        <f t="shared" si="4"/>
        <v>0</v>
      </c>
      <c r="AF9" s="61">
        <f t="shared" si="5"/>
        <v>0</v>
      </c>
      <c r="AG9" s="65"/>
    </row>
    <row r="10" spans="1:33" s="19" customFormat="1" ht="12.75" hidden="1" customHeight="1">
      <c r="A10" s="23" t="s">
        <v>11</v>
      </c>
      <c r="B10" s="1" t="s">
        <v>18</v>
      </c>
      <c r="C10" s="68">
        <v>0</v>
      </c>
      <c r="D10" s="68">
        <v>0</v>
      </c>
      <c r="E10" s="69">
        <f t="shared" si="0"/>
        <v>1</v>
      </c>
      <c r="F10" s="70">
        <f t="shared" si="0"/>
        <v>18</v>
      </c>
      <c r="G10" s="68">
        <f t="shared" si="1"/>
        <v>1</v>
      </c>
      <c r="H10" s="68">
        <f t="shared" si="1"/>
        <v>18</v>
      </c>
      <c r="I10" s="70"/>
      <c r="J10" s="70"/>
      <c r="K10" s="70"/>
      <c r="L10" s="70"/>
      <c r="M10" s="70">
        <f t="shared" si="2"/>
        <v>0</v>
      </c>
      <c r="N10" s="70">
        <f t="shared" si="2"/>
        <v>0</v>
      </c>
      <c r="O10" s="75">
        <v>1</v>
      </c>
      <c r="P10" s="75">
        <v>18</v>
      </c>
      <c r="Q10" s="70"/>
      <c r="R10" s="70"/>
      <c r="S10" s="72"/>
      <c r="T10" s="252" t="e">
        <f t="shared" si="6"/>
        <v>#DIV/0!</v>
      </c>
      <c r="U10" s="73"/>
      <c r="V10" s="73"/>
      <c r="W10" s="73"/>
      <c r="X10" s="73"/>
      <c r="Y10" s="65"/>
      <c r="Z10" s="65"/>
      <c r="AA10" s="61">
        <f>H1</f>
        <v>12</v>
      </c>
      <c r="AB10" s="61" t="str">
        <f>E1</f>
        <v>CISC-CBL-124 W</v>
      </c>
      <c r="AC10" s="74" t="s">
        <v>437</v>
      </c>
      <c r="AD10" s="61" t="str">
        <f t="shared" si="3"/>
        <v>DLC</v>
      </c>
      <c r="AE10" s="61">
        <f t="shared" si="4"/>
        <v>0</v>
      </c>
      <c r="AF10" s="61">
        <f t="shared" si="5"/>
        <v>1</v>
      </c>
      <c r="AG10" s="65"/>
    </row>
    <row r="11" spans="1:33" s="19" customFormat="1" ht="12.75" hidden="1" customHeight="1">
      <c r="A11" s="23" t="s">
        <v>12</v>
      </c>
      <c r="B11" s="1">
        <v>43164</v>
      </c>
      <c r="C11" s="68">
        <v>100</v>
      </c>
      <c r="D11" s="68">
        <v>1350</v>
      </c>
      <c r="E11" s="69">
        <f t="shared" si="0"/>
        <v>36</v>
      </c>
      <c r="F11" s="70">
        <f t="shared" si="0"/>
        <v>508</v>
      </c>
      <c r="G11" s="68">
        <f t="shared" si="1"/>
        <v>-64</v>
      </c>
      <c r="H11" s="68">
        <f t="shared" si="1"/>
        <v>-842</v>
      </c>
      <c r="I11" s="70">
        <v>22</v>
      </c>
      <c r="J11" s="70">
        <v>293</v>
      </c>
      <c r="K11" s="70"/>
      <c r="L11" s="70"/>
      <c r="M11" s="70">
        <f t="shared" si="2"/>
        <v>22</v>
      </c>
      <c r="N11" s="70">
        <f t="shared" si="2"/>
        <v>293</v>
      </c>
      <c r="O11" s="75">
        <v>36</v>
      </c>
      <c r="P11" s="75">
        <v>508</v>
      </c>
      <c r="Q11" s="76"/>
      <c r="R11" s="71"/>
      <c r="S11" s="72"/>
      <c r="T11" s="252">
        <f t="shared" si="6"/>
        <v>0.36</v>
      </c>
      <c r="U11" s="73"/>
      <c r="V11" s="73"/>
      <c r="W11" s="73"/>
      <c r="X11" s="73"/>
      <c r="Y11" s="65"/>
      <c r="Z11" s="65"/>
      <c r="AA11" s="61">
        <f>H1</f>
        <v>12</v>
      </c>
      <c r="AB11" s="61" t="str">
        <f>E1</f>
        <v>CISC-CBL-124 W</v>
      </c>
      <c r="AC11" s="74" t="s">
        <v>437</v>
      </c>
      <c r="AD11" s="61" t="str">
        <f t="shared" si="3"/>
        <v>TSN</v>
      </c>
      <c r="AE11" s="61">
        <f t="shared" si="4"/>
        <v>100</v>
      </c>
      <c r="AF11" s="61">
        <f t="shared" si="5"/>
        <v>36</v>
      </c>
      <c r="AG11" s="65"/>
    </row>
    <row r="12" spans="1:33" s="19" customFormat="1" ht="12.75" hidden="1" customHeight="1">
      <c r="A12" s="23" t="s">
        <v>14</v>
      </c>
      <c r="B12" s="1" t="s">
        <v>18</v>
      </c>
      <c r="C12" s="68">
        <v>0</v>
      </c>
      <c r="D12" s="68">
        <v>0</v>
      </c>
      <c r="E12" s="69">
        <f t="shared" si="0"/>
        <v>0</v>
      </c>
      <c r="F12" s="70">
        <f t="shared" si="0"/>
        <v>0</v>
      </c>
      <c r="G12" s="68">
        <f t="shared" si="1"/>
        <v>0</v>
      </c>
      <c r="H12" s="68">
        <f t="shared" si="1"/>
        <v>0</v>
      </c>
      <c r="I12" s="70"/>
      <c r="J12" s="70"/>
      <c r="K12" s="70"/>
      <c r="L12" s="70"/>
      <c r="M12" s="70">
        <f t="shared" si="2"/>
        <v>0</v>
      </c>
      <c r="N12" s="70">
        <f t="shared" si="2"/>
        <v>0</v>
      </c>
      <c r="O12" s="71"/>
      <c r="P12" s="71"/>
      <c r="Q12" s="70"/>
      <c r="R12" s="70"/>
      <c r="S12" s="72"/>
      <c r="T12" s="252" t="e">
        <f t="shared" si="6"/>
        <v>#DIV/0!</v>
      </c>
      <c r="U12" s="73"/>
      <c r="V12" s="73"/>
      <c r="W12" s="73"/>
      <c r="X12" s="73"/>
      <c r="Y12" s="65"/>
      <c r="Z12" s="65"/>
      <c r="AA12" s="61">
        <f>H1</f>
        <v>12</v>
      </c>
      <c r="AB12" s="61" t="str">
        <f>E1</f>
        <v>CISC-CBL-124 W</v>
      </c>
      <c r="AC12" s="74" t="s">
        <v>437</v>
      </c>
      <c r="AD12" s="61" t="str">
        <f t="shared" si="3"/>
        <v>XMN</v>
      </c>
      <c r="AE12" s="61">
        <f t="shared" si="4"/>
        <v>0</v>
      </c>
      <c r="AF12" s="61">
        <f t="shared" si="5"/>
        <v>0</v>
      </c>
      <c r="AG12" s="65"/>
    </row>
    <row r="13" spans="1:33" s="19" customFormat="1" ht="12.75" hidden="1" customHeight="1">
      <c r="A13" s="23" t="s">
        <v>19</v>
      </c>
      <c r="B13" s="1">
        <v>43170</v>
      </c>
      <c r="C13" s="68">
        <v>80</v>
      </c>
      <c r="D13" s="68">
        <v>1080</v>
      </c>
      <c r="E13" s="69">
        <f t="shared" si="0"/>
        <v>90</v>
      </c>
      <c r="F13" s="70">
        <f t="shared" si="0"/>
        <v>1509</v>
      </c>
      <c r="G13" s="68">
        <f t="shared" si="1"/>
        <v>10</v>
      </c>
      <c r="H13" s="68">
        <f t="shared" si="1"/>
        <v>429</v>
      </c>
      <c r="I13" s="70"/>
      <c r="J13" s="70"/>
      <c r="K13" s="70"/>
      <c r="L13" s="70"/>
      <c r="M13" s="70">
        <f t="shared" si="2"/>
        <v>0</v>
      </c>
      <c r="N13" s="70">
        <f t="shared" si="2"/>
        <v>0</v>
      </c>
      <c r="O13" s="70">
        <v>90</v>
      </c>
      <c r="P13" s="70">
        <v>1509</v>
      </c>
      <c r="Q13" s="70"/>
      <c r="R13" s="70"/>
      <c r="S13" s="72"/>
      <c r="T13" s="252">
        <f t="shared" si="6"/>
        <v>1.125</v>
      </c>
      <c r="U13" s="73"/>
      <c r="V13" s="73"/>
      <c r="W13" s="73"/>
      <c r="X13" s="73"/>
      <c r="Y13" s="65"/>
      <c r="Z13" s="65"/>
      <c r="AA13" s="61">
        <f>H1</f>
        <v>12</v>
      </c>
      <c r="AB13" s="61" t="str">
        <f>E1</f>
        <v>CISC-CBL-124 W</v>
      </c>
      <c r="AC13" s="74" t="s">
        <v>437</v>
      </c>
      <c r="AD13" s="61" t="str">
        <f t="shared" si="3"/>
        <v>TWC</v>
      </c>
      <c r="AE13" s="61">
        <f t="shared" si="4"/>
        <v>80</v>
      </c>
      <c r="AF13" s="61">
        <f t="shared" si="5"/>
        <v>90</v>
      </c>
      <c r="AG13" s="65"/>
    </row>
    <row r="14" spans="1:33" s="19" customFormat="1" ht="12.75" hidden="1" customHeight="1">
      <c r="A14" s="23" t="s">
        <v>16</v>
      </c>
      <c r="B14" s="1" t="s">
        <v>67</v>
      </c>
      <c r="C14" s="68">
        <v>0</v>
      </c>
      <c r="D14" s="68">
        <v>0</v>
      </c>
      <c r="E14" s="69">
        <f t="shared" si="0"/>
        <v>0</v>
      </c>
      <c r="F14" s="70">
        <f t="shared" si="0"/>
        <v>0</v>
      </c>
      <c r="G14" s="68">
        <f t="shared" si="1"/>
        <v>0</v>
      </c>
      <c r="H14" s="68">
        <f t="shared" si="1"/>
        <v>0</v>
      </c>
      <c r="I14" s="70"/>
      <c r="J14" s="70"/>
      <c r="K14" s="70"/>
      <c r="L14" s="70"/>
      <c r="M14" s="70">
        <f t="shared" si="2"/>
        <v>0</v>
      </c>
      <c r="N14" s="70">
        <f t="shared" si="2"/>
        <v>0</v>
      </c>
      <c r="O14" s="70"/>
      <c r="P14" s="70"/>
      <c r="Q14" s="70"/>
      <c r="R14" s="72"/>
      <c r="S14" s="72"/>
      <c r="T14" s="252" t="e">
        <f t="shared" si="6"/>
        <v>#DIV/0!</v>
      </c>
      <c r="U14" s="73"/>
      <c r="V14" s="73"/>
      <c r="W14" s="73"/>
      <c r="X14" s="73"/>
      <c r="Y14" s="65"/>
      <c r="Z14" s="65"/>
      <c r="AA14" s="61">
        <f>H1</f>
        <v>12</v>
      </c>
      <c r="AB14" s="61" t="str">
        <f>E1</f>
        <v>CISC-CBL-124 W</v>
      </c>
      <c r="AC14" s="74" t="s">
        <v>437</v>
      </c>
      <c r="AD14" s="61" t="str">
        <f t="shared" si="3"/>
        <v>HUA</v>
      </c>
      <c r="AE14" s="61">
        <f t="shared" si="4"/>
        <v>0</v>
      </c>
      <c r="AF14" s="61">
        <f t="shared" si="5"/>
        <v>0</v>
      </c>
      <c r="AG14" s="65"/>
    </row>
    <row r="15" spans="1:33" s="19" customFormat="1" ht="12.75" hidden="1" customHeight="1">
      <c r="A15" s="23" t="s">
        <v>68</v>
      </c>
      <c r="B15" s="1" t="s">
        <v>67</v>
      </c>
      <c r="C15" s="68"/>
      <c r="D15" s="68"/>
      <c r="E15" s="69">
        <f t="shared" ref="E15:F18" si="7">O15+Q15</f>
        <v>0</v>
      </c>
      <c r="F15" s="70">
        <f t="shared" si="7"/>
        <v>0</v>
      </c>
      <c r="G15" s="68"/>
      <c r="H15" s="68"/>
      <c r="I15" s="70"/>
      <c r="J15" s="70"/>
      <c r="K15" s="70"/>
      <c r="L15" s="70"/>
      <c r="M15" s="70">
        <f t="shared" si="2"/>
        <v>0</v>
      </c>
      <c r="N15" s="70">
        <f t="shared" si="2"/>
        <v>0</v>
      </c>
      <c r="O15" s="70"/>
      <c r="P15" s="70"/>
      <c r="Q15" s="70"/>
      <c r="R15" s="70"/>
      <c r="S15" s="72"/>
      <c r="T15" s="252" t="e">
        <f t="shared" si="6"/>
        <v>#DIV/0!</v>
      </c>
      <c r="U15" s="73"/>
      <c r="V15" s="73"/>
      <c r="W15" s="73"/>
      <c r="X15" s="73"/>
      <c r="Y15" s="65"/>
      <c r="Z15" s="65"/>
      <c r="AA15" s="61">
        <f>H1</f>
        <v>12</v>
      </c>
      <c r="AB15" s="61" t="str">
        <f>E1</f>
        <v>CISC-CBL-124 W</v>
      </c>
      <c r="AC15" s="74" t="s">
        <v>437</v>
      </c>
      <c r="AD15" s="61" t="str">
        <f t="shared" si="3"/>
        <v>GNS</v>
      </c>
      <c r="AE15" s="61">
        <f t="shared" si="4"/>
        <v>0</v>
      </c>
      <c r="AF15" s="61">
        <f t="shared" si="5"/>
        <v>0</v>
      </c>
      <c r="AG15" s="65"/>
    </row>
    <row r="16" spans="1:33" s="19" customFormat="1" ht="12.75" hidden="1" customHeight="1">
      <c r="A16" s="23" t="s">
        <v>3</v>
      </c>
      <c r="B16" s="1">
        <v>43175</v>
      </c>
      <c r="C16" s="68">
        <v>70</v>
      </c>
      <c r="D16" s="68">
        <v>945</v>
      </c>
      <c r="E16" s="69">
        <f t="shared" si="7"/>
        <v>29</v>
      </c>
      <c r="F16" s="70">
        <f t="shared" si="7"/>
        <v>354</v>
      </c>
      <c r="G16" s="68">
        <f t="shared" ref="G16:H19" si="8">E16-C16</f>
        <v>-41</v>
      </c>
      <c r="H16" s="68">
        <f t="shared" si="8"/>
        <v>-591</v>
      </c>
      <c r="I16" s="70"/>
      <c r="J16" s="70"/>
      <c r="K16" s="70"/>
      <c r="L16" s="70"/>
      <c r="M16" s="70">
        <f t="shared" si="2"/>
        <v>0</v>
      </c>
      <c r="N16" s="70">
        <f t="shared" si="2"/>
        <v>0</v>
      </c>
      <c r="O16" s="68">
        <v>29</v>
      </c>
      <c r="P16" s="68">
        <v>354</v>
      </c>
      <c r="Q16" s="70"/>
      <c r="R16" s="70"/>
      <c r="S16" s="72"/>
      <c r="T16" s="252">
        <f t="shared" si="6"/>
        <v>0.41428571428571431</v>
      </c>
      <c r="U16" s="73"/>
      <c r="V16" s="73"/>
      <c r="W16" s="73"/>
      <c r="X16" s="73"/>
      <c r="Y16" s="65"/>
      <c r="Z16" s="65"/>
      <c r="AA16" s="61">
        <f>H1</f>
        <v>12</v>
      </c>
      <c r="AB16" s="61" t="str">
        <f>E1</f>
        <v>CISC-CBL-124 W</v>
      </c>
      <c r="AC16" s="74" t="s">
        <v>437</v>
      </c>
      <c r="AD16" s="61" t="str">
        <f t="shared" si="3"/>
        <v>SGP</v>
      </c>
      <c r="AE16" s="61">
        <f t="shared" si="4"/>
        <v>70</v>
      </c>
      <c r="AF16" s="61">
        <f t="shared" si="5"/>
        <v>29</v>
      </c>
      <c r="AG16" s="65"/>
    </row>
    <row r="17" spans="1:33" s="19" customFormat="1" ht="12.75" hidden="1" customHeight="1">
      <c r="A17" s="23" t="s">
        <v>436</v>
      </c>
      <c r="B17" s="1">
        <v>43177</v>
      </c>
      <c r="C17" s="68">
        <v>0</v>
      </c>
      <c r="D17" s="68">
        <v>0</v>
      </c>
      <c r="E17" s="69">
        <f t="shared" si="7"/>
        <v>0</v>
      </c>
      <c r="F17" s="70">
        <f t="shared" si="7"/>
        <v>0</v>
      </c>
      <c r="G17" s="68">
        <f t="shared" si="8"/>
        <v>0</v>
      </c>
      <c r="H17" s="68">
        <f t="shared" si="8"/>
        <v>0</v>
      </c>
      <c r="I17" s="70"/>
      <c r="J17" s="70"/>
      <c r="K17" s="70"/>
      <c r="L17" s="70"/>
      <c r="M17" s="70">
        <f t="shared" si="2"/>
        <v>0</v>
      </c>
      <c r="N17" s="70">
        <f t="shared" si="2"/>
        <v>0</v>
      </c>
      <c r="O17" s="70"/>
      <c r="P17" s="70"/>
      <c r="Q17" s="70"/>
      <c r="R17" s="70"/>
      <c r="S17" s="72"/>
      <c r="T17" s="252" t="e">
        <f>E17/C17</f>
        <v>#DIV/0!</v>
      </c>
      <c r="U17" s="73"/>
      <c r="V17" s="73"/>
      <c r="W17" s="73"/>
      <c r="X17" s="73"/>
      <c r="Y17" s="65"/>
      <c r="Z17" s="65"/>
      <c r="AA17" s="61">
        <f>H1</f>
        <v>12</v>
      </c>
      <c r="AB17" s="61" t="str">
        <f>E1</f>
        <v>CISC-CBL-124 W</v>
      </c>
      <c r="AC17" s="74" t="s">
        <v>437</v>
      </c>
      <c r="AD17" s="61" t="str">
        <f t="shared" si="3"/>
        <v>PKG</v>
      </c>
      <c r="AE17" s="61">
        <f t="shared" si="4"/>
        <v>0</v>
      </c>
      <c r="AF17" s="61">
        <f t="shared" si="5"/>
        <v>0</v>
      </c>
      <c r="AG17" s="65"/>
    </row>
    <row r="18" spans="1:33" s="19" customFormat="1" ht="12.75" hidden="1" customHeight="1">
      <c r="A18" s="23" t="s">
        <v>31</v>
      </c>
      <c r="B18" s="20"/>
      <c r="C18" s="68">
        <v>0</v>
      </c>
      <c r="D18" s="68">
        <v>0</v>
      </c>
      <c r="E18" s="69">
        <f t="shared" si="7"/>
        <v>0</v>
      </c>
      <c r="F18" s="70">
        <f t="shared" si="7"/>
        <v>0</v>
      </c>
      <c r="G18" s="68">
        <f t="shared" si="8"/>
        <v>0</v>
      </c>
      <c r="H18" s="68">
        <f t="shared" si="8"/>
        <v>0</v>
      </c>
      <c r="I18" s="70"/>
      <c r="J18" s="70"/>
      <c r="K18" s="70"/>
      <c r="L18" s="70"/>
      <c r="M18" s="70">
        <f t="shared" si="2"/>
        <v>0</v>
      </c>
      <c r="N18" s="70">
        <f t="shared" si="2"/>
        <v>0</v>
      </c>
      <c r="O18" s="71"/>
      <c r="P18" s="71"/>
      <c r="Q18" s="71"/>
      <c r="R18" s="71"/>
      <c r="S18" s="72"/>
      <c r="T18" s="73"/>
      <c r="U18" s="73"/>
      <c r="V18" s="73"/>
      <c r="W18" s="73"/>
      <c r="X18" s="73"/>
      <c r="Y18" s="65"/>
      <c r="Z18" s="65"/>
      <c r="AA18" s="61">
        <f>H1</f>
        <v>12</v>
      </c>
      <c r="AB18" s="61" t="str">
        <f>E1</f>
        <v>CISC-CBL-124 W</v>
      </c>
      <c r="AC18" s="74" t="s">
        <v>437</v>
      </c>
      <c r="AD18" s="61" t="str">
        <f t="shared" si="3"/>
        <v>COSCO T/S</v>
      </c>
      <c r="AE18" s="61">
        <f t="shared" si="4"/>
        <v>0</v>
      </c>
      <c r="AF18" s="61">
        <f t="shared" si="5"/>
        <v>0</v>
      </c>
      <c r="AG18" s="65"/>
    </row>
    <row r="19" spans="1:33" s="19" customFormat="1" ht="12.75" hidden="1" customHeight="1">
      <c r="A19" s="23" t="s">
        <v>35</v>
      </c>
      <c r="B19" s="22"/>
      <c r="C19" s="71">
        <f>SUM(C5:C18)</f>
        <v>300</v>
      </c>
      <c r="D19" s="71">
        <f>SUM(D5:D18)</f>
        <v>4050</v>
      </c>
      <c r="E19" s="78">
        <f>SUM(E5:E18)</f>
        <v>171</v>
      </c>
      <c r="F19" s="76">
        <f>SUM(F5:F18)</f>
        <v>2620</v>
      </c>
      <c r="G19" s="71">
        <f t="shared" si="8"/>
        <v>-129</v>
      </c>
      <c r="H19" s="71">
        <f t="shared" si="8"/>
        <v>-1430</v>
      </c>
      <c r="I19" s="70">
        <f t="shared" ref="I19:N19" si="9">SUM(I5:I18)</f>
        <v>34</v>
      </c>
      <c r="J19" s="70">
        <f t="shared" si="9"/>
        <v>534</v>
      </c>
      <c r="K19" s="70">
        <f t="shared" si="9"/>
        <v>2</v>
      </c>
      <c r="L19" s="70">
        <f t="shared" si="9"/>
        <v>58</v>
      </c>
      <c r="M19" s="70">
        <f t="shared" si="9"/>
        <v>36</v>
      </c>
      <c r="N19" s="70">
        <f t="shared" si="9"/>
        <v>592</v>
      </c>
      <c r="O19" s="70">
        <f>SUM(O5:O18)</f>
        <v>171</v>
      </c>
      <c r="P19" s="70">
        <f t="shared" ref="P19:R19" si="10">SUM(P5:P18)</f>
        <v>2620</v>
      </c>
      <c r="Q19" s="70">
        <f t="shared" si="10"/>
        <v>0</v>
      </c>
      <c r="R19" s="70">
        <f t="shared" si="10"/>
        <v>0</v>
      </c>
      <c r="S19" s="72"/>
      <c r="T19" s="73"/>
      <c r="U19" s="73"/>
      <c r="V19" s="73"/>
      <c r="W19" s="73"/>
      <c r="X19" s="73"/>
      <c r="Y19" s="65"/>
      <c r="Z19" s="65"/>
      <c r="AA19" s="61"/>
      <c r="AB19" s="61"/>
      <c r="AC19" s="74"/>
      <c r="AD19" s="61"/>
      <c r="AE19" s="61"/>
      <c r="AF19" s="61"/>
      <c r="AG19" s="65"/>
    </row>
    <row r="20" spans="1:33" s="65" customFormat="1" ht="12.75" hidden="1" customHeight="1">
      <c r="A20" s="84">
        <f>D19/C19</f>
        <v>13.5</v>
      </c>
      <c r="C20" s="79">
        <f>F19-E20</f>
        <v>-1025</v>
      </c>
      <c r="E20" s="65">
        <f>D19*0.9</f>
        <v>3645</v>
      </c>
      <c r="F20" s="79">
        <f>E19-L20</f>
        <v>-99</v>
      </c>
      <c r="I20" s="80" t="s">
        <v>48</v>
      </c>
      <c r="J20" s="245">
        <f>E19/C19</f>
        <v>0.56999999999999995</v>
      </c>
      <c r="K20" s="80"/>
      <c r="L20" s="80">
        <f>C19*0.9</f>
        <v>270</v>
      </c>
      <c r="M20" s="80"/>
      <c r="N20" s="80"/>
      <c r="O20" s="80" t="s">
        <v>49</v>
      </c>
      <c r="P20" s="80"/>
      <c r="Q20" s="65">
        <f>P6+P7+P9+P10+P11+J6+J7+L6+L7+J9+R9</f>
        <v>1056</v>
      </c>
      <c r="R20" s="65">
        <v>16856</v>
      </c>
      <c r="AA20" s="61"/>
      <c r="AB20" s="61"/>
      <c r="AC20" s="74"/>
      <c r="AD20" s="61"/>
      <c r="AE20" s="61"/>
      <c r="AF20" s="61"/>
    </row>
    <row r="21" spans="1:33" s="19" customFormat="1" ht="12.75" hidden="1" customHeight="1">
      <c r="C21" s="65"/>
      <c r="D21" s="65"/>
      <c r="E21" s="65"/>
      <c r="F21" s="65"/>
      <c r="G21" s="65"/>
      <c r="H21" s="65"/>
      <c r="I21" s="80"/>
      <c r="J21" s="80"/>
      <c r="K21" s="80"/>
      <c r="L21" s="80"/>
      <c r="M21" s="80"/>
      <c r="N21" s="80"/>
      <c r="O21" s="80"/>
      <c r="P21" s="80"/>
      <c r="Q21" s="65"/>
      <c r="R21" s="65">
        <f>R20-Q20</f>
        <v>15800</v>
      </c>
      <c r="S21" s="65"/>
      <c r="T21" s="65"/>
      <c r="U21" s="65"/>
      <c r="V21" s="65"/>
      <c r="W21" s="65"/>
      <c r="X21" s="65"/>
      <c r="Y21" s="65"/>
      <c r="Z21" s="65"/>
      <c r="AA21" s="61"/>
      <c r="AB21" s="61"/>
      <c r="AC21" s="74"/>
      <c r="AD21" s="61"/>
      <c r="AE21" s="61"/>
      <c r="AF21" s="61"/>
      <c r="AG21" s="65"/>
    </row>
    <row r="22" spans="1:33" s="18" customFormat="1" ht="12.75" hidden="1" customHeight="1">
      <c r="A22" s="16" t="s">
        <v>438</v>
      </c>
      <c r="B22" s="17" t="s">
        <v>442</v>
      </c>
      <c r="C22" s="56"/>
      <c r="D22" s="57"/>
      <c r="E22" s="58" t="s">
        <v>530</v>
      </c>
      <c r="F22" s="57"/>
      <c r="G22" s="59" t="s">
        <v>37</v>
      </c>
      <c r="H22" s="60">
        <f>H1+1</f>
        <v>13</v>
      </c>
      <c r="I22" s="57"/>
      <c r="J22" s="57"/>
      <c r="K22" s="57"/>
      <c r="L22" s="57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2"/>
      <c r="Z22" s="62"/>
      <c r="AA22" s="62"/>
      <c r="AB22" s="62"/>
      <c r="AC22" s="62"/>
      <c r="AD22" s="63"/>
      <c r="AE22" s="63"/>
      <c r="AF22" s="63"/>
      <c r="AG22" s="63"/>
    </row>
    <row r="23" spans="1:33" s="19" customFormat="1" ht="12.75" hidden="1" customHeight="1">
      <c r="A23" s="340" t="s">
        <v>0</v>
      </c>
      <c r="B23" s="336" t="s">
        <v>1</v>
      </c>
      <c r="C23" s="331" t="s">
        <v>25</v>
      </c>
      <c r="D23" s="332"/>
      <c r="E23" s="331" t="s">
        <v>21</v>
      </c>
      <c r="F23" s="332"/>
      <c r="G23" s="335" t="s">
        <v>24</v>
      </c>
      <c r="H23" s="335"/>
      <c r="I23" s="328" t="s">
        <v>33</v>
      </c>
      <c r="J23" s="329"/>
      <c r="K23" s="329"/>
      <c r="L23" s="329"/>
      <c r="M23" s="329"/>
      <c r="N23" s="330"/>
      <c r="O23" s="331" t="s">
        <v>22</v>
      </c>
      <c r="P23" s="332"/>
      <c r="Q23" s="335" t="s">
        <v>23</v>
      </c>
      <c r="R23" s="335"/>
      <c r="S23" s="336" t="s">
        <v>27</v>
      </c>
      <c r="T23" s="64"/>
      <c r="U23" s="64"/>
      <c r="V23" s="64"/>
      <c r="W23" s="64"/>
      <c r="X23" s="64"/>
      <c r="Y23" s="339"/>
      <c r="Z23" s="85"/>
      <c r="AA23" s="61"/>
      <c r="AB23" s="61"/>
      <c r="AC23" s="74"/>
      <c r="AD23" s="61"/>
      <c r="AE23" s="61"/>
      <c r="AF23" s="61"/>
      <c r="AG23" s="65"/>
    </row>
    <row r="24" spans="1:33" s="19" customFormat="1" ht="12.75" hidden="1" customHeight="1">
      <c r="A24" s="341"/>
      <c r="B24" s="337"/>
      <c r="C24" s="333"/>
      <c r="D24" s="334"/>
      <c r="E24" s="333"/>
      <c r="F24" s="334"/>
      <c r="G24" s="335"/>
      <c r="H24" s="335"/>
      <c r="I24" s="66" t="s">
        <v>28</v>
      </c>
      <c r="J24" s="67" t="s">
        <v>3</v>
      </c>
      <c r="K24" s="66" t="s">
        <v>29</v>
      </c>
      <c r="L24" s="67" t="s">
        <v>4</v>
      </c>
      <c r="M24" s="328" t="s">
        <v>30</v>
      </c>
      <c r="N24" s="330"/>
      <c r="O24" s="333"/>
      <c r="P24" s="334"/>
      <c r="Q24" s="335"/>
      <c r="R24" s="335"/>
      <c r="S24" s="337"/>
      <c r="T24" s="64"/>
      <c r="U24" s="64"/>
      <c r="V24" s="64"/>
      <c r="W24" s="64"/>
      <c r="X24" s="64"/>
      <c r="Y24" s="339"/>
      <c r="Z24" s="85"/>
      <c r="AA24" s="61"/>
      <c r="AB24" s="61"/>
      <c r="AC24" s="74"/>
      <c r="AD24" s="61"/>
      <c r="AE24" s="61"/>
      <c r="AF24" s="61"/>
      <c r="AG24" s="65"/>
    </row>
    <row r="25" spans="1:33" s="19" customFormat="1" ht="12.75" hidden="1" customHeight="1">
      <c r="A25" s="342"/>
      <c r="B25" s="338"/>
      <c r="C25" s="68" t="s">
        <v>5</v>
      </c>
      <c r="D25" s="68" t="s">
        <v>6</v>
      </c>
      <c r="E25" s="67" t="s">
        <v>5</v>
      </c>
      <c r="F25" s="68" t="s">
        <v>6</v>
      </c>
      <c r="G25" s="68" t="s">
        <v>5</v>
      </c>
      <c r="H25" s="68" t="s">
        <v>6</v>
      </c>
      <c r="I25" s="67" t="s">
        <v>5</v>
      </c>
      <c r="J25" s="68" t="s">
        <v>6</v>
      </c>
      <c r="K25" s="67" t="s">
        <v>5</v>
      </c>
      <c r="L25" s="68" t="s">
        <v>6</v>
      </c>
      <c r="M25" s="68"/>
      <c r="N25" s="68"/>
      <c r="O25" s="67" t="s">
        <v>5</v>
      </c>
      <c r="P25" s="68" t="s">
        <v>6</v>
      </c>
      <c r="Q25" s="68" t="s">
        <v>5</v>
      </c>
      <c r="R25" s="68" t="s">
        <v>6</v>
      </c>
      <c r="S25" s="338"/>
      <c r="T25" s="64"/>
      <c r="U25" s="64"/>
      <c r="V25" s="64"/>
      <c r="W25" s="64"/>
      <c r="X25" s="64"/>
      <c r="Y25" s="339"/>
      <c r="Z25" s="85"/>
      <c r="AA25" s="61" t="s">
        <v>43</v>
      </c>
      <c r="AB25" s="61" t="s">
        <v>45</v>
      </c>
      <c r="AC25" s="61" t="s">
        <v>46</v>
      </c>
      <c r="AD25" s="61" t="s">
        <v>42</v>
      </c>
      <c r="AE25" s="61" t="s">
        <v>41</v>
      </c>
      <c r="AF25" s="61" t="s">
        <v>44</v>
      </c>
      <c r="AG25" s="65"/>
    </row>
    <row r="26" spans="1:33" s="19" customFormat="1" ht="12.75" hidden="1" customHeight="1">
      <c r="A26" s="21" t="s">
        <v>7</v>
      </c>
      <c r="B26" s="20" t="s">
        <v>67</v>
      </c>
      <c r="C26" s="68">
        <v>0</v>
      </c>
      <c r="D26" s="68">
        <v>0</v>
      </c>
      <c r="E26" s="69">
        <f t="shared" ref="E26:F34" si="11">O26+Q26</f>
        <v>0</v>
      </c>
      <c r="F26" s="70">
        <f t="shared" si="11"/>
        <v>0</v>
      </c>
      <c r="G26" s="68">
        <f t="shared" ref="G26:H35" si="12">E26-C26</f>
        <v>0</v>
      </c>
      <c r="H26" s="68">
        <f t="shared" si="12"/>
        <v>0</v>
      </c>
      <c r="I26" s="70"/>
      <c r="J26" s="70"/>
      <c r="K26" s="70"/>
      <c r="L26" s="70"/>
      <c r="M26" s="70">
        <f t="shared" ref="M26:N39" si="13">I26+K26</f>
        <v>0</v>
      </c>
      <c r="N26" s="70">
        <f t="shared" si="13"/>
        <v>0</v>
      </c>
      <c r="O26" s="71"/>
      <c r="P26" s="71"/>
      <c r="Q26" s="70"/>
      <c r="R26" s="70"/>
      <c r="S26" s="72"/>
      <c r="T26" s="252" t="e">
        <f>E26/C26</f>
        <v>#DIV/0!</v>
      </c>
      <c r="U26" s="73"/>
      <c r="V26" s="73"/>
      <c r="W26" s="73"/>
      <c r="X26" s="73"/>
      <c r="Y26" s="339"/>
      <c r="Z26" s="85"/>
      <c r="AA26" s="61">
        <f>H22</f>
        <v>13</v>
      </c>
      <c r="AB26" s="61" t="str">
        <f>E22</f>
        <v>CISC-SEE-167 W</v>
      </c>
      <c r="AC26" s="74" t="s">
        <v>437</v>
      </c>
      <c r="AD26" s="61" t="str">
        <f t="shared" ref="AD26:AD39" si="14">A26</f>
        <v>KR</v>
      </c>
      <c r="AE26" s="61">
        <f t="shared" ref="AE26:AE39" si="15">C26</f>
        <v>0</v>
      </c>
      <c r="AF26" s="61">
        <f t="shared" ref="AF26:AF39" si="16">E26</f>
        <v>0</v>
      </c>
      <c r="AG26" s="65"/>
    </row>
    <row r="27" spans="1:33" s="19" customFormat="1" ht="12.75" hidden="1" customHeight="1">
      <c r="A27" s="23" t="s">
        <v>13</v>
      </c>
      <c r="B27" s="1">
        <f>B6+7</f>
        <v>43174</v>
      </c>
      <c r="C27" s="68">
        <v>50</v>
      </c>
      <c r="D27" s="68">
        <v>675</v>
      </c>
      <c r="E27" s="69">
        <f t="shared" si="11"/>
        <v>45</v>
      </c>
      <c r="F27" s="70">
        <f t="shared" si="11"/>
        <v>770</v>
      </c>
      <c r="G27" s="68">
        <f t="shared" si="12"/>
        <v>-5</v>
      </c>
      <c r="H27" s="68">
        <f t="shared" si="12"/>
        <v>95</v>
      </c>
      <c r="I27" s="75">
        <v>42</v>
      </c>
      <c r="J27" s="75">
        <v>647</v>
      </c>
      <c r="K27" s="70"/>
      <c r="L27" s="70"/>
      <c r="M27" s="70">
        <f t="shared" si="13"/>
        <v>42</v>
      </c>
      <c r="N27" s="70">
        <f t="shared" si="13"/>
        <v>647</v>
      </c>
      <c r="O27" s="75">
        <v>45</v>
      </c>
      <c r="P27" s="75">
        <v>770</v>
      </c>
      <c r="Q27" s="71"/>
      <c r="R27" s="71"/>
      <c r="S27" s="72"/>
      <c r="T27" s="252">
        <f t="shared" ref="T27:T37" si="17">E27/C27</f>
        <v>0.9</v>
      </c>
      <c r="U27" s="73"/>
      <c r="V27" s="73"/>
      <c r="W27" s="73"/>
      <c r="X27" s="73"/>
      <c r="Y27" s="65"/>
      <c r="Z27" s="65"/>
      <c r="AA27" s="61">
        <f>H22</f>
        <v>13</v>
      </c>
      <c r="AB27" s="61" t="str">
        <f>E22</f>
        <v>CISC-SEE-167 W</v>
      </c>
      <c r="AC27" s="74" t="s">
        <v>437</v>
      </c>
      <c r="AD27" s="61" t="str">
        <f t="shared" si="14"/>
        <v>TAO</v>
      </c>
      <c r="AE27" s="61">
        <f t="shared" si="15"/>
        <v>50</v>
      </c>
      <c r="AF27" s="61">
        <f t="shared" si="16"/>
        <v>45</v>
      </c>
      <c r="AG27" s="65"/>
    </row>
    <row r="28" spans="1:33" s="19" customFormat="1" ht="12.75" hidden="1" customHeight="1">
      <c r="A28" s="23" t="s">
        <v>9</v>
      </c>
      <c r="B28" s="1" t="s">
        <v>67</v>
      </c>
      <c r="C28" s="68">
        <v>0</v>
      </c>
      <c r="D28" s="68">
        <v>0</v>
      </c>
      <c r="E28" s="69">
        <f t="shared" si="11"/>
        <v>0</v>
      </c>
      <c r="F28" s="70">
        <f t="shared" si="11"/>
        <v>0</v>
      </c>
      <c r="G28" s="68">
        <f t="shared" si="12"/>
        <v>0</v>
      </c>
      <c r="H28" s="68">
        <f t="shared" si="12"/>
        <v>0</v>
      </c>
      <c r="I28" s="75"/>
      <c r="J28" s="75"/>
      <c r="K28" s="71"/>
      <c r="L28" s="71"/>
      <c r="M28" s="70">
        <f t="shared" si="13"/>
        <v>0</v>
      </c>
      <c r="N28" s="70">
        <f t="shared" si="13"/>
        <v>0</v>
      </c>
      <c r="O28" s="75"/>
      <c r="P28" s="75"/>
      <c r="Q28" s="71"/>
      <c r="R28" s="71"/>
      <c r="S28" s="72"/>
      <c r="T28" s="252" t="e">
        <f t="shared" si="17"/>
        <v>#DIV/0!</v>
      </c>
      <c r="U28" s="73"/>
      <c r="V28" s="73"/>
      <c r="W28" s="73"/>
      <c r="X28" s="73"/>
      <c r="Y28" s="65"/>
      <c r="Z28" s="65"/>
      <c r="AA28" s="61">
        <f>H22</f>
        <v>13</v>
      </c>
      <c r="AB28" s="61" t="str">
        <f>E22</f>
        <v>CISC-SEE-167 W</v>
      </c>
      <c r="AC28" s="74" t="s">
        <v>437</v>
      </c>
      <c r="AD28" s="61" t="str">
        <f t="shared" si="14"/>
        <v>SHA</v>
      </c>
      <c r="AE28" s="61">
        <f t="shared" si="15"/>
        <v>0</v>
      </c>
      <c r="AF28" s="61">
        <f t="shared" si="16"/>
        <v>0</v>
      </c>
      <c r="AG28" s="65"/>
    </row>
    <row r="29" spans="1:33" s="19" customFormat="1" ht="12.75" hidden="1" customHeight="1">
      <c r="A29" s="23" t="s">
        <v>8</v>
      </c>
      <c r="B29" s="1" t="s">
        <v>67</v>
      </c>
      <c r="C29" s="68">
        <v>0</v>
      </c>
      <c r="D29" s="68">
        <v>0</v>
      </c>
      <c r="E29" s="69">
        <f t="shared" si="11"/>
        <v>0</v>
      </c>
      <c r="F29" s="70">
        <f t="shared" si="11"/>
        <v>0</v>
      </c>
      <c r="G29" s="68">
        <f t="shared" si="12"/>
        <v>0</v>
      </c>
      <c r="H29" s="68">
        <f t="shared" si="12"/>
        <v>0</v>
      </c>
      <c r="I29" s="71"/>
      <c r="J29" s="71"/>
      <c r="K29" s="71"/>
      <c r="L29" s="71"/>
      <c r="M29" s="70">
        <f t="shared" si="13"/>
        <v>0</v>
      </c>
      <c r="N29" s="70">
        <f t="shared" si="13"/>
        <v>0</v>
      </c>
      <c r="O29" s="71"/>
      <c r="P29" s="71"/>
      <c r="Q29" s="71"/>
      <c r="R29" s="71"/>
      <c r="S29" s="72"/>
      <c r="T29" s="252" t="e">
        <f t="shared" si="17"/>
        <v>#DIV/0!</v>
      </c>
      <c r="U29" s="73"/>
      <c r="V29" s="73"/>
      <c r="W29" s="73"/>
      <c r="X29" s="73"/>
      <c r="Y29" s="65"/>
      <c r="Z29" s="65"/>
      <c r="AA29" s="61">
        <f>H22</f>
        <v>13</v>
      </c>
      <c r="AB29" s="61" t="str">
        <f>E22</f>
        <v>CISC-SEE-167 W</v>
      </c>
      <c r="AC29" s="74" t="s">
        <v>437</v>
      </c>
      <c r="AD29" s="61" t="str">
        <f t="shared" si="14"/>
        <v>NGB</v>
      </c>
      <c r="AE29" s="61">
        <f t="shared" si="15"/>
        <v>0</v>
      </c>
      <c r="AF29" s="61">
        <f t="shared" si="16"/>
        <v>0</v>
      </c>
      <c r="AG29" s="65"/>
    </row>
    <row r="30" spans="1:33" s="19" customFormat="1" ht="12.75" hidden="1" customHeight="1">
      <c r="A30" s="23" t="s">
        <v>10</v>
      </c>
      <c r="B30" s="1" t="s">
        <v>67</v>
      </c>
      <c r="C30" s="68">
        <v>0</v>
      </c>
      <c r="D30" s="68">
        <v>0</v>
      </c>
      <c r="E30" s="69">
        <f t="shared" si="11"/>
        <v>0</v>
      </c>
      <c r="F30" s="70">
        <f t="shared" si="11"/>
        <v>0</v>
      </c>
      <c r="G30" s="68">
        <f t="shared" si="12"/>
        <v>0</v>
      </c>
      <c r="H30" s="68">
        <f t="shared" si="12"/>
        <v>0</v>
      </c>
      <c r="I30" s="75"/>
      <c r="J30" s="75"/>
      <c r="K30" s="70"/>
      <c r="L30" s="70"/>
      <c r="M30" s="70">
        <f t="shared" si="13"/>
        <v>0</v>
      </c>
      <c r="N30" s="70">
        <f t="shared" si="13"/>
        <v>0</v>
      </c>
      <c r="O30" s="75"/>
      <c r="P30" s="75"/>
      <c r="Q30" s="70"/>
      <c r="R30" s="70"/>
      <c r="S30" s="72"/>
      <c r="T30" s="252" t="e">
        <f t="shared" si="17"/>
        <v>#DIV/0!</v>
      </c>
      <c r="U30" s="73"/>
      <c r="V30" s="73"/>
      <c r="W30" s="73"/>
      <c r="X30" s="73"/>
      <c r="Y30" s="65"/>
      <c r="Z30" s="65"/>
      <c r="AA30" s="61">
        <f>H22</f>
        <v>13</v>
      </c>
      <c r="AB30" s="61" t="str">
        <f>E22</f>
        <v>CISC-SEE-167 W</v>
      </c>
      <c r="AC30" s="74" t="s">
        <v>437</v>
      </c>
      <c r="AD30" s="61" t="str">
        <f t="shared" si="14"/>
        <v>WUH</v>
      </c>
      <c r="AE30" s="61">
        <f t="shared" si="15"/>
        <v>0</v>
      </c>
      <c r="AF30" s="61">
        <f t="shared" si="16"/>
        <v>0</v>
      </c>
      <c r="AG30" s="65"/>
    </row>
    <row r="31" spans="1:33" s="19" customFormat="1" ht="12.75" hidden="1" customHeight="1">
      <c r="A31" s="23" t="s">
        <v>11</v>
      </c>
      <c r="B31" s="1" t="s">
        <v>18</v>
      </c>
      <c r="C31" s="68">
        <v>0</v>
      </c>
      <c r="D31" s="68">
        <v>0</v>
      </c>
      <c r="E31" s="69">
        <f t="shared" si="11"/>
        <v>0</v>
      </c>
      <c r="F31" s="70">
        <f t="shared" si="11"/>
        <v>0</v>
      </c>
      <c r="G31" s="68">
        <f t="shared" si="12"/>
        <v>0</v>
      </c>
      <c r="H31" s="68">
        <f t="shared" si="12"/>
        <v>0</v>
      </c>
      <c r="I31" s="70"/>
      <c r="J31" s="70"/>
      <c r="K31" s="70"/>
      <c r="L31" s="70"/>
      <c r="M31" s="70">
        <f t="shared" si="13"/>
        <v>0</v>
      </c>
      <c r="N31" s="70">
        <f t="shared" si="13"/>
        <v>0</v>
      </c>
      <c r="O31" s="75"/>
      <c r="P31" s="75"/>
      <c r="Q31" s="70"/>
      <c r="R31" s="70"/>
      <c r="S31" s="72"/>
      <c r="T31" s="252" t="e">
        <f t="shared" si="17"/>
        <v>#DIV/0!</v>
      </c>
      <c r="U31" s="73"/>
      <c r="V31" s="73"/>
      <c r="W31" s="73"/>
      <c r="X31" s="73"/>
      <c r="Y31" s="65"/>
      <c r="Z31" s="65"/>
      <c r="AA31" s="61">
        <f>H22</f>
        <v>13</v>
      </c>
      <c r="AB31" s="61" t="str">
        <f>E22</f>
        <v>CISC-SEE-167 W</v>
      </c>
      <c r="AC31" s="74" t="s">
        <v>437</v>
      </c>
      <c r="AD31" s="61" t="str">
        <f t="shared" si="14"/>
        <v>DLC</v>
      </c>
      <c r="AE31" s="61">
        <f t="shared" si="15"/>
        <v>0</v>
      </c>
      <c r="AF31" s="61">
        <f t="shared" si="16"/>
        <v>0</v>
      </c>
      <c r="AG31" s="65"/>
    </row>
    <row r="32" spans="1:33" s="19" customFormat="1" ht="12.75" hidden="1" customHeight="1">
      <c r="A32" s="23" t="s">
        <v>12</v>
      </c>
      <c r="B32" s="1">
        <f>B11+7</f>
        <v>43171</v>
      </c>
      <c r="C32" s="68">
        <v>100</v>
      </c>
      <c r="D32" s="68">
        <v>1350</v>
      </c>
      <c r="E32" s="69">
        <f t="shared" si="11"/>
        <v>100</v>
      </c>
      <c r="F32" s="70">
        <f t="shared" si="11"/>
        <v>930</v>
      </c>
      <c r="G32" s="68">
        <f t="shared" si="12"/>
        <v>0</v>
      </c>
      <c r="H32" s="68">
        <f t="shared" si="12"/>
        <v>-420</v>
      </c>
      <c r="I32" s="70">
        <v>32</v>
      </c>
      <c r="J32" s="70">
        <v>515</v>
      </c>
      <c r="K32" s="70"/>
      <c r="L32" s="70"/>
      <c r="M32" s="70">
        <f t="shared" si="13"/>
        <v>32</v>
      </c>
      <c r="N32" s="70">
        <f t="shared" si="13"/>
        <v>515</v>
      </c>
      <c r="O32" s="75">
        <v>100</v>
      </c>
      <c r="P32" s="75">
        <v>930</v>
      </c>
      <c r="Q32" s="76"/>
      <c r="R32" s="71"/>
      <c r="S32" s="72"/>
      <c r="T32" s="252">
        <f t="shared" si="17"/>
        <v>1</v>
      </c>
      <c r="U32" s="73"/>
      <c r="V32" s="73"/>
      <c r="W32" s="73"/>
      <c r="X32" s="73"/>
      <c r="Y32" s="65"/>
      <c r="Z32" s="65"/>
      <c r="AA32" s="61">
        <f>H22</f>
        <v>13</v>
      </c>
      <c r="AB32" s="61" t="str">
        <f>E22</f>
        <v>CISC-SEE-167 W</v>
      </c>
      <c r="AC32" s="74" t="s">
        <v>437</v>
      </c>
      <c r="AD32" s="61" t="str">
        <f t="shared" si="14"/>
        <v>TSN</v>
      </c>
      <c r="AE32" s="61">
        <f t="shared" si="15"/>
        <v>100</v>
      </c>
      <c r="AF32" s="61">
        <f t="shared" si="16"/>
        <v>100</v>
      </c>
      <c r="AG32" s="65"/>
    </row>
    <row r="33" spans="1:33" s="19" customFormat="1" ht="12.75" hidden="1" customHeight="1">
      <c r="A33" s="23" t="s">
        <v>14</v>
      </c>
      <c r="B33" s="1" t="s">
        <v>18</v>
      </c>
      <c r="C33" s="68">
        <v>0</v>
      </c>
      <c r="D33" s="68">
        <v>0</v>
      </c>
      <c r="E33" s="69">
        <f t="shared" si="11"/>
        <v>0</v>
      </c>
      <c r="F33" s="70">
        <f t="shared" si="11"/>
        <v>0</v>
      </c>
      <c r="G33" s="68">
        <f t="shared" si="12"/>
        <v>0</v>
      </c>
      <c r="H33" s="68">
        <f t="shared" si="12"/>
        <v>0</v>
      </c>
      <c r="I33" s="70"/>
      <c r="J33" s="70"/>
      <c r="K33" s="70"/>
      <c r="L33" s="70"/>
      <c r="M33" s="70">
        <f t="shared" si="13"/>
        <v>0</v>
      </c>
      <c r="N33" s="70">
        <f t="shared" si="13"/>
        <v>0</v>
      </c>
      <c r="O33" s="71"/>
      <c r="P33" s="71"/>
      <c r="Q33" s="70"/>
      <c r="R33" s="70"/>
      <c r="S33" s="72"/>
      <c r="T33" s="252" t="e">
        <f t="shared" si="17"/>
        <v>#DIV/0!</v>
      </c>
      <c r="U33" s="73"/>
      <c r="V33" s="73"/>
      <c r="W33" s="73"/>
      <c r="X33" s="73"/>
      <c r="Y33" s="65"/>
      <c r="Z33" s="65"/>
      <c r="AA33" s="61">
        <f>H22</f>
        <v>13</v>
      </c>
      <c r="AB33" s="61" t="str">
        <f>E22</f>
        <v>CISC-SEE-167 W</v>
      </c>
      <c r="AC33" s="74" t="s">
        <v>437</v>
      </c>
      <c r="AD33" s="61" t="str">
        <f t="shared" si="14"/>
        <v>XMN</v>
      </c>
      <c r="AE33" s="61">
        <f t="shared" si="15"/>
        <v>0</v>
      </c>
      <c r="AF33" s="61">
        <f t="shared" si="16"/>
        <v>0</v>
      </c>
      <c r="AG33" s="65"/>
    </row>
    <row r="34" spans="1:33" s="19" customFormat="1" ht="12.75" hidden="1" customHeight="1">
      <c r="A34" s="23" t="s">
        <v>19</v>
      </c>
      <c r="B34" s="1">
        <f>B13+7</f>
        <v>43177</v>
      </c>
      <c r="C34" s="68">
        <v>80</v>
      </c>
      <c r="D34" s="68">
        <v>1080</v>
      </c>
      <c r="E34" s="69">
        <f t="shared" si="11"/>
        <v>71</v>
      </c>
      <c r="F34" s="70">
        <f t="shared" si="11"/>
        <v>1185</v>
      </c>
      <c r="G34" s="68">
        <f t="shared" si="12"/>
        <v>-9</v>
      </c>
      <c r="H34" s="68">
        <f t="shared" si="12"/>
        <v>105</v>
      </c>
      <c r="I34" s="70"/>
      <c r="J34" s="70"/>
      <c r="K34" s="70"/>
      <c r="L34" s="70"/>
      <c r="M34" s="70">
        <f t="shared" si="13"/>
        <v>0</v>
      </c>
      <c r="N34" s="70">
        <f t="shared" si="13"/>
        <v>0</v>
      </c>
      <c r="O34" s="70"/>
      <c r="P34" s="70"/>
      <c r="Q34" s="70">
        <v>71</v>
      </c>
      <c r="R34" s="70">
        <v>1185</v>
      </c>
      <c r="S34" s="72"/>
      <c r="T34" s="252">
        <f t="shared" si="17"/>
        <v>0.88749999999999996</v>
      </c>
      <c r="U34" s="73"/>
      <c r="V34" s="73"/>
      <c r="W34" s="73"/>
      <c r="X34" s="73"/>
      <c r="Y34" s="65"/>
      <c r="Z34" s="65"/>
      <c r="AA34" s="61">
        <f>H22</f>
        <v>13</v>
      </c>
      <c r="AB34" s="61" t="str">
        <f>E22</f>
        <v>CISC-SEE-167 W</v>
      </c>
      <c r="AC34" s="74" t="s">
        <v>437</v>
      </c>
      <c r="AD34" s="61" t="str">
        <f t="shared" si="14"/>
        <v>TWC</v>
      </c>
      <c r="AE34" s="61">
        <f t="shared" si="15"/>
        <v>80</v>
      </c>
      <c r="AF34" s="61">
        <f t="shared" si="16"/>
        <v>71</v>
      </c>
      <c r="AG34" s="65"/>
    </row>
    <row r="35" spans="1:33" s="19" customFormat="1" ht="12.75" hidden="1" customHeight="1">
      <c r="A35" s="23" t="s">
        <v>16</v>
      </c>
      <c r="B35" s="1" t="s">
        <v>67</v>
      </c>
      <c r="C35" s="68">
        <v>0</v>
      </c>
      <c r="D35" s="68">
        <v>0</v>
      </c>
      <c r="E35" s="69">
        <f t="shared" ref="E35:F39" si="18">O35+Q35</f>
        <v>0</v>
      </c>
      <c r="F35" s="70">
        <f t="shared" si="18"/>
        <v>0</v>
      </c>
      <c r="G35" s="68">
        <f t="shared" si="12"/>
        <v>0</v>
      </c>
      <c r="H35" s="68">
        <f t="shared" si="12"/>
        <v>0</v>
      </c>
      <c r="I35" s="70"/>
      <c r="J35" s="70"/>
      <c r="K35" s="70"/>
      <c r="L35" s="70"/>
      <c r="M35" s="70">
        <f t="shared" si="13"/>
        <v>0</v>
      </c>
      <c r="N35" s="70">
        <f t="shared" si="13"/>
        <v>0</v>
      </c>
      <c r="O35" s="70"/>
      <c r="P35" s="70"/>
      <c r="Q35" s="70"/>
      <c r="R35" s="65"/>
      <c r="S35" s="72"/>
      <c r="T35" s="252" t="e">
        <f t="shared" si="17"/>
        <v>#DIV/0!</v>
      </c>
      <c r="U35" s="73"/>
      <c r="V35" s="73"/>
      <c r="W35" s="73"/>
      <c r="X35" s="73"/>
      <c r="Y35" s="65"/>
      <c r="Z35" s="65"/>
      <c r="AA35" s="61">
        <f>H22</f>
        <v>13</v>
      </c>
      <c r="AB35" s="61" t="str">
        <f>E22</f>
        <v>CISC-SEE-167 W</v>
      </c>
      <c r="AC35" s="74" t="s">
        <v>437</v>
      </c>
      <c r="AD35" s="61" t="str">
        <f t="shared" si="14"/>
        <v>HUA</v>
      </c>
      <c r="AE35" s="61">
        <f t="shared" si="15"/>
        <v>0</v>
      </c>
      <c r="AF35" s="61">
        <f t="shared" si="16"/>
        <v>0</v>
      </c>
      <c r="AG35" s="65"/>
    </row>
    <row r="36" spans="1:33" s="19" customFormat="1" ht="12.75" hidden="1" customHeight="1">
      <c r="A36" s="23" t="s">
        <v>68</v>
      </c>
      <c r="B36" s="1" t="s">
        <v>67</v>
      </c>
      <c r="C36" s="68"/>
      <c r="D36" s="68"/>
      <c r="E36" s="69">
        <f t="shared" si="18"/>
        <v>0</v>
      </c>
      <c r="F36" s="70">
        <f t="shared" si="18"/>
        <v>0</v>
      </c>
      <c r="G36" s="68"/>
      <c r="H36" s="68"/>
      <c r="I36" s="70"/>
      <c r="J36" s="70"/>
      <c r="K36" s="70"/>
      <c r="L36" s="70"/>
      <c r="M36" s="70">
        <f t="shared" si="13"/>
        <v>0</v>
      </c>
      <c r="N36" s="70">
        <f t="shared" si="13"/>
        <v>0</v>
      </c>
      <c r="O36" s="70"/>
      <c r="P36" s="70"/>
      <c r="Q36" s="70"/>
      <c r="R36" s="70"/>
      <c r="S36" s="72"/>
      <c r="T36" s="252" t="e">
        <f t="shared" si="17"/>
        <v>#DIV/0!</v>
      </c>
      <c r="U36" s="73"/>
      <c r="V36" s="73"/>
      <c r="W36" s="73"/>
      <c r="X36" s="73"/>
      <c r="Y36" s="65"/>
      <c r="Z36" s="65"/>
      <c r="AA36" s="61">
        <f>H22</f>
        <v>13</v>
      </c>
      <c r="AB36" s="61" t="str">
        <f>E22</f>
        <v>CISC-SEE-167 W</v>
      </c>
      <c r="AC36" s="74" t="s">
        <v>437</v>
      </c>
      <c r="AD36" s="61" t="str">
        <f t="shared" si="14"/>
        <v>GNS</v>
      </c>
      <c r="AE36" s="61">
        <f t="shared" si="15"/>
        <v>0</v>
      </c>
      <c r="AF36" s="61">
        <f t="shared" si="16"/>
        <v>0</v>
      </c>
      <c r="AG36" s="65"/>
    </row>
    <row r="37" spans="1:33" s="19" customFormat="1" ht="12.75" hidden="1" customHeight="1">
      <c r="A37" s="23" t="s">
        <v>3</v>
      </c>
      <c r="B37" s="1">
        <f>B16+7</f>
        <v>43182</v>
      </c>
      <c r="C37" s="68">
        <v>70</v>
      </c>
      <c r="D37" s="68">
        <v>945</v>
      </c>
      <c r="E37" s="69">
        <f t="shared" si="18"/>
        <v>0</v>
      </c>
      <c r="F37" s="70">
        <f t="shared" si="18"/>
        <v>0</v>
      </c>
      <c r="G37" s="68">
        <f t="shared" ref="G37:H40" si="19">E37-C37</f>
        <v>-70</v>
      </c>
      <c r="H37" s="68">
        <f t="shared" si="19"/>
        <v>-945</v>
      </c>
      <c r="I37" s="70"/>
      <c r="J37" s="70"/>
      <c r="K37" s="70"/>
      <c r="L37" s="70"/>
      <c r="M37" s="70">
        <f t="shared" si="13"/>
        <v>0</v>
      </c>
      <c r="N37" s="70">
        <f t="shared" si="13"/>
        <v>0</v>
      </c>
      <c r="O37" s="68"/>
      <c r="P37" s="68"/>
      <c r="Q37" s="70"/>
      <c r="R37" s="70"/>
      <c r="S37" s="72"/>
      <c r="T37" s="252">
        <f t="shared" si="17"/>
        <v>0</v>
      </c>
      <c r="U37" s="73"/>
      <c r="V37" s="73"/>
      <c r="W37" s="73"/>
      <c r="X37" s="73"/>
      <c r="Y37" s="65"/>
      <c r="Z37" s="65"/>
      <c r="AA37" s="61">
        <f>H22</f>
        <v>13</v>
      </c>
      <c r="AB37" s="61" t="str">
        <f>E22</f>
        <v>CISC-SEE-167 W</v>
      </c>
      <c r="AC37" s="74" t="s">
        <v>437</v>
      </c>
      <c r="AD37" s="61" t="str">
        <f t="shared" si="14"/>
        <v>SGP</v>
      </c>
      <c r="AE37" s="61">
        <f t="shared" si="15"/>
        <v>70</v>
      </c>
      <c r="AF37" s="61">
        <f t="shared" si="16"/>
        <v>0</v>
      </c>
      <c r="AG37" s="65"/>
    </row>
    <row r="38" spans="1:33" s="19" customFormat="1" ht="12.75" hidden="1" customHeight="1">
      <c r="A38" s="23" t="s">
        <v>431</v>
      </c>
      <c r="B38" s="1">
        <f>B17+7</f>
        <v>43184</v>
      </c>
      <c r="C38" s="68">
        <v>0</v>
      </c>
      <c r="D38" s="68">
        <v>0</v>
      </c>
      <c r="E38" s="69">
        <f t="shared" si="18"/>
        <v>0</v>
      </c>
      <c r="F38" s="70">
        <f t="shared" si="18"/>
        <v>0</v>
      </c>
      <c r="G38" s="68">
        <f t="shared" si="19"/>
        <v>0</v>
      </c>
      <c r="H38" s="68">
        <f t="shared" si="19"/>
        <v>0</v>
      </c>
      <c r="I38" s="70"/>
      <c r="J38" s="70"/>
      <c r="K38" s="70"/>
      <c r="L38" s="70"/>
      <c r="M38" s="70">
        <f t="shared" si="13"/>
        <v>0</v>
      </c>
      <c r="N38" s="70">
        <f t="shared" si="13"/>
        <v>0</v>
      </c>
      <c r="O38" s="70"/>
      <c r="P38" s="70"/>
      <c r="Q38" s="70"/>
      <c r="R38" s="70"/>
      <c r="S38" s="72"/>
      <c r="T38" s="252" t="e">
        <f>E38/C38</f>
        <v>#DIV/0!</v>
      </c>
      <c r="U38" s="73"/>
      <c r="V38" s="73"/>
      <c r="W38" s="73"/>
      <c r="X38" s="73"/>
      <c r="Y38" s="65"/>
      <c r="Z38" s="65"/>
      <c r="AA38" s="61">
        <f>H22</f>
        <v>13</v>
      </c>
      <c r="AB38" s="61" t="str">
        <f>E22</f>
        <v>CISC-SEE-167 W</v>
      </c>
      <c r="AC38" s="74" t="s">
        <v>437</v>
      </c>
      <c r="AD38" s="61" t="str">
        <f t="shared" si="14"/>
        <v>HQ</v>
      </c>
      <c r="AE38" s="61">
        <f t="shared" si="15"/>
        <v>0</v>
      </c>
      <c r="AF38" s="61">
        <f t="shared" si="16"/>
        <v>0</v>
      </c>
      <c r="AG38" s="65"/>
    </row>
    <row r="39" spans="1:33" s="19" customFormat="1" ht="12.75" hidden="1" customHeight="1">
      <c r="A39" s="23" t="s">
        <v>31</v>
      </c>
      <c r="B39" s="1"/>
      <c r="C39" s="68">
        <v>0</v>
      </c>
      <c r="D39" s="68">
        <v>0</v>
      </c>
      <c r="E39" s="69">
        <f t="shared" si="18"/>
        <v>0</v>
      </c>
      <c r="F39" s="70">
        <f t="shared" si="18"/>
        <v>0</v>
      </c>
      <c r="G39" s="68">
        <f t="shared" si="19"/>
        <v>0</v>
      </c>
      <c r="H39" s="68">
        <f t="shared" si="19"/>
        <v>0</v>
      </c>
      <c r="I39" s="70"/>
      <c r="J39" s="70"/>
      <c r="K39" s="70"/>
      <c r="L39" s="70"/>
      <c r="M39" s="70">
        <f t="shared" si="13"/>
        <v>0</v>
      </c>
      <c r="N39" s="70">
        <f t="shared" si="13"/>
        <v>0</v>
      </c>
      <c r="O39" s="71"/>
      <c r="P39" s="71"/>
      <c r="Q39" s="71"/>
      <c r="R39" s="71"/>
      <c r="S39" s="72"/>
      <c r="T39" s="73"/>
      <c r="U39" s="73"/>
      <c r="V39" s="73"/>
      <c r="W39" s="73"/>
      <c r="X39" s="73"/>
      <c r="Y39" s="65"/>
      <c r="Z39" s="65"/>
      <c r="AA39" s="61">
        <f>H22</f>
        <v>13</v>
      </c>
      <c r="AB39" s="61" t="str">
        <f>E22</f>
        <v>CISC-SEE-167 W</v>
      </c>
      <c r="AC39" s="74" t="s">
        <v>437</v>
      </c>
      <c r="AD39" s="61" t="str">
        <f t="shared" si="14"/>
        <v>COSCO T/S</v>
      </c>
      <c r="AE39" s="61">
        <f t="shared" si="15"/>
        <v>0</v>
      </c>
      <c r="AF39" s="61">
        <f t="shared" si="16"/>
        <v>0</v>
      </c>
      <c r="AG39" s="65"/>
    </row>
    <row r="40" spans="1:33" s="19" customFormat="1" ht="12.75" hidden="1" customHeight="1">
      <c r="A40" s="21" t="s">
        <v>36</v>
      </c>
      <c r="B40" s="22"/>
      <c r="C40" s="71">
        <f>SUM(C26:C39)</f>
        <v>300</v>
      </c>
      <c r="D40" s="71">
        <f>SUM(D26:D39)</f>
        <v>4050</v>
      </c>
      <c r="E40" s="78">
        <f>SUM(E26:E39)</f>
        <v>216</v>
      </c>
      <c r="F40" s="76">
        <f>SUM(F26:F39)</f>
        <v>2885</v>
      </c>
      <c r="G40" s="71">
        <f t="shared" si="19"/>
        <v>-84</v>
      </c>
      <c r="H40" s="71">
        <f t="shared" si="19"/>
        <v>-1165</v>
      </c>
      <c r="I40" s="70">
        <f t="shared" ref="I40:L40" si="20">SUM(I26:I39)</f>
        <v>74</v>
      </c>
      <c r="J40" s="70">
        <f t="shared" si="20"/>
        <v>1162</v>
      </c>
      <c r="K40" s="70">
        <f t="shared" si="20"/>
        <v>0</v>
      </c>
      <c r="L40" s="70">
        <f t="shared" si="20"/>
        <v>0</v>
      </c>
      <c r="M40" s="70"/>
      <c r="N40" s="70"/>
      <c r="O40" s="70">
        <f t="shared" ref="O40:R40" si="21">SUM(O26:O39)</f>
        <v>145</v>
      </c>
      <c r="P40" s="70">
        <f t="shared" si="21"/>
        <v>1700</v>
      </c>
      <c r="Q40" s="70">
        <f t="shared" si="21"/>
        <v>71</v>
      </c>
      <c r="R40" s="70">
        <f t="shared" si="21"/>
        <v>1185</v>
      </c>
      <c r="S40" s="72"/>
      <c r="T40" s="73"/>
      <c r="U40" s="73"/>
      <c r="V40" s="73"/>
      <c r="W40" s="73"/>
      <c r="X40" s="73"/>
      <c r="Y40" s="65"/>
      <c r="Z40" s="65"/>
      <c r="AA40" s="61"/>
      <c r="AB40" s="61"/>
      <c r="AC40" s="61"/>
      <c r="AD40" s="61"/>
      <c r="AE40" s="61"/>
      <c r="AF40" s="61"/>
      <c r="AG40" s="65"/>
    </row>
    <row r="41" spans="1:33" s="65" customFormat="1" ht="12.75" hidden="1" customHeight="1">
      <c r="A41" s="84">
        <f>D40/C40</f>
        <v>13.5</v>
      </c>
      <c r="C41" s="79">
        <f>F40-E41</f>
        <v>-760</v>
      </c>
      <c r="E41" s="65">
        <f>D40*0.9</f>
        <v>3645</v>
      </c>
      <c r="F41" s="79">
        <f>E40-L41</f>
        <v>-54</v>
      </c>
      <c r="I41" s="80" t="s">
        <v>48</v>
      </c>
      <c r="J41" s="245">
        <f>E40/C40</f>
        <v>0.72</v>
      </c>
      <c r="K41" s="80"/>
      <c r="L41" s="80">
        <f>C40*0.9</f>
        <v>270</v>
      </c>
      <c r="M41" s="80"/>
      <c r="N41" s="80"/>
      <c r="O41" s="80" t="s">
        <v>49</v>
      </c>
      <c r="P41" s="80"/>
      <c r="Q41" s="65">
        <f>P27+P28+P30+P31+P32+J27+J28+L27+L28+J30+R30</f>
        <v>2347</v>
      </c>
      <c r="R41" s="65">
        <v>16856</v>
      </c>
      <c r="AA41" s="81"/>
      <c r="AB41" s="81"/>
      <c r="AC41" s="81"/>
      <c r="AD41" s="81"/>
      <c r="AE41" s="81"/>
      <c r="AF41" s="81"/>
    </row>
    <row r="42" spans="1:33" s="19" customFormat="1" ht="12.75" hidden="1" customHeight="1">
      <c r="C42" s="65"/>
      <c r="D42" s="65"/>
      <c r="E42" s="65"/>
      <c r="F42" s="65"/>
      <c r="G42" s="65"/>
      <c r="H42" s="65"/>
      <c r="I42" s="80"/>
      <c r="J42" s="80"/>
      <c r="K42" s="80"/>
      <c r="L42" s="80"/>
      <c r="M42" s="80"/>
      <c r="N42" s="80"/>
      <c r="O42" s="80"/>
      <c r="P42" s="80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1"/>
      <c r="AB42" s="61"/>
      <c r="AC42" s="61"/>
      <c r="AD42" s="61"/>
      <c r="AE42" s="61"/>
      <c r="AF42" s="61"/>
      <c r="AG42" s="65"/>
    </row>
    <row r="43" spans="1:33" s="18" customFormat="1" ht="12.75" hidden="1" customHeight="1">
      <c r="A43" s="16" t="s">
        <v>439</v>
      </c>
      <c r="B43" s="17" t="s">
        <v>467</v>
      </c>
      <c r="C43" s="56"/>
      <c r="D43" s="57"/>
      <c r="E43" s="58" t="s">
        <v>538</v>
      </c>
      <c r="F43" s="57"/>
      <c r="G43" s="59" t="s">
        <v>37</v>
      </c>
      <c r="H43" s="60">
        <f>H22+1</f>
        <v>14</v>
      </c>
      <c r="I43" s="57"/>
      <c r="J43" s="57"/>
      <c r="K43" s="57"/>
      <c r="L43" s="57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2"/>
      <c r="Z43" s="62"/>
      <c r="AA43" s="62"/>
      <c r="AB43" s="62"/>
      <c r="AC43" s="62"/>
      <c r="AD43" s="63"/>
      <c r="AE43" s="63"/>
      <c r="AF43" s="63"/>
      <c r="AG43" s="63"/>
    </row>
    <row r="44" spans="1:33" s="19" customFormat="1" ht="12.75" hidden="1" customHeight="1">
      <c r="A44" s="340" t="s">
        <v>0</v>
      </c>
      <c r="B44" s="336" t="s">
        <v>1</v>
      </c>
      <c r="C44" s="331" t="s">
        <v>25</v>
      </c>
      <c r="D44" s="332"/>
      <c r="E44" s="331" t="s">
        <v>21</v>
      </c>
      <c r="F44" s="332"/>
      <c r="G44" s="335" t="s">
        <v>24</v>
      </c>
      <c r="H44" s="335"/>
      <c r="I44" s="328" t="s">
        <v>33</v>
      </c>
      <c r="J44" s="329"/>
      <c r="K44" s="329"/>
      <c r="L44" s="329"/>
      <c r="M44" s="329"/>
      <c r="N44" s="330"/>
      <c r="O44" s="331" t="s">
        <v>22</v>
      </c>
      <c r="P44" s="332"/>
      <c r="Q44" s="335" t="s">
        <v>23</v>
      </c>
      <c r="R44" s="335"/>
      <c r="S44" s="336" t="s">
        <v>27</v>
      </c>
      <c r="T44" s="64"/>
      <c r="U44" s="64"/>
      <c r="V44" s="64"/>
      <c r="W44" s="64"/>
      <c r="X44" s="64"/>
      <c r="Y44" s="339"/>
      <c r="Z44" s="85"/>
      <c r="AA44" s="61"/>
      <c r="AB44" s="61"/>
      <c r="AC44" s="74"/>
      <c r="AD44" s="61"/>
      <c r="AE44" s="61"/>
      <c r="AF44" s="61"/>
      <c r="AG44" s="65"/>
    </row>
    <row r="45" spans="1:33" s="19" customFormat="1" ht="12.75" hidden="1" customHeight="1">
      <c r="A45" s="341"/>
      <c r="B45" s="337"/>
      <c r="C45" s="333"/>
      <c r="D45" s="334"/>
      <c r="E45" s="333"/>
      <c r="F45" s="334"/>
      <c r="G45" s="335"/>
      <c r="H45" s="335"/>
      <c r="I45" s="66" t="s">
        <v>28</v>
      </c>
      <c r="J45" s="67" t="s">
        <v>3</v>
      </c>
      <c r="K45" s="66" t="s">
        <v>29</v>
      </c>
      <c r="L45" s="67" t="s">
        <v>4</v>
      </c>
      <c r="M45" s="328" t="s">
        <v>30</v>
      </c>
      <c r="N45" s="330"/>
      <c r="O45" s="333"/>
      <c r="P45" s="334"/>
      <c r="Q45" s="335"/>
      <c r="R45" s="335"/>
      <c r="S45" s="337"/>
      <c r="T45" s="64"/>
      <c r="U45" s="64"/>
      <c r="V45" s="64"/>
      <c r="W45" s="64"/>
      <c r="X45" s="64"/>
      <c r="Y45" s="339"/>
      <c r="Z45" s="85"/>
      <c r="AA45" s="61"/>
      <c r="AB45" s="61"/>
      <c r="AC45" s="74"/>
      <c r="AD45" s="61"/>
      <c r="AE45" s="61"/>
      <c r="AF45" s="61"/>
      <c r="AG45" s="65"/>
    </row>
    <row r="46" spans="1:33" s="19" customFormat="1" ht="12.75" hidden="1" customHeight="1">
      <c r="A46" s="342"/>
      <c r="B46" s="338"/>
      <c r="C46" s="68" t="s">
        <v>5</v>
      </c>
      <c r="D46" s="68" t="s">
        <v>6</v>
      </c>
      <c r="E46" s="67" t="s">
        <v>5</v>
      </c>
      <c r="F46" s="68" t="s">
        <v>6</v>
      </c>
      <c r="G46" s="68" t="s">
        <v>5</v>
      </c>
      <c r="H46" s="68" t="s">
        <v>6</v>
      </c>
      <c r="I46" s="67" t="s">
        <v>5</v>
      </c>
      <c r="J46" s="68" t="s">
        <v>6</v>
      </c>
      <c r="K46" s="67" t="s">
        <v>5</v>
      </c>
      <c r="L46" s="68" t="s">
        <v>6</v>
      </c>
      <c r="M46" s="68"/>
      <c r="N46" s="68"/>
      <c r="O46" s="67" t="s">
        <v>5</v>
      </c>
      <c r="P46" s="68" t="s">
        <v>6</v>
      </c>
      <c r="Q46" s="68" t="s">
        <v>5</v>
      </c>
      <c r="R46" s="68" t="s">
        <v>6</v>
      </c>
      <c r="S46" s="338"/>
      <c r="T46" s="64"/>
      <c r="U46" s="64"/>
      <c r="V46" s="64"/>
      <c r="W46" s="64"/>
      <c r="X46" s="64"/>
      <c r="Y46" s="339"/>
      <c r="Z46" s="85"/>
      <c r="AA46" s="61" t="s">
        <v>43</v>
      </c>
      <c r="AB46" s="61" t="s">
        <v>45</v>
      </c>
      <c r="AC46" s="61" t="s">
        <v>46</v>
      </c>
      <c r="AD46" s="61" t="s">
        <v>42</v>
      </c>
      <c r="AE46" s="61" t="s">
        <v>41</v>
      </c>
      <c r="AF46" s="61" t="s">
        <v>44</v>
      </c>
      <c r="AG46" s="65"/>
    </row>
    <row r="47" spans="1:33" s="19" customFormat="1" ht="12.75" hidden="1" customHeight="1">
      <c r="A47" s="21" t="s">
        <v>7</v>
      </c>
      <c r="B47" s="20" t="s">
        <v>67</v>
      </c>
      <c r="C47" s="68">
        <v>0</v>
      </c>
      <c r="D47" s="68">
        <v>0</v>
      </c>
      <c r="E47" s="69">
        <f t="shared" ref="E47:F55" si="22">O47+Q47</f>
        <v>0</v>
      </c>
      <c r="F47" s="70">
        <f t="shared" si="22"/>
        <v>0</v>
      </c>
      <c r="G47" s="68">
        <f t="shared" ref="G47:H56" si="23">E47-C47</f>
        <v>0</v>
      </c>
      <c r="H47" s="68">
        <f t="shared" si="23"/>
        <v>0</v>
      </c>
      <c r="I47" s="70"/>
      <c r="J47" s="70"/>
      <c r="K47" s="70"/>
      <c r="L47" s="70"/>
      <c r="M47" s="70">
        <f t="shared" ref="M47:N60" si="24">I47+K47</f>
        <v>0</v>
      </c>
      <c r="N47" s="70">
        <f t="shared" si="24"/>
        <v>0</v>
      </c>
      <c r="O47" s="71"/>
      <c r="P47" s="71"/>
      <c r="Q47" s="70"/>
      <c r="R47" s="70"/>
      <c r="S47" s="72"/>
      <c r="T47" s="252" t="e">
        <f>E47/C47</f>
        <v>#DIV/0!</v>
      </c>
      <c r="U47" s="73"/>
      <c r="V47" s="73"/>
      <c r="W47" s="73"/>
      <c r="X47" s="73"/>
      <c r="Y47" s="339"/>
      <c r="Z47" s="85"/>
      <c r="AA47" s="61">
        <f>H43</f>
        <v>14</v>
      </c>
      <c r="AB47" s="61" t="str">
        <f>E43</f>
        <v>CISC-SFP-134 W</v>
      </c>
      <c r="AC47" s="74" t="s">
        <v>437</v>
      </c>
      <c r="AD47" s="61" t="str">
        <f t="shared" ref="AD47:AD60" si="25">A47</f>
        <v>KR</v>
      </c>
      <c r="AE47" s="61">
        <f t="shared" ref="AE47:AE60" si="26">C47</f>
        <v>0</v>
      </c>
      <c r="AF47" s="61">
        <f t="shared" ref="AF47:AF60" si="27">E47</f>
        <v>0</v>
      </c>
      <c r="AG47" s="65"/>
    </row>
    <row r="48" spans="1:33" s="19" customFormat="1" ht="12.75" hidden="1" customHeight="1">
      <c r="A48" s="23" t="s">
        <v>13</v>
      </c>
      <c r="B48" s="1">
        <f>B27+7</f>
        <v>43181</v>
      </c>
      <c r="C48" s="68">
        <v>50</v>
      </c>
      <c r="D48" s="68">
        <v>675</v>
      </c>
      <c r="E48" s="69">
        <f t="shared" si="22"/>
        <v>34</v>
      </c>
      <c r="F48" s="70">
        <f t="shared" si="22"/>
        <v>493</v>
      </c>
      <c r="G48" s="68">
        <f t="shared" si="23"/>
        <v>-16</v>
      </c>
      <c r="H48" s="68">
        <f t="shared" si="23"/>
        <v>-182</v>
      </c>
      <c r="I48" s="75">
        <v>14</v>
      </c>
      <c r="J48" s="75">
        <v>222</v>
      </c>
      <c r="K48" s="70">
        <v>2</v>
      </c>
      <c r="L48" s="70">
        <v>10</v>
      </c>
      <c r="M48" s="70">
        <f t="shared" si="24"/>
        <v>16</v>
      </c>
      <c r="N48" s="70">
        <f t="shared" si="24"/>
        <v>232</v>
      </c>
      <c r="O48" s="75">
        <v>34</v>
      </c>
      <c r="P48" s="75">
        <v>493</v>
      </c>
      <c r="Q48" s="71"/>
      <c r="R48" s="71"/>
      <c r="S48" s="72"/>
      <c r="T48" s="252">
        <f t="shared" ref="T48:T58" si="28">E48/C48</f>
        <v>0.68</v>
      </c>
      <c r="U48" s="73"/>
      <c r="V48" s="73"/>
      <c r="W48" s="73"/>
      <c r="X48" s="73"/>
      <c r="Y48" s="65"/>
      <c r="Z48" s="65"/>
      <c r="AA48" s="61">
        <f>H43</f>
        <v>14</v>
      </c>
      <c r="AB48" s="61" t="str">
        <f>E43</f>
        <v>CISC-SFP-134 W</v>
      </c>
      <c r="AC48" s="74" t="s">
        <v>437</v>
      </c>
      <c r="AD48" s="61" t="str">
        <f t="shared" si="25"/>
        <v>TAO</v>
      </c>
      <c r="AE48" s="61">
        <f t="shared" si="26"/>
        <v>50</v>
      </c>
      <c r="AF48" s="61">
        <f t="shared" si="27"/>
        <v>34</v>
      </c>
      <c r="AG48" s="65"/>
    </row>
    <row r="49" spans="1:33" s="19" customFormat="1" ht="12.75" hidden="1" customHeight="1">
      <c r="A49" s="23" t="s">
        <v>9</v>
      </c>
      <c r="B49" s="1" t="s">
        <v>67</v>
      </c>
      <c r="C49" s="68">
        <v>0</v>
      </c>
      <c r="D49" s="68">
        <v>0</v>
      </c>
      <c r="E49" s="69">
        <f t="shared" si="22"/>
        <v>0</v>
      </c>
      <c r="F49" s="70">
        <f t="shared" si="22"/>
        <v>0</v>
      </c>
      <c r="G49" s="68">
        <f t="shared" si="23"/>
        <v>0</v>
      </c>
      <c r="H49" s="68">
        <f t="shared" si="23"/>
        <v>0</v>
      </c>
      <c r="I49" s="75"/>
      <c r="J49" s="75"/>
      <c r="K49" s="71"/>
      <c r="L49" s="71"/>
      <c r="M49" s="70">
        <f t="shared" si="24"/>
        <v>0</v>
      </c>
      <c r="N49" s="70">
        <f t="shared" si="24"/>
        <v>0</v>
      </c>
      <c r="O49" s="75"/>
      <c r="P49" s="75"/>
      <c r="Q49" s="71"/>
      <c r="R49" s="71"/>
      <c r="S49" s="72"/>
      <c r="T49" s="252" t="e">
        <f t="shared" si="28"/>
        <v>#DIV/0!</v>
      </c>
      <c r="U49" s="73"/>
      <c r="V49" s="73"/>
      <c r="W49" s="73"/>
      <c r="X49" s="73"/>
      <c r="Y49" s="65"/>
      <c r="Z49" s="65"/>
      <c r="AA49" s="61">
        <f>H43</f>
        <v>14</v>
      </c>
      <c r="AB49" s="61" t="str">
        <f>E43</f>
        <v>CISC-SFP-134 W</v>
      </c>
      <c r="AC49" s="74" t="s">
        <v>437</v>
      </c>
      <c r="AD49" s="61" t="str">
        <f t="shared" si="25"/>
        <v>SHA</v>
      </c>
      <c r="AE49" s="61">
        <f t="shared" si="26"/>
        <v>0</v>
      </c>
      <c r="AF49" s="61">
        <f t="shared" si="27"/>
        <v>0</v>
      </c>
      <c r="AG49" s="65"/>
    </row>
    <row r="50" spans="1:33" s="19" customFormat="1" ht="12.75" hidden="1" customHeight="1">
      <c r="A50" s="23" t="s">
        <v>8</v>
      </c>
      <c r="B50" s="1" t="s">
        <v>67</v>
      </c>
      <c r="C50" s="68">
        <v>0</v>
      </c>
      <c r="D50" s="68">
        <v>0</v>
      </c>
      <c r="E50" s="69">
        <f t="shared" si="22"/>
        <v>0</v>
      </c>
      <c r="F50" s="70">
        <f t="shared" si="22"/>
        <v>0</v>
      </c>
      <c r="G50" s="68">
        <f t="shared" si="23"/>
        <v>0</v>
      </c>
      <c r="H50" s="68">
        <f t="shared" si="23"/>
        <v>0</v>
      </c>
      <c r="I50" s="71"/>
      <c r="J50" s="71"/>
      <c r="K50" s="71"/>
      <c r="L50" s="71"/>
      <c r="M50" s="70">
        <f t="shared" si="24"/>
        <v>0</v>
      </c>
      <c r="N50" s="70">
        <f t="shared" si="24"/>
        <v>0</v>
      </c>
      <c r="O50" s="71"/>
      <c r="P50" s="71"/>
      <c r="Q50" s="71"/>
      <c r="R50" s="71"/>
      <c r="S50" s="72"/>
      <c r="T50" s="252" t="e">
        <f t="shared" si="28"/>
        <v>#DIV/0!</v>
      </c>
      <c r="U50" s="73"/>
      <c r="V50" s="73"/>
      <c r="W50" s="73"/>
      <c r="X50" s="73"/>
      <c r="Y50" s="65"/>
      <c r="Z50" s="65"/>
      <c r="AA50" s="61">
        <f>H43</f>
        <v>14</v>
      </c>
      <c r="AB50" s="61" t="str">
        <f>E43</f>
        <v>CISC-SFP-134 W</v>
      </c>
      <c r="AC50" s="74" t="s">
        <v>437</v>
      </c>
      <c r="AD50" s="61" t="str">
        <f t="shared" si="25"/>
        <v>NGB</v>
      </c>
      <c r="AE50" s="61">
        <f t="shared" si="26"/>
        <v>0</v>
      </c>
      <c r="AF50" s="61">
        <f t="shared" si="27"/>
        <v>0</v>
      </c>
      <c r="AG50" s="65"/>
    </row>
    <row r="51" spans="1:33" s="19" customFormat="1" ht="12.75" hidden="1" customHeight="1">
      <c r="A51" s="23" t="s">
        <v>10</v>
      </c>
      <c r="B51" s="1" t="s">
        <v>67</v>
      </c>
      <c r="C51" s="68">
        <v>0</v>
      </c>
      <c r="D51" s="68">
        <v>0</v>
      </c>
      <c r="E51" s="69">
        <f t="shared" si="22"/>
        <v>0</v>
      </c>
      <c r="F51" s="70">
        <f t="shared" si="22"/>
        <v>0</v>
      </c>
      <c r="G51" s="68">
        <f t="shared" si="23"/>
        <v>0</v>
      </c>
      <c r="H51" s="68">
        <f t="shared" si="23"/>
        <v>0</v>
      </c>
      <c r="I51" s="75"/>
      <c r="J51" s="75"/>
      <c r="K51" s="70"/>
      <c r="L51" s="70"/>
      <c r="M51" s="70">
        <f t="shared" si="24"/>
        <v>0</v>
      </c>
      <c r="N51" s="70">
        <f t="shared" si="24"/>
        <v>0</v>
      </c>
      <c r="O51" s="75"/>
      <c r="P51" s="75"/>
      <c r="Q51" s="70"/>
      <c r="R51" s="70"/>
      <c r="S51" s="72"/>
      <c r="T51" s="252" t="e">
        <f t="shared" si="28"/>
        <v>#DIV/0!</v>
      </c>
      <c r="U51" s="73"/>
      <c r="V51" s="73"/>
      <c r="W51" s="73"/>
      <c r="X51" s="73"/>
      <c r="Y51" s="65"/>
      <c r="Z51" s="65"/>
      <c r="AA51" s="61">
        <f>H43</f>
        <v>14</v>
      </c>
      <c r="AB51" s="61" t="str">
        <f>E43</f>
        <v>CISC-SFP-134 W</v>
      </c>
      <c r="AC51" s="74" t="s">
        <v>437</v>
      </c>
      <c r="AD51" s="61" t="str">
        <f t="shared" si="25"/>
        <v>WUH</v>
      </c>
      <c r="AE51" s="61">
        <f t="shared" si="26"/>
        <v>0</v>
      </c>
      <c r="AF51" s="61">
        <f t="shared" si="27"/>
        <v>0</v>
      </c>
      <c r="AG51" s="65"/>
    </row>
    <row r="52" spans="1:33" s="19" customFormat="1" ht="12.75" hidden="1" customHeight="1">
      <c r="A52" s="23" t="s">
        <v>11</v>
      </c>
      <c r="B52" s="1" t="s">
        <v>18</v>
      </c>
      <c r="C52" s="68">
        <v>0</v>
      </c>
      <c r="D52" s="68">
        <v>0</v>
      </c>
      <c r="E52" s="69">
        <f t="shared" si="22"/>
        <v>0</v>
      </c>
      <c r="F52" s="70">
        <f t="shared" si="22"/>
        <v>0</v>
      </c>
      <c r="G52" s="68">
        <f t="shared" si="23"/>
        <v>0</v>
      </c>
      <c r="H52" s="68">
        <f t="shared" si="23"/>
        <v>0</v>
      </c>
      <c r="I52" s="70"/>
      <c r="J52" s="70"/>
      <c r="K52" s="70"/>
      <c r="L52" s="70"/>
      <c r="M52" s="70">
        <f t="shared" si="24"/>
        <v>0</v>
      </c>
      <c r="N52" s="70">
        <f t="shared" si="24"/>
        <v>0</v>
      </c>
      <c r="O52" s="75"/>
      <c r="P52" s="75"/>
      <c r="Q52" s="70"/>
      <c r="R52" s="70"/>
      <c r="S52" s="72"/>
      <c r="T52" s="252" t="e">
        <f t="shared" si="28"/>
        <v>#DIV/0!</v>
      </c>
      <c r="U52" s="73"/>
      <c r="V52" s="73"/>
      <c r="W52" s="73"/>
      <c r="X52" s="73"/>
      <c r="Y52" s="65"/>
      <c r="Z52" s="65"/>
      <c r="AA52" s="61">
        <f>H43</f>
        <v>14</v>
      </c>
      <c r="AB52" s="61" t="str">
        <f>E43</f>
        <v>CISC-SFP-134 W</v>
      </c>
      <c r="AC52" s="74" t="s">
        <v>437</v>
      </c>
      <c r="AD52" s="61" t="str">
        <f t="shared" si="25"/>
        <v>DLC</v>
      </c>
      <c r="AE52" s="61">
        <f t="shared" si="26"/>
        <v>0</v>
      </c>
      <c r="AF52" s="61">
        <f t="shared" si="27"/>
        <v>0</v>
      </c>
      <c r="AG52" s="65"/>
    </row>
    <row r="53" spans="1:33" s="19" customFormat="1" ht="12.75" hidden="1" customHeight="1">
      <c r="A53" s="23" t="s">
        <v>12</v>
      </c>
      <c r="B53" s="1">
        <f>B32+7</f>
        <v>43178</v>
      </c>
      <c r="C53" s="68">
        <v>100</v>
      </c>
      <c r="D53" s="68">
        <v>1350</v>
      </c>
      <c r="E53" s="69">
        <f t="shared" si="22"/>
        <v>159</v>
      </c>
      <c r="F53" s="70">
        <f t="shared" si="22"/>
        <v>2335</v>
      </c>
      <c r="G53" s="68">
        <f t="shared" si="23"/>
        <v>59</v>
      </c>
      <c r="H53" s="68">
        <f t="shared" si="23"/>
        <v>985</v>
      </c>
      <c r="I53" s="70">
        <v>26</v>
      </c>
      <c r="J53" s="70">
        <v>346</v>
      </c>
      <c r="K53" s="70"/>
      <c r="L53" s="70"/>
      <c r="M53" s="70">
        <f t="shared" si="24"/>
        <v>26</v>
      </c>
      <c r="N53" s="70">
        <f t="shared" si="24"/>
        <v>346</v>
      </c>
      <c r="O53" s="75">
        <v>159</v>
      </c>
      <c r="P53" s="75">
        <v>2335</v>
      </c>
      <c r="Q53" s="76"/>
      <c r="R53" s="71"/>
      <c r="S53" s="72"/>
      <c r="T53" s="252">
        <f t="shared" si="28"/>
        <v>1.59</v>
      </c>
      <c r="U53" s="73"/>
      <c r="V53" s="73"/>
      <c r="W53" s="73"/>
      <c r="X53" s="73"/>
      <c r="Y53" s="65"/>
      <c r="Z53" s="65"/>
      <c r="AA53" s="61">
        <f>H43</f>
        <v>14</v>
      </c>
      <c r="AB53" s="61" t="str">
        <f>E43</f>
        <v>CISC-SFP-134 W</v>
      </c>
      <c r="AC53" s="74" t="s">
        <v>437</v>
      </c>
      <c r="AD53" s="61" t="str">
        <f t="shared" si="25"/>
        <v>TSN</v>
      </c>
      <c r="AE53" s="61">
        <f t="shared" si="26"/>
        <v>100</v>
      </c>
      <c r="AF53" s="61">
        <f t="shared" si="27"/>
        <v>159</v>
      </c>
      <c r="AG53" s="65"/>
    </row>
    <row r="54" spans="1:33" s="19" customFormat="1" ht="12.75" hidden="1" customHeight="1">
      <c r="A54" s="23" t="s">
        <v>14</v>
      </c>
      <c r="B54" s="1" t="s">
        <v>18</v>
      </c>
      <c r="C54" s="68">
        <v>0</v>
      </c>
      <c r="D54" s="68">
        <v>0</v>
      </c>
      <c r="E54" s="69">
        <f t="shared" si="22"/>
        <v>0</v>
      </c>
      <c r="F54" s="70">
        <f t="shared" si="22"/>
        <v>0</v>
      </c>
      <c r="G54" s="68">
        <f t="shared" si="23"/>
        <v>0</v>
      </c>
      <c r="H54" s="68">
        <f t="shared" si="23"/>
        <v>0</v>
      </c>
      <c r="I54" s="70"/>
      <c r="J54" s="70"/>
      <c r="K54" s="70"/>
      <c r="L54" s="70"/>
      <c r="M54" s="70">
        <f t="shared" si="24"/>
        <v>0</v>
      </c>
      <c r="N54" s="70">
        <f t="shared" si="24"/>
        <v>0</v>
      </c>
      <c r="O54" s="71"/>
      <c r="P54" s="71"/>
      <c r="Q54" s="70"/>
      <c r="R54" s="70"/>
      <c r="S54" s="72"/>
      <c r="T54" s="252" t="e">
        <f t="shared" si="28"/>
        <v>#DIV/0!</v>
      </c>
      <c r="U54" s="73"/>
      <c r="V54" s="73"/>
      <c r="W54" s="73"/>
      <c r="X54" s="73"/>
      <c r="Y54" s="65"/>
      <c r="Z54" s="65"/>
      <c r="AA54" s="61">
        <f>H43</f>
        <v>14</v>
      </c>
      <c r="AB54" s="61" t="str">
        <f>E43</f>
        <v>CISC-SFP-134 W</v>
      </c>
      <c r="AC54" s="74" t="s">
        <v>437</v>
      </c>
      <c r="AD54" s="61" t="str">
        <f t="shared" si="25"/>
        <v>XMN</v>
      </c>
      <c r="AE54" s="61">
        <f t="shared" si="26"/>
        <v>0</v>
      </c>
      <c r="AF54" s="61">
        <f t="shared" si="27"/>
        <v>0</v>
      </c>
      <c r="AG54" s="65"/>
    </row>
    <row r="55" spans="1:33" s="19" customFormat="1" ht="12.75" hidden="1" customHeight="1">
      <c r="A55" s="23" t="s">
        <v>19</v>
      </c>
      <c r="B55" s="1">
        <f>B34+7</f>
        <v>43184</v>
      </c>
      <c r="C55" s="68">
        <v>80</v>
      </c>
      <c r="D55" s="68">
        <v>1080</v>
      </c>
      <c r="E55" s="69">
        <f t="shared" si="22"/>
        <v>52</v>
      </c>
      <c r="F55" s="70">
        <f t="shared" si="22"/>
        <v>765</v>
      </c>
      <c r="G55" s="68">
        <f t="shared" si="23"/>
        <v>-28</v>
      </c>
      <c r="H55" s="68">
        <f t="shared" si="23"/>
        <v>-315</v>
      </c>
      <c r="I55" s="70"/>
      <c r="J55" s="70"/>
      <c r="K55" s="70"/>
      <c r="L55" s="70"/>
      <c r="M55" s="70">
        <f t="shared" si="24"/>
        <v>0</v>
      </c>
      <c r="N55" s="70">
        <f t="shared" si="24"/>
        <v>0</v>
      </c>
      <c r="O55" s="70"/>
      <c r="P55" s="70"/>
      <c r="Q55" s="70">
        <v>52</v>
      </c>
      <c r="R55" s="70">
        <v>765</v>
      </c>
      <c r="S55" s="72"/>
      <c r="T55" s="252">
        <f t="shared" si="28"/>
        <v>0.65</v>
      </c>
      <c r="U55" s="73"/>
      <c r="V55" s="73"/>
      <c r="W55" s="73"/>
      <c r="X55" s="73"/>
      <c r="Y55" s="65"/>
      <c r="Z55" s="65"/>
      <c r="AA55" s="61">
        <f>H43</f>
        <v>14</v>
      </c>
      <c r="AB55" s="61" t="str">
        <f>E43</f>
        <v>CISC-SFP-134 W</v>
      </c>
      <c r="AC55" s="74" t="s">
        <v>437</v>
      </c>
      <c r="AD55" s="61" t="str">
        <f t="shared" si="25"/>
        <v>TWC</v>
      </c>
      <c r="AE55" s="61">
        <f t="shared" si="26"/>
        <v>80</v>
      </c>
      <c r="AF55" s="61">
        <f t="shared" si="27"/>
        <v>52</v>
      </c>
      <c r="AG55" s="65"/>
    </row>
    <row r="56" spans="1:33" s="19" customFormat="1" ht="12.75" hidden="1" customHeight="1">
      <c r="A56" s="23" t="s">
        <v>16</v>
      </c>
      <c r="B56" s="1" t="s">
        <v>67</v>
      </c>
      <c r="C56" s="68">
        <v>0</v>
      </c>
      <c r="D56" s="68">
        <v>0</v>
      </c>
      <c r="E56" s="69">
        <f>O56+Q56</f>
        <v>0</v>
      </c>
      <c r="F56" s="70">
        <f>P56+R55</f>
        <v>765</v>
      </c>
      <c r="G56" s="68">
        <f t="shared" si="23"/>
        <v>0</v>
      </c>
      <c r="H56" s="68">
        <f t="shared" si="23"/>
        <v>765</v>
      </c>
      <c r="I56" s="70"/>
      <c r="J56" s="70"/>
      <c r="K56" s="70"/>
      <c r="L56" s="70"/>
      <c r="M56" s="70">
        <f t="shared" si="24"/>
        <v>0</v>
      </c>
      <c r="N56" s="70">
        <f t="shared" si="24"/>
        <v>0</v>
      </c>
      <c r="O56" s="70"/>
      <c r="P56" s="70"/>
      <c r="Q56" s="70"/>
      <c r="R56" s="65"/>
      <c r="S56" s="72"/>
      <c r="T56" s="252" t="e">
        <f t="shared" si="28"/>
        <v>#DIV/0!</v>
      </c>
      <c r="U56" s="73"/>
      <c r="V56" s="73"/>
      <c r="W56" s="73"/>
      <c r="X56" s="73"/>
      <c r="Y56" s="65"/>
      <c r="Z56" s="65"/>
      <c r="AA56" s="61">
        <f>H43</f>
        <v>14</v>
      </c>
      <c r="AB56" s="61" t="str">
        <f>E43</f>
        <v>CISC-SFP-134 W</v>
      </c>
      <c r="AC56" s="74" t="s">
        <v>437</v>
      </c>
      <c r="AD56" s="61" t="str">
        <f t="shared" si="25"/>
        <v>HUA</v>
      </c>
      <c r="AE56" s="61">
        <f t="shared" si="26"/>
        <v>0</v>
      </c>
      <c r="AF56" s="61">
        <f t="shared" si="27"/>
        <v>0</v>
      </c>
      <c r="AG56" s="65"/>
    </row>
    <row r="57" spans="1:33" s="19" customFormat="1" ht="12.75" hidden="1" customHeight="1">
      <c r="A57" s="23" t="s">
        <v>68</v>
      </c>
      <c r="B57" s="1" t="s">
        <v>67</v>
      </c>
      <c r="C57" s="68"/>
      <c r="D57" s="68"/>
      <c r="E57" s="69">
        <f>O57+Q57</f>
        <v>0</v>
      </c>
      <c r="F57" s="70">
        <f>P57+R57</f>
        <v>0</v>
      </c>
      <c r="G57" s="68"/>
      <c r="H57" s="68"/>
      <c r="I57" s="70"/>
      <c r="J57" s="70"/>
      <c r="K57" s="70"/>
      <c r="L57" s="70"/>
      <c r="M57" s="70">
        <f t="shared" si="24"/>
        <v>0</v>
      </c>
      <c r="N57" s="70">
        <f t="shared" si="24"/>
        <v>0</v>
      </c>
      <c r="O57" s="70"/>
      <c r="P57" s="70"/>
      <c r="Q57" s="70"/>
      <c r="R57" s="70"/>
      <c r="S57" s="72"/>
      <c r="T57" s="252" t="e">
        <f t="shared" si="28"/>
        <v>#DIV/0!</v>
      </c>
      <c r="U57" s="73"/>
      <c r="V57" s="73"/>
      <c r="W57" s="73"/>
      <c r="X57" s="73"/>
      <c r="Y57" s="65"/>
      <c r="Z57" s="65"/>
      <c r="AA57" s="61">
        <f>H43</f>
        <v>14</v>
      </c>
      <c r="AB57" s="61" t="str">
        <f>E43</f>
        <v>CISC-SFP-134 W</v>
      </c>
      <c r="AC57" s="74" t="s">
        <v>437</v>
      </c>
      <c r="AD57" s="61" t="str">
        <f t="shared" si="25"/>
        <v>GNS</v>
      </c>
      <c r="AE57" s="61">
        <f t="shared" si="26"/>
        <v>0</v>
      </c>
      <c r="AF57" s="61">
        <f t="shared" si="27"/>
        <v>0</v>
      </c>
      <c r="AG57" s="65"/>
    </row>
    <row r="58" spans="1:33" s="19" customFormat="1" ht="12.75" hidden="1" customHeight="1">
      <c r="A58" s="23" t="s">
        <v>3</v>
      </c>
      <c r="B58" s="1">
        <f>B37+7</f>
        <v>43189</v>
      </c>
      <c r="C58" s="68">
        <v>70</v>
      </c>
      <c r="D58" s="68">
        <v>945</v>
      </c>
      <c r="E58" s="69">
        <f>O58+Q58</f>
        <v>1</v>
      </c>
      <c r="F58" s="70">
        <f>P58+R58</f>
        <v>19</v>
      </c>
      <c r="G58" s="68">
        <f t="shared" ref="G58:H61" si="29">E58-C58</f>
        <v>-69</v>
      </c>
      <c r="H58" s="68">
        <f t="shared" si="29"/>
        <v>-926</v>
      </c>
      <c r="I58" s="70"/>
      <c r="J58" s="70"/>
      <c r="K58" s="70"/>
      <c r="L58" s="70"/>
      <c r="M58" s="70">
        <f t="shared" si="24"/>
        <v>0</v>
      </c>
      <c r="N58" s="70">
        <f t="shared" si="24"/>
        <v>0</v>
      </c>
      <c r="O58" s="68"/>
      <c r="P58" s="68"/>
      <c r="Q58" s="70">
        <v>1</v>
      </c>
      <c r="R58" s="70">
        <v>19</v>
      </c>
      <c r="S58" s="72"/>
      <c r="T58" s="252">
        <f t="shared" si="28"/>
        <v>1.4285714285714285E-2</v>
      </c>
      <c r="U58" s="73"/>
      <c r="V58" s="73"/>
      <c r="W58" s="73"/>
      <c r="X58" s="73"/>
      <c r="Y58" s="65"/>
      <c r="Z58" s="65"/>
      <c r="AA58" s="61">
        <f>H43</f>
        <v>14</v>
      </c>
      <c r="AB58" s="61" t="str">
        <f>E43</f>
        <v>CISC-SFP-134 W</v>
      </c>
      <c r="AC58" s="74" t="s">
        <v>437</v>
      </c>
      <c r="AD58" s="61" t="str">
        <f t="shared" si="25"/>
        <v>SGP</v>
      </c>
      <c r="AE58" s="61">
        <f t="shared" si="26"/>
        <v>70</v>
      </c>
      <c r="AF58" s="61">
        <f t="shared" si="27"/>
        <v>1</v>
      </c>
      <c r="AG58" s="65"/>
    </row>
    <row r="59" spans="1:33" s="19" customFormat="1" ht="12.75" hidden="1" customHeight="1">
      <c r="A59" s="23" t="s">
        <v>431</v>
      </c>
      <c r="B59" s="1">
        <f>B38+7</f>
        <v>43191</v>
      </c>
      <c r="C59" s="68">
        <v>0</v>
      </c>
      <c r="D59" s="68">
        <v>0</v>
      </c>
      <c r="E59" s="69">
        <f>O59+Q59</f>
        <v>0</v>
      </c>
      <c r="F59" s="70">
        <f>P59+R59</f>
        <v>0</v>
      </c>
      <c r="G59" s="68">
        <f t="shared" si="29"/>
        <v>0</v>
      </c>
      <c r="H59" s="68">
        <f t="shared" si="29"/>
        <v>0</v>
      </c>
      <c r="I59" s="70"/>
      <c r="J59" s="70"/>
      <c r="K59" s="70"/>
      <c r="L59" s="70"/>
      <c r="M59" s="70">
        <f t="shared" si="24"/>
        <v>0</v>
      </c>
      <c r="N59" s="70">
        <f t="shared" si="24"/>
        <v>0</v>
      </c>
      <c r="O59" s="70"/>
      <c r="P59" s="70"/>
      <c r="Q59" s="70"/>
      <c r="R59" s="70"/>
      <c r="S59" s="72"/>
      <c r="T59" s="252" t="e">
        <f>E59/C59</f>
        <v>#DIV/0!</v>
      </c>
      <c r="U59" s="73"/>
      <c r="V59" s="73"/>
      <c r="W59" s="73"/>
      <c r="X59" s="73"/>
      <c r="Y59" s="65"/>
      <c r="Z59" s="65"/>
      <c r="AA59" s="61">
        <f>H43</f>
        <v>14</v>
      </c>
      <c r="AB59" s="61" t="str">
        <f>E43</f>
        <v>CISC-SFP-134 W</v>
      </c>
      <c r="AC59" s="74" t="s">
        <v>437</v>
      </c>
      <c r="AD59" s="61" t="str">
        <f t="shared" si="25"/>
        <v>HQ</v>
      </c>
      <c r="AE59" s="61">
        <f t="shared" si="26"/>
        <v>0</v>
      </c>
      <c r="AF59" s="61">
        <f t="shared" si="27"/>
        <v>0</v>
      </c>
      <c r="AG59" s="65"/>
    </row>
    <row r="60" spans="1:33" s="19" customFormat="1" ht="12.75" hidden="1" customHeight="1">
      <c r="A60" s="23" t="s">
        <v>31</v>
      </c>
      <c r="B60" s="20"/>
      <c r="C60" s="68">
        <v>0</v>
      </c>
      <c r="D60" s="68">
        <v>0</v>
      </c>
      <c r="E60" s="69">
        <f>O60+Q60</f>
        <v>0</v>
      </c>
      <c r="F60" s="70">
        <f>P60+R60</f>
        <v>0</v>
      </c>
      <c r="G60" s="68">
        <f t="shared" si="29"/>
        <v>0</v>
      </c>
      <c r="H60" s="68">
        <f t="shared" si="29"/>
        <v>0</v>
      </c>
      <c r="I60" s="70"/>
      <c r="J60" s="70"/>
      <c r="K60" s="70"/>
      <c r="L60" s="70"/>
      <c r="M60" s="70">
        <f t="shared" si="24"/>
        <v>0</v>
      </c>
      <c r="N60" s="70">
        <f t="shared" si="24"/>
        <v>0</v>
      </c>
      <c r="O60" s="71"/>
      <c r="P60" s="71"/>
      <c r="Q60" s="71"/>
      <c r="R60" s="71"/>
      <c r="S60" s="72"/>
      <c r="T60" s="73"/>
      <c r="U60" s="73"/>
      <c r="V60" s="73"/>
      <c r="W60" s="73"/>
      <c r="X60" s="73"/>
      <c r="Y60" s="65"/>
      <c r="Z60" s="65"/>
      <c r="AA60" s="61">
        <f>H43</f>
        <v>14</v>
      </c>
      <c r="AB60" s="61" t="str">
        <f>E43</f>
        <v>CISC-SFP-134 W</v>
      </c>
      <c r="AC60" s="74" t="s">
        <v>437</v>
      </c>
      <c r="AD60" s="61" t="str">
        <f t="shared" si="25"/>
        <v>COSCO T/S</v>
      </c>
      <c r="AE60" s="61">
        <f t="shared" si="26"/>
        <v>0</v>
      </c>
      <c r="AF60" s="61">
        <f t="shared" si="27"/>
        <v>0</v>
      </c>
      <c r="AG60" s="65"/>
    </row>
    <row r="61" spans="1:33" s="19" customFormat="1" ht="12.75" hidden="1" customHeight="1">
      <c r="A61" s="21" t="s">
        <v>36</v>
      </c>
      <c r="B61" s="22"/>
      <c r="C61" s="71">
        <f>SUM(C47:C60)</f>
        <v>300</v>
      </c>
      <c r="D61" s="71">
        <f>SUM(D47:D60)</f>
        <v>4050</v>
      </c>
      <c r="E61" s="78">
        <f>SUM(E47:E60)</f>
        <v>246</v>
      </c>
      <c r="F61" s="76">
        <f>SUM(F47:F60)</f>
        <v>4377</v>
      </c>
      <c r="G61" s="71">
        <f t="shared" si="29"/>
        <v>-54</v>
      </c>
      <c r="H61" s="71">
        <f t="shared" si="29"/>
        <v>327</v>
      </c>
      <c r="I61" s="70">
        <f t="shared" ref="I61:L61" si="30">SUM(I47:I60)</f>
        <v>40</v>
      </c>
      <c r="J61" s="70">
        <f t="shared" si="30"/>
        <v>568</v>
      </c>
      <c r="K61" s="70">
        <f t="shared" si="30"/>
        <v>2</v>
      </c>
      <c r="L61" s="70">
        <f t="shared" si="30"/>
        <v>10</v>
      </c>
      <c r="M61" s="70"/>
      <c r="N61" s="70"/>
      <c r="O61" s="70">
        <f t="shared" ref="O61:R61" si="31">SUM(O47:O60)</f>
        <v>193</v>
      </c>
      <c r="P61" s="70">
        <f t="shared" si="31"/>
        <v>2828</v>
      </c>
      <c r="Q61" s="70">
        <f t="shared" si="31"/>
        <v>53</v>
      </c>
      <c r="R61" s="70">
        <f t="shared" si="31"/>
        <v>784</v>
      </c>
      <c r="S61" s="72"/>
      <c r="T61" s="73"/>
      <c r="U61" s="73"/>
      <c r="V61" s="73"/>
      <c r="W61" s="73"/>
      <c r="X61" s="73"/>
      <c r="Y61" s="65"/>
      <c r="Z61" s="65"/>
      <c r="AA61" s="61"/>
      <c r="AB61" s="61"/>
      <c r="AC61" s="61"/>
      <c r="AD61" s="61"/>
      <c r="AE61" s="61"/>
      <c r="AF61" s="61"/>
      <c r="AG61" s="65"/>
    </row>
    <row r="62" spans="1:33" s="65" customFormat="1" ht="12.75" hidden="1" customHeight="1">
      <c r="A62" s="84">
        <f>D61/C61</f>
        <v>13.5</v>
      </c>
      <c r="C62" s="79">
        <f>F61-E62</f>
        <v>732</v>
      </c>
      <c r="E62" s="65">
        <f>D61*0.9</f>
        <v>3645</v>
      </c>
      <c r="F62" s="79">
        <f>E61-L62</f>
        <v>-24</v>
      </c>
      <c r="I62" s="80" t="s">
        <v>48</v>
      </c>
      <c r="J62" s="245">
        <f>E61/C61</f>
        <v>0.82</v>
      </c>
      <c r="K62" s="80"/>
      <c r="L62" s="80">
        <f>C61*0.9</f>
        <v>270</v>
      </c>
      <c r="M62" s="80"/>
      <c r="N62" s="80"/>
      <c r="O62" s="80" t="s">
        <v>49</v>
      </c>
      <c r="P62" s="80"/>
      <c r="Q62" s="65">
        <f>P48+P49+P51+P52+P53+J48+J49+L48+L49+J51+R51</f>
        <v>3060</v>
      </c>
      <c r="R62" s="65">
        <v>16856</v>
      </c>
      <c r="AA62" s="81"/>
      <c r="AB62" s="81"/>
      <c r="AC62" s="81"/>
      <c r="AD62" s="81"/>
      <c r="AE62" s="81"/>
      <c r="AF62" s="81"/>
    </row>
    <row r="63" spans="1:33" hidden="1"/>
    <row r="64" spans="1:33" s="63" customFormat="1" ht="12.75" customHeight="1">
      <c r="A64" s="59" t="s">
        <v>437</v>
      </c>
      <c r="B64" s="58" t="s">
        <v>525</v>
      </c>
      <c r="C64" s="56"/>
      <c r="D64" s="57"/>
      <c r="E64" s="58" t="s">
        <v>563</v>
      </c>
      <c r="F64" s="57"/>
      <c r="G64" s="59" t="s">
        <v>37</v>
      </c>
      <c r="H64" s="60">
        <f>H43+1</f>
        <v>15</v>
      </c>
      <c r="I64" s="57"/>
      <c r="J64" s="57"/>
      <c r="K64" s="57"/>
      <c r="L64" s="57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2"/>
      <c r="Z64" s="62"/>
      <c r="AA64" s="62"/>
      <c r="AB64" s="62"/>
      <c r="AC64" s="62"/>
    </row>
    <row r="65" spans="1:32" s="65" customFormat="1" ht="12.75" customHeight="1">
      <c r="A65" s="340" t="s">
        <v>0</v>
      </c>
      <c r="B65" s="336" t="s">
        <v>1</v>
      </c>
      <c r="C65" s="331" t="s">
        <v>25</v>
      </c>
      <c r="D65" s="332"/>
      <c r="E65" s="331" t="s">
        <v>21</v>
      </c>
      <c r="F65" s="332"/>
      <c r="G65" s="335" t="s">
        <v>24</v>
      </c>
      <c r="H65" s="335"/>
      <c r="I65" s="328" t="s">
        <v>33</v>
      </c>
      <c r="J65" s="329"/>
      <c r="K65" s="329"/>
      <c r="L65" s="329"/>
      <c r="M65" s="329"/>
      <c r="N65" s="330"/>
      <c r="O65" s="331" t="s">
        <v>22</v>
      </c>
      <c r="P65" s="332"/>
      <c r="Q65" s="335" t="s">
        <v>23</v>
      </c>
      <c r="R65" s="335"/>
      <c r="S65" s="336" t="s">
        <v>27</v>
      </c>
      <c r="T65" s="64"/>
      <c r="U65" s="64"/>
      <c r="V65" s="64"/>
      <c r="W65" s="64"/>
      <c r="X65" s="64"/>
      <c r="Y65" s="339"/>
      <c r="Z65" s="247"/>
      <c r="AA65" s="61"/>
      <c r="AB65" s="61"/>
      <c r="AC65" s="74"/>
      <c r="AD65" s="61"/>
      <c r="AE65" s="61"/>
      <c r="AF65" s="61"/>
    </row>
    <row r="66" spans="1:32" s="65" customFormat="1" ht="12.75" customHeight="1">
      <c r="A66" s="341"/>
      <c r="B66" s="337"/>
      <c r="C66" s="333"/>
      <c r="D66" s="334"/>
      <c r="E66" s="333"/>
      <c r="F66" s="334"/>
      <c r="G66" s="335"/>
      <c r="H66" s="335"/>
      <c r="I66" s="248" t="s">
        <v>28</v>
      </c>
      <c r="J66" s="249" t="s">
        <v>3</v>
      </c>
      <c r="K66" s="248" t="s">
        <v>29</v>
      </c>
      <c r="L66" s="249" t="s">
        <v>4</v>
      </c>
      <c r="M66" s="328" t="s">
        <v>30</v>
      </c>
      <c r="N66" s="330"/>
      <c r="O66" s="333"/>
      <c r="P66" s="334"/>
      <c r="Q66" s="335"/>
      <c r="R66" s="335"/>
      <c r="S66" s="337"/>
      <c r="T66" s="64"/>
      <c r="U66" s="64"/>
      <c r="V66" s="64"/>
      <c r="W66" s="64"/>
      <c r="X66" s="64"/>
      <c r="Y66" s="339"/>
      <c r="Z66" s="247"/>
      <c r="AA66" s="61"/>
      <c r="AB66" s="61"/>
      <c r="AC66" s="74"/>
      <c r="AD66" s="61"/>
      <c r="AE66" s="61"/>
      <c r="AF66" s="61"/>
    </row>
    <row r="67" spans="1:32" s="65" customFormat="1" ht="12.75" customHeight="1">
      <c r="A67" s="342"/>
      <c r="B67" s="338"/>
      <c r="C67" s="250" t="s">
        <v>5</v>
      </c>
      <c r="D67" s="250" t="s">
        <v>6</v>
      </c>
      <c r="E67" s="249" t="s">
        <v>5</v>
      </c>
      <c r="F67" s="250" t="s">
        <v>6</v>
      </c>
      <c r="G67" s="250" t="s">
        <v>5</v>
      </c>
      <c r="H67" s="250" t="s">
        <v>6</v>
      </c>
      <c r="I67" s="249" t="s">
        <v>5</v>
      </c>
      <c r="J67" s="250" t="s">
        <v>6</v>
      </c>
      <c r="K67" s="249" t="s">
        <v>5</v>
      </c>
      <c r="L67" s="250" t="s">
        <v>6</v>
      </c>
      <c r="M67" s="250"/>
      <c r="N67" s="250"/>
      <c r="O67" s="249" t="s">
        <v>5</v>
      </c>
      <c r="P67" s="250" t="s">
        <v>6</v>
      </c>
      <c r="Q67" s="250" t="s">
        <v>5</v>
      </c>
      <c r="R67" s="250" t="s">
        <v>6</v>
      </c>
      <c r="S67" s="338"/>
      <c r="T67" s="64"/>
      <c r="U67" s="64"/>
      <c r="V67" s="64"/>
      <c r="W67" s="64"/>
      <c r="X67" s="64"/>
      <c r="Y67" s="339"/>
      <c r="Z67" s="247"/>
      <c r="AA67" s="61" t="s">
        <v>43</v>
      </c>
      <c r="AB67" s="61" t="s">
        <v>45</v>
      </c>
      <c r="AC67" s="61" t="s">
        <v>46</v>
      </c>
      <c r="AD67" s="61" t="s">
        <v>42</v>
      </c>
      <c r="AE67" s="61" t="s">
        <v>41</v>
      </c>
      <c r="AF67" s="61" t="s">
        <v>44</v>
      </c>
    </row>
    <row r="68" spans="1:32" s="65" customFormat="1" ht="12.75" customHeight="1">
      <c r="A68" s="51" t="s">
        <v>7</v>
      </c>
      <c r="B68" s="250" t="s">
        <v>18</v>
      </c>
      <c r="C68" s="250">
        <v>0</v>
      </c>
      <c r="D68" s="250">
        <v>0</v>
      </c>
      <c r="E68" s="69">
        <f t="shared" ref="E68:E76" si="32">O68+Q68</f>
        <v>0</v>
      </c>
      <c r="F68" s="70">
        <f t="shared" ref="F68:F76" si="33">P68+R68</f>
        <v>0</v>
      </c>
      <c r="G68" s="250">
        <f t="shared" ref="G68:G77" si="34">E68-C68</f>
        <v>0</v>
      </c>
      <c r="H68" s="250">
        <f t="shared" ref="H68:H77" si="35">F68-D68</f>
        <v>0</v>
      </c>
      <c r="I68" s="70"/>
      <c r="J68" s="70"/>
      <c r="K68" s="70"/>
      <c r="L68" s="70"/>
      <c r="M68" s="70">
        <f t="shared" ref="M68:M81" si="36">I68+K68</f>
        <v>0</v>
      </c>
      <c r="N68" s="70">
        <f t="shared" ref="N68:N81" si="37">J68+L68</f>
        <v>0</v>
      </c>
      <c r="O68" s="71"/>
      <c r="P68" s="71"/>
      <c r="Q68" s="70"/>
      <c r="R68" s="70"/>
      <c r="S68" s="72"/>
      <c r="T68" s="252" t="e">
        <f>E68/C68</f>
        <v>#DIV/0!</v>
      </c>
      <c r="U68" s="73"/>
      <c r="V68" s="73"/>
      <c r="W68" s="73"/>
      <c r="X68" s="73"/>
      <c r="Y68" s="339"/>
      <c r="Z68" s="247"/>
      <c r="AA68" s="61">
        <f>H64</f>
        <v>15</v>
      </c>
      <c r="AB68" s="61" t="str">
        <f>E64</f>
        <v>CISC-SS7-210 W</v>
      </c>
      <c r="AC68" s="74" t="s">
        <v>437</v>
      </c>
      <c r="AD68" s="61" t="str">
        <f t="shared" ref="AD68:AD81" si="38">A68</f>
        <v>KR</v>
      </c>
      <c r="AE68" s="61">
        <f t="shared" ref="AE68:AE81" si="39">C68</f>
        <v>0</v>
      </c>
      <c r="AF68" s="61">
        <f t="shared" ref="AF68:AF81" si="40">E68</f>
        <v>0</v>
      </c>
    </row>
    <row r="69" spans="1:32" s="65" customFormat="1" ht="12.75" customHeight="1">
      <c r="A69" s="52" t="s">
        <v>13</v>
      </c>
      <c r="B69" s="1">
        <f>B48+7</f>
        <v>43188</v>
      </c>
      <c r="C69" s="250">
        <v>50</v>
      </c>
      <c r="D69" s="250">
        <v>675</v>
      </c>
      <c r="E69" s="69">
        <f t="shared" si="32"/>
        <v>72</v>
      </c>
      <c r="F69" s="70">
        <f t="shared" si="33"/>
        <v>1007</v>
      </c>
      <c r="G69" s="250">
        <f t="shared" si="34"/>
        <v>22</v>
      </c>
      <c r="H69" s="250">
        <f t="shared" si="35"/>
        <v>332</v>
      </c>
      <c r="I69" s="75">
        <v>55</v>
      </c>
      <c r="J69" s="75">
        <v>921</v>
      </c>
      <c r="K69" s="70"/>
      <c r="L69" s="70"/>
      <c r="M69" s="70">
        <f t="shared" si="36"/>
        <v>55</v>
      </c>
      <c r="N69" s="70">
        <f t="shared" si="37"/>
        <v>921</v>
      </c>
      <c r="O69" s="75">
        <v>72</v>
      </c>
      <c r="P69" s="75">
        <v>1007</v>
      </c>
      <c r="Q69" s="71"/>
      <c r="R69" s="71"/>
      <c r="S69" s="72"/>
      <c r="T69" s="252">
        <f t="shared" ref="T69:T79" si="41">E69/C69</f>
        <v>1.44</v>
      </c>
      <c r="U69" s="73"/>
      <c r="V69" s="73"/>
      <c r="W69" s="73"/>
      <c r="X69" s="73"/>
      <c r="AA69" s="61">
        <f>H64</f>
        <v>15</v>
      </c>
      <c r="AB69" s="61" t="str">
        <f>E64</f>
        <v>CISC-SS7-210 W</v>
      </c>
      <c r="AC69" s="74" t="s">
        <v>437</v>
      </c>
      <c r="AD69" s="61" t="str">
        <f t="shared" si="38"/>
        <v>TAO</v>
      </c>
      <c r="AE69" s="61">
        <f t="shared" si="39"/>
        <v>50</v>
      </c>
      <c r="AF69" s="61">
        <f t="shared" si="40"/>
        <v>72</v>
      </c>
    </row>
    <row r="70" spans="1:32" s="65" customFormat="1" ht="12.75" customHeight="1">
      <c r="A70" s="52" t="s">
        <v>9</v>
      </c>
      <c r="B70" s="1" t="s">
        <v>18</v>
      </c>
      <c r="C70" s="250">
        <v>0</v>
      </c>
      <c r="D70" s="250">
        <v>0</v>
      </c>
      <c r="E70" s="69">
        <f t="shared" si="32"/>
        <v>0</v>
      </c>
      <c r="F70" s="70">
        <f t="shared" si="33"/>
        <v>0</v>
      </c>
      <c r="G70" s="250">
        <f t="shared" si="34"/>
        <v>0</v>
      </c>
      <c r="H70" s="250">
        <f t="shared" si="35"/>
        <v>0</v>
      </c>
      <c r="I70" s="75"/>
      <c r="J70" s="75"/>
      <c r="K70" s="71"/>
      <c r="L70" s="71"/>
      <c r="M70" s="70">
        <f t="shared" si="36"/>
        <v>0</v>
      </c>
      <c r="N70" s="70">
        <f t="shared" si="37"/>
        <v>0</v>
      </c>
      <c r="O70" s="75"/>
      <c r="P70" s="75"/>
      <c r="Q70" s="71"/>
      <c r="R70" s="71"/>
      <c r="S70" s="72"/>
      <c r="T70" s="252" t="e">
        <f t="shared" si="41"/>
        <v>#DIV/0!</v>
      </c>
      <c r="U70" s="73"/>
      <c r="V70" s="73"/>
      <c r="W70" s="73"/>
      <c r="X70" s="73"/>
      <c r="AA70" s="61">
        <f>H64</f>
        <v>15</v>
      </c>
      <c r="AB70" s="61" t="str">
        <f>E64</f>
        <v>CISC-SS7-210 W</v>
      </c>
      <c r="AC70" s="74" t="s">
        <v>437</v>
      </c>
      <c r="AD70" s="61" t="str">
        <f t="shared" si="38"/>
        <v>SHA</v>
      </c>
      <c r="AE70" s="61">
        <f t="shared" si="39"/>
        <v>0</v>
      </c>
      <c r="AF70" s="61">
        <f t="shared" si="40"/>
        <v>0</v>
      </c>
    </row>
    <row r="71" spans="1:32" s="65" customFormat="1" ht="12.75" customHeight="1">
      <c r="A71" s="52" t="s">
        <v>8</v>
      </c>
      <c r="B71" s="1" t="s">
        <v>18</v>
      </c>
      <c r="C71" s="250">
        <v>0</v>
      </c>
      <c r="D71" s="250">
        <v>0</v>
      </c>
      <c r="E71" s="69">
        <f t="shared" si="32"/>
        <v>0</v>
      </c>
      <c r="F71" s="70">
        <f t="shared" si="33"/>
        <v>0</v>
      </c>
      <c r="G71" s="250">
        <f t="shared" si="34"/>
        <v>0</v>
      </c>
      <c r="H71" s="250">
        <f t="shared" si="35"/>
        <v>0</v>
      </c>
      <c r="I71" s="71"/>
      <c r="J71" s="71"/>
      <c r="K71" s="71"/>
      <c r="L71" s="71"/>
      <c r="M71" s="70">
        <f t="shared" si="36"/>
        <v>0</v>
      </c>
      <c r="N71" s="70">
        <f t="shared" si="37"/>
        <v>0</v>
      </c>
      <c r="O71" s="71"/>
      <c r="P71" s="71"/>
      <c r="Q71" s="71"/>
      <c r="R71" s="71"/>
      <c r="S71" s="72"/>
      <c r="T71" s="252" t="e">
        <f t="shared" si="41"/>
        <v>#DIV/0!</v>
      </c>
      <c r="U71" s="73"/>
      <c r="V71" s="73"/>
      <c r="W71" s="73"/>
      <c r="X71" s="73"/>
      <c r="AA71" s="61">
        <f>H64</f>
        <v>15</v>
      </c>
      <c r="AB71" s="61" t="str">
        <f>E64</f>
        <v>CISC-SS7-210 W</v>
      </c>
      <c r="AC71" s="74" t="s">
        <v>437</v>
      </c>
      <c r="AD71" s="61" t="str">
        <f t="shared" si="38"/>
        <v>NGB</v>
      </c>
      <c r="AE71" s="61">
        <f t="shared" si="39"/>
        <v>0</v>
      </c>
      <c r="AF71" s="61">
        <f t="shared" si="40"/>
        <v>0</v>
      </c>
    </row>
    <row r="72" spans="1:32" s="65" customFormat="1" ht="12.75" customHeight="1">
      <c r="A72" s="52" t="s">
        <v>10</v>
      </c>
      <c r="B72" s="1" t="s">
        <v>18</v>
      </c>
      <c r="C72" s="250">
        <v>0</v>
      </c>
      <c r="D72" s="250">
        <v>0</v>
      </c>
      <c r="E72" s="69">
        <f t="shared" si="32"/>
        <v>0</v>
      </c>
      <c r="F72" s="70">
        <f t="shared" si="33"/>
        <v>0</v>
      </c>
      <c r="G72" s="250">
        <f t="shared" si="34"/>
        <v>0</v>
      </c>
      <c r="H72" s="250">
        <f t="shared" si="35"/>
        <v>0</v>
      </c>
      <c r="I72" s="75"/>
      <c r="J72" s="75"/>
      <c r="K72" s="70"/>
      <c r="L72" s="70"/>
      <c r="M72" s="70">
        <f t="shared" si="36"/>
        <v>0</v>
      </c>
      <c r="N72" s="70">
        <f t="shared" si="37"/>
        <v>0</v>
      </c>
      <c r="O72" s="75"/>
      <c r="P72" s="75"/>
      <c r="Q72" s="70"/>
      <c r="R72" s="70"/>
      <c r="S72" s="72"/>
      <c r="T72" s="252" t="e">
        <f t="shared" si="41"/>
        <v>#DIV/0!</v>
      </c>
      <c r="U72" s="73"/>
      <c r="V72" s="73"/>
      <c r="W72" s="73"/>
      <c r="X72" s="73"/>
      <c r="AA72" s="61">
        <f>H64</f>
        <v>15</v>
      </c>
      <c r="AB72" s="61" t="str">
        <f>E64</f>
        <v>CISC-SS7-210 W</v>
      </c>
      <c r="AC72" s="74" t="s">
        <v>437</v>
      </c>
      <c r="AD72" s="61" t="str">
        <f t="shared" si="38"/>
        <v>WUH</v>
      </c>
      <c r="AE72" s="61">
        <f t="shared" si="39"/>
        <v>0</v>
      </c>
      <c r="AF72" s="61">
        <f t="shared" si="40"/>
        <v>0</v>
      </c>
    </row>
    <row r="73" spans="1:32" s="65" customFormat="1" ht="12.75" customHeight="1">
      <c r="A73" s="52" t="s">
        <v>11</v>
      </c>
      <c r="B73" s="1" t="s">
        <v>18</v>
      </c>
      <c r="C73" s="250">
        <v>0</v>
      </c>
      <c r="D73" s="250">
        <v>0</v>
      </c>
      <c r="E73" s="69">
        <f t="shared" si="32"/>
        <v>0</v>
      </c>
      <c r="F73" s="70">
        <f t="shared" si="33"/>
        <v>0</v>
      </c>
      <c r="G73" s="250">
        <f t="shared" si="34"/>
        <v>0</v>
      </c>
      <c r="H73" s="250">
        <f t="shared" si="35"/>
        <v>0</v>
      </c>
      <c r="I73" s="70"/>
      <c r="J73" s="70"/>
      <c r="K73" s="70"/>
      <c r="L73" s="70"/>
      <c r="M73" s="70">
        <f t="shared" si="36"/>
        <v>0</v>
      </c>
      <c r="N73" s="70">
        <f t="shared" si="37"/>
        <v>0</v>
      </c>
      <c r="O73" s="75"/>
      <c r="P73" s="75"/>
      <c r="Q73" s="70"/>
      <c r="R73" s="70"/>
      <c r="S73" s="72"/>
      <c r="T73" s="252" t="e">
        <f t="shared" si="41"/>
        <v>#DIV/0!</v>
      </c>
      <c r="U73" s="73"/>
      <c r="V73" s="73"/>
      <c r="W73" s="73"/>
      <c r="X73" s="73"/>
      <c r="AA73" s="61">
        <f>H64</f>
        <v>15</v>
      </c>
      <c r="AB73" s="61" t="str">
        <f>E64</f>
        <v>CISC-SS7-210 W</v>
      </c>
      <c r="AC73" s="74" t="s">
        <v>437</v>
      </c>
      <c r="AD73" s="61" t="str">
        <f t="shared" si="38"/>
        <v>DLC</v>
      </c>
      <c r="AE73" s="61">
        <f t="shared" si="39"/>
        <v>0</v>
      </c>
      <c r="AF73" s="61">
        <f t="shared" si="40"/>
        <v>0</v>
      </c>
    </row>
    <row r="74" spans="1:32" s="65" customFormat="1" ht="12.75" customHeight="1">
      <c r="A74" s="52" t="s">
        <v>12</v>
      </c>
      <c r="B74" s="1">
        <f>B53+7</f>
        <v>43185</v>
      </c>
      <c r="C74" s="250">
        <v>100</v>
      </c>
      <c r="D74" s="250">
        <v>1350</v>
      </c>
      <c r="E74" s="69">
        <f t="shared" si="32"/>
        <v>81</v>
      </c>
      <c r="F74" s="70">
        <f t="shared" si="33"/>
        <v>1229</v>
      </c>
      <c r="G74" s="250">
        <f t="shared" si="34"/>
        <v>-19</v>
      </c>
      <c r="H74" s="250">
        <f t="shared" si="35"/>
        <v>-121</v>
      </c>
      <c r="I74" s="70">
        <v>12</v>
      </c>
      <c r="J74" s="70">
        <v>165</v>
      </c>
      <c r="K74" s="70"/>
      <c r="L74" s="70"/>
      <c r="M74" s="70">
        <f t="shared" si="36"/>
        <v>12</v>
      </c>
      <c r="N74" s="70">
        <f t="shared" si="37"/>
        <v>165</v>
      </c>
      <c r="O74" s="75">
        <v>81</v>
      </c>
      <c r="P74" s="75">
        <v>1229</v>
      </c>
      <c r="Q74" s="76"/>
      <c r="R74" s="71"/>
      <c r="S74" s="72"/>
      <c r="T74" s="252">
        <f t="shared" si="41"/>
        <v>0.81</v>
      </c>
      <c r="U74" s="73"/>
      <c r="V74" s="73"/>
      <c r="W74" s="73"/>
      <c r="X74" s="73"/>
      <c r="AA74" s="61">
        <f>H64</f>
        <v>15</v>
      </c>
      <c r="AB74" s="61" t="str">
        <f>E64</f>
        <v>CISC-SS7-210 W</v>
      </c>
      <c r="AC74" s="74" t="s">
        <v>437</v>
      </c>
      <c r="AD74" s="61" t="str">
        <f t="shared" si="38"/>
        <v>TSN</v>
      </c>
      <c r="AE74" s="61">
        <f t="shared" si="39"/>
        <v>100</v>
      </c>
      <c r="AF74" s="61">
        <f t="shared" si="40"/>
        <v>81</v>
      </c>
    </row>
    <row r="75" spans="1:32" s="65" customFormat="1" ht="12.75" customHeight="1">
      <c r="A75" s="52" t="s">
        <v>14</v>
      </c>
      <c r="B75" s="1" t="s">
        <v>18</v>
      </c>
      <c r="C75" s="250">
        <v>0</v>
      </c>
      <c r="D75" s="250">
        <v>0</v>
      </c>
      <c r="E75" s="69">
        <f t="shared" si="32"/>
        <v>0</v>
      </c>
      <c r="F75" s="70">
        <f t="shared" si="33"/>
        <v>0</v>
      </c>
      <c r="G75" s="250">
        <f t="shared" si="34"/>
        <v>0</v>
      </c>
      <c r="H75" s="250">
        <f t="shared" si="35"/>
        <v>0</v>
      </c>
      <c r="I75" s="70"/>
      <c r="J75" s="70"/>
      <c r="K75" s="70"/>
      <c r="L75" s="70"/>
      <c r="M75" s="70">
        <f t="shared" si="36"/>
        <v>0</v>
      </c>
      <c r="N75" s="70">
        <f t="shared" si="37"/>
        <v>0</v>
      </c>
      <c r="O75" s="71"/>
      <c r="P75" s="71"/>
      <c r="Q75" s="70"/>
      <c r="R75" s="70"/>
      <c r="S75" s="72"/>
      <c r="T75" s="252" t="e">
        <f t="shared" si="41"/>
        <v>#DIV/0!</v>
      </c>
      <c r="U75" s="73"/>
      <c r="V75" s="73"/>
      <c r="W75" s="73"/>
      <c r="X75" s="73"/>
      <c r="AA75" s="61">
        <f>H64</f>
        <v>15</v>
      </c>
      <c r="AB75" s="61" t="str">
        <f>E64</f>
        <v>CISC-SS7-210 W</v>
      </c>
      <c r="AC75" s="74" t="s">
        <v>437</v>
      </c>
      <c r="AD75" s="61" t="str">
        <f t="shared" si="38"/>
        <v>XMN</v>
      </c>
      <c r="AE75" s="61">
        <f t="shared" si="39"/>
        <v>0</v>
      </c>
      <c r="AF75" s="61">
        <f t="shared" si="40"/>
        <v>0</v>
      </c>
    </row>
    <row r="76" spans="1:32" s="65" customFormat="1" ht="12.75" customHeight="1">
      <c r="A76" s="52" t="s">
        <v>19</v>
      </c>
      <c r="B76" s="1">
        <f>B55+7</f>
        <v>43191</v>
      </c>
      <c r="C76" s="250">
        <v>80</v>
      </c>
      <c r="D76" s="250">
        <v>1080</v>
      </c>
      <c r="E76" s="69">
        <f t="shared" si="32"/>
        <v>0</v>
      </c>
      <c r="F76" s="70">
        <f t="shared" si="33"/>
        <v>0</v>
      </c>
      <c r="G76" s="250">
        <f t="shared" si="34"/>
        <v>-80</v>
      </c>
      <c r="H76" s="250">
        <f t="shared" si="35"/>
        <v>-1080</v>
      </c>
      <c r="I76" s="70"/>
      <c r="J76" s="70"/>
      <c r="K76" s="70"/>
      <c r="L76" s="70"/>
      <c r="M76" s="70">
        <f t="shared" si="36"/>
        <v>0</v>
      </c>
      <c r="N76" s="70">
        <f t="shared" si="37"/>
        <v>0</v>
      </c>
      <c r="O76" s="70"/>
      <c r="P76" s="70"/>
      <c r="Q76" s="70"/>
      <c r="R76" s="70"/>
      <c r="S76" s="77" t="s">
        <v>532</v>
      </c>
      <c r="T76" s="252">
        <f t="shared" si="41"/>
        <v>0</v>
      </c>
      <c r="U76" s="73"/>
      <c r="V76" s="73"/>
      <c r="W76" s="73"/>
      <c r="X76" s="73"/>
      <c r="AA76" s="61">
        <f>H64</f>
        <v>15</v>
      </c>
      <c r="AB76" s="61" t="str">
        <f>E64</f>
        <v>CISC-SS7-210 W</v>
      </c>
      <c r="AC76" s="74" t="s">
        <v>437</v>
      </c>
      <c r="AD76" s="61" t="str">
        <f t="shared" si="38"/>
        <v>TWC</v>
      </c>
      <c r="AE76" s="61">
        <f t="shared" si="39"/>
        <v>80</v>
      </c>
      <c r="AF76" s="61">
        <f t="shared" si="40"/>
        <v>0</v>
      </c>
    </row>
    <row r="77" spans="1:32" s="65" customFormat="1" ht="12.75" customHeight="1">
      <c r="A77" s="52" t="s">
        <v>16</v>
      </c>
      <c r="B77" s="1" t="s">
        <v>18</v>
      </c>
      <c r="C77" s="250">
        <v>0</v>
      </c>
      <c r="D77" s="250">
        <v>0</v>
      </c>
      <c r="E77" s="69">
        <f>O77+Q77</f>
        <v>0</v>
      </c>
      <c r="F77" s="70">
        <f>P77+R76</f>
        <v>0</v>
      </c>
      <c r="G77" s="250">
        <f t="shared" si="34"/>
        <v>0</v>
      </c>
      <c r="H77" s="250">
        <f t="shared" si="35"/>
        <v>0</v>
      </c>
      <c r="I77" s="70"/>
      <c r="J77" s="70"/>
      <c r="K77" s="70"/>
      <c r="L77" s="70"/>
      <c r="M77" s="70">
        <f t="shared" si="36"/>
        <v>0</v>
      </c>
      <c r="N77" s="70">
        <f t="shared" si="37"/>
        <v>0</v>
      </c>
      <c r="O77" s="70"/>
      <c r="P77" s="70"/>
      <c r="Q77" s="70"/>
      <c r="S77" s="72"/>
      <c r="T77" s="252" t="e">
        <f t="shared" si="41"/>
        <v>#DIV/0!</v>
      </c>
      <c r="U77" s="73"/>
      <c r="V77" s="73"/>
      <c r="W77" s="73"/>
      <c r="X77" s="73"/>
      <c r="AA77" s="61">
        <f>H64</f>
        <v>15</v>
      </c>
      <c r="AB77" s="61" t="str">
        <f>E64</f>
        <v>CISC-SS7-210 W</v>
      </c>
      <c r="AC77" s="74" t="s">
        <v>437</v>
      </c>
      <c r="AD77" s="61" t="str">
        <f t="shared" si="38"/>
        <v>HUA</v>
      </c>
      <c r="AE77" s="61">
        <f t="shared" si="39"/>
        <v>0</v>
      </c>
      <c r="AF77" s="61">
        <f t="shared" si="40"/>
        <v>0</v>
      </c>
    </row>
    <row r="78" spans="1:32" s="65" customFormat="1" ht="12.75" customHeight="1">
      <c r="A78" s="52" t="s">
        <v>68</v>
      </c>
      <c r="B78" s="1" t="s">
        <v>18</v>
      </c>
      <c r="C78" s="250"/>
      <c r="D78" s="250"/>
      <c r="E78" s="69">
        <f>O78+Q78</f>
        <v>0</v>
      </c>
      <c r="F78" s="70">
        <f>P78+R78</f>
        <v>0</v>
      </c>
      <c r="G78" s="250"/>
      <c r="H78" s="250"/>
      <c r="I78" s="70"/>
      <c r="J78" s="70"/>
      <c r="K78" s="70"/>
      <c r="L78" s="70"/>
      <c r="M78" s="70">
        <f t="shared" si="36"/>
        <v>0</v>
      </c>
      <c r="N78" s="70">
        <f t="shared" si="37"/>
        <v>0</v>
      </c>
      <c r="O78" s="70"/>
      <c r="P78" s="70"/>
      <c r="Q78" s="70"/>
      <c r="R78" s="70"/>
      <c r="S78" s="72"/>
      <c r="T78" s="252" t="e">
        <f t="shared" si="41"/>
        <v>#DIV/0!</v>
      </c>
      <c r="U78" s="73"/>
      <c r="V78" s="73"/>
      <c r="W78" s="73"/>
      <c r="X78" s="73"/>
      <c r="AA78" s="61">
        <f>H64</f>
        <v>15</v>
      </c>
      <c r="AB78" s="61" t="str">
        <f>E64</f>
        <v>CISC-SS7-210 W</v>
      </c>
      <c r="AC78" s="74" t="s">
        <v>437</v>
      </c>
      <c r="AD78" s="61" t="str">
        <f t="shared" si="38"/>
        <v>GNS</v>
      </c>
      <c r="AE78" s="61">
        <f t="shared" si="39"/>
        <v>0</v>
      </c>
      <c r="AF78" s="61">
        <f t="shared" si="40"/>
        <v>0</v>
      </c>
    </row>
    <row r="79" spans="1:32" s="65" customFormat="1" ht="12.75" customHeight="1">
      <c r="A79" s="52" t="s">
        <v>3</v>
      </c>
      <c r="B79" s="1">
        <f>B58+7</f>
        <v>43196</v>
      </c>
      <c r="C79" s="250">
        <v>70</v>
      </c>
      <c r="D79" s="250">
        <v>945</v>
      </c>
      <c r="E79" s="69">
        <f>O79+Q79</f>
        <v>64</v>
      </c>
      <c r="F79" s="70">
        <f>P79+R79</f>
        <v>640</v>
      </c>
      <c r="G79" s="250">
        <f t="shared" ref="G79:G82" si="42">E79-C79</f>
        <v>-6</v>
      </c>
      <c r="H79" s="250">
        <f t="shared" ref="H79:H82" si="43">F79-D79</f>
        <v>-305</v>
      </c>
      <c r="I79" s="70"/>
      <c r="J79" s="70"/>
      <c r="K79" s="70"/>
      <c r="L79" s="70"/>
      <c r="M79" s="70">
        <f t="shared" si="36"/>
        <v>0</v>
      </c>
      <c r="N79" s="70">
        <f t="shared" si="37"/>
        <v>0</v>
      </c>
      <c r="O79" s="250"/>
      <c r="P79" s="250"/>
      <c r="Q79" s="70">
        <v>64</v>
      </c>
      <c r="R79" s="70">
        <v>640</v>
      </c>
      <c r="S79" s="72"/>
      <c r="T79" s="252">
        <f t="shared" si="41"/>
        <v>0.91428571428571426</v>
      </c>
      <c r="U79" s="73"/>
      <c r="V79" s="73"/>
      <c r="W79" s="73"/>
      <c r="X79" s="73"/>
      <c r="AA79" s="61">
        <f>H64</f>
        <v>15</v>
      </c>
      <c r="AB79" s="61" t="str">
        <f>E64</f>
        <v>CISC-SS7-210 W</v>
      </c>
      <c r="AC79" s="74" t="s">
        <v>437</v>
      </c>
      <c r="AD79" s="61" t="str">
        <f t="shared" si="38"/>
        <v>SGP</v>
      </c>
      <c r="AE79" s="61">
        <f t="shared" si="39"/>
        <v>70</v>
      </c>
      <c r="AF79" s="61">
        <f t="shared" si="40"/>
        <v>64</v>
      </c>
    </row>
    <row r="80" spans="1:32" s="65" customFormat="1" ht="12.75" customHeight="1">
      <c r="A80" s="52" t="s">
        <v>431</v>
      </c>
      <c r="B80" s="1">
        <f>B59+7</f>
        <v>43198</v>
      </c>
      <c r="C80" s="250">
        <v>0</v>
      </c>
      <c r="D80" s="250">
        <v>0</v>
      </c>
      <c r="E80" s="69">
        <f>O80+Q80</f>
        <v>0</v>
      </c>
      <c r="F80" s="70">
        <f>P80+R80</f>
        <v>0</v>
      </c>
      <c r="G80" s="250">
        <f t="shared" si="42"/>
        <v>0</v>
      </c>
      <c r="H80" s="250">
        <f t="shared" si="43"/>
        <v>0</v>
      </c>
      <c r="I80" s="70"/>
      <c r="J80" s="70"/>
      <c r="K80" s="70"/>
      <c r="L80" s="70"/>
      <c r="M80" s="70">
        <f t="shared" si="36"/>
        <v>0</v>
      </c>
      <c r="N80" s="70">
        <f t="shared" si="37"/>
        <v>0</v>
      </c>
      <c r="O80" s="70"/>
      <c r="P80" s="70"/>
      <c r="Q80" s="70"/>
      <c r="R80" s="70"/>
      <c r="S80" s="77" t="s">
        <v>599</v>
      </c>
      <c r="T80" s="252" t="e">
        <f>E80/C80</f>
        <v>#DIV/0!</v>
      </c>
      <c r="U80" s="73"/>
      <c r="V80" s="73"/>
      <c r="W80" s="73"/>
      <c r="X80" s="73"/>
      <c r="AA80" s="61">
        <f>H64</f>
        <v>15</v>
      </c>
      <c r="AB80" s="61" t="str">
        <f>E64</f>
        <v>CISC-SS7-210 W</v>
      </c>
      <c r="AC80" s="74" t="s">
        <v>437</v>
      </c>
      <c r="AD80" s="61" t="str">
        <f t="shared" si="38"/>
        <v>HQ</v>
      </c>
      <c r="AE80" s="61">
        <f t="shared" si="39"/>
        <v>0</v>
      </c>
      <c r="AF80" s="61">
        <f t="shared" si="40"/>
        <v>0</v>
      </c>
    </row>
    <row r="81" spans="1:32" s="65" customFormat="1" ht="12.75" customHeight="1">
      <c r="A81" s="52" t="s">
        <v>31</v>
      </c>
      <c r="B81" s="250"/>
      <c r="C81" s="250">
        <v>0</v>
      </c>
      <c r="D81" s="250">
        <v>0</v>
      </c>
      <c r="E81" s="69">
        <f>O81+Q81</f>
        <v>0</v>
      </c>
      <c r="F81" s="70">
        <f>P81+R81</f>
        <v>0</v>
      </c>
      <c r="G81" s="250">
        <f t="shared" si="42"/>
        <v>0</v>
      </c>
      <c r="H81" s="250">
        <f t="shared" si="43"/>
        <v>0</v>
      </c>
      <c r="I81" s="70"/>
      <c r="J81" s="70"/>
      <c r="K81" s="70"/>
      <c r="L81" s="70"/>
      <c r="M81" s="70">
        <f t="shared" si="36"/>
        <v>0</v>
      </c>
      <c r="N81" s="70">
        <f t="shared" si="37"/>
        <v>0</v>
      </c>
      <c r="O81" s="71"/>
      <c r="P81" s="71"/>
      <c r="Q81" s="71"/>
      <c r="R81" s="71"/>
      <c r="S81" s="72"/>
      <c r="T81" s="73"/>
      <c r="U81" s="73"/>
      <c r="V81" s="73"/>
      <c r="W81" s="73"/>
      <c r="X81" s="73"/>
      <c r="AA81" s="61">
        <f>H64</f>
        <v>15</v>
      </c>
      <c r="AB81" s="61" t="str">
        <f>E64</f>
        <v>CISC-SS7-210 W</v>
      </c>
      <c r="AC81" s="74" t="s">
        <v>437</v>
      </c>
      <c r="AD81" s="61" t="str">
        <f t="shared" si="38"/>
        <v>COSCO T/S</v>
      </c>
      <c r="AE81" s="61">
        <f t="shared" si="39"/>
        <v>0</v>
      </c>
      <c r="AF81" s="61">
        <f t="shared" si="40"/>
        <v>0</v>
      </c>
    </row>
    <row r="82" spans="1:32" s="65" customFormat="1" ht="12.75" customHeight="1">
      <c r="A82" s="51" t="s">
        <v>36</v>
      </c>
      <c r="B82" s="72"/>
      <c r="C82" s="71">
        <f>SUM(C68:C81)</f>
        <v>300</v>
      </c>
      <c r="D82" s="71">
        <f>SUM(D68:D81)</f>
        <v>4050</v>
      </c>
      <c r="E82" s="78">
        <f>SUM(E68:E81)</f>
        <v>217</v>
      </c>
      <c r="F82" s="76">
        <f>SUM(F68:F81)</f>
        <v>2876</v>
      </c>
      <c r="G82" s="71">
        <f t="shared" si="42"/>
        <v>-83</v>
      </c>
      <c r="H82" s="71">
        <f t="shared" si="43"/>
        <v>-1174</v>
      </c>
      <c r="I82" s="70">
        <f t="shared" ref="I82:L82" si="44">SUM(I68:I81)</f>
        <v>67</v>
      </c>
      <c r="J82" s="70">
        <f t="shared" si="44"/>
        <v>1086</v>
      </c>
      <c r="K82" s="70">
        <f t="shared" si="44"/>
        <v>0</v>
      </c>
      <c r="L82" s="70">
        <f t="shared" si="44"/>
        <v>0</v>
      </c>
      <c r="M82" s="70"/>
      <c r="N82" s="70"/>
      <c r="O82" s="70">
        <f t="shared" ref="O82:R82" si="45">SUM(O68:O81)</f>
        <v>153</v>
      </c>
      <c r="P82" s="70">
        <f t="shared" si="45"/>
        <v>2236</v>
      </c>
      <c r="Q82" s="70">
        <f t="shared" si="45"/>
        <v>64</v>
      </c>
      <c r="R82" s="70">
        <f t="shared" si="45"/>
        <v>640</v>
      </c>
      <c r="S82" s="72"/>
      <c r="T82" s="73"/>
      <c r="U82" s="73"/>
      <c r="V82" s="73"/>
      <c r="W82" s="73"/>
      <c r="X82" s="73"/>
      <c r="AA82" s="61"/>
      <c r="AB82" s="61"/>
      <c r="AC82" s="61"/>
      <c r="AD82" s="61"/>
      <c r="AE82" s="61"/>
      <c r="AF82" s="61"/>
    </row>
    <row r="83" spans="1:32" s="65" customFormat="1" ht="12.75" customHeight="1">
      <c r="A83" s="84">
        <f>D82/C82</f>
        <v>13.5</v>
      </c>
      <c r="C83" s="246">
        <f>F82-E83</f>
        <v>-769</v>
      </c>
      <c r="E83" s="65">
        <f>D82*0.9</f>
        <v>3645</v>
      </c>
      <c r="F83" s="246">
        <f>E82-L83</f>
        <v>-53</v>
      </c>
      <c r="I83" s="80" t="s">
        <v>48</v>
      </c>
      <c r="J83" s="245">
        <f>E82/C82</f>
        <v>0.72333333333333338</v>
      </c>
      <c r="K83" s="80"/>
      <c r="L83" s="80">
        <f>C82*0.9</f>
        <v>270</v>
      </c>
      <c r="M83" s="80"/>
      <c r="N83" s="80"/>
      <c r="O83" s="80" t="s">
        <v>49</v>
      </c>
      <c r="P83" s="80"/>
      <c r="Q83" s="65">
        <f>P69+P70+P72+P73+P74+J69+J70+L69+L70+J72+R72</f>
        <v>3157</v>
      </c>
      <c r="R83" s="65">
        <v>16856</v>
      </c>
      <c r="AA83" s="81"/>
      <c r="AB83" s="81"/>
      <c r="AC83" s="81"/>
      <c r="AD83" s="81"/>
      <c r="AE83" s="81"/>
      <c r="AF83" s="81"/>
    </row>
    <row r="85" spans="1:32" s="63" customFormat="1" ht="12.75" customHeight="1">
      <c r="A85" s="59" t="s">
        <v>437</v>
      </c>
      <c r="B85" s="58" t="s">
        <v>548</v>
      </c>
      <c r="C85" s="56"/>
      <c r="D85" s="57"/>
      <c r="E85" s="58" t="s">
        <v>549</v>
      </c>
      <c r="F85" s="57"/>
      <c r="G85" s="59" t="s">
        <v>37</v>
      </c>
      <c r="H85" s="60">
        <f>H64+1</f>
        <v>16</v>
      </c>
      <c r="I85" s="57"/>
      <c r="J85" s="57"/>
      <c r="K85" s="57"/>
      <c r="L85" s="57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2"/>
      <c r="Z85" s="62"/>
      <c r="AA85" s="62"/>
      <c r="AB85" s="62"/>
      <c r="AC85" s="62"/>
    </row>
    <row r="86" spans="1:32" s="65" customFormat="1" ht="12.75" customHeight="1">
      <c r="A86" s="340" t="s">
        <v>0</v>
      </c>
      <c r="B86" s="336" t="s">
        <v>1</v>
      </c>
      <c r="C86" s="331" t="s">
        <v>25</v>
      </c>
      <c r="D86" s="332"/>
      <c r="E86" s="331" t="s">
        <v>21</v>
      </c>
      <c r="F86" s="332"/>
      <c r="G86" s="335" t="s">
        <v>24</v>
      </c>
      <c r="H86" s="335"/>
      <c r="I86" s="328" t="s">
        <v>33</v>
      </c>
      <c r="J86" s="329"/>
      <c r="K86" s="329"/>
      <c r="L86" s="329"/>
      <c r="M86" s="329"/>
      <c r="N86" s="330"/>
      <c r="O86" s="331" t="s">
        <v>22</v>
      </c>
      <c r="P86" s="332"/>
      <c r="Q86" s="335" t="s">
        <v>23</v>
      </c>
      <c r="R86" s="335"/>
      <c r="S86" s="336" t="s">
        <v>27</v>
      </c>
      <c r="T86" s="64"/>
      <c r="U86" s="64"/>
      <c r="V86" s="64"/>
      <c r="W86" s="64"/>
      <c r="X86" s="64"/>
      <c r="Y86" s="339"/>
      <c r="Z86" s="275"/>
      <c r="AA86" s="61"/>
      <c r="AB86" s="61"/>
      <c r="AC86" s="74"/>
      <c r="AD86" s="61"/>
      <c r="AE86" s="61"/>
      <c r="AF86" s="61"/>
    </row>
    <row r="87" spans="1:32" s="65" customFormat="1" ht="12.75" customHeight="1">
      <c r="A87" s="341"/>
      <c r="B87" s="337"/>
      <c r="C87" s="333"/>
      <c r="D87" s="334"/>
      <c r="E87" s="333"/>
      <c r="F87" s="334"/>
      <c r="G87" s="335"/>
      <c r="H87" s="335"/>
      <c r="I87" s="271" t="s">
        <v>28</v>
      </c>
      <c r="J87" s="272" t="s">
        <v>3</v>
      </c>
      <c r="K87" s="271" t="s">
        <v>29</v>
      </c>
      <c r="L87" s="272" t="s">
        <v>4</v>
      </c>
      <c r="M87" s="328" t="s">
        <v>30</v>
      </c>
      <c r="N87" s="330"/>
      <c r="O87" s="333"/>
      <c r="P87" s="334"/>
      <c r="Q87" s="335"/>
      <c r="R87" s="335"/>
      <c r="S87" s="337"/>
      <c r="T87" s="64"/>
      <c r="U87" s="64"/>
      <c r="V87" s="64"/>
      <c r="W87" s="64"/>
      <c r="X87" s="64"/>
      <c r="Y87" s="339"/>
      <c r="Z87" s="275"/>
      <c r="AA87" s="61"/>
      <c r="AB87" s="61"/>
      <c r="AC87" s="74"/>
      <c r="AD87" s="61"/>
      <c r="AE87" s="61"/>
      <c r="AF87" s="61"/>
    </row>
    <row r="88" spans="1:32" s="65" customFormat="1" ht="12.75" customHeight="1">
      <c r="A88" s="342"/>
      <c r="B88" s="338"/>
      <c r="C88" s="273" t="s">
        <v>5</v>
      </c>
      <c r="D88" s="273" t="s">
        <v>6</v>
      </c>
      <c r="E88" s="272" t="s">
        <v>5</v>
      </c>
      <c r="F88" s="273" t="s">
        <v>6</v>
      </c>
      <c r="G88" s="273" t="s">
        <v>5</v>
      </c>
      <c r="H88" s="273" t="s">
        <v>6</v>
      </c>
      <c r="I88" s="272" t="s">
        <v>5</v>
      </c>
      <c r="J88" s="273" t="s">
        <v>6</v>
      </c>
      <c r="K88" s="272" t="s">
        <v>5</v>
      </c>
      <c r="L88" s="273" t="s">
        <v>6</v>
      </c>
      <c r="M88" s="273"/>
      <c r="N88" s="273"/>
      <c r="O88" s="272" t="s">
        <v>5</v>
      </c>
      <c r="P88" s="273" t="s">
        <v>6</v>
      </c>
      <c r="Q88" s="273" t="s">
        <v>5</v>
      </c>
      <c r="R88" s="273" t="s">
        <v>6</v>
      </c>
      <c r="S88" s="338"/>
      <c r="T88" s="64"/>
      <c r="U88" s="64"/>
      <c r="V88" s="64"/>
      <c r="W88" s="64"/>
      <c r="X88" s="64"/>
      <c r="Y88" s="339"/>
      <c r="Z88" s="275"/>
      <c r="AA88" s="61" t="s">
        <v>43</v>
      </c>
      <c r="AB88" s="61" t="s">
        <v>45</v>
      </c>
      <c r="AC88" s="61" t="s">
        <v>46</v>
      </c>
      <c r="AD88" s="61" t="s">
        <v>42</v>
      </c>
      <c r="AE88" s="61" t="s">
        <v>41</v>
      </c>
      <c r="AF88" s="61" t="s">
        <v>44</v>
      </c>
    </row>
    <row r="89" spans="1:32" s="65" customFormat="1" ht="12.75" customHeight="1">
      <c r="A89" s="51" t="s">
        <v>7</v>
      </c>
      <c r="B89" s="273" t="s">
        <v>18</v>
      </c>
      <c r="C89" s="273">
        <v>0</v>
      </c>
      <c r="D89" s="273">
        <v>0</v>
      </c>
      <c r="E89" s="69">
        <f t="shared" ref="E89:E97" si="46">O89+Q89</f>
        <v>0</v>
      </c>
      <c r="F89" s="70">
        <f t="shared" ref="F89:F97" si="47">P89+R89</f>
        <v>0</v>
      </c>
      <c r="G89" s="273">
        <f t="shared" ref="G89:G98" si="48">E89-C89</f>
        <v>0</v>
      </c>
      <c r="H89" s="273">
        <f t="shared" ref="H89:H98" si="49">F89-D89</f>
        <v>0</v>
      </c>
      <c r="I89" s="70"/>
      <c r="J89" s="70"/>
      <c r="K89" s="70"/>
      <c r="L89" s="70"/>
      <c r="M89" s="70">
        <f t="shared" ref="M89:M102" si="50">I89+K89</f>
        <v>0</v>
      </c>
      <c r="N89" s="70">
        <f t="shared" ref="N89:N102" si="51">J89+L89</f>
        <v>0</v>
      </c>
      <c r="O89" s="71"/>
      <c r="P89" s="71"/>
      <c r="Q89" s="70"/>
      <c r="R89" s="70"/>
      <c r="S89" s="72"/>
      <c r="T89" s="252" t="e">
        <f>E89/C89</f>
        <v>#DIV/0!</v>
      </c>
      <c r="U89" s="73"/>
      <c r="V89" s="73"/>
      <c r="W89" s="73"/>
      <c r="X89" s="73"/>
      <c r="Y89" s="339"/>
      <c r="Z89" s="275"/>
      <c r="AA89" s="61">
        <f>H85</f>
        <v>16</v>
      </c>
      <c r="AB89" s="61" t="str">
        <f>E85</f>
        <v>CISC-S3V-015 W</v>
      </c>
      <c r="AC89" s="74" t="s">
        <v>437</v>
      </c>
      <c r="AD89" s="61" t="str">
        <f t="shared" ref="AD89:AD102" si="52">A89</f>
        <v>KR</v>
      </c>
      <c r="AE89" s="61">
        <f t="shared" ref="AE89:AE102" si="53">C89</f>
        <v>0</v>
      </c>
      <c r="AF89" s="61">
        <f t="shared" ref="AF89:AF102" si="54">E89</f>
        <v>0</v>
      </c>
    </row>
    <row r="90" spans="1:32" s="65" customFormat="1" ht="12.75" customHeight="1">
      <c r="A90" s="52" t="s">
        <v>13</v>
      </c>
      <c r="B90" s="1">
        <f>B69+7</f>
        <v>43195</v>
      </c>
      <c r="C90" s="273">
        <v>50</v>
      </c>
      <c r="D90" s="273">
        <v>675</v>
      </c>
      <c r="E90" s="69">
        <f t="shared" si="46"/>
        <v>82</v>
      </c>
      <c r="F90" s="70">
        <f t="shared" si="47"/>
        <v>1296</v>
      </c>
      <c r="G90" s="273">
        <f t="shared" si="48"/>
        <v>32</v>
      </c>
      <c r="H90" s="273">
        <f t="shared" si="49"/>
        <v>621</v>
      </c>
      <c r="I90" s="75">
        <v>37</v>
      </c>
      <c r="J90" s="75">
        <v>572</v>
      </c>
      <c r="K90" s="70"/>
      <c r="L90" s="70"/>
      <c r="M90" s="70">
        <f t="shared" si="50"/>
        <v>37</v>
      </c>
      <c r="N90" s="70">
        <f t="shared" si="51"/>
        <v>572</v>
      </c>
      <c r="O90" s="75">
        <v>82</v>
      </c>
      <c r="P90" s="75">
        <v>1296</v>
      </c>
      <c r="Q90" s="71"/>
      <c r="R90" s="71"/>
      <c r="S90" s="72"/>
      <c r="T90" s="252">
        <f t="shared" ref="T90:T100" si="55">E90/C90</f>
        <v>1.64</v>
      </c>
      <c r="U90" s="73"/>
      <c r="V90" s="73"/>
      <c r="W90" s="73"/>
      <c r="X90" s="73"/>
      <c r="AA90" s="61">
        <f>H85</f>
        <v>16</v>
      </c>
      <c r="AB90" s="61" t="str">
        <f>E85</f>
        <v>CISC-S3V-015 W</v>
      </c>
      <c r="AC90" s="74" t="s">
        <v>437</v>
      </c>
      <c r="AD90" s="61" t="str">
        <f t="shared" si="52"/>
        <v>TAO</v>
      </c>
      <c r="AE90" s="61">
        <f t="shared" si="53"/>
        <v>50</v>
      </c>
      <c r="AF90" s="61">
        <f t="shared" si="54"/>
        <v>82</v>
      </c>
    </row>
    <row r="91" spans="1:32" s="65" customFormat="1" ht="12.75" customHeight="1">
      <c r="A91" s="52" t="s">
        <v>9</v>
      </c>
      <c r="B91" s="1" t="s">
        <v>18</v>
      </c>
      <c r="C91" s="273">
        <v>0</v>
      </c>
      <c r="D91" s="273">
        <v>0</v>
      </c>
      <c r="E91" s="69">
        <f t="shared" si="46"/>
        <v>0</v>
      </c>
      <c r="F91" s="70">
        <f t="shared" si="47"/>
        <v>0</v>
      </c>
      <c r="G91" s="273">
        <f t="shared" si="48"/>
        <v>0</v>
      </c>
      <c r="H91" s="273">
        <f t="shared" si="49"/>
        <v>0</v>
      </c>
      <c r="I91" s="75"/>
      <c r="J91" s="75"/>
      <c r="K91" s="71"/>
      <c r="L91" s="71"/>
      <c r="M91" s="70">
        <f t="shared" si="50"/>
        <v>0</v>
      </c>
      <c r="N91" s="70">
        <f t="shared" si="51"/>
        <v>0</v>
      </c>
      <c r="O91" s="75"/>
      <c r="P91" s="75"/>
      <c r="Q91" s="71"/>
      <c r="R91" s="71"/>
      <c r="S91" s="72"/>
      <c r="T91" s="252" t="e">
        <f t="shared" si="55"/>
        <v>#DIV/0!</v>
      </c>
      <c r="U91" s="73"/>
      <c r="V91" s="73"/>
      <c r="W91" s="73"/>
      <c r="X91" s="73"/>
      <c r="AA91" s="61">
        <f>H85</f>
        <v>16</v>
      </c>
      <c r="AB91" s="61" t="str">
        <f>E85</f>
        <v>CISC-S3V-015 W</v>
      </c>
      <c r="AC91" s="74" t="s">
        <v>437</v>
      </c>
      <c r="AD91" s="61" t="str">
        <f t="shared" si="52"/>
        <v>SHA</v>
      </c>
      <c r="AE91" s="61">
        <f t="shared" si="53"/>
        <v>0</v>
      </c>
      <c r="AF91" s="61">
        <f t="shared" si="54"/>
        <v>0</v>
      </c>
    </row>
    <row r="92" spans="1:32" s="65" customFormat="1" ht="12.75" customHeight="1">
      <c r="A92" s="52" t="s">
        <v>8</v>
      </c>
      <c r="B92" s="1" t="s">
        <v>18</v>
      </c>
      <c r="C92" s="273">
        <v>0</v>
      </c>
      <c r="D92" s="273">
        <v>0</v>
      </c>
      <c r="E92" s="69">
        <f t="shared" si="46"/>
        <v>0</v>
      </c>
      <c r="F92" s="70">
        <f t="shared" si="47"/>
        <v>0</v>
      </c>
      <c r="G92" s="273">
        <f t="shared" si="48"/>
        <v>0</v>
      </c>
      <c r="H92" s="273">
        <f t="shared" si="49"/>
        <v>0</v>
      </c>
      <c r="I92" s="71"/>
      <c r="J92" s="71"/>
      <c r="K92" s="71"/>
      <c r="L92" s="71"/>
      <c r="M92" s="70">
        <f t="shared" si="50"/>
        <v>0</v>
      </c>
      <c r="N92" s="70">
        <f t="shared" si="51"/>
        <v>0</v>
      </c>
      <c r="O92" s="71"/>
      <c r="P92" s="71"/>
      <c r="Q92" s="71"/>
      <c r="R92" s="71"/>
      <c r="S92" s="72"/>
      <c r="T92" s="252" t="e">
        <f t="shared" si="55"/>
        <v>#DIV/0!</v>
      </c>
      <c r="U92" s="73"/>
      <c r="V92" s="73"/>
      <c r="W92" s="73"/>
      <c r="X92" s="73"/>
      <c r="AA92" s="61">
        <f>H85</f>
        <v>16</v>
      </c>
      <c r="AB92" s="61" t="str">
        <f>E85</f>
        <v>CISC-S3V-015 W</v>
      </c>
      <c r="AC92" s="74" t="s">
        <v>437</v>
      </c>
      <c r="AD92" s="61" t="str">
        <f t="shared" si="52"/>
        <v>NGB</v>
      </c>
      <c r="AE92" s="61">
        <f t="shared" si="53"/>
        <v>0</v>
      </c>
      <c r="AF92" s="61">
        <f t="shared" si="54"/>
        <v>0</v>
      </c>
    </row>
    <row r="93" spans="1:32" s="65" customFormat="1" ht="12.75" customHeight="1">
      <c r="A93" s="52" t="s">
        <v>10</v>
      </c>
      <c r="B93" s="1" t="s">
        <v>18</v>
      </c>
      <c r="C93" s="273">
        <v>0</v>
      </c>
      <c r="D93" s="273">
        <v>0</v>
      </c>
      <c r="E93" s="69">
        <f t="shared" si="46"/>
        <v>0</v>
      </c>
      <c r="F93" s="70">
        <f t="shared" si="47"/>
        <v>0</v>
      </c>
      <c r="G93" s="273">
        <f t="shared" si="48"/>
        <v>0</v>
      </c>
      <c r="H93" s="273">
        <f t="shared" si="49"/>
        <v>0</v>
      </c>
      <c r="I93" s="75"/>
      <c r="J93" s="75"/>
      <c r="K93" s="70"/>
      <c r="L93" s="70"/>
      <c r="M93" s="70">
        <f t="shared" si="50"/>
        <v>0</v>
      </c>
      <c r="N93" s="70">
        <f t="shared" si="51"/>
        <v>0</v>
      </c>
      <c r="O93" s="75"/>
      <c r="P93" s="75"/>
      <c r="Q93" s="70"/>
      <c r="R93" s="70"/>
      <c r="S93" s="72"/>
      <c r="T93" s="252" t="e">
        <f t="shared" si="55"/>
        <v>#DIV/0!</v>
      </c>
      <c r="U93" s="73"/>
      <c r="V93" s="73"/>
      <c r="W93" s="73"/>
      <c r="X93" s="73"/>
      <c r="AA93" s="61">
        <f>H85</f>
        <v>16</v>
      </c>
      <c r="AB93" s="61" t="str">
        <f>E85</f>
        <v>CISC-S3V-015 W</v>
      </c>
      <c r="AC93" s="74" t="s">
        <v>437</v>
      </c>
      <c r="AD93" s="61" t="str">
        <f t="shared" si="52"/>
        <v>WUH</v>
      </c>
      <c r="AE93" s="61">
        <f t="shared" si="53"/>
        <v>0</v>
      </c>
      <c r="AF93" s="61">
        <f t="shared" si="54"/>
        <v>0</v>
      </c>
    </row>
    <row r="94" spans="1:32" s="65" customFormat="1" ht="12.75" customHeight="1">
      <c r="A94" s="52" t="s">
        <v>11</v>
      </c>
      <c r="B94" s="1" t="s">
        <v>18</v>
      </c>
      <c r="C94" s="273">
        <v>0</v>
      </c>
      <c r="D94" s="273">
        <v>0</v>
      </c>
      <c r="E94" s="69">
        <f t="shared" si="46"/>
        <v>0</v>
      </c>
      <c r="F94" s="70">
        <f t="shared" si="47"/>
        <v>0</v>
      </c>
      <c r="G94" s="273">
        <f t="shared" si="48"/>
        <v>0</v>
      </c>
      <c r="H94" s="273">
        <f t="shared" si="49"/>
        <v>0</v>
      </c>
      <c r="I94" s="70"/>
      <c r="J94" s="70"/>
      <c r="K94" s="70"/>
      <c r="L94" s="70"/>
      <c r="M94" s="70">
        <f t="shared" si="50"/>
        <v>0</v>
      </c>
      <c r="N94" s="70">
        <f t="shared" si="51"/>
        <v>0</v>
      </c>
      <c r="O94" s="75"/>
      <c r="P94" s="75"/>
      <c r="Q94" s="70"/>
      <c r="R94" s="70"/>
      <c r="S94" s="72"/>
      <c r="T94" s="252" t="e">
        <f t="shared" si="55"/>
        <v>#DIV/0!</v>
      </c>
      <c r="U94" s="73"/>
      <c r="V94" s="73"/>
      <c r="W94" s="73"/>
      <c r="X94" s="73"/>
      <c r="AA94" s="61">
        <f>H85</f>
        <v>16</v>
      </c>
      <c r="AB94" s="61" t="str">
        <f>E85</f>
        <v>CISC-S3V-015 W</v>
      </c>
      <c r="AC94" s="74" t="s">
        <v>437</v>
      </c>
      <c r="AD94" s="61" t="str">
        <f t="shared" si="52"/>
        <v>DLC</v>
      </c>
      <c r="AE94" s="61">
        <f t="shared" si="53"/>
        <v>0</v>
      </c>
      <c r="AF94" s="61">
        <f t="shared" si="54"/>
        <v>0</v>
      </c>
    </row>
    <row r="95" spans="1:32" s="65" customFormat="1" ht="12.75" customHeight="1">
      <c r="A95" s="52" t="s">
        <v>12</v>
      </c>
      <c r="B95" s="1">
        <f>B74+7</f>
        <v>43192</v>
      </c>
      <c r="C95" s="273">
        <v>100</v>
      </c>
      <c r="D95" s="273">
        <v>1350</v>
      </c>
      <c r="E95" s="69">
        <f t="shared" si="46"/>
        <v>117</v>
      </c>
      <c r="F95" s="70">
        <f t="shared" si="47"/>
        <v>1680</v>
      </c>
      <c r="G95" s="273">
        <f t="shared" si="48"/>
        <v>17</v>
      </c>
      <c r="H95" s="273">
        <f t="shared" si="49"/>
        <v>330</v>
      </c>
      <c r="I95" s="70">
        <v>19</v>
      </c>
      <c r="J95" s="70">
        <v>255</v>
      </c>
      <c r="K95" s="70"/>
      <c r="L95" s="70"/>
      <c r="M95" s="70">
        <f t="shared" si="50"/>
        <v>19</v>
      </c>
      <c r="N95" s="70">
        <f t="shared" si="51"/>
        <v>255</v>
      </c>
      <c r="O95" s="75">
        <f>115+2</f>
        <v>117</v>
      </c>
      <c r="P95" s="75">
        <v>1680</v>
      </c>
      <c r="Q95" s="76"/>
      <c r="R95" s="71"/>
      <c r="S95" s="72"/>
      <c r="T95" s="252">
        <f t="shared" si="55"/>
        <v>1.17</v>
      </c>
      <c r="U95" s="73"/>
      <c r="V95" s="73"/>
      <c r="W95" s="73"/>
      <c r="X95" s="73"/>
      <c r="AA95" s="61">
        <f>H85</f>
        <v>16</v>
      </c>
      <c r="AB95" s="61" t="str">
        <f>E85</f>
        <v>CISC-S3V-015 W</v>
      </c>
      <c r="AC95" s="74" t="s">
        <v>437</v>
      </c>
      <c r="AD95" s="61" t="str">
        <f t="shared" si="52"/>
        <v>TSN</v>
      </c>
      <c r="AE95" s="61">
        <f t="shared" si="53"/>
        <v>100</v>
      </c>
      <c r="AF95" s="61">
        <f t="shared" si="54"/>
        <v>117</v>
      </c>
    </row>
    <row r="96" spans="1:32" s="65" customFormat="1" ht="12.75" customHeight="1">
      <c r="A96" s="52" t="s">
        <v>14</v>
      </c>
      <c r="B96" s="1" t="s">
        <v>18</v>
      </c>
      <c r="C96" s="273">
        <v>0</v>
      </c>
      <c r="D96" s="273">
        <v>0</v>
      </c>
      <c r="E96" s="69">
        <f t="shared" si="46"/>
        <v>0</v>
      </c>
      <c r="F96" s="70">
        <f t="shared" si="47"/>
        <v>0</v>
      </c>
      <c r="G96" s="273">
        <f t="shared" si="48"/>
        <v>0</v>
      </c>
      <c r="H96" s="273">
        <f t="shared" si="49"/>
        <v>0</v>
      </c>
      <c r="I96" s="70"/>
      <c r="J96" s="70"/>
      <c r="K96" s="70"/>
      <c r="L96" s="70"/>
      <c r="M96" s="70">
        <f t="shared" si="50"/>
        <v>0</v>
      </c>
      <c r="N96" s="70">
        <f t="shared" si="51"/>
        <v>0</v>
      </c>
      <c r="O96" s="71"/>
      <c r="P96" s="71"/>
      <c r="Q96" s="70"/>
      <c r="R96" s="70"/>
      <c r="S96" s="72"/>
      <c r="T96" s="252" t="e">
        <f t="shared" si="55"/>
        <v>#DIV/0!</v>
      </c>
      <c r="U96" s="73"/>
      <c r="V96" s="73"/>
      <c r="W96" s="73"/>
      <c r="X96" s="73"/>
      <c r="AA96" s="61">
        <f>H85</f>
        <v>16</v>
      </c>
      <c r="AB96" s="61" t="str">
        <f>E85</f>
        <v>CISC-S3V-015 W</v>
      </c>
      <c r="AC96" s="74" t="s">
        <v>437</v>
      </c>
      <c r="AD96" s="61" t="str">
        <f t="shared" si="52"/>
        <v>XMN</v>
      </c>
      <c r="AE96" s="61">
        <f t="shared" si="53"/>
        <v>0</v>
      </c>
      <c r="AF96" s="61">
        <f t="shared" si="54"/>
        <v>0</v>
      </c>
    </row>
    <row r="97" spans="1:32" s="65" customFormat="1" ht="12.75" customHeight="1">
      <c r="A97" s="52" t="s">
        <v>19</v>
      </c>
      <c r="B97" s="1">
        <f>B76+7</f>
        <v>43198</v>
      </c>
      <c r="C97" s="273">
        <v>80</v>
      </c>
      <c r="D97" s="273">
        <v>1080</v>
      </c>
      <c r="E97" s="69">
        <f t="shared" si="46"/>
        <v>68</v>
      </c>
      <c r="F97" s="70">
        <f t="shared" si="47"/>
        <v>1241</v>
      </c>
      <c r="G97" s="273">
        <f t="shared" si="48"/>
        <v>-12</v>
      </c>
      <c r="H97" s="273">
        <f t="shared" si="49"/>
        <v>161</v>
      </c>
      <c r="I97" s="70"/>
      <c r="J97" s="70"/>
      <c r="K97" s="70"/>
      <c r="L97" s="70"/>
      <c r="M97" s="70">
        <f t="shared" si="50"/>
        <v>0</v>
      </c>
      <c r="N97" s="70">
        <f t="shared" si="51"/>
        <v>0</v>
      </c>
      <c r="O97" s="70"/>
      <c r="P97" s="70"/>
      <c r="Q97" s="70">
        <v>68</v>
      </c>
      <c r="R97" s="70">
        <v>1241</v>
      </c>
      <c r="S97" s="77"/>
      <c r="T97" s="252">
        <f t="shared" si="55"/>
        <v>0.85</v>
      </c>
      <c r="U97" s="73"/>
      <c r="V97" s="73"/>
      <c r="W97" s="73"/>
      <c r="X97" s="73"/>
      <c r="AA97" s="61">
        <f>H85</f>
        <v>16</v>
      </c>
      <c r="AB97" s="61" t="str">
        <f>E85</f>
        <v>CISC-S3V-015 W</v>
      </c>
      <c r="AC97" s="74" t="s">
        <v>437</v>
      </c>
      <c r="AD97" s="61" t="str">
        <f t="shared" si="52"/>
        <v>TWC</v>
      </c>
      <c r="AE97" s="61">
        <f t="shared" si="53"/>
        <v>80</v>
      </c>
      <c r="AF97" s="61">
        <f t="shared" si="54"/>
        <v>68</v>
      </c>
    </row>
    <row r="98" spans="1:32" s="65" customFormat="1" ht="12.75" customHeight="1">
      <c r="A98" s="52" t="s">
        <v>16</v>
      </c>
      <c r="B98" s="1" t="s">
        <v>18</v>
      </c>
      <c r="C98" s="273">
        <v>0</v>
      </c>
      <c r="D98" s="273">
        <v>0</v>
      </c>
      <c r="E98" s="69">
        <f>O98+Q98</f>
        <v>0</v>
      </c>
      <c r="F98" s="70">
        <f>P98+R97</f>
        <v>1241</v>
      </c>
      <c r="G98" s="273">
        <f t="shared" si="48"/>
        <v>0</v>
      </c>
      <c r="H98" s="273">
        <f t="shared" si="49"/>
        <v>1241</v>
      </c>
      <c r="I98" s="70"/>
      <c r="J98" s="70"/>
      <c r="K98" s="70"/>
      <c r="L98" s="70"/>
      <c r="M98" s="70">
        <f t="shared" si="50"/>
        <v>0</v>
      </c>
      <c r="N98" s="70">
        <f t="shared" si="51"/>
        <v>0</v>
      </c>
      <c r="O98" s="70"/>
      <c r="P98" s="70"/>
      <c r="Q98" s="70"/>
      <c r="S98" s="72"/>
      <c r="T98" s="252" t="e">
        <f t="shared" si="55"/>
        <v>#DIV/0!</v>
      </c>
      <c r="U98" s="73"/>
      <c r="V98" s="73"/>
      <c r="W98" s="73"/>
      <c r="X98" s="73"/>
      <c r="AA98" s="61">
        <f>H85</f>
        <v>16</v>
      </c>
      <c r="AB98" s="61" t="str">
        <f>E85</f>
        <v>CISC-S3V-015 W</v>
      </c>
      <c r="AC98" s="74" t="s">
        <v>437</v>
      </c>
      <c r="AD98" s="61" t="str">
        <f t="shared" si="52"/>
        <v>HUA</v>
      </c>
      <c r="AE98" s="61">
        <f t="shared" si="53"/>
        <v>0</v>
      </c>
      <c r="AF98" s="61">
        <f t="shared" si="54"/>
        <v>0</v>
      </c>
    </row>
    <row r="99" spans="1:32" s="65" customFormat="1" ht="12.75" customHeight="1">
      <c r="A99" s="52" t="s">
        <v>68</v>
      </c>
      <c r="B99" s="1" t="s">
        <v>18</v>
      </c>
      <c r="C99" s="273"/>
      <c r="D99" s="273"/>
      <c r="E99" s="69">
        <f>O99+Q99</f>
        <v>0</v>
      </c>
      <c r="F99" s="70">
        <f>P99+R99</f>
        <v>0</v>
      </c>
      <c r="G99" s="273"/>
      <c r="H99" s="273"/>
      <c r="I99" s="70"/>
      <c r="J99" s="70"/>
      <c r="K99" s="70"/>
      <c r="L99" s="70"/>
      <c r="M99" s="70">
        <f t="shared" si="50"/>
        <v>0</v>
      </c>
      <c r="N99" s="70">
        <f t="shared" si="51"/>
        <v>0</v>
      </c>
      <c r="O99" s="70"/>
      <c r="P99" s="70"/>
      <c r="Q99" s="70"/>
      <c r="R99" s="70"/>
      <c r="S99" s="72"/>
      <c r="T99" s="252" t="e">
        <f t="shared" si="55"/>
        <v>#DIV/0!</v>
      </c>
      <c r="U99" s="73"/>
      <c r="V99" s="73"/>
      <c r="W99" s="73"/>
      <c r="X99" s="73"/>
      <c r="AA99" s="61">
        <f>H85</f>
        <v>16</v>
      </c>
      <c r="AB99" s="61" t="str">
        <f>E85</f>
        <v>CISC-S3V-015 W</v>
      </c>
      <c r="AC99" s="74" t="s">
        <v>437</v>
      </c>
      <c r="AD99" s="61" t="str">
        <f t="shared" si="52"/>
        <v>GNS</v>
      </c>
      <c r="AE99" s="61">
        <f t="shared" si="53"/>
        <v>0</v>
      </c>
      <c r="AF99" s="61">
        <f t="shared" si="54"/>
        <v>0</v>
      </c>
    </row>
    <row r="100" spans="1:32" s="65" customFormat="1" ht="12.75" customHeight="1">
      <c r="A100" s="52" t="s">
        <v>3</v>
      </c>
      <c r="B100" s="1">
        <f>B79+7</f>
        <v>43203</v>
      </c>
      <c r="C100" s="273">
        <v>70</v>
      </c>
      <c r="D100" s="273">
        <v>945</v>
      </c>
      <c r="E100" s="69">
        <f>O100+Q100</f>
        <v>0</v>
      </c>
      <c r="F100" s="70">
        <f>P100+R100</f>
        <v>0</v>
      </c>
      <c r="G100" s="273">
        <f t="shared" ref="G100:G103" si="56">E100-C100</f>
        <v>-70</v>
      </c>
      <c r="H100" s="273">
        <f t="shared" ref="H100:H103" si="57">F100-D100</f>
        <v>-945</v>
      </c>
      <c r="I100" s="70"/>
      <c r="J100" s="70"/>
      <c r="K100" s="70"/>
      <c r="L100" s="70"/>
      <c r="M100" s="70">
        <f t="shared" si="50"/>
        <v>0</v>
      </c>
      <c r="N100" s="70">
        <f t="shared" si="51"/>
        <v>0</v>
      </c>
      <c r="O100" s="273"/>
      <c r="P100" s="273"/>
      <c r="Q100" s="70"/>
      <c r="R100" s="70"/>
      <c r="S100" s="72"/>
      <c r="T100" s="252">
        <f t="shared" si="55"/>
        <v>0</v>
      </c>
      <c r="U100" s="73"/>
      <c r="V100" s="73"/>
      <c r="W100" s="73"/>
      <c r="X100" s="73"/>
      <c r="AA100" s="61">
        <f>H85</f>
        <v>16</v>
      </c>
      <c r="AB100" s="61" t="str">
        <f>E85</f>
        <v>CISC-S3V-015 W</v>
      </c>
      <c r="AC100" s="74" t="s">
        <v>437</v>
      </c>
      <c r="AD100" s="61" t="str">
        <f t="shared" si="52"/>
        <v>SGP</v>
      </c>
      <c r="AE100" s="61">
        <f t="shared" si="53"/>
        <v>70</v>
      </c>
      <c r="AF100" s="61">
        <f t="shared" si="54"/>
        <v>0</v>
      </c>
    </row>
    <row r="101" spans="1:32" s="65" customFormat="1" ht="12.75" customHeight="1">
      <c r="A101" s="52" t="s">
        <v>621</v>
      </c>
      <c r="B101" s="1">
        <f>B80+7</f>
        <v>43205</v>
      </c>
      <c r="C101" s="273">
        <v>0</v>
      </c>
      <c r="D101" s="273">
        <v>0</v>
      </c>
      <c r="E101" s="69">
        <f>O101+Q101</f>
        <v>0</v>
      </c>
      <c r="F101" s="70">
        <f>P101+R101</f>
        <v>0</v>
      </c>
      <c r="G101" s="273">
        <f t="shared" si="56"/>
        <v>0</v>
      </c>
      <c r="H101" s="273">
        <f t="shared" si="57"/>
        <v>0</v>
      </c>
      <c r="I101" s="70"/>
      <c r="J101" s="70"/>
      <c r="K101" s="70"/>
      <c r="L101" s="70"/>
      <c r="M101" s="70">
        <f t="shared" si="50"/>
        <v>0</v>
      </c>
      <c r="N101" s="70">
        <f t="shared" si="51"/>
        <v>0</v>
      </c>
      <c r="O101" s="70"/>
      <c r="P101" s="70"/>
      <c r="Q101" s="70"/>
      <c r="R101" s="70"/>
      <c r="S101" s="72"/>
      <c r="T101" s="252" t="e">
        <f>E101/C101</f>
        <v>#DIV/0!</v>
      </c>
      <c r="U101" s="73"/>
      <c r="V101" s="73"/>
      <c r="W101" s="73"/>
      <c r="X101" s="73"/>
      <c r="AA101" s="61">
        <f>H85</f>
        <v>16</v>
      </c>
      <c r="AB101" s="61" t="str">
        <f>E85</f>
        <v>CISC-S3V-015 W</v>
      </c>
      <c r="AC101" s="74" t="s">
        <v>437</v>
      </c>
      <c r="AD101" s="61" t="str">
        <f t="shared" si="52"/>
        <v>PKG</v>
      </c>
      <c r="AE101" s="61">
        <f t="shared" si="53"/>
        <v>0</v>
      </c>
      <c r="AF101" s="61">
        <f t="shared" si="54"/>
        <v>0</v>
      </c>
    </row>
    <row r="102" spans="1:32" s="65" customFormat="1" ht="12.75" customHeight="1">
      <c r="A102" s="52" t="s">
        <v>31</v>
      </c>
      <c r="B102" s="273"/>
      <c r="C102" s="273">
        <v>0</v>
      </c>
      <c r="D102" s="273">
        <v>0</v>
      </c>
      <c r="E102" s="69">
        <f>O102+Q102</f>
        <v>0</v>
      </c>
      <c r="F102" s="70">
        <f>P102+R102</f>
        <v>0</v>
      </c>
      <c r="G102" s="273">
        <f t="shared" si="56"/>
        <v>0</v>
      </c>
      <c r="H102" s="273">
        <f t="shared" si="57"/>
        <v>0</v>
      </c>
      <c r="I102" s="70"/>
      <c r="J102" s="70"/>
      <c r="K102" s="70"/>
      <c r="L102" s="70"/>
      <c r="M102" s="70">
        <f t="shared" si="50"/>
        <v>0</v>
      </c>
      <c r="N102" s="70">
        <f t="shared" si="51"/>
        <v>0</v>
      </c>
      <c r="O102" s="71"/>
      <c r="P102" s="71"/>
      <c r="Q102" s="71"/>
      <c r="R102" s="71"/>
      <c r="S102" s="72"/>
      <c r="T102" s="73"/>
      <c r="U102" s="73"/>
      <c r="V102" s="73"/>
      <c r="W102" s="73"/>
      <c r="X102" s="73"/>
      <c r="AA102" s="61">
        <f>H85</f>
        <v>16</v>
      </c>
      <c r="AB102" s="61" t="str">
        <f>E85</f>
        <v>CISC-S3V-015 W</v>
      </c>
      <c r="AC102" s="74" t="s">
        <v>437</v>
      </c>
      <c r="AD102" s="61" t="str">
        <f t="shared" si="52"/>
        <v>COSCO T/S</v>
      </c>
      <c r="AE102" s="61">
        <f t="shared" si="53"/>
        <v>0</v>
      </c>
      <c r="AF102" s="61">
        <f t="shared" si="54"/>
        <v>0</v>
      </c>
    </row>
    <row r="103" spans="1:32" s="65" customFormat="1" ht="12.75" customHeight="1">
      <c r="A103" s="51" t="s">
        <v>36</v>
      </c>
      <c r="B103" s="72"/>
      <c r="C103" s="71">
        <f>SUM(C89:C102)</f>
        <v>300</v>
      </c>
      <c r="D103" s="71">
        <f>SUM(D89:D102)</f>
        <v>4050</v>
      </c>
      <c r="E103" s="78">
        <f>SUM(E89:E102)</f>
        <v>267</v>
      </c>
      <c r="F103" s="76">
        <f>SUM(F89:F102)</f>
        <v>5458</v>
      </c>
      <c r="G103" s="71">
        <f t="shared" si="56"/>
        <v>-33</v>
      </c>
      <c r="H103" s="71">
        <f t="shared" si="57"/>
        <v>1408</v>
      </c>
      <c r="I103" s="70">
        <f t="shared" ref="I103:L103" si="58">SUM(I89:I102)</f>
        <v>56</v>
      </c>
      <c r="J103" s="70">
        <f t="shared" si="58"/>
        <v>827</v>
      </c>
      <c r="K103" s="70">
        <f t="shared" si="58"/>
        <v>0</v>
      </c>
      <c r="L103" s="70">
        <f t="shared" si="58"/>
        <v>0</v>
      </c>
      <c r="M103" s="70"/>
      <c r="N103" s="70"/>
      <c r="O103" s="70">
        <f t="shared" ref="O103:R103" si="59">SUM(O89:O102)</f>
        <v>199</v>
      </c>
      <c r="P103" s="70">
        <f t="shared" si="59"/>
        <v>2976</v>
      </c>
      <c r="Q103" s="70">
        <f t="shared" si="59"/>
        <v>68</v>
      </c>
      <c r="R103" s="70">
        <f t="shared" si="59"/>
        <v>1241</v>
      </c>
      <c r="S103" s="72"/>
      <c r="T103" s="73"/>
      <c r="U103" s="73"/>
      <c r="V103" s="73"/>
      <c r="W103" s="73"/>
      <c r="X103" s="73"/>
      <c r="AA103" s="61"/>
      <c r="AB103" s="61"/>
      <c r="AC103" s="61"/>
      <c r="AD103" s="61"/>
      <c r="AE103" s="61"/>
      <c r="AF103" s="61"/>
    </row>
    <row r="104" spans="1:32" s="65" customFormat="1" ht="12.75" customHeight="1">
      <c r="A104" s="84">
        <f>D103/C103</f>
        <v>13.5</v>
      </c>
      <c r="C104" s="274">
        <f>F103-E104</f>
        <v>1813</v>
      </c>
      <c r="E104" s="65">
        <f>D103*0.9</f>
        <v>3645</v>
      </c>
      <c r="F104" s="274">
        <f>E103-L104</f>
        <v>-3</v>
      </c>
      <c r="I104" s="80" t="s">
        <v>48</v>
      </c>
      <c r="J104" s="245">
        <f>E103/C103</f>
        <v>0.89</v>
      </c>
      <c r="K104" s="80"/>
      <c r="L104" s="80">
        <f>C103*0.9</f>
        <v>270</v>
      </c>
      <c r="M104" s="80"/>
      <c r="N104" s="80"/>
      <c r="O104" s="80" t="s">
        <v>49</v>
      </c>
      <c r="P104" s="80"/>
      <c r="Q104" s="65">
        <f>P90+P91+P93+P94+P95+J90+J91+L90+L91+J93+R93</f>
        <v>3548</v>
      </c>
      <c r="R104" s="65">
        <v>16856</v>
      </c>
      <c r="AA104" s="81"/>
      <c r="AB104" s="81"/>
      <c r="AC104" s="81"/>
      <c r="AD104" s="81"/>
      <c r="AE104" s="81"/>
      <c r="AF104" s="81"/>
    </row>
    <row r="106" spans="1:32" s="63" customFormat="1" ht="12.75" customHeight="1">
      <c r="A106" s="59" t="s">
        <v>437</v>
      </c>
      <c r="B106" s="58" t="s">
        <v>597</v>
      </c>
      <c r="C106" s="56"/>
      <c r="D106" s="57"/>
      <c r="E106" s="58" t="s">
        <v>598</v>
      </c>
      <c r="F106" s="57"/>
      <c r="G106" s="59" t="s">
        <v>37</v>
      </c>
      <c r="H106" s="60">
        <f>H85+1</f>
        <v>17</v>
      </c>
      <c r="I106" s="57"/>
      <c r="J106" s="57"/>
      <c r="K106" s="57"/>
      <c r="L106" s="57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2"/>
      <c r="Z106" s="62"/>
      <c r="AA106" s="62"/>
      <c r="AB106" s="62"/>
      <c r="AC106" s="62"/>
    </row>
    <row r="107" spans="1:32" s="65" customFormat="1" ht="12.75" customHeight="1">
      <c r="A107" s="340" t="s">
        <v>0</v>
      </c>
      <c r="B107" s="336" t="s">
        <v>1</v>
      </c>
      <c r="C107" s="331" t="s">
        <v>25</v>
      </c>
      <c r="D107" s="332"/>
      <c r="E107" s="331" t="s">
        <v>21</v>
      </c>
      <c r="F107" s="332"/>
      <c r="G107" s="335" t="s">
        <v>24</v>
      </c>
      <c r="H107" s="335"/>
      <c r="I107" s="328" t="s">
        <v>33</v>
      </c>
      <c r="J107" s="329"/>
      <c r="K107" s="329"/>
      <c r="L107" s="329"/>
      <c r="M107" s="329"/>
      <c r="N107" s="330"/>
      <c r="O107" s="331" t="s">
        <v>22</v>
      </c>
      <c r="P107" s="332"/>
      <c r="Q107" s="335" t="s">
        <v>23</v>
      </c>
      <c r="R107" s="335"/>
      <c r="S107" s="336" t="s">
        <v>27</v>
      </c>
      <c r="T107" s="64"/>
      <c r="U107" s="64"/>
      <c r="V107" s="64"/>
      <c r="W107" s="64"/>
      <c r="X107" s="64"/>
      <c r="Y107" s="339"/>
      <c r="Z107" s="297"/>
      <c r="AA107" s="61"/>
      <c r="AB107" s="61"/>
      <c r="AC107" s="74"/>
      <c r="AD107" s="61"/>
      <c r="AE107" s="61"/>
      <c r="AF107" s="61"/>
    </row>
    <row r="108" spans="1:32" s="65" customFormat="1" ht="12.75" customHeight="1">
      <c r="A108" s="341"/>
      <c r="B108" s="337"/>
      <c r="C108" s="333"/>
      <c r="D108" s="334"/>
      <c r="E108" s="333"/>
      <c r="F108" s="334"/>
      <c r="G108" s="335"/>
      <c r="H108" s="335"/>
      <c r="I108" s="293" t="s">
        <v>28</v>
      </c>
      <c r="J108" s="294" t="s">
        <v>3</v>
      </c>
      <c r="K108" s="293" t="s">
        <v>29</v>
      </c>
      <c r="L108" s="294" t="s">
        <v>4</v>
      </c>
      <c r="M108" s="328" t="s">
        <v>30</v>
      </c>
      <c r="N108" s="330"/>
      <c r="O108" s="333"/>
      <c r="P108" s="334"/>
      <c r="Q108" s="335"/>
      <c r="R108" s="335"/>
      <c r="S108" s="337"/>
      <c r="T108" s="64"/>
      <c r="U108" s="64"/>
      <c r="V108" s="64"/>
      <c r="W108" s="64"/>
      <c r="X108" s="64"/>
      <c r="Y108" s="339"/>
      <c r="Z108" s="297"/>
      <c r="AA108" s="61"/>
      <c r="AB108" s="61"/>
      <c r="AC108" s="74"/>
      <c r="AD108" s="61"/>
      <c r="AE108" s="61"/>
      <c r="AF108" s="61"/>
    </row>
    <row r="109" spans="1:32" s="65" customFormat="1" ht="12.75" customHeight="1">
      <c r="A109" s="342"/>
      <c r="B109" s="338"/>
      <c r="C109" s="295" t="s">
        <v>5</v>
      </c>
      <c r="D109" s="295" t="s">
        <v>6</v>
      </c>
      <c r="E109" s="294" t="s">
        <v>5</v>
      </c>
      <c r="F109" s="295" t="s">
        <v>6</v>
      </c>
      <c r="G109" s="295" t="s">
        <v>5</v>
      </c>
      <c r="H109" s="295" t="s">
        <v>6</v>
      </c>
      <c r="I109" s="294" t="s">
        <v>5</v>
      </c>
      <c r="J109" s="295" t="s">
        <v>6</v>
      </c>
      <c r="K109" s="294" t="s">
        <v>5</v>
      </c>
      <c r="L109" s="295" t="s">
        <v>6</v>
      </c>
      <c r="M109" s="295"/>
      <c r="N109" s="295"/>
      <c r="O109" s="294" t="s">
        <v>5</v>
      </c>
      <c r="P109" s="295" t="s">
        <v>6</v>
      </c>
      <c r="Q109" s="295" t="s">
        <v>5</v>
      </c>
      <c r="R109" s="295" t="s">
        <v>6</v>
      </c>
      <c r="S109" s="338"/>
      <c r="T109" s="64"/>
      <c r="U109" s="64"/>
      <c r="V109" s="64"/>
      <c r="W109" s="64"/>
      <c r="X109" s="64"/>
      <c r="Y109" s="339"/>
      <c r="Z109" s="297"/>
      <c r="AA109" s="61" t="s">
        <v>43</v>
      </c>
      <c r="AB109" s="61" t="s">
        <v>45</v>
      </c>
      <c r="AC109" s="61" t="s">
        <v>46</v>
      </c>
      <c r="AD109" s="61" t="s">
        <v>42</v>
      </c>
      <c r="AE109" s="61" t="s">
        <v>41</v>
      </c>
      <c r="AF109" s="61" t="s">
        <v>44</v>
      </c>
    </row>
    <row r="110" spans="1:32" s="65" customFormat="1" ht="12.75" customHeight="1">
      <c r="A110" s="51" t="s">
        <v>7</v>
      </c>
      <c r="B110" s="295" t="s">
        <v>18</v>
      </c>
      <c r="C110" s="295">
        <v>0</v>
      </c>
      <c r="D110" s="295">
        <v>0</v>
      </c>
      <c r="E110" s="69">
        <f t="shared" ref="E110:E118" si="60">O110+Q110</f>
        <v>0</v>
      </c>
      <c r="F110" s="70">
        <f t="shared" ref="F110:F118" si="61">P110+R110</f>
        <v>0</v>
      </c>
      <c r="G110" s="295">
        <f t="shared" ref="G110:G119" si="62">E110-C110</f>
        <v>0</v>
      </c>
      <c r="H110" s="295">
        <f t="shared" ref="H110:H119" si="63">F110-D110</f>
        <v>0</v>
      </c>
      <c r="I110" s="70"/>
      <c r="J110" s="70"/>
      <c r="K110" s="70"/>
      <c r="L110" s="70"/>
      <c r="M110" s="70">
        <f t="shared" ref="M110:M123" si="64">I110+K110</f>
        <v>0</v>
      </c>
      <c r="N110" s="70">
        <f t="shared" ref="N110:N123" si="65">J110+L110</f>
        <v>0</v>
      </c>
      <c r="O110" s="71"/>
      <c r="P110" s="71"/>
      <c r="Q110" s="70"/>
      <c r="R110" s="70"/>
      <c r="S110" s="72"/>
      <c r="T110" s="252" t="e">
        <f>E110/C110</f>
        <v>#DIV/0!</v>
      </c>
      <c r="U110" s="73"/>
      <c r="V110" s="73"/>
      <c r="W110" s="73"/>
      <c r="X110" s="73"/>
      <c r="Y110" s="339"/>
      <c r="Z110" s="297"/>
      <c r="AA110" s="61">
        <f>H106</f>
        <v>17</v>
      </c>
      <c r="AB110" s="61" t="str">
        <f>E106</f>
        <v>CISC-STK-098 W</v>
      </c>
      <c r="AC110" s="74" t="s">
        <v>437</v>
      </c>
      <c r="AD110" s="61" t="str">
        <f t="shared" ref="AD110:AD123" si="66">A110</f>
        <v>KR</v>
      </c>
      <c r="AE110" s="61">
        <f t="shared" ref="AE110:AE123" si="67">C110</f>
        <v>0</v>
      </c>
      <c r="AF110" s="61">
        <f t="shared" ref="AF110:AF123" si="68">E110</f>
        <v>0</v>
      </c>
    </row>
    <row r="111" spans="1:32" s="65" customFormat="1" ht="12.75" customHeight="1">
      <c r="A111" s="52" t="s">
        <v>13</v>
      </c>
      <c r="B111" s="1">
        <f>B90+7</f>
        <v>43202</v>
      </c>
      <c r="C111" s="295">
        <v>150</v>
      </c>
      <c r="D111" s="295">
        <v>2025</v>
      </c>
      <c r="E111" s="69">
        <f t="shared" si="60"/>
        <v>129</v>
      </c>
      <c r="F111" s="70">
        <f t="shared" si="61"/>
        <v>1859</v>
      </c>
      <c r="G111" s="295">
        <f t="shared" si="62"/>
        <v>-21</v>
      </c>
      <c r="H111" s="295">
        <f t="shared" si="63"/>
        <v>-166</v>
      </c>
      <c r="I111" s="75">
        <v>111</v>
      </c>
      <c r="J111" s="75">
        <v>1750</v>
      </c>
      <c r="K111" s="70">
        <v>12</v>
      </c>
      <c r="L111" s="70">
        <v>208</v>
      </c>
      <c r="M111" s="70">
        <f t="shared" si="64"/>
        <v>123</v>
      </c>
      <c r="N111" s="70">
        <f t="shared" si="65"/>
        <v>1958</v>
      </c>
      <c r="O111" s="75">
        <v>129</v>
      </c>
      <c r="P111" s="75">
        <v>1859</v>
      </c>
      <c r="Q111" s="71"/>
      <c r="R111" s="71"/>
      <c r="S111" s="72"/>
      <c r="T111" s="252">
        <f t="shared" ref="T111:T121" si="69">E111/C111</f>
        <v>0.86</v>
      </c>
      <c r="U111" s="73"/>
      <c r="V111" s="73"/>
      <c r="W111" s="73"/>
      <c r="X111" s="73"/>
      <c r="AA111" s="61">
        <f>H106</f>
        <v>17</v>
      </c>
      <c r="AB111" s="61" t="str">
        <f>E106</f>
        <v>CISC-STK-098 W</v>
      </c>
      <c r="AC111" s="74" t="s">
        <v>437</v>
      </c>
      <c r="AD111" s="61" t="str">
        <f t="shared" si="66"/>
        <v>TAO</v>
      </c>
      <c r="AE111" s="61">
        <f t="shared" si="67"/>
        <v>150</v>
      </c>
      <c r="AF111" s="61">
        <f t="shared" si="68"/>
        <v>129</v>
      </c>
    </row>
    <row r="112" spans="1:32" s="65" customFormat="1" ht="12.75" customHeight="1">
      <c r="A112" s="52" t="s">
        <v>9</v>
      </c>
      <c r="B112" s="1" t="s">
        <v>18</v>
      </c>
      <c r="C112" s="295">
        <v>0</v>
      </c>
      <c r="D112" s="295">
        <v>0</v>
      </c>
      <c r="E112" s="69">
        <f t="shared" si="60"/>
        <v>0</v>
      </c>
      <c r="F112" s="70">
        <f t="shared" si="61"/>
        <v>0</v>
      </c>
      <c r="G112" s="295">
        <f t="shared" si="62"/>
        <v>0</v>
      </c>
      <c r="H112" s="295">
        <f t="shared" si="63"/>
        <v>0</v>
      </c>
      <c r="I112" s="75"/>
      <c r="J112" s="75"/>
      <c r="K112" s="71"/>
      <c r="L112" s="71"/>
      <c r="M112" s="70">
        <f t="shared" si="64"/>
        <v>0</v>
      </c>
      <c r="N112" s="70">
        <f t="shared" si="65"/>
        <v>0</v>
      </c>
      <c r="O112" s="75"/>
      <c r="P112" s="75"/>
      <c r="Q112" s="71"/>
      <c r="R112" s="71"/>
      <c r="S112" s="72"/>
      <c r="T112" s="252" t="e">
        <f t="shared" si="69"/>
        <v>#DIV/0!</v>
      </c>
      <c r="U112" s="73"/>
      <c r="V112" s="73"/>
      <c r="W112" s="73"/>
      <c r="X112" s="73"/>
      <c r="AA112" s="61">
        <f>H106</f>
        <v>17</v>
      </c>
      <c r="AB112" s="61" t="str">
        <f>E106</f>
        <v>CISC-STK-098 W</v>
      </c>
      <c r="AC112" s="74" t="s">
        <v>437</v>
      </c>
      <c r="AD112" s="61" t="str">
        <f t="shared" si="66"/>
        <v>SHA</v>
      </c>
      <c r="AE112" s="61">
        <f t="shared" si="67"/>
        <v>0</v>
      </c>
      <c r="AF112" s="61">
        <f t="shared" si="68"/>
        <v>0</v>
      </c>
    </row>
    <row r="113" spans="1:32" s="65" customFormat="1" ht="12.75" customHeight="1">
      <c r="A113" s="52" t="s">
        <v>8</v>
      </c>
      <c r="B113" s="1" t="s">
        <v>18</v>
      </c>
      <c r="C113" s="295">
        <v>0</v>
      </c>
      <c r="D113" s="295">
        <v>0</v>
      </c>
      <c r="E113" s="69">
        <f t="shared" si="60"/>
        <v>0</v>
      </c>
      <c r="F113" s="70">
        <f t="shared" si="61"/>
        <v>0</v>
      </c>
      <c r="G113" s="295">
        <f t="shared" si="62"/>
        <v>0</v>
      </c>
      <c r="H113" s="295">
        <f t="shared" si="63"/>
        <v>0</v>
      </c>
      <c r="I113" s="71"/>
      <c r="J113" s="71"/>
      <c r="K113" s="71"/>
      <c r="L113" s="71"/>
      <c r="M113" s="70">
        <f t="shared" si="64"/>
        <v>0</v>
      </c>
      <c r="N113" s="70">
        <f t="shared" si="65"/>
        <v>0</v>
      </c>
      <c r="O113" s="71"/>
      <c r="P113" s="71"/>
      <c r="Q113" s="71"/>
      <c r="R113" s="71"/>
      <c r="S113" s="72"/>
      <c r="T113" s="252" t="e">
        <f t="shared" si="69"/>
        <v>#DIV/0!</v>
      </c>
      <c r="U113" s="73"/>
      <c r="V113" s="73"/>
      <c r="W113" s="73"/>
      <c r="X113" s="73"/>
      <c r="AA113" s="61">
        <f>H106</f>
        <v>17</v>
      </c>
      <c r="AB113" s="61" t="str">
        <f>E106</f>
        <v>CISC-STK-098 W</v>
      </c>
      <c r="AC113" s="74" t="s">
        <v>437</v>
      </c>
      <c r="AD113" s="61" t="str">
        <f t="shared" si="66"/>
        <v>NGB</v>
      </c>
      <c r="AE113" s="61">
        <f t="shared" si="67"/>
        <v>0</v>
      </c>
      <c r="AF113" s="61">
        <f t="shared" si="68"/>
        <v>0</v>
      </c>
    </row>
    <row r="114" spans="1:32" s="65" customFormat="1" ht="12.75" customHeight="1">
      <c r="A114" s="52" t="s">
        <v>10</v>
      </c>
      <c r="B114" s="1" t="s">
        <v>18</v>
      </c>
      <c r="C114" s="295">
        <v>0</v>
      </c>
      <c r="D114" s="295">
        <v>0</v>
      </c>
      <c r="E114" s="69">
        <f t="shared" si="60"/>
        <v>0</v>
      </c>
      <c r="F114" s="70">
        <f t="shared" si="61"/>
        <v>0</v>
      </c>
      <c r="G114" s="295">
        <f t="shared" si="62"/>
        <v>0</v>
      </c>
      <c r="H114" s="295">
        <f t="shared" si="63"/>
        <v>0</v>
      </c>
      <c r="I114" s="75"/>
      <c r="J114" s="75"/>
      <c r="K114" s="70"/>
      <c r="L114" s="70"/>
      <c r="M114" s="70">
        <f t="shared" si="64"/>
        <v>0</v>
      </c>
      <c r="N114" s="70">
        <f t="shared" si="65"/>
        <v>0</v>
      </c>
      <c r="O114" s="75"/>
      <c r="P114" s="75"/>
      <c r="Q114" s="70"/>
      <c r="R114" s="70"/>
      <c r="S114" s="72"/>
      <c r="T114" s="252" t="e">
        <f t="shared" si="69"/>
        <v>#DIV/0!</v>
      </c>
      <c r="U114" s="73"/>
      <c r="V114" s="73"/>
      <c r="W114" s="73"/>
      <c r="X114" s="73"/>
      <c r="AA114" s="61">
        <f>H106</f>
        <v>17</v>
      </c>
      <c r="AB114" s="61" t="str">
        <f>E106</f>
        <v>CISC-STK-098 W</v>
      </c>
      <c r="AC114" s="74" t="s">
        <v>437</v>
      </c>
      <c r="AD114" s="61" t="str">
        <f t="shared" si="66"/>
        <v>WUH</v>
      </c>
      <c r="AE114" s="61">
        <f t="shared" si="67"/>
        <v>0</v>
      </c>
      <c r="AF114" s="61">
        <f t="shared" si="68"/>
        <v>0</v>
      </c>
    </row>
    <row r="115" spans="1:32" s="65" customFormat="1" ht="12.75" customHeight="1">
      <c r="A115" s="52" t="s">
        <v>11</v>
      </c>
      <c r="B115" s="1" t="s">
        <v>18</v>
      </c>
      <c r="C115" s="295">
        <v>0</v>
      </c>
      <c r="D115" s="295">
        <v>0</v>
      </c>
      <c r="E115" s="69">
        <f t="shared" si="60"/>
        <v>0</v>
      </c>
      <c r="F115" s="70">
        <f t="shared" si="61"/>
        <v>0</v>
      </c>
      <c r="G115" s="295">
        <f t="shared" si="62"/>
        <v>0</v>
      </c>
      <c r="H115" s="295">
        <f t="shared" si="63"/>
        <v>0</v>
      </c>
      <c r="I115" s="70"/>
      <c r="J115" s="70"/>
      <c r="K115" s="70"/>
      <c r="L115" s="70"/>
      <c r="M115" s="70">
        <f t="shared" si="64"/>
        <v>0</v>
      </c>
      <c r="N115" s="70">
        <f t="shared" si="65"/>
        <v>0</v>
      </c>
      <c r="O115" s="75"/>
      <c r="P115" s="75"/>
      <c r="Q115" s="70"/>
      <c r="R115" s="70"/>
      <c r="S115" s="72"/>
      <c r="T115" s="252" t="e">
        <f t="shared" si="69"/>
        <v>#DIV/0!</v>
      </c>
      <c r="U115" s="73"/>
      <c r="V115" s="73"/>
      <c r="W115" s="73"/>
      <c r="X115" s="73"/>
      <c r="AA115" s="61">
        <f>H106</f>
        <v>17</v>
      </c>
      <c r="AB115" s="61" t="str">
        <f>E106</f>
        <v>CISC-STK-098 W</v>
      </c>
      <c r="AC115" s="74" t="s">
        <v>437</v>
      </c>
      <c r="AD115" s="61" t="str">
        <f t="shared" si="66"/>
        <v>DLC</v>
      </c>
      <c r="AE115" s="61">
        <f t="shared" si="67"/>
        <v>0</v>
      </c>
      <c r="AF115" s="61">
        <f t="shared" si="68"/>
        <v>0</v>
      </c>
    </row>
    <row r="116" spans="1:32" s="65" customFormat="1" ht="12.75" customHeight="1">
      <c r="A116" s="52" t="s">
        <v>12</v>
      </c>
      <c r="B116" s="1">
        <f>B95+7</f>
        <v>43199</v>
      </c>
      <c r="C116" s="295">
        <v>200</v>
      </c>
      <c r="D116" s="295">
        <v>2700</v>
      </c>
      <c r="E116" s="69">
        <f t="shared" si="60"/>
        <v>274</v>
      </c>
      <c r="F116" s="70">
        <f t="shared" si="61"/>
        <v>5554</v>
      </c>
      <c r="G116" s="295">
        <f t="shared" si="62"/>
        <v>74</v>
      </c>
      <c r="H116" s="295">
        <f t="shared" si="63"/>
        <v>2854</v>
      </c>
      <c r="I116" s="70">
        <v>111</v>
      </c>
      <c r="J116" s="70">
        <v>1608</v>
      </c>
      <c r="K116" s="70"/>
      <c r="L116" s="70"/>
      <c r="M116" s="70">
        <f t="shared" si="64"/>
        <v>111</v>
      </c>
      <c r="N116" s="70">
        <f t="shared" si="65"/>
        <v>1608</v>
      </c>
      <c r="O116" s="75">
        <v>274</v>
      </c>
      <c r="P116" s="75">
        <v>5554</v>
      </c>
      <c r="Q116" s="76"/>
      <c r="R116" s="71"/>
      <c r="S116" s="72"/>
      <c r="T116" s="252">
        <f t="shared" si="69"/>
        <v>1.37</v>
      </c>
      <c r="U116" s="73"/>
      <c r="V116" s="73"/>
      <c r="W116" s="73"/>
      <c r="X116" s="73"/>
      <c r="AA116" s="61">
        <f>H106</f>
        <v>17</v>
      </c>
      <c r="AB116" s="61" t="str">
        <f>E106</f>
        <v>CISC-STK-098 W</v>
      </c>
      <c r="AC116" s="74" t="s">
        <v>437</v>
      </c>
      <c r="AD116" s="61" t="str">
        <f t="shared" si="66"/>
        <v>TSN</v>
      </c>
      <c r="AE116" s="61">
        <f t="shared" si="67"/>
        <v>200</v>
      </c>
      <c r="AF116" s="61">
        <f t="shared" si="68"/>
        <v>274</v>
      </c>
    </row>
    <row r="117" spans="1:32" s="65" customFormat="1" ht="12.75" customHeight="1">
      <c r="A117" s="52" t="s">
        <v>14</v>
      </c>
      <c r="B117" s="1" t="s">
        <v>18</v>
      </c>
      <c r="C117" s="295">
        <v>0</v>
      </c>
      <c r="D117" s="295">
        <v>0</v>
      </c>
      <c r="E117" s="69">
        <f t="shared" si="60"/>
        <v>0</v>
      </c>
      <c r="F117" s="70">
        <f t="shared" si="61"/>
        <v>0</v>
      </c>
      <c r="G117" s="295">
        <f t="shared" si="62"/>
        <v>0</v>
      </c>
      <c r="H117" s="295">
        <f t="shared" si="63"/>
        <v>0</v>
      </c>
      <c r="I117" s="70"/>
      <c r="J117" s="70"/>
      <c r="K117" s="70"/>
      <c r="L117" s="70"/>
      <c r="M117" s="70">
        <f t="shared" si="64"/>
        <v>0</v>
      </c>
      <c r="N117" s="70">
        <f t="shared" si="65"/>
        <v>0</v>
      </c>
      <c r="O117" s="71"/>
      <c r="P117" s="71"/>
      <c r="Q117" s="70"/>
      <c r="R117" s="70"/>
      <c r="S117" s="72"/>
      <c r="T117" s="252" t="e">
        <f t="shared" si="69"/>
        <v>#DIV/0!</v>
      </c>
      <c r="U117" s="73"/>
      <c r="V117" s="73"/>
      <c r="W117" s="73"/>
      <c r="X117" s="73"/>
      <c r="AA117" s="61">
        <f>H106</f>
        <v>17</v>
      </c>
      <c r="AB117" s="61" t="str">
        <f>E106</f>
        <v>CISC-STK-098 W</v>
      </c>
      <c r="AC117" s="74" t="s">
        <v>437</v>
      </c>
      <c r="AD117" s="61" t="str">
        <f t="shared" si="66"/>
        <v>XMN</v>
      </c>
      <c r="AE117" s="61">
        <f t="shared" si="67"/>
        <v>0</v>
      </c>
      <c r="AF117" s="61">
        <f t="shared" si="68"/>
        <v>0</v>
      </c>
    </row>
    <row r="118" spans="1:32" s="65" customFormat="1" ht="12.75" customHeight="1">
      <c r="A118" s="52" t="s">
        <v>19</v>
      </c>
      <c r="B118" s="1">
        <f>B97+7</f>
        <v>43205</v>
      </c>
      <c r="C118" s="295">
        <v>200</v>
      </c>
      <c r="D118" s="295">
        <v>2700</v>
      </c>
      <c r="E118" s="69">
        <f t="shared" si="60"/>
        <v>41</v>
      </c>
      <c r="F118" s="70">
        <f t="shared" si="61"/>
        <v>630</v>
      </c>
      <c r="G118" s="295">
        <f t="shared" si="62"/>
        <v>-159</v>
      </c>
      <c r="H118" s="295">
        <f t="shared" si="63"/>
        <v>-2070</v>
      </c>
      <c r="I118" s="70">
        <v>20</v>
      </c>
      <c r="J118" s="70">
        <v>275</v>
      </c>
      <c r="K118" s="70"/>
      <c r="L118" s="70"/>
      <c r="M118" s="70">
        <f t="shared" si="64"/>
        <v>20</v>
      </c>
      <c r="N118" s="70">
        <f t="shared" si="65"/>
        <v>275</v>
      </c>
      <c r="O118" s="70"/>
      <c r="P118" s="70"/>
      <c r="Q118" s="70">
        <v>41</v>
      </c>
      <c r="R118" s="70">
        <v>630</v>
      </c>
      <c r="S118" s="77"/>
      <c r="T118" s="252">
        <f t="shared" si="69"/>
        <v>0.20499999999999999</v>
      </c>
      <c r="U118" s="73"/>
      <c r="V118" s="73"/>
      <c r="W118" s="73"/>
      <c r="X118" s="73"/>
      <c r="AA118" s="61">
        <f>H106</f>
        <v>17</v>
      </c>
      <c r="AB118" s="61" t="str">
        <f>E106</f>
        <v>CISC-STK-098 W</v>
      </c>
      <c r="AC118" s="74" t="s">
        <v>437</v>
      </c>
      <c r="AD118" s="61" t="str">
        <f t="shared" si="66"/>
        <v>TWC</v>
      </c>
      <c r="AE118" s="61">
        <f t="shared" si="67"/>
        <v>200</v>
      </c>
      <c r="AF118" s="61">
        <f t="shared" si="68"/>
        <v>41</v>
      </c>
    </row>
    <row r="119" spans="1:32" s="65" customFormat="1" ht="12.75" customHeight="1">
      <c r="A119" s="52" t="s">
        <v>16</v>
      </c>
      <c r="B119" s="1" t="s">
        <v>18</v>
      </c>
      <c r="C119" s="295">
        <v>0</v>
      </c>
      <c r="D119" s="295">
        <v>0</v>
      </c>
      <c r="E119" s="69">
        <f>O119+Q119</f>
        <v>0</v>
      </c>
      <c r="F119" s="70">
        <f>P119+R118</f>
        <v>630</v>
      </c>
      <c r="G119" s="295">
        <f t="shared" si="62"/>
        <v>0</v>
      </c>
      <c r="H119" s="295">
        <f t="shared" si="63"/>
        <v>630</v>
      </c>
      <c r="I119" s="70"/>
      <c r="J119" s="70"/>
      <c r="K119" s="70"/>
      <c r="L119" s="70"/>
      <c r="M119" s="70">
        <f t="shared" si="64"/>
        <v>0</v>
      </c>
      <c r="N119" s="70">
        <f t="shared" si="65"/>
        <v>0</v>
      </c>
      <c r="O119" s="70"/>
      <c r="P119" s="70"/>
      <c r="Q119" s="70"/>
      <c r="S119" s="72"/>
      <c r="T119" s="252" t="e">
        <f t="shared" si="69"/>
        <v>#DIV/0!</v>
      </c>
      <c r="U119" s="73"/>
      <c r="V119" s="73"/>
      <c r="W119" s="73"/>
      <c r="X119" s="73"/>
      <c r="AA119" s="61">
        <f>H106</f>
        <v>17</v>
      </c>
      <c r="AB119" s="61" t="str">
        <f>E106</f>
        <v>CISC-STK-098 W</v>
      </c>
      <c r="AC119" s="74" t="s">
        <v>437</v>
      </c>
      <c r="AD119" s="61" t="str">
        <f t="shared" si="66"/>
        <v>HUA</v>
      </c>
      <c r="AE119" s="61">
        <f t="shared" si="67"/>
        <v>0</v>
      </c>
      <c r="AF119" s="61">
        <f t="shared" si="68"/>
        <v>0</v>
      </c>
    </row>
    <row r="120" spans="1:32" s="65" customFormat="1" ht="12.75" customHeight="1">
      <c r="A120" s="52" t="s">
        <v>68</v>
      </c>
      <c r="B120" s="1" t="s">
        <v>18</v>
      </c>
      <c r="C120" s="295"/>
      <c r="D120" s="295"/>
      <c r="E120" s="69">
        <f>O120+Q120</f>
        <v>0</v>
      </c>
      <c r="F120" s="70">
        <f>P120+R120</f>
        <v>0</v>
      </c>
      <c r="G120" s="295"/>
      <c r="H120" s="295"/>
      <c r="I120" s="70"/>
      <c r="J120" s="70"/>
      <c r="K120" s="70"/>
      <c r="L120" s="70"/>
      <c r="M120" s="70">
        <f t="shared" si="64"/>
        <v>0</v>
      </c>
      <c r="N120" s="70">
        <f t="shared" si="65"/>
        <v>0</v>
      </c>
      <c r="O120" s="70"/>
      <c r="P120" s="70"/>
      <c r="Q120" s="70"/>
      <c r="R120" s="70"/>
      <c r="S120" s="72"/>
      <c r="T120" s="252" t="e">
        <f t="shared" si="69"/>
        <v>#DIV/0!</v>
      </c>
      <c r="U120" s="73"/>
      <c r="V120" s="73"/>
      <c r="W120" s="73"/>
      <c r="X120" s="73"/>
      <c r="AA120" s="61">
        <f>H106</f>
        <v>17</v>
      </c>
      <c r="AB120" s="61" t="str">
        <f>E106</f>
        <v>CISC-STK-098 W</v>
      </c>
      <c r="AC120" s="74" t="s">
        <v>437</v>
      </c>
      <c r="AD120" s="61" t="str">
        <f t="shared" si="66"/>
        <v>GNS</v>
      </c>
      <c r="AE120" s="61">
        <f t="shared" si="67"/>
        <v>0</v>
      </c>
      <c r="AF120" s="61">
        <f t="shared" si="68"/>
        <v>0</v>
      </c>
    </row>
    <row r="121" spans="1:32" s="65" customFormat="1" ht="12.75" customHeight="1">
      <c r="A121" s="52" t="s">
        <v>3</v>
      </c>
      <c r="B121" s="1">
        <f>B100+7</f>
        <v>43210</v>
      </c>
      <c r="C121" s="295">
        <v>300</v>
      </c>
      <c r="D121" s="295">
        <v>4050</v>
      </c>
      <c r="E121" s="69">
        <f>O121+Q121</f>
        <v>166</v>
      </c>
      <c r="F121" s="70">
        <f>P121+R121</f>
        <v>2584</v>
      </c>
      <c r="G121" s="295">
        <f t="shared" ref="G121:G124" si="70">E121-C121</f>
        <v>-134</v>
      </c>
      <c r="H121" s="295">
        <f t="shared" ref="H121:H124" si="71">F121-D121</f>
        <v>-1466</v>
      </c>
      <c r="I121" s="70"/>
      <c r="J121" s="70"/>
      <c r="K121" s="70">
        <v>96</v>
      </c>
      <c r="L121" s="70">
        <v>1466</v>
      </c>
      <c r="M121" s="70">
        <f t="shared" si="64"/>
        <v>96</v>
      </c>
      <c r="N121" s="70">
        <f t="shared" si="65"/>
        <v>1466</v>
      </c>
      <c r="O121" s="295"/>
      <c r="P121" s="295"/>
      <c r="Q121" s="70">
        <v>166</v>
      </c>
      <c r="R121" s="70">
        <v>2584</v>
      </c>
      <c r="S121" s="72"/>
      <c r="T121" s="252">
        <f t="shared" si="69"/>
        <v>0.55333333333333334</v>
      </c>
      <c r="U121" s="73"/>
      <c r="V121" s="73"/>
      <c r="W121" s="73"/>
      <c r="X121" s="73"/>
      <c r="AA121" s="61">
        <f>H106</f>
        <v>17</v>
      </c>
      <c r="AB121" s="61" t="str">
        <f>E106</f>
        <v>CISC-STK-098 W</v>
      </c>
      <c r="AC121" s="74" t="s">
        <v>437</v>
      </c>
      <c r="AD121" s="61" t="str">
        <f t="shared" si="66"/>
        <v>SGP</v>
      </c>
      <c r="AE121" s="61">
        <f t="shared" si="67"/>
        <v>300</v>
      </c>
      <c r="AF121" s="61">
        <f t="shared" si="68"/>
        <v>166</v>
      </c>
    </row>
    <row r="122" spans="1:32" s="65" customFormat="1" ht="12.75" customHeight="1">
      <c r="A122" s="52" t="s">
        <v>642</v>
      </c>
      <c r="B122" s="1">
        <f>B101+7</f>
        <v>43212</v>
      </c>
      <c r="C122" s="295">
        <v>0</v>
      </c>
      <c r="D122" s="295">
        <v>0</v>
      </c>
      <c r="E122" s="69">
        <f>O122+Q122</f>
        <v>0</v>
      </c>
      <c r="F122" s="70">
        <f>P122+R122</f>
        <v>0</v>
      </c>
      <c r="G122" s="295">
        <f t="shared" si="70"/>
        <v>0</v>
      </c>
      <c r="H122" s="295">
        <f t="shared" si="71"/>
        <v>0</v>
      </c>
      <c r="I122" s="70"/>
      <c r="J122" s="70"/>
      <c r="K122" s="70"/>
      <c r="L122" s="70"/>
      <c r="M122" s="70">
        <f t="shared" si="64"/>
        <v>0</v>
      </c>
      <c r="N122" s="70">
        <f t="shared" si="65"/>
        <v>0</v>
      </c>
      <c r="O122" s="70"/>
      <c r="P122" s="70"/>
      <c r="Q122" s="70"/>
      <c r="R122" s="70"/>
      <c r="S122" s="72"/>
      <c r="T122" s="252" t="e">
        <f>E122/C122</f>
        <v>#DIV/0!</v>
      </c>
      <c r="U122" s="73"/>
      <c r="V122" s="73"/>
      <c r="W122" s="73"/>
      <c r="X122" s="73"/>
      <c r="AA122" s="61">
        <f>H106</f>
        <v>17</v>
      </c>
      <c r="AB122" s="61" t="str">
        <f>E106</f>
        <v>CISC-STK-098 W</v>
      </c>
      <c r="AC122" s="74" t="s">
        <v>437</v>
      </c>
      <c r="AD122" s="61" t="str">
        <f t="shared" si="66"/>
        <v>PKG</v>
      </c>
      <c r="AE122" s="61">
        <f t="shared" si="67"/>
        <v>0</v>
      </c>
      <c r="AF122" s="61">
        <f t="shared" si="68"/>
        <v>0</v>
      </c>
    </row>
    <row r="123" spans="1:32" s="65" customFormat="1" ht="12.75" customHeight="1">
      <c r="A123" s="52" t="s">
        <v>31</v>
      </c>
      <c r="B123" s="295"/>
      <c r="C123" s="295">
        <v>50</v>
      </c>
      <c r="D123" s="295">
        <v>675</v>
      </c>
      <c r="E123" s="69">
        <f>O123+Q123</f>
        <v>0</v>
      </c>
      <c r="F123" s="70">
        <f>P123+R123</f>
        <v>0</v>
      </c>
      <c r="G123" s="295">
        <f t="shared" si="70"/>
        <v>-50</v>
      </c>
      <c r="H123" s="295">
        <f t="shared" si="71"/>
        <v>-675</v>
      </c>
      <c r="I123" s="70"/>
      <c r="J123" s="70"/>
      <c r="K123" s="70"/>
      <c r="L123" s="70"/>
      <c r="M123" s="70">
        <f t="shared" si="64"/>
        <v>0</v>
      </c>
      <c r="N123" s="70">
        <f t="shared" si="65"/>
        <v>0</v>
      </c>
      <c r="O123" s="71"/>
      <c r="P123" s="71"/>
      <c r="Q123" s="71"/>
      <c r="R123" s="71"/>
      <c r="S123" s="72"/>
      <c r="T123" s="73"/>
      <c r="U123" s="73"/>
      <c r="V123" s="73"/>
      <c r="W123" s="73"/>
      <c r="X123" s="73"/>
      <c r="AA123" s="61">
        <f>H106</f>
        <v>17</v>
      </c>
      <c r="AB123" s="61" t="str">
        <f>E106</f>
        <v>CISC-STK-098 W</v>
      </c>
      <c r="AC123" s="74" t="s">
        <v>437</v>
      </c>
      <c r="AD123" s="61" t="str">
        <f t="shared" si="66"/>
        <v>COSCO T/S</v>
      </c>
      <c r="AE123" s="61">
        <f t="shared" si="67"/>
        <v>50</v>
      </c>
      <c r="AF123" s="61">
        <f t="shared" si="68"/>
        <v>0</v>
      </c>
    </row>
    <row r="124" spans="1:32" s="65" customFormat="1" ht="12.75" customHeight="1">
      <c r="A124" s="51" t="s">
        <v>36</v>
      </c>
      <c r="B124" s="72"/>
      <c r="C124" s="71">
        <f>SUM(C110:C123)</f>
        <v>900</v>
      </c>
      <c r="D124" s="71">
        <f>SUM(D110:D123)</f>
        <v>12150</v>
      </c>
      <c r="E124" s="78">
        <f>SUM(E110:E123)</f>
        <v>610</v>
      </c>
      <c r="F124" s="76">
        <f>SUM(F110:F123)</f>
        <v>11257</v>
      </c>
      <c r="G124" s="71">
        <f t="shared" si="70"/>
        <v>-290</v>
      </c>
      <c r="H124" s="71">
        <f t="shared" si="71"/>
        <v>-893</v>
      </c>
      <c r="I124" s="70">
        <f t="shared" ref="I124:L124" si="72">SUM(I110:I123)</f>
        <v>242</v>
      </c>
      <c r="J124" s="70">
        <f t="shared" si="72"/>
        <v>3633</v>
      </c>
      <c r="K124" s="70">
        <f t="shared" si="72"/>
        <v>108</v>
      </c>
      <c r="L124" s="70">
        <f t="shared" si="72"/>
        <v>1674</v>
      </c>
      <c r="M124" s="70"/>
      <c r="N124" s="70"/>
      <c r="O124" s="70">
        <f t="shared" ref="O124:R124" si="73">SUM(O110:O123)</f>
        <v>403</v>
      </c>
      <c r="P124" s="70">
        <f t="shared" si="73"/>
        <v>7413</v>
      </c>
      <c r="Q124" s="70">
        <f t="shared" si="73"/>
        <v>207</v>
      </c>
      <c r="R124" s="70">
        <f t="shared" si="73"/>
        <v>3214</v>
      </c>
      <c r="S124" s="72"/>
      <c r="T124" s="73"/>
      <c r="U124" s="73"/>
      <c r="V124" s="73"/>
      <c r="W124" s="73"/>
      <c r="X124" s="73"/>
      <c r="AA124" s="61"/>
      <c r="AB124" s="61"/>
      <c r="AC124" s="61"/>
      <c r="AD124" s="61"/>
      <c r="AE124" s="61"/>
      <c r="AF124" s="61"/>
    </row>
    <row r="125" spans="1:32" s="65" customFormat="1" ht="12.75" customHeight="1">
      <c r="A125" s="84">
        <f>D124/C124</f>
        <v>13.5</v>
      </c>
      <c r="C125" s="296">
        <f>F124-E125</f>
        <v>322</v>
      </c>
      <c r="E125" s="65">
        <f>D124*0.9</f>
        <v>10935</v>
      </c>
      <c r="F125" s="296">
        <f>E124-L125</f>
        <v>-200</v>
      </c>
      <c r="I125" s="80" t="s">
        <v>48</v>
      </c>
      <c r="J125" s="245">
        <f>E124/C124</f>
        <v>0.67777777777777781</v>
      </c>
      <c r="K125" s="80"/>
      <c r="L125" s="80">
        <f>C124*0.9</f>
        <v>810</v>
      </c>
      <c r="M125" s="80"/>
      <c r="N125" s="80"/>
      <c r="O125" s="80" t="s">
        <v>49</v>
      </c>
      <c r="P125" s="80"/>
      <c r="Q125" s="65">
        <f>P111+P112+P114+P115+P116+J111+J112+L111+L112+J114+R114</f>
        <v>9371</v>
      </c>
      <c r="R125" s="65">
        <v>16856</v>
      </c>
      <c r="AA125" s="81"/>
      <c r="AB125" s="81"/>
      <c r="AC125" s="81"/>
      <c r="AD125" s="81"/>
      <c r="AE125" s="81"/>
      <c r="AF125" s="81"/>
    </row>
    <row r="127" spans="1:32" s="63" customFormat="1" ht="12.75" customHeight="1">
      <c r="A127" s="59" t="s">
        <v>437</v>
      </c>
      <c r="B127" s="58" t="s">
        <v>611</v>
      </c>
      <c r="C127" s="56"/>
      <c r="D127" s="57"/>
      <c r="E127" s="58" t="s">
        <v>612</v>
      </c>
      <c r="F127" s="57"/>
      <c r="G127" s="59" t="s">
        <v>37</v>
      </c>
      <c r="H127" s="60">
        <f>H106+1</f>
        <v>18</v>
      </c>
      <c r="I127" s="57"/>
      <c r="J127" s="57"/>
      <c r="K127" s="57"/>
      <c r="L127" s="57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2"/>
      <c r="Z127" s="62"/>
      <c r="AA127" s="62"/>
      <c r="AB127" s="62"/>
      <c r="AC127" s="62"/>
    </row>
    <row r="128" spans="1:32" s="65" customFormat="1" ht="12.75" customHeight="1">
      <c r="A128" s="340" t="s">
        <v>0</v>
      </c>
      <c r="B128" s="336" t="s">
        <v>1</v>
      </c>
      <c r="C128" s="331" t="s">
        <v>25</v>
      </c>
      <c r="D128" s="332"/>
      <c r="E128" s="331" t="s">
        <v>21</v>
      </c>
      <c r="F128" s="332"/>
      <c r="G128" s="335" t="s">
        <v>24</v>
      </c>
      <c r="H128" s="335"/>
      <c r="I128" s="328" t="s">
        <v>33</v>
      </c>
      <c r="J128" s="329"/>
      <c r="K128" s="329"/>
      <c r="L128" s="329"/>
      <c r="M128" s="329"/>
      <c r="N128" s="330"/>
      <c r="O128" s="331" t="s">
        <v>22</v>
      </c>
      <c r="P128" s="332"/>
      <c r="Q128" s="335" t="s">
        <v>23</v>
      </c>
      <c r="R128" s="335"/>
      <c r="S128" s="336" t="s">
        <v>27</v>
      </c>
      <c r="T128" s="64"/>
      <c r="U128" s="64"/>
      <c r="V128" s="64"/>
      <c r="W128" s="64"/>
      <c r="X128" s="64"/>
      <c r="Y128" s="339"/>
      <c r="Z128" s="308"/>
      <c r="AA128" s="61"/>
      <c r="AB128" s="61"/>
      <c r="AC128" s="74"/>
      <c r="AD128" s="61"/>
      <c r="AE128" s="61"/>
      <c r="AF128" s="61"/>
    </row>
    <row r="129" spans="1:32" s="65" customFormat="1" ht="12.75" customHeight="1">
      <c r="A129" s="341"/>
      <c r="B129" s="337"/>
      <c r="C129" s="333"/>
      <c r="D129" s="334"/>
      <c r="E129" s="333"/>
      <c r="F129" s="334"/>
      <c r="G129" s="335"/>
      <c r="H129" s="335"/>
      <c r="I129" s="304" t="s">
        <v>28</v>
      </c>
      <c r="J129" s="305" t="s">
        <v>3</v>
      </c>
      <c r="K129" s="304" t="s">
        <v>29</v>
      </c>
      <c r="L129" s="305" t="s">
        <v>4</v>
      </c>
      <c r="M129" s="328" t="s">
        <v>30</v>
      </c>
      <c r="N129" s="330"/>
      <c r="O129" s="333"/>
      <c r="P129" s="334"/>
      <c r="Q129" s="335"/>
      <c r="R129" s="335"/>
      <c r="S129" s="337"/>
      <c r="T129" s="64"/>
      <c r="U129" s="64"/>
      <c r="V129" s="64"/>
      <c r="W129" s="64"/>
      <c r="X129" s="64"/>
      <c r="Y129" s="339"/>
      <c r="Z129" s="308"/>
      <c r="AA129" s="61"/>
      <c r="AB129" s="61"/>
      <c r="AC129" s="74"/>
      <c r="AD129" s="61"/>
      <c r="AE129" s="61"/>
      <c r="AF129" s="61"/>
    </row>
    <row r="130" spans="1:32" s="65" customFormat="1" ht="12.75" customHeight="1">
      <c r="A130" s="342"/>
      <c r="B130" s="338"/>
      <c r="C130" s="306" t="s">
        <v>5</v>
      </c>
      <c r="D130" s="306" t="s">
        <v>6</v>
      </c>
      <c r="E130" s="305" t="s">
        <v>5</v>
      </c>
      <c r="F130" s="306" t="s">
        <v>6</v>
      </c>
      <c r="G130" s="306" t="s">
        <v>5</v>
      </c>
      <c r="H130" s="306" t="s">
        <v>6</v>
      </c>
      <c r="I130" s="305" t="s">
        <v>5</v>
      </c>
      <c r="J130" s="306" t="s">
        <v>6</v>
      </c>
      <c r="K130" s="305" t="s">
        <v>5</v>
      </c>
      <c r="L130" s="306" t="s">
        <v>6</v>
      </c>
      <c r="M130" s="306"/>
      <c r="N130" s="306"/>
      <c r="O130" s="305" t="s">
        <v>5</v>
      </c>
      <c r="P130" s="306" t="s">
        <v>6</v>
      </c>
      <c r="Q130" s="306" t="s">
        <v>5</v>
      </c>
      <c r="R130" s="306" t="s">
        <v>6</v>
      </c>
      <c r="S130" s="338"/>
      <c r="T130" s="64"/>
      <c r="U130" s="64"/>
      <c r="V130" s="64"/>
      <c r="W130" s="64"/>
      <c r="X130" s="64"/>
      <c r="Y130" s="339"/>
      <c r="Z130" s="308"/>
      <c r="AA130" s="61" t="s">
        <v>43</v>
      </c>
      <c r="AB130" s="61" t="s">
        <v>45</v>
      </c>
      <c r="AC130" s="61" t="s">
        <v>46</v>
      </c>
      <c r="AD130" s="61" t="s">
        <v>42</v>
      </c>
      <c r="AE130" s="61" t="s">
        <v>41</v>
      </c>
      <c r="AF130" s="61" t="s">
        <v>44</v>
      </c>
    </row>
    <row r="131" spans="1:32" s="65" customFormat="1" ht="12.75" customHeight="1">
      <c r="A131" s="51" t="s">
        <v>7</v>
      </c>
      <c r="B131" s="306" t="s">
        <v>18</v>
      </c>
      <c r="C131" s="306">
        <v>0</v>
      </c>
      <c r="D131" s="306">
        <v>0</v>
      </c>
      <c r="E131" s="69">
        <f t="shared" ref="E131:E139" si="74">O131+Q131</f>
        <v>0</v>
      </c>
      <c r="F131" s="70">
        <f t="shared" ref="F131:F139" si="75">P131+R131</f>
        <v>0</v>
      </c>
      <c r="G131" s="306">
        <f t="shared" ref="G131:G140" si="76">E131-C131</f>
        <v>0</v>
      </c>
      <c r="H131" s="306">
        <f t="shared" ref="H131:H140" si="77">F131-D131</f>
        <v>0</v>
      </c>
      <c r="I131" s="70"/>
      <c r="J131" s="70"/>
      <c r="K131" s="70"/>
      <c r="L131" s="70"/>
      <c r="M131" s="70">
        <f t="shared" ref="M131:M144" si="78">I131+K131</f>
        <v>0</v>
      </c>
      <c r="N131" s="70">
        <f t="shared" ref="N131:N144" si="79">J131+L131</f>
        <v>0</v>
      </c>
      <c r="O131" s="71"/>
      <c r="P131" s="71"/>
      <c r="Q131" s="70"/>
      <c r="R131" s="70"/>
      <c r="S131" s="72"/>
      <c r="T131" s="252" t="e">
        <f>E131/C131</f>
        <v>#DIV/0!</v>
      </c>
      <c r="U131" s="73"/>
      <c r="V131" s="73"/>
      <c r="W131" s="73"/>
      <c r="X131" s="73"/>
      <c r="Y131" s="339"/>
      <c r="Z131" s="308"/>
      <c r="AA131" s="61">
        <f>H127</f>
        <v>18</v>
      </c>
      <c r="AB131" s="61" t="str">
        <f>E127</f>
        <v>CISC-S4M-016 W</v>
      </c>
      <c r="AC131" s="74" t="s">
        <v>437</v>
      </c>
      <c r="AD131" s="61" t="str">
        <f t="shared" ref="AD131:AD144" si="80">A131</f>
        <v>KR</v>
      </c>
      <c r="AE131" s="61">
        <f t="shared" ref="AE131:AE144" si="81">C131</f>
        <v>0</v>
      </c>
      <c r="AF131" s="61">
        <f t="shared" ref="AF131:AF144" si="82">E131</f>
        <v>0</v>
      </c>
    </row>
    <row r="132" spans="1:32" s="65" customFormat="1" ht="12.75" customHeight="1">
      <c r="A132" s="52" t="s">
        <v>13</v>
      </c>
      <c r="B132" s="1">
        <f>B111+7</f>
        <v>43209</v>
      </c>
      <c r="C132" s="306">
        <v>150</v>
      </c>
      <c r="D132" s="306">
        <v>2025</v>
      </c>
      <c r="E132" s="69">
        <f t="shared" si="74"/>
        <v>129</v>
      </c>
      <c r="F132" s="70">
        <f t="shared" si="75"/>
        <v>2127</v>
      </c>
      <c r="G132" s="306">
        <f t="shared" si="76"/>
        <v>-21</v>
      </c>
      <c r="H132" s="306">
        <f t="shared" si="77"/>
        <v>102</v>
      </c>
      <c r="I132" s="75">
        <v>128</v>
      </c>
      <c r="J132" s="75">
        <v>1978</v>
      </c>
      <c r="K132" s="70">
        <v>6</v>
      </c>
      <c r="L132" s="70">
        <v>84</v>
      </c>
      <c r="M132" s="70">
        <f t="shared" si="78"/>
        <v>134</v>
      </c>
      <c r="N132" s="70">
        <f t="shared" si="79"/>
        <v>2062</v>
      </c>
      <c r="O132" s="75">
        <v>129</v>
      </c>
      <c r="P132" s="75">
        <v>2127</v>
      </c>
      <c r="Q132" s="71"/>
      <c r="R132" s="71"/>
      <c r="S132" s="72"/>
      <c r="T132" s="252">
        <f t="shared" ref="T132:T142" si="83">E132/C132</f>
        <v>0.86</v>
      </c>
      <c r="U132" s="73"/>
      <c r="V132" s="73"/>
      <c r="W132" s="73"/>
      <c r="X132" s="73"/>
      <c r="AA132" s="61">
        <f>H127</f>
        <v>18</v>
      </c>
      <c r="AB132" s="61" t="str">
        <f>E127</f>
        <v>CISC-S4M-016 W</v>
      </c>
      <c r="AC132" s="74" t="s">
        <v>437</v>
      </c>
      <c r="AD132" s="61" t="str">
        <f t="shared" si="80"/>
        <v>TAO</v>
      </c>
      <c r="AE132" s="61">
        <f t="shared" si="81"/>
        <v>150</v>
      </c>
      <c r="AF132" s="61">
        <f t="shared" si="82"/>
        <v>129</v>
      </c>
    </row>
    <row r="133" spans="1:32" s="65" customFormat="1" ht="12.75" customHeight="1">
      <c r="A133" s="52" t="s">
        <v>9</v>
      </c>
      <c r="B133" s="1" t="s">
        <v>18</v>
      </c>
      <c r="C133" s="306">
        <v>0</v>
      </c>
      <c r="D133" s="306">
        <v>0</v>
      </c>
      <c r="E133" s="69">
        <f t="shared" si="74"/>
        <v>0</v>
      </c>
      <c r="F133" s="70">
        <f t="shared" si="75"/>
        <v>0</v>
      </c>
      <c r="G133" s="306">
        <f t="shared" si="76"/>
        <v>0</v>
      </c>
      <c r="H133" s="306">
        <f t="shared" si="77"/>
        <v>0</v>
      </c>
      <c r="I133" s="75"/>
      <c r="J133" s="75"/>
      <c r="K133" s="71"/>
      <c r="L133" s="71"/>
      <c r="M133" s="70">
        <f t="shared" si="78"/>
        <v>0</v>
      </c>
      <c r="N133" s="70">
        <f t="shared" si="79"/>
        <v>0</v>
      </c>
      <c r="O133" s="75"/>
      <c r="P133" s="75"/>
      <c r="Q133" s="71"/>
      <c r="R133" s="71"/>
      <c r="S133" s="72"/>
      <c r="T133" s="252" t="e">
        <f t="shared" si="83"/>
        <v>#DIV/0!</v>
      </c>
      <c r="U133" s="73"/>
      <c r="V133" s="73"/>
      <c r="W133" s="73"/>
      <c r="X133" s="73"/>
      <c r="AA133" s="61">
        <f>H127</f>
        <v>18</v>
      </c>
      <c r="AB133" s="61" t="str">
        <f>E127</f>
        <v>CISC-S4M-016 W</v>
      </c>
      <c r="AC133" s="74" t="s">
        <v>437</v>
      </c>
      <c r="AD133" s="61" t="str">
        <f t="shared" si="80"/>
        <v>SHA</v>
      </c>
      <c r="AE133" s="61">
        <f t="shared" si="81"/>
        <v>0</v>
      </c>
      <c r="AF133" s="61">
        <f t="shared" si="82"/>
        <v>0</v>
      </c>
    </row>
    <row r="134" spans="1:32" s="65" customFormat="1" ht="12.75" customHeight="1">
      <c r="A134" s="52" t="s">
        <v>8</v>
      </c>
      <c r="B134" s="1" t="s">
        <v>18</v>
      </c>
      <c r="C134" s="306">
        <v>0</v>
      </c>
      <c r="D134" s="306">
        <v>0</v>
      </c>
      <c r="E134" s="69">
        <f t="shared" si="74"/>
        <v>0</v>
      </c>
      <c r="F134" s="70">
        <f t="shared" si="75"/>
        <v>0</v>
      </c>
      <c r="G134" s="306">
        <f t="shared" si="76"/>
        <v>0</v>
      </c>
      <c r="H134" s="306">
        <f t="shared" si="77"/>
        <v>0</v>
      </c>
      <c r="I134" s="71"/>
      <c r="J134" s="71"/>
      <c r="K134" s="71"/>
      <c r="L134" s="71"/>
      <c r="M134" s="70">
        <f t="shared" si="78"/>
        <v>0</v>
      </c>
      <c r="N134" s="70">
        <f t="shared" si="79"/>
        <v>0</v>
      </c>
      <c r="O134" s="71"/>
      <c r="P134" s="71"/>
      <c r="Q134" s="71"/>
      <c r="R134" s="71"/>
      <c r="S134" s="72"/>
      <c r="T134" s="252" t="e">
        <f t="shared" si="83"/>
        <v>#DIV/0!</v>
      </c>
      <c r="U134" s="73"/>
      <c r="V134" s="73"/>
      <c r="W134" s="73"/>
      <c r="X134" s="73"/>
      <c r="AA134" s="61">
        <f>H127</f>
        <v>18</v>
      </c>
      <c r="AB134" s="61" t="str">
        <f>E127</f>
        <v>CISC-S4M-016 W</v>
      </c>
      <c r="AC134" s="74" t="s">
        <v>437</v>
      </c>
      <c r="AD134" s="61" t="str">
        <f t="shared" si="80"/>
        <v>NGB</v>
      </c>
      <c r="AE134" s="61">
        <f t="shared" si="81"/>
        <v>0</v>
      </c>
      <c r="AF134" s="61">
        <f t="shared" si="82"/>
        <v>0</v>
      </c>
    </row>
    <row r="135" spans="1:32" s="65" customFormat="1" ht="12.75" customHeight="1">
      <c r="A135" s="52" t="s">
        <v>10</v>
      </c>
      <c r="B135" s="1" t="s">
        <v>18</v>
      </c>
      <c r="C135" s="306">
        <v>0</v>
      </c>
      <c r="D135" s="306">
        <v>0</v>
      </c>
      <c r="E135" s="69">
        <f t="shared" si="74"/>
        <v>0</v>
      </c>
      <c r="F135" s="70">
        <f t="shared" si="75"/>
        <v>0</v>
      </c>
      <c r="G135" s="306">
        <f t="shared" si="76"/>
        <v>0</v>
      </c>
      <c r="H135" s="306">
        <f t="shared" si="77"/>
        <v>0</v>
      </c>
      <c r="I135" s="75"/>
      <c r="J135" s="75"/>
      <c r="K135" s="70"/>
      <c r="L135" s="70"/>
      <c r="M135" s="70">
        <f t="shared" si="78"/>
        <v>0</v>
      </c>
      <c r="N135" s="70">
        <f t="shared" si="79"/>
        <v>0</v>
      </c>
      <c r="O135" s="75"/>
      <c r="P135" s="75"/>
      <c r="Q135" s="70"/>
      <c r="R135" s="70"/>
      <c r="S135" s="72"/>
      <c r="T135" s="252" t="e">
        <f t="shared" si="83"/>
        <v>#DIV/0!</v>
      </c>
      <c r="U135" s="73"/>
      <c r="V135" s="73"/>
      <c r="W135" s="73"/>
      <c r="X135" s="73"/>
      <c r="AA135" s="61">
        <f>H127</f>
        <v>18</v>
      </c>
      <c r="AB135" s="61" t="str">
        <f>E127</f>
        <v>CISC-S4M-016 W</v>
      </c>
      <c r="AC135" s="74" t="s">
        <v>437</v>
      </c>
      <c r="AD135" s="61" t="str">
        <f t="shared" si="80"/>
        <v>WUH</v>
      </c>
      <c r="AE135" s="61">
        <f t="shared" si="81"/>
        <v>0</v>
      </c>
      <c r="AF135" s="61">
        <f t="shared" si="82"/>
        <v>0</v>
      </c>
    </row>
    <row r="136" spans="1:32" s="65" customFormat="1" ht="12.75" customHeight="1">
      <c r="A136" s="52" t="s">
        <v>11</v>
      </c>
      <c r="B136" s="1" t="s">
        <v>18</v>
      </c>
      <c r="C136" s="306">
        <v>0</v>
      </c>
      <c r="D136" s="306">
        <v>0</v>
      </c>
      <c r="E136" s="69">
        <f t="shared" si="74"/>
        <v>0</v>
      </c>
      <c r="F136" s="70">
        <f t="shared" si="75"/>
        <v>0</v>
      </c>
      <c r="G136" s="306">
        <f t="shared" si="76"/>
        <v>0</v>
      </c>
      <c r="H136" s="306">
        <f t="shared" si="77"/>
        <v>0</v>
      </c>
      <c r="I136" s="70"/>
      <c r="J136" s="70"/>
      <c r="K136" s="70"/>
      <c r="L136" s="70"/>
      <c r="M136" s="70">
        <f t="shared" si="78"/>
        <v>0</v>
      </c>
      <c r="N136" s="70">
        <f t="shared" si="79"/>
        <v>0</v>
      </c>
      <c r="O136" s="75"/>
      <c r="P136" s="75"/>
      <c r="Q136" s="70"/>
      <c r="R136" s="70"/>
      <c r="S136" s="72"/>
      <c r="T136" s="252" t="e">
        <f t="shared" si="83"/>
        <v>#DIV/0!</v>
      </c>
      <c r="U136" s="73"/>
      <c r="V136" s="73"/>
      <c r="W136" s="73"/>
      <c r="X136" s="73"/>
      <c r="AA136" s="61">
        <f>H127</f>
        <v>18</v>
      </c>
      <c r="AB136" s="61" t="str">
        <f>E127</f>
        <v>CISC-S4M-016 W</v>
      </c>
      <c r="AC136" s="74" t="s">
        <v>437</v>
      </c>
      <c r="AD136" s="61" t="str">
        <f t="shared" si="80"/>
        <v>DLC</v>
      </c>
      <c r="AE136" s="61">
        <f t="shared" si="81"/>
        <v>0</v>
      </c>
      <c r="AF136" s="61">
        <f t="shared" si="82"/>
        <v>0</v>
      </c>
    </row>
    <row r="137" spans="1:32" s="65" customFormat="1" ht="12.75" customHeight="1">
      <c r="A137" s="52" t="s">
        <v>12</v>
      </c>
      <c r="B137" s="1">
        <f>B116+7</f>
        <v>43206</v>
      </c>
      <c r="C137" s="306">
        <v>200</v>
      </c>
      <c r="D137" s="306">
        <v>2700</v>
      </c>
      <c r="E137" s="69">
        <f t="shared" si="74"/>
        <v>264</v>
      </c>
      <c r="F137" s="70">
        <f t="shared" si="75"/>
        <v>4830</v>
      </c>
      <c r="G137" s="306">
        <f t="shared" si="76"/>
        <v>64</v>
      </c>
      <c r="H137" s="306">
        <f t="shared" si="77"/>
        <v>2130</v>
      </c>
      <c r="I137" s="70">
        <v>141</v>
      </c>
      <c r="J137" s="70">
        <v>2306</v>
      </c>
      <c r="K137" s="70">
        <v>2</v>
      </c>
      <c r="L137" s="70">
        <v>14</v>
      </c>
      <c r="M137" s="70">
        <f t="shared" si="78"/>
        <v>143</v>
      </c>
      <c r="N137" s="70">
        <f t="shared" si="79"/>
        <v>2320</v>
      </c>
      <c r="O137" s="75">
        <v>264</v>
      </c>
      <c r="P137" s="75">
        <v>4830</v>
      </c>
      <c r="Q137" s="76"/>
      <c r="R137" s="71"/>
      <c r="S137" s="72"/>
      <c r="T137" s="252">
        <f t="shared" si="83"/>
        <v>1.32</v>
      </c>
      <c r="U137" s="73"/>
      <c r="V137" s="73"/>
      <c r="W137" s="73"/>
      <c r="X137" s="73"/>
      <c r="AA137" s="61">
        <f>H127</f>
        <v>18</v>
      </c>
      <c r="AB137" s="61" t="str">
        <f>E127</f>
        <v>CISC-S4M-016 W</v>
      </c>
      <c r="AC137" s="74" t="s">
        <v>437</v>
      </c>
      <c r="AD137" s="61" t="str">
        <f t="shared" si="80"/>
        <v>TSN</v>
      </c>
      <c r="AE137" s="61">
        <f t="shared" si="81"/>
        <v>200</v>
      </c>
      <c r="AF137" s="61">
        <f t="shared" si="82"/>
        <v>264</v>
      </c>
    </row>
    <row r="138" spans="1:32" s="65" customFormat="1" ht="12.75" customHeight="1">
      <c r="A138" s="52" t="s">
        <v>14</v>
      </c>
      <c r="B138" s="1" t="s">
        <v>18</v>
      </c>
      <c r="C138" s="306">
        <v>0</v>
      </c>
      <c r="D138" s="306">
        <v>0</v>
      </c>
      <c r="E138" s="69">
        <f t="shared" si="74"/>
        <v>0</v>
      </c>
      <c r="F138" s="70">
        <f t="shared" si="75"/>
        <v>0</v>
      </c>
      <c r="G138" s="306">
        <f t="shared" si="76"/>
        <v>0</v>
      </c>
      <c r="H138" s="306">
        <f t="shared" si="77"/>
        <v>0</v>
      </c>
      <c r="I138" s="70"/>
      <c r="J138" s="70"/>
      <c r="K138" s="70"/>
      <c r="L138" s="70"/>
      <c r="M138" s="70">
        <f t="shared" si="78"/>
        <v>0</v>
      </c>
      <c r="N138" s="70">
        <f t="shared" si="79"/>
        <v>0</v>
      </c>
      <c r="O138" s="71"/>
      <c r="P138" s="71"/>
      <c r="Q138" s="70"/>
      <c r="R138" s="70"/>
      <c r="S138" s="72"/>
      <c r="T138" s="252" t="e">
        <f t="shared" si="83"/>
        <v>#DIV/0!</v>
      </c>
      <c r="U138" s="73"/>
      <c r="V138" s="73"/>
      <c r="W138" s="73"/>
      <c r="X138" s="73"/>
      <c r="AA138" s="61">
        <f>H127</f>
        <v>18</v>
      </c>
      <c r="AB138" s="61" t="str">
        <f>E127</f>
        <v>CISC-S4M-016 W</v>
      </c>
      <c r="AC138" s="74" t="s">
        <v>437</v>
      </c>
      <c r="AD138" s="61" t="str">
        <f t="shared" si="80"/>
        <v>XMN</v>
      </c>
      <c r="AE138" s="61">
        <f t="shared" si="81"/>
        <v>0</v>
      </c>
      <c r="AF138" s="61">
        <f t="shared" si="82"/>
        <v>0</v>
      </c>
    </row>
    <row r="139" spans="1:32" s="65" customFormat="1" ht="12.75" customHeight="1">
      <c r="A139" s="52" t="s">
        <v>19</v>
      </c>
      <c r="B139" s="1">
        <f>B118+7</f>
        <v>43212</v>
      </c>
      <c r="C139" s="306">
        <v>200</v>
      </c>
      <c r="D139" s="306">
        <v>2700</v>
      </c>
      <c r="E139" s="69">
        <f t="shared" si="74"/>
        <v>116</v>
      </c>
      <c r="F139" s="70">
        <f t="shared" si="75"/>
        <v>1800</v>
      </c>
      <c r="G139" s="306">
        <f t="shared" si="76"/>
        <v>-84</v>
      </c>
      <c r="H139" s="306">
        <f t="shared" si="77"/>
        <v>-900</v>
      </c>
      <c r="I139" s="70">
        <v>28</v>
      </c>
      <c r="J139" s="70">
        <v>402</v>
      </c>
      <c r="K139" s="70"/>
      <c r="L139" s="70"/>
      <c r="M139" s="70">
        <f t="shared" si="78"/>
        <v>28</v>
      </c>
      <c r="N139" s="70">
        <f t="shared" si="79"/>
        <v>402</v>
      </c>
      <c r="O139" s="70"/>
      <c r="P139" s="70"/>
      <c r="Q139" s="70">
        <v>116</v>
      </c>
      <c r="R139" s="70">
        <v>1800</v>
      </c>
      <c r="S139" s="77"/>
      <c r="T139" s="252">
        <f t="shared" si="83"/>
        <v>0.57999999999999996</v>
      </c>
      <c r="U139" s="73"/>
      <c r="V139" s="73"/>
      <c r="W139" s="73"/>
      <c r="X139" s="73"/>
      <c r="AA139" s="61">
        <f>H127</f>
        <v>18</v>
      </c>
      <c r="AB139" s="61" t="str">
        <f>E127</f>
        <v>CISC-S4M-016 W</v>
      </c>
      <c r="AC139" s="74" t="s">
        <v>437</v>
      </c>
      <c r="AD139" s="61" t="str">
        <f t="shared" si="80"/>
        <v>TWC</v>
      </c>
      <c r="AE139" s="61">
        <f t="shared" si="81"/>
        <v>200</v>
      </c>
      <c r="AF139" s="61">
        <f t="shared" si="82"/>
        <v>116</v>
      </c>
    </row>
    <row r="140" spans="1:32" s="65" customFormat="1" ht="12.75" customHeight="1">
      <c r="A140" s="52" t="s">
        <v>16</v>
      </c>
      <c r="B140" s="1" t="s">
        <v>18</v>
      </c>
      <c r="C140" s="306">
        <v>0</v>
      </c>
      <c r="D140" s="306">
        <v>0</v>
      </c>
      <c r="E140" s="69">
        <f>O140+Q140</f>
        <v>0</v>
      </c>
      <c r="F140" s="70">
        <f>P140+R139</f>
        <v>1800</v>
      </c>
      <c r="G140" s="306">
        <f t="shared" si="76"/>
        <v>0</v>
      </c>
      <c r="H140" s="306">
        <f t="shared" si="77"/>
        <v>1800</v>
      </c>
      <c r="I140" s="70"/>
      <c r="J140" s="70"/>
      <c r="K140" s="70"/>
      <c r="L140" s="70"/>
      <c r="M140" s="70">
        <f t="shared" si="78"/>
        <v>0</v>
      </c>
      <c r="N140" s="70">
        <f t="shared" si="79"/>
        <v>0</v>
      </c>
      <c r="O140" s="70"/>
      <c r="P140" s="70"/>
      <c r="Q140" s="70"/>
      <c r="S140" s="72"/>
      <c r="T140" s="252" t="e">
        <f t="shared" si="83"/>
        <v>#DIV/0!</v>
      </c>
      <c r="U140" s="73"/>
      <c r="V140" s="73"/>
      <c r="W140" s="73"/>
      <c r="X140" s="73"/>
      <c r="AA140" s="61">
        <f>H127</f>
        <v>18</v>
      </c>
      <c r="AB140" s="61" t="str">
        <f>E127</f>
        <v>CISC-S4M-016 W</v>
      </c>
      <c r="AC140" s="74" t="s">
        <v>437</v>
      </c>
      <c r="AD140" s="61" t="str">
        <f t="shared" si="80"/>
        <v>HUA</v>
      </c>
      <c r="AE140" s="61">
        <f t="shared" si="81"/>
        <v>0</v>
      </c>
      <c r="AF140" s="61">
        <f t="shared" si="82"/>
        <v>0</v>
      </c>
    </row>
    <row r="141" spans="1:32" s="65" customFormat="1" ht="12.75" customHeight="1">
      <c r="A141" s="52" t="s">
        <v>68</v>
      </c>
      <c r="B141" s="1" t="s">
        <v>18</v>
      </c>
      <c r="C141" s="306"/>
      <c r="D141" s="306"/>
      <c r="E141" s="69">
        <f>O141+Q141</f>
        <v>0</v>
      </c>
      <c r="F141" s="70">
        <f>P141+R141</f>
        <v>0</v>
      </c>
      <c r="G141" s="306"/>
      <c r="H141" s="306"/>
      <c r="I141" s="70"/>
      <c r="J141" s="70"/>
      <c r="K141" s="70"/>
      <c r="L141" s="70"/>
      <c r="M141" s="70">
        <f t="shared" si="78"/>
        <v>0</v>
      </c>
      <c r="N141" s="70">
        <f t="shared" si="79"/>
        <v>0</v>
      </c>
      <c r="O141" s="70"/>
      <c r="P141" s="70"/>
      <c r="Q141" s="70"/>
      <c r="R141" s="70"/>
      <c r="S141" s="72"/>
      <c r="T141" s="252" t="e">
        <f t="shared" si="83"/>
        <v>#DIV/0!</v>
      </c>
      <c r="U141" s="73"/>
      <c r="V141" s="73"/>
      <c r="W141" s="73"/>
      <c r="X141" s="73"/>
      <c r="AA141" s="61">
        <f>H127</f>
        <v>18</v>
      </c>
      <c r="AB141" s="61" t="str">
        <f>E127</f>
        <v>CISC-S4M-016 W</v>
      </c>
      <c r="AC141" s="74" t="s">
        <v>437</v>
      </c>
      <c r="AD141" s="61" t="str">
        <f t="shared" si="80"/>
        <v>GNS</v>
      </c>
      <c r="AE141" s="61">
        <f t="shared" si="81"/>
        <v>0</v>
      </c>
      <c r="AF141" s="61">
        <f t="shared" si="82"/>
        <v>0</v>
      </c>
    </row>
    <row r="142" spans="1:32" s="65" customFormat="1" ht="12.75" customHeight="1">
      <c r="A142" s="52" t="s">
        <v>3</v>
      </c>
      <c r="B142" s="1">
        <f>B121+7</f>
        <v>43217</v>
      </c>
      <c r="C142" s="306">
        <v>300</v>
      </c>
      <c r="D142" s="306">
        <v>4050</v>
      </c>
      <c r="E142" s="69">
        <f>O142+Q142</f>
        <v>300</v>
      </c>
      <c r="F142" s="70">
        <f>P142+R142</f>
        <v>4050</v>
      </c>
      <c r="G142" s="306">
        <f t="shared" ref="G142:G145" si="84">E142-C142</f>
        <v>0</v>
      </c>
      <c r="H142" s="306">
        <f t="shared" ref="H142:H145" si="85">F142-D142</f>
        <v>0</v>
      </c>
      <c r="I142" s="70"/>
      <c r="J142" s="70"/>
      <c r="K142" s="70"/>
      <c r="L142" s="70"/>
      <c r="M142" s="70">
        <f t="shared" si="78"/>
        <v>0</v>
      </c>
      <c r="N142" s="70">
        <f t="shared" si="79"/>
        <v>0</v>
      </c>
      <c r="O142" s="306"/>
      <c r="P142" s="306"/>
      <c r="Q142" s="70">
        <v>300</v>
      </c>
      <c r="R142" s="70">
        <v>4050</v>
      </c>
      <c r="S142" s="72"/>
      <c r="T142" s="252">
        <f t="shared" si="83"/>
        <v>1</v>
      </c>
      <c r="U142" s="73"/>
      <c r="V142" s="73"/>
      <c r="W142" s="73"/>
      <c r="X142" s="73"/>
      <c r="AA142" s="61">
        <f>H127</f>
        <v>18</v>
      </c>
      <c r="AB142" s="61" t="str">
        <f>E127</f>
        <v>CISC-S4M-016 W</v>
      </c>
      <c r="AC142" s="74" t="s">
        <v>437</v>
      </c>
      <c r="AD142" s="61" t="str">
        <f t="shared" si="80"/>
        <v>SGP</v>
      </c>
      <c r="AE142" s="61">
        <f t="shared" si="81"/>
        <v>300</v>
      </c>
      <c r="AF142" s="61">
        <f t="shared" si="82"/>
        <v>300</v>
      </c>
    </row>
    <row r="143" spans="1:32" s="65" customFormat="1" ht="12.75" customHeight="1">
      <c r="A143" s="52" t="s">
        <v>431</v>
      </c>
      <c r="B143" s="1">
        <f>B122+7</f>
        <v>43219</v>
      </c>
      <c r="C143" s="306">
        <v>0</v>
      </c>
      <c r="D143" s="306">
        <v>0</v>
      </c>
      <c r="E143" s="69">
        <f>O143+Q143</f>
        <v>0</v>
      </c>
      <c r="F143" s="70">
        <f>P143+R143</f>
        <v>0</v>
      </c>
      <c r="G143" s="306">
        <f t="shared" si="84"/>
        <v>0</v>
      </c>
      <c r="H143" s="306">
        <f t="shared" si="85"/>
        <v>0</v>
      </c>
      <c r="I143" s="70"/>
      <c r="J143" s="70"/>
      <c r="K143" s="70"/>
      <c r="L143" s="70"/>
      <c r="M143" s="70">
        <f t="shared" si="78"/>
        <v>0</v>
      </c>
      <c r="N143" s="70">
        <f t="shared" si="79"/>
        <v>0</v>
      </c>
      <c r="O143" s="70"/>
      <c r="P143" s="70"/>
      <c r="Q143" s="70"/>
      <c r="R143" s="70"/>
      <c r="S143" s="72"/>
      <c r="T143" s="252" t="e">
        <f>E143/C143</f>
        <v>#DIV/0!</v>
      </c>
      <c r="U143" s="73"/>
      <c r="V143" s="73"/>
      <c r="W143" s="73"/>
      <c r="X143" s="73"/>
      <c r="AA143" s="61">
        <f>H127</f>
        <v>18</v>
      </c>
      <c r="AB143" s="61" t="str">
        <f>E127</f>
        <v>CISC-S4M-016 W</v>
      </c>
      <c r="AC143" s="74" t="s">
        <v>437</v>
      </c>
      <c r="AD143" s="61" t="str">
        <f t="shared" si="80"/>
        <v>HQ</v>
      </c>
      <c r="AE143" s="61">
        <f t="shared" si="81"/>
        <v>0</v>
      </c>
      <c r="AF143" s="61">
        <f t="shared" si="82"/>
        <v>0</v>
      </c>
    </row>
    <row r="144" spans="1:32" s="65" customFormat="1" ht="12.75" customHeight="1">
      <c r="A144" s="52" t="s">
        <v>31</v>
      </c>
      <c r="B144" s="306"/>
      <c r="C144" s="306">
        <v>50</v>
      </c>
      <c r="D144" s="306">
        <v>675</v>
      </c>
      <c r="E144" s="69">
        <f>O144+Q144</f>
        <v>0</v>
      </c>
      <c r="F144" s="70">
        <f>P144+R144</f>
        <v>0</v>
      </c>
      <c r="G144" s="306">
        <f t="shared" si="84"/>
        <v>-50</v>
      </c>
      <c r="H144" s="306">
        <f t="shared" si="85"/>
        <v>-675</v>
      </c>
      <c r="I144" s="70"/>
      <c r="J144" s="70"/>
      <c r="K144" s="70"/>
      <c r="L144" s="70"/>
      <c r="M144" s="70">
        <f t="shared" si="78"/>
        <v>0</v>
      </c>
      <c r="N144" s="70">
        <f t="shared" si="79"/>
        <v>0</v>
      </c>
      <c r="O144" s="71"/>
      <c r="P144" s="71"/>
      <c r="Q144" s="71"/>
      <c r="R144" s="71"/>
      <c r="S144" s="72"/>
      <c r="T144" s="73"/>
      <c r="U144" s="73"/>
      <c r="V144" s="73"/>
      <c r="W144" s="73"/>
      <c r="X144" s="73"/>
      <c r="AA144" s="61">
        <f>H127</f>
        <v>18</v>
      </c>
      <c r="AB144" s="61" t="str">
        <f>E127</f>
        <v>CISC-S4M-016 W</v>
      </c>
      <c r="AC144" s="74" t="s">
        <v>437</v>
      </c>
      <c r="AD144" s="61" t="str">
        <f t="shared" si="80"/>
        <v>COSCO T/S</v>
      </c>
      <c r="AE144" s="61">
        <f t="shared" si="81"/>
        <v>50</v>
      </c>
      <c r="AF144" s="61">
        <f t="shared" si="82"/>
        <v>0</v>
      </c>
    </row>
    <row r="145" spans="1:32" s="65" customFormat="1" ht="12.75" customHeight="1">
      <c r="A145" s="51" t="s">
        <v>36</v>
      </c>
      <c r="B145" s="72"/>
      <c r="C145" s="71">
        <f>SUM(C131:C144)</f>
        <v>900</v>
      </c>
      <c r="D145" s="71">
        <f>SUM(D131:D144)</f>
        <v>12150</v>
      </c>
      <c r="E145" s="78">
        <f>SUM(E131:E144)</f>
        <v>809</v>
      </c>
      <c r="F145" s="76">
        <f>SUM(F131:F144)</f>
        <v>14607</v>
      </c>
      <c r="G145" s="71">
        <f t="shared" si="84"/>
        <v>-91</v>
      </c>
      <c r="H145" s="71">
        <f t="shared" si="85"/>
        <v>2457</v>
      </c>
      <c r="I145" s="70">
        <f t="shared" ref="I145:L145" si="86">SUM(I131:I144)</f>
        <v>297</v>
      </c>
      <c r="J145" s="70">
        <f t="shared" si="86"/>
        <v>4686</v>
      </c>
      <c r="K145" s="70">
        <f t="shared" si="86"/>
        <v>8</v>
      </c>
      <c r="L145" s="70">
        <f t="shared" si="86"/>
        <v>98</v>
      </c>
      <c r="M145" s="70"/>
      <c r="N145" s="70"/>
      <c r="O145" s="70">
        <f t="shared" ref="O145:R145" si="87">SUM(O131:O144)</f>
        <v>393</v>
      </c>
      <c r="P145" s="70">
        <f t="shared" si="87"/>
        <v>6957</v>
      </c>
      <c r="Q145" s="70">
        <f t="shared" si="87"/>
        <v>416</v>
      </c>
      <c r="R145" s="70">
        <f t="shared" si="87"/>
        <v>5850</v>
      </c>
      <c r="S145" s="72"/>
      <c r="T145" s="73"/>
      <c r="U145" s="73"/>
      <c r="V145" s="73"/>
      <c r="W145" s="73"/>
      <c r="X145" s="73"/>
      <c r="AA145" s="61"/>
      <c r="AB145" s="61"/>
      <c r="AC145" s="61"/>
      <c r="AD145" s="61"/>
      <c r="AE145" s="61"/>
      <c r="AF145" s="61"/>
    </row>
    <row r="146" spans="1:32" s="65" customFormat="1" ht="12.75" customHeight="1">
      <c r="A146" s="84">
        <f>D145/C145</f>
        <v>13.5</v>
      </c>
      <c r="C146" s="307">
        <f>F145-E146</f>
        <v>3672</v>
      </c>
      <c r="E146" s="65">
        <f>D145*0.9</f>
        <v>10935</v>
      </c>
      <c r="F146" s="307">
        <f>E145-L146</f>
        <v>-1</v>
      </c>
      <c r="I146" s="80" t="s">
        <v>48</v>
      </c>
      <c r="J146" s="245">
        <f>E145/C145</f>
        <v>0.89888888888888885</v>
      </c>
      <c r="K146" s="80"/>
      <c r="L146" s="80">
        <f>C145*0.9</f>
        <v>810</v>
      </c>
      <c r="M146" s="80"/>
      <c r="N146" s="80"/>
      <c r="O146" s="80" t="s">
        <v>49</v>
      </c>
      <c r="P146" s="80"/>
      <c r="Q146" s="65">
        <f>P132+P133+P135+P136+P137+J132+J133+L132+L133+J135+R135</f>
        <v>9019</v>
      </c>
      <c r="R146" s="65">
        <v>16856</v>
      </c>
      <c r="AA146" s="81"/>
      <c r="AB146" s="81"/>
      <c r="AC146" s="81"/>
      <c r="AD146" s="81"/>
      <c r="AE146" s="81"/>
      <c r="AF146" s="81"/>
    </row>
    <row r="148" spans="1:32" ht="14.25">
      <c r="A148" s="59" t="s">
        <v>437</v>
      </c>
      <c r="B148" s="58" t="s">
        <v>643</v>
      </c>
      <c r="C148" s="56"/>
      <c r="D148" s="57"/>
      <c r="E148" s="58" t="s">
        <v>622</v>
      </c>
      <c r="F148" s="57"/>
      <c r="G148" s="59" t="s">
        <v>37</v>
      </c>
      <c r="H148" s="60">
        <f>H127+1</f>
        <v>19</v>
      </c>
      <c r="I148" s="57"/>
      <c r="J148" s="57"/>
      <c r="K148" s="57"/>
      <c r="L148" s="57"/>
      <c r="M148" s="61"/>
      <c r="N148" s="61"/>
      <c r="O148" s="61"/>
      <c r="P148" s="61"/>
      <c r="Q148" s="61"/>
      <c r="R148" s="61"/>
      <c r="S148" s="61"/>
    </row>
    <row r="149" spans="1:32">
      <c r="A149" s="340" t="s">
        <v>0</v>
      </c>
      <c r="B149" s="336" t="s">
        <v>1</v>
      </c>
      <c r="C149" s="331" t="s">
        <v>25</v>
      </c>
      <c r="D149" s="332"/>
      <c r="E149" s="331" t="s">
        <v>21</v>
      </c>
      <c r="F149" s="332"/>
      <c r="G149" s="335" t="s">
        <v>24</v>
      </c>
      <c r="H149" s="335"/>
      <c r="I149" s="328" t="s">
        <v>33</v>
      </c>
      <c r="J149" s="329"/>
      <c r="K149" s="329"/>
      <c r="L149" s="329"/>
      <c r="M149" s="329"/>
      <c r="N149" s="330"/>
      <c r="O149" s="331" t="s">
        <v>22</v>
      </c>
      <c r="P149" s="332"/>
      <c r="Q149" s="335" t="s">
        <v>23</v>
      </c>
      <c r="R149" s="335"/>
      <c r="S149" s="336" t="s">
        <v>27</v>
      </c>
    </row>
    <row r="150" spans="1:32">
      <c r="A150" s="341"/>
      <c r="B150" s="337"/>
      <c r="C150" s="333"/>
      <c r="D150" s="334"/>
      <c r="E150" s="333"/>
      <c r="F150" s="334"/>
      <c r="G150" s="335"/>
      <c r="H150" s="335"/>
      <c r="I150" s="312" t="s">
        <v>28</v>
      </c>
      <c r="J150" s="313" t="s">
        <v>3</v>
      </c>
      <c r="K150" s="312" t="s">
        <v>29</v>
      </c>
      <c r="L150" s="313" t="s">
        <v>4</v>
      </c>
      <c r="M150" s="328" t="s">
        <v>30</v>
      </c>
      <c r="N150" s="330"/>
      <c r="O150" s="333"/>
      <c r="P150" s="334"/>
      <c r="Q150" s="335"/>
      <c r="R150" s="335"/>
      <c r="S150" s="337"/>
    </row>
    <row r="151" spans="1:32">
      <c r="A151" s="342"/>
      <c r="B151" s="338"/>
      <c r="C151" s="314" t="s">
        <v>5</v>
      </c>
      <c r="D151" s="314" t="s">
        <v>6</v>
      </c>
      <c r="E151" s="313" t="s">
        <v>5</v>
      </c>
      <c r="F151" s="314" t="s">
        <v>6</v>
      </c>
      <c r="G151" s="314" t="s">
        <v>5</v>
      </c>
      <c r="H151" s="314" t="s">
        <v>6</v>
      </c>
      <c r="I151" s="313" t="s">
        <v>5</v>
      </c>
      <c r="J151" s="314" t="s">
        <v>6</v>
      </c>
      <c r="K151" s="313" t="s">
        <v>5</v>
      </c>
      <c r="L151" s="314" t="s">
        <v>6</v>
      </c>
      <c r="M151" s="314"/>
      <c r="N151" s="314"/>
      <c r="O151" s="313" t="s">
        <v>5</v>
      </c>
      <c r="P151" s="314" t="s">
        <v>6</v>
      </c>
      <c r="Q151" s="314" t="s">
        <v>5</v>
      </c>
      <c r="R151" s="314" t="s">
        <v>6</v>
      </c>
      <c r="S151" s="338"/>
    </row>
    <row r="152" spans="1:32" ht="14.25">
      <c r="A152" s="51" t="s">
        <v>7</v>
      </c>
      <c r="B152" s="314" t="s">
        <v>18</v>
      </c>
      <c r="C152" s="314">
        <v>0</v>
      </c>
      <c r="D152" s="314">
        <v>0</v>
      </c>
      <c r="E152" s="69">
        <f t="shared" ref="E152:E160" si="88">O152+Q152</f>
        <v>0</v>
      </c>
      <c r="F152" s="70">
        <f t="shared" ref="F152:F160" si="89">P152+R152</f>
        <v>0</v>
      </c>
      <c r="G152" s="314">
        <f t="shared" ref="G152:G161" si="90">E152-C152</f>
        <v>0</v>
      </c>
      <c r="H152" s="314">
        <f t="shared" ref="H152:H161" si="91">F152-D152</f>
        <v>0</v>
      </c>
      <c r="I152" s="70"/>
      <c r="J152" s="70"/>
      <c r="K152" s="70"/>
      <c r="L152" s="70"/>
      <c r="M152" s="70">
        <f t="shared" ref="M152:M165" si="92">I152+K152</f>
        <v>0</v>
      </c>
      <c r="N152" s="70">
        <f t="shared" ref="N152:N165" si="93">J152+L152</f>
        <v>0</v>
      </c>
      <c r="O152" s="71"/>
      <c r="P152" s="71"/>
      <c r="Q152" s="70"/>
      <c r="R152" s="70"/>
      <c r="S152" s="72"/>
    </row>
    <row r="153" spans="1:32" ht="14.25">
      <c r="A153" s="52" t="s">
        <v>13</v>
      </c>
      <c r="B153" s="1">
        <f>B132+7</f>
        <v>43216</v>
      </c>
      <c r="C153" s="314">
        <v>150</v>
      </c>
      <c r="D153" s="314">
        <v>2025</v>
      </c>
      <c r="E153" s="69">
        <f t="shared" si="88"/>
        <v>165</v>
      </c>
      <c r="F153" s="70">
        <f t="shared" si="89"/>
        <v>2756</v>
      </c>
      <c r="G153" s="314">
        <f t="shared" si="90"/>
        <v>15</v>
      </c>
      <c r="H153" s="314">
        <f t="shared" si="91"/>
        <v>731</v>
      </c>
      <c r="I153" s="75">
        <v>116</v>
      </c>
      <c r="J153" s="75">
        <v>1798</v>
      </c>
      <c r="K153" s="70">
        <v>12</v>
      </c>
      <c r="L153" s="70">
        <v>134</v>
      </c>
      <c r="M153" s="70">
        <f t="shared" si="92"/>
        <v>128</v>
      </c>
      <c r="N153" s="70">
        <f t="shared" si="93"/>
        <v>1932</v>
      </c>
      <c r="O153" s="75">
        <v>165</v>
      </c>
      <c r="P153" s="75">
        <v>2756</v>
      </c>
      <c r="Q153" s="71"/>
      <c r="R153" s="71"/>
      <c r="S153" s="72"/>
    </row>
    <row r="154" spans="1:32" ht="14.25">
      <c r="A154" s="52" t="s">
        <v>9</v>
      </c>
      <c r="B154" s="1" t="s">
        <v>18</v>
      </c>
      <c r="C154" s="314">
        <v>0</v>
      </c>
      <c r="D154" s="314">
        <v>0</v>
      </c>
      <c r="E154" s="69">
        <f t="shared" si="88"/>
        <v>0</v>
      </c>
      <c r="F154" s="70">
        <f t="shared" si="89"/>
        <v>0</v>
      </c>
      <c r="G154" s="314">
        <f t="shared" si="90"/>
        <v>0</v>
      </c>
      <c r="H154" s="314">
        <f t="shared" si="91"/>
        <v>0</v>
      </c>
      <c r="I154" s="75"/>
      <c r="J154" s="75"/>
      <c r="K154" s="71"/>
      <c r="L154" s="71"/>
      <c r="M154" s="70">
        <f t="shared" si="92"/>
        <v>0</v>
      </c>
      <c r="N154" s="70">
        <f t="shared" si="93"/>
        <v>0</v>
      </c>
      <c r="O154" s="75"/>
      <c r="P154" s="75"/>
      <c r="Q154" s="71"/>
      <c r="R154" s="71"/>
      <c r="S154" s="72"/>
    </row>
    <row r="155" spans="1:32" ht="14.25">
      <c r="A155" s="52" t="s">
        <v>8</v>
      </c>
      <c r="B155" s="1" t="s">
        <v>18</v>
      </c>
      <c r="C155" s="314">
        <v>0</v>
      </c>
      <c r="D155" s="314">
        <v>0</v>
      </c>
      <c r="E155" s="69">
        <f t="shared" si="88"/>
        <v>0</v>
      </c>
      <c r="F155" s="70">
        <f t="shared" si="89"/>
        <v>0</v>
      </c>
      <c r="G155" s="314">
        <f t="shared" si="90"/>
        <v>0</v>
      </c>
      <c r="H155" s="314">
        <f t="shared" si="91"/>
        <v>0</v>
      </c>
      <c r="I155" s="71"/>
      <c r="J155" s="71"/>
      <c r="K155" s="71"/>
      <c r="L155" s="71"/>
      <c r="M155" s="70">
        <f t="shared" si="92"/>
        <v>0</v>
      </c>
      <c r="N155" s="70">
        <f t="shared" si="93"/>
        <v>0</v>
      </c>
      <c r="O155" s="71"/>
      <c r="P155" s="71"/>
      <c r="Q155" s="71"/>
      <c r="R155" s="71"/>
      <c r="S155" s="72"/>
    </row>
    <row r="156" spans="1:32" ht="14.25">
      <c r="A156" s="52" t="s">
        <v>10</v>
      </c>
      <c r="B156" s="1" t="s">
        <v>18</v>
      </c>
      <c r="C156" s="314">
        <v>0</v>
      </c>
      <c r="D156" s="314">
        <v>0</v>
      </c>
      <c r="E156" s="69">
        <f t="shared" si="88"/>
        <v>0</v>
      </c>
      <c r="F156" s="70">
        <f t="shared" si="89"/>
        <v>0</v>
      </c>
      <c r="G156" s="314">
        <f t="shared" si="90"/>
        <v>0</v>
      </c>
      <c r="H156" s="314">
        <f t="shared" si="91"/>
        <v>0</v>
      </c>
      <c r="I156" s="75"/>
      <c r="J156" s="75"/>
      <c r="K156" s="70"/>
      <c r="L156" s="70"/>
      <c r="M156" s="70">
        <f t="shared" si="92"/>
        <v>0</v>
      </c>
      <c r="N156" s="70">
        <f t="shared" si="93"/>
        <v>0</v>
      </c>
      <c r="O156" s="75"/>
      <c r="P156" s="75"/>
      <c r="Q156" s="70"/>
      <c r="R156" s="70"/>
      <c r="S156" s="72"/>
    </row>
    <row r="157" spans="1:32" ht="14.25">
      <c r="A157" s="52" t="s">
        <v>11</v>
      </c>
      <c r="B157" s="1" t="s">
        <v>18</v>
      </c>
      <c r="C157" s="314">
        <v>0</v>
      </c>
      <c r="D157" s="314">
        <v>0</v>
      </c>
      <c r="E157" s="69">
        <f t="shared" si="88"/>
        <v>0</v>
      </c>
      <c r="F157" s="70">
        <f t="shared" si="89"/>
        <v>0</v>
      </c>
      <c r="G157" s="314">
        <f t="shared" si="90"/>
        <v>0</v>
      </c>
      <c r="H157" s="314">
        <f t="shared" si="91"/>
        <v>0</v>
      </c>
      <c r="I157" s="70"/>
      <c r="J157" s="70"/>
      <c r="K157" s="70"/>
      <c r="L157" s="70"/>
      <c r="M157" s="70">
        <f t="shared" si="92"/>
        <v>0</v>
      </c>
      <c r="N157" s="70">
        <f t="shared" si="93"/>
        <v>0</v>
      </c>
      <c r="O157" s="75"/>
      <c r="P157" s="75"/>
      <c r="Q157" s="70"/>
      <c r="R157" s="70"/>
      <c r="S157" s="72"/>
    </row>
    <row r="158" spans="1:32" ht="14.25">
      <c r="A158" s="52" t="s">
        <v>12</v>
      </c>
      <c r="B158" s="1">
        <f>B137+7</f>
        <v>43213</v>
      </c>
      <c r="C158" s="314">
        <v>200</v>
      </c>
      <c r="D158" s="314">
        <v>2700</v>
      </c>
      <c r="E158" s="69">
        <f t="shared" si="88"/>
        <v>218</v>
      </c>
      <c r="F158" s="70">
        <f t="shared" si="89"/>
        <v>4607</v>
      </c>
      <c r="G158" s="314">
        <f t="shared" si="90"/>
        <v>18</v>
      </c>
      <c r="H158" s="314">
        <f t="shared" si="91"/>
        <v>1907</v>
      </c>
      <c r="I158" s="70">
        <v>51</v>
      </c>
      <c r="J158" s="70">
        <v>832</v>
      </c>
      <c r="K158" s="70"/>
      <c r="L158" s="70"/>
      <c r="M158" s="70">
        <f t="shared" si="92"/>
        <v>51</v>
      </c>
      <c r="N158" s="70">
        <f t="shared" si="93"/>
        <v>832</v>
      </c>
      <c r="O158" s="75">
        <f>214+4</f>
        <v>218</v>
      </c>
      <c r="P158" s="75">
        <v>4607</v>
      </c>
      <c r="Q158" s="76"/>
      <c r="R158" s="71"/>
      <c r="S158" s="72"/>
    </row>
    <row r="159" spans="1:32" ht="14.25">
      <c r="A159" s="52" t="s">
        <v>14</v>
      </c>
      <c r="B159" s="1" t="s">
        <v>18</v>
      </c>
      <c r="C159" s="314">
        <v>0</v>
      </c>
      <c r="D159" s="314">
        <v>0</v>
      </c>
      <c r="E159" s="69">
        <f t="shared" si="88"/>
        <v>0</v>
      </c>
      <c r="F159" s="70">
        <f t="shared" si="89"/>
        <v>0</v>
      </c>
      <c r="G159" s="314">
        <f t="shared" si="90"/>
        <v>0</v>
      </c>
      <c r="H159" s="314">
        <f t="shared" si="91"/>
        <v>0</v>
      </c>
      <c r="I159" s="70"/>
      <c r="J159" s="70"/>
      <c r="K159" s="70"/>
      <c r="L159" s="70"/>
      <c r="M159" s="70">
        <f t="shared" si="92"/>
        <v>0</v>
      </c>
      <c r="N159" s="70">
        <f t="shared" si="93"/>
        <v>0</v>
      </c>
      <c r="O159" s="71"/>
      <c r="P159" s="71"/>
      <c r="Q159" s="70"/>
      <c r="R159" s="70"/>
      <c r="S159" s="72"/>
    </row>
    <row r="160" spans="1:32">
      <c r="A160" s="52" t="s">
        <v>19</v>
      </c>
      <c r="B160" s="1">
        <f>B139+7</f>
        <v>43219</v>
      </c>
      <c r="C160" s="314">
        <v>200</v>
      </c>
      <c r="D160" s="314">
        <v>2700</v>
      </c>
      <c r="E160" s="69">
        <f t="shared" si="88"/>
        <v>25</v>
      </c>
      <c r="F160" s="70">
        <f t="shared" si="89"/>
        <v>371</v>
      </c>
      <c r="G160" s="314">
        <f t="shared" si="90"/>
        <v>-175</v>
      </c>
      <c r="H160" s="314">
        <f t="shared" si="91"/>
        <v>-2329</v>
      </c>
      <c r="I160" s="70">
        <v>5</v>
      </c>
      <c r="J160" s="70">
        <v>106</v>
      </c>
      <c r="K160" s="70"/>
      <c r="L160" s="70"/>
      <c r="M160" s="70">
        <f t="shared" si="92"/>
        <v>5</v>
      </c>
      <c r="N160" s="70">
        <f t="shared" si="93"/>
        <v>106</v>
      </c>
      <c r="O160" s="70"/>
      <c r="P160" s="70"/>
      <c r="Q160" s="70">
        <v>25</v>
      </c>
      <c r="R160" s="70">
        <v>371</v>
      </c>
      <c r="S160" s="77"/>
    </row>
    <row r="161" spans="1:19" ht="14.25">
      <c r="A161" s="52" t="s">
        <v>16</v>
      </c>
      <c r="B161" s="1" t="s">
        <v>18</v>
      </c>
      <c r="C161" s="314">
        <v>0</v>
      </c>
      <c r="D161" s="314">
        <v>0</v>
      </c>
      <c r="E161" s="69">
        <f>O161+Q161</f>
        <v>0</v>
      </c>
      <c r="F161" s="70">
        <f>P161+R160</f>
        <v>371</v>
      </c>
      <c r="G161" s="314">
        <f t="shared" si="90"/>
        <v>0</v>
      </c>
      <c r="H161" s="314">
        <f t="shared" si="91"/>
        <v>371</v>
      </c>
      <c r="I161" s="70"/>
      <c r="J161" s="70"/>
      <c r="K161" s="70"/>
      <c r="L161" s="70"/>
      <c r="M161" s="70">
        <f t="shared" si="92"/>
        <v>0</v>
      </c>
      <c r="N161" s="70">
        <f t="shared" si="93"/>
        <v>0</v>
      </c>
      <c r="O161" s="70"/>
      <c r="P161" s="70"/>
      <c r="Q161" s="70"/>
      <c r="R161" s="65"/>
      <c r="S161" s="72"/>
    </row>
    <row r="162" spans="1:19" ht="14.25">
      <c r="A162" s="52" t="s">
        <v>68</v>
      </c>
      <c r="B162" s="1" t="s">
        <v>18</v>
      </c>
      <c r="C162" s="314"/>
      <c r="D162" s="314"/>
      <c r="E162" s="69">
        <f>O162+Q162</f>
        <v>0</v>
      </c>
      <c r="F162" s="70">
        <f>P162+R162</f>
        <v>0</v>
      </c>
      <c r="G162" s="314"/>
      <c r="H162" s="314"/>
      <c r="I162" s="70"/>
      <c r="J162" s="70"/>
      <c r="K162" s="70"/>
      <c r="L162" s="70"/>
      <c r="M162" s="70">
        <f t="shared" si="92"/>
        <v>0</v>
      </c>
      <c r="N162" s="70">
        <f t="shared" si="93"/>
        <v>0</v>
      </c>
      <c r="O162" s="70"/>
      <c r="P162" s="70"/>
      <c r="Q162" s="70"/>
      <c r="R162" s="70"/>
      <c r="S162" s="72"/>
    </row>
    <row r="163" spans="1:19" ht="14.25">
      <c r="A163" s="52" t="s">
        <v>3</v>
      </c>
      <c r="B163" s="1">
        <f>B142+7</f>
        <v>43224</v>
      </c>
      <c r="C163" s="314">
        <v>300</v>
      </c>
      <c r="D163" s="314">
        <v>4050</v>
      </c>
      <c r="E163" s="69">
        <f>O163+Q163</f>
        <v>300</v>
      </c>
      <c r="F163" s="70">
        <f>P163+R163</f>
        <v>4050</v>
      </c>
      <c r="G163" s="314">
        <f t="shared" ref="G163:G166" si="94">E163-C163</f>
        <v>0</v>
      </c>
      <c r="H163" s="314">
        <f t="shared" ref="H163:H166" si="95">F163-D163</f>
        <v>0</v>
      </c>
      <c r="I163" s="70"/>
      <c r="J163" s="70"/>
      <c r="K163" s="70"/>
      <c r="L163" s="70"/>
      <c r="M163" s="70">
        <f t="shared" si="92"/>
        <v>0</v>
      </c>
      <c r="N163" s="70">
        <f t="shared" si="93"/>
        <v>0</v>
      </c>
      <c r="O163" s="314"/>
      <c r="P163" s="314"/>
      <c r="Q163" s="70">
        <v>300</v>
      </c>
      <c r="R163" s="70">
        <v>4050</v>
      </c>
      <c r="S163" s="72"/>
    </row>
    <row r="164" spans="1:19" ht="14.25">
      <c r="A164" s="52" t="s">
        <v>431</v>
      </c>
      <c r="B164" s="1">
        <f>B143+7</f>
        <v>43226</v>
      </c>
      <c r="C164" s="314">
        <v>0</v>
      </c>
      <c r="D164" s="314">
        <v>0</v>
      </c>
      <c r="E164" s="69">
        <f>O164+Q164</f>
        <v>0</v>
      </c>
      <c r="F164" s="70">
        <f>P164+R164</f>
        <v>0</v>
      </c>
      <c r="G164" s="314">
        <f t="shared" si="94"/>
        <v>0</v>
      </c>
      <c r="H164" s="314">
        <f t="shared" si="95"/>
        <v>0</v>
      </c>
      <c r="I164" s="70"/>
      <c r="J164" s="70"/>
      <c r="K164" s="70"/>
      <c r="L164" s="70"/>
      <c r="M164" s="70">
        <f t="shared" si="92"/>
        <v>0</v>
      </c>
      <c r="N164" s="70">
        <f t="shared" si="93"/>
        <v>0</v>
      </c>
      <c r="O164" s="70"/>
      <c r="P164" s="70"/>
      <c r="Q164" s="70"/>
      <c r="R164" s="70"/>
      <c r="S164" s="72"/>
    </row>
    <row r="165" spans="1:19" ht="14.25">
      <c r="A165" s="52" t="s">
        <v>31</v>
      </c>
      <c r="B165" s="314"/>
      <c r="C165" s="314">
        <v>50</v>
      </c>
      <c r="D165" s="314">
        <v>675</v>
      </c>
      <c r="E165" s="69">
        <f>O165+Q165</f>
        <v>0</v>
      </c>
      <c r="F165" s="70">
        <f>P165+R165</f>
        <v>0</v>
      </c>
      <c r="G165" s="314">
        <f t="shared" si="94"/>
        <v>-50</v>
      </c>
      <c r="H165" s="314">
        <f t="shared" si="95"/>
        <v>-675</v>
      </c>
      <c r="I165" s="70"/>
      <c r="J165" s="70"/>
      <c r="K165" s="70"/>
      <c r="L165" s="70"/>
      <c r="M165" s="70">
        <f t="shared" si="92"/>
        <v>0</v>
      </c>
      <c r="N165" s="70">
        <f t="shared" si="93"/>
        <v>0</v>
      </c>
      <c r="O165" s="71"/>
      <c r="P165" s="71"/>
      <c r="Q165" s="71"/>
      <c r="R165" s="71"/>
      <c r="S165" s="72"/>
    </row>
    <row r="166" spans="1:19" ht="14.25">
      <c r="A166" s="51" t="s">
        <v>36</v>
      </c>
      <c r="B166" s="72"/>
      <c r="C166" s="71">
        <f>SUM(C152:C165)</f>
        <v>900</v>
      </c>
      <c r="D166" s="71">
        <f>SUM(D152:D165)</f>
        <v>12150</v>
      </c>
      <c r="E166" s="78">
        <f>SUM(E152:E165)</f>
        <v>708</v>
      </c>
      <c r="F166" s="76">
        <f>SUM(F152:F165)</f>
        <v>12155</v>
      </c>
      <c r="G166" s="71">
        <f t="shared" si="94"/>
        <v>-192</v>
      </c>
      <c r="H166" s="71">
        <f t="shared" si="95"/>
        <v>5</v>
      </c>
      <c r="I166" s="70">
        <f t="shared" ref="I166:L166" si="96">SUM(I152:I165)</f>
        <v>172</v>
      </c>
      <c r="J166" s="70">
        <f t="shared" si="96"/>
        <v>2736</v>
      </c>
      <c r="K166" s="70">
        <f t="shared" si="96"/>
        <v>12</v>
      </c>
      <c r="L166" s="70">
        <f t="shared" si="96"/>
        <v>134</v>
      </c>
      <c r="M166" s="70"/>
      <c r="N166" s="70"/>
      <c r="O166" s="70">
        <f t="shared" ref="O166:R166" si="97">SUM(O152:O165)</f>
        <v>383</v>
      </c>
      <c r="P166" s="70">
        <f t="shared" si="97"/>
        <v>7363</v>
      </c>
      <c r="Q166" s="70">
        <f t="shared" si="97"/>
        <v>325</v>
      </c>
      <c r="R166" s="70">
        <f t="shared" si="97"/>
        <v>4421</v>
      </c>
      <c r="S166" s="72"/>
    </row>
    <row r="167" spans="1:19" ht="14.25">
      <c r="A167" s="84">
        <f>D166/C166</f>
        <v>13.5</v>
      </c>
      <c r="B167" s="65"/>
      <c r="C167" s="315">
        <f>F166-E167</f>
        <v>1220</v>
      </c>
      <c r="D167" s="65"/>
      <c r="E167" s="65">
        <f>D166*0.9</f>
        <v>10935</v>
      </c>
      <c r="F167" s="315">
        <f>E166-L167</f>
        <v>-102</v>
      </c>
      <c r="G167" s="65"/>
      <c r="H167" s="65"/>
      <c r="I167" s="80" t="s">
        <v>48</v>
      </c>
      <c r="J167" s="245">
        <f>E166/C166</f>
        <v>0.78666666666666663</v>
      </c>
      <c r="K167" s="80"/>
      <c r="L167" s="80">
        <f>C166*0.9</f>
        <v>810</v>
      </c>
      <c r="M167" s="80"/>
      <c r="N167" s="80"/>
      <c r="O167" s="80" t="s">
        <v>49</v>
      </c>
      <c r="P167" s="80"/>
      <c r="Q167" s="65">
        <f>P153+P154+P156+P157+P158+J153+J154+L153+L154+J156+R156</f>
        <v>9295</v>
      </c>
      <c r="R167" s="65">
        <v>16856</v>
      </c>
      <c r="S167" s="65"/>
    </row>
  </sheetData>
  <mergeCells count="94">
    <mergeCell ref="I149:N149"/>
    <mergeCell ref="O149:P150"/>
    <mergeCell ref="Q149:R150"/>
    <mergeCell ref="S149:S151"/>
    <mergeCell ref="M150:N150"/>
    <mergeCell ref="A149:A151"/>
    <mergeCell ref="B149:B151"/>
    <mergeCell ref="C149:D150"/>
    <mergeCell ref="E149:F150"/>
    <mergeCell ref="G149:H150"/>
    <mergeCell ref="I128:N128"/>
    <mergeCell ref="O128:P129"/>
    <mergeCell ref="Q128:R129"/>
    <mergeCell ref="S128:S130"/>
    <mergeCell ref="Y128:Y129"/>
    <mergeCell ref="M129:N129"/>
    <mergeCell ref="Y130:Y131"/>
    <mergeCell ref="A128:A130"/>
    <mergeCell ref="B128:B130"/>
    <mergeCell ref="C128:D129"/>
    <mergeCell ref="E128:F129"/>
    <mergeCell ref="G128:H129"/>
    <mergeCell ref="I86:N86"/>
    <mergeCell ref="O86:P87"/>
    <mergeCell ref="Q86:R87"/>
    <mergeCell ref="S86:S88"/>
    <mergeCell ref="Y86:Y87"/>
    <mergeCell ref="M87:N87"/>
    <mergeCell ref="Y88:Y89"/>
    <mergeCell ref="A86:A88"/>
    <mergeCell ref="B86:B88"/>
    <mergeCell ref="C86:D87"/>
    <mergeCell ref="E86:F87"/>
    <mergeCell ref="G86:H87"/>
    <mergeCell ref="O44:P45"/>
    <mergeCell ref="Q44:R45"/>
    <mergeCell ref="S44:S46"/>
    <mergeCell ref="Y44:Y45"/>
    <mergeCell ref="M45:N45"/>
    <mergeCell ref="Y46:Y47"/>
    <mergeCell ref="I44:N44"/>
    <mergeCell ref="A44:A46"/>
    <mergeCell ref="B44:B46"/>
    <mergeCell ref="C44:D45"/>
    <mergeCell ref="E44:F45"/>
    <mergeCell ref="G44:H45"/>
    <mergeCell ref="O23:P24"/>
    <mergeCell ref="Q23:R24"/>
    <mergeCell ref="S23:S25"/>
    <mergeCell ref="Y23:Y24"/>
    <mergeCell ref="M24:N24"/>
    <mergeCell ref="Y25:Y26"/>
    <mergeCell ref="I23:N23"/>
    <mergeCell ref="A23:A25"/>
    <mergeCell ref="B23:B25"/>
    <mergeCell ref="C23:D24"/>
    <mergeCell ref="E23:F24"/>
    <mergeCell ref="G23:H24"/>
    <mergeCell ref="O2:P3"/>
    <mergeCell ref="Q2:R3"/>
    <mergeCell ref="S2:S4"/>
    <mergeCell ref="Y2:Y3"/>
    <mergeCell ref="M3:N3"/>
    <mergeCell ref="Y4:Y5"/>
    <mergeCell ref="I2:N2"/>
    <mergeCell ref="A2:A4"/>
    <mergeCell ref="B2:B4"/>
    <mergeCell ref="C2:D3"/>
    <mergeCell ref="E2:F3"/>
    <mergeCell ref="G2:H3"/>
    <mergeCell ref="A65:A67"/>
    <mergeCell ref="B65:B67"/>
    <mergeCell ref="C65:D66"/>
    <mergeCell ref="E65:F66"/>
    <mergeCell ref="G65:H66"/>
    <mergeCell ref="I65:N65"/>
    <mergeCell ref="O65:P66"/>
    <mergeCell ref="Q65:R66"/>
    <mergeCell ref="S65:S67"/>
    <mergeCell ref="Y65:Y66"/>
    <mergeCell ref="M66:N66"/>
    <mergeCell ref="Y67:Y68"/>
    <mergeCell ref="A107:A109"/>
    <mergeCell ref="B107:B109"/>
    <mergeCell ref="C107:D108"/>
    <mergeCell ref="E107:F108"/>
    <mergeCell ref="G107:H108"/>
    <mergeCell ref="I107:N107"/>
    <mergeCell ref="O107:P108"/>
    <mergeCell ref="Q107:R108"/>
    <mergeCell ref="S107:S109"/>
    <mergeCell ref="Y107:Y108"/>
    <mergeCell ref="M108:N108"/>
    <mergeCell ref="Y109:Y110"/>
  </mergeCells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K236"/>
  <sheetViews>
    <sheetView topLeftCell="A220" workbookViewId="0">
      <selection activeCell="B228" sqref="B228"/>
    </sheetView>
  </sheetViews>
  <sheetFormatPr defaultRowHeight="13.5"/>
  <cols>
    <col min="1" max="1" width="17" style="25" customWidth="1"/>
    <col min="2" max="2" width="8.25" style="87" customWidth="1"/>
    <col min="3" max="3" width="7.625" style="87" customWidth="1"/>
    <col min="4" max="4" width="6.875" style="87" customWidth="1"/>
    <col min="5" max="5" width="7.625" style="87" customWidth="1"/>
    <col min="6" max="7" width="6.875" style="87" customWidth="1"/>
    <col min="8" max="8" width="13.75" style="87" bestFit="1" customWidth="1"/>
    <col min="9" max="9" width="7" style="87" customWidth="1"/>
    <col min="10" max="10" width="6.875" style="87" customWidth="1"/>
    <col min="11" max="11" width="5.75" style="87" customWidth="1"/>
    <col min="12" max="12" width="6.5" style="87" customWidth="1"/>
    <col min="13" max="14" width="5.75" style="87" customWidth="1"/>
    <col min="15" max="15" width="13.75" style="87" bestFit="1" customWidth="1"/>
    <col min="16" max="16" width="5.125" style="87" customWidth="1"/>
    <col min="17" max="17" width="7.625" style="87" customWidth="1"/>
    <col min="18" max="19" width="5.125" style="87" customWidth="1"/>
    <col min="20" max="20" width="6.875" style="87" customWidth="1"/>
    <col min="21" max="21" width="7.5" style="87" customWidth="1"/>
    <col min="22" max="22" width="9.125" style="87" bestFit="1" customWidth="1"/>
    <col min="23" max="28" width="5.75" style="87" customWidth="1"/>
    <col min="29" max="29" width="9.125" style="87" bestFit="1" customWidth="1"/>
    <col min="30" max="32" width="4.75" style="87" customWidth="1"/>
    <col min="33" max="33" width="6.375" style="87" customWidth="1"/>
    <col min="34" max="35" width="4.75" style="87" customWidth="1"/>
    <col min="36" max="37" width="9.125" style="87" bestFit="1" customWidth="1"/>
    <col min="38" max="63" width="9" style="87"/>
    <col min="64" max="16384" width="9" style="25"/>
  </cols>
  <sheetData>
    <row r="2" spans="1:63" s="30" customFormat="1" ht="14.25">
      <c r="A2" s="29" t="s">
        <v>103</v>
      </c>
      <c r="B2" s="91"/>
      <c r="C2" s="91"/>
      <c r="D2" s="91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92"/>
      <c r="AW2" s="92"/>
      <c r="AX2" s="92"/>
      <c r="AY2" s="92"/>
      <c r="AZ2" s="92"/>
      <c r="BA2" s="92"/>
      <c r="BB2" s="92"/>
      <c r="BC2" s="92"/>
      <c r="BD2" s="92"/>
      <c r="BE2" s="92"/>
      <c r="BF2" s="92"/>
      <c r="BG2" s="92"/>
      <c r="BH2" s="92"/>
      <c r="BI2" s="92"/>
      <c r="BJ2" s="92"/>
      <c r="BK2" s="92"/>
    </row>
    <row r="3" spans="1:63" s="30" customFormat="1" ht="14.25">
      <c r="A3" s="31" t="s">
        <v>104</v>
      </c>
      <c r="B3" s="353" t="s">
        <v>105</v>
      </c>
      <c r="C3" s="354"/>
      <c r="D3" s="355"/>
      <c r="E3" s="93" t="s">
        <v>106</v>
      </c>
      <c r="F3" s="93" t="s">
        <v>107</v>
      </c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92"/>
      <c r="AK3" s="92"/>
      <c r="AL3" s="92"/>
      <c r="AM3" s="92"/>
      <c r="AN3" s="92"/>
      <c r="AO3" s="92"/>
      <c r="AP3" s="92"/>
      <c r="AQ3" s="92"/>
      <c r="AR3" s="92"/>
      <c r="AS3" s="92"/>
      <c r="AT3" s="92"/>
      <c r="AU3" s="92"/>
      <c r="AV3" s="92"/>
      <c r="AW3" s="92"/>
      <c r="AX3" s="92"/>
      <c r="AY3" s="92"/>
      <c r="AZ3" s="92"/>
      <c r="BA3" s="92"/>
      <c r="BB3" s="92"/>
      <c r="BC3" s="92"/>
      <c r="BD3" s="92"/>
      <c r="BE3" s="92"/>
      <c r="BF3" s="92"/>
      <c r="BG3" s="92"/>
      <c r="BH3" s="92"/>
      <c r="BI3" s="92"/>
      <c r="BJ3" s="92"/>
      <c r="BK3" s="92"/>
    </row>
    <row r="4" spans="1:63" s="30" customFormat="1" ht="14.25">
      <c r="A4" s="31" t="s">
        <v>108</v>
      </c>
      <c r="B4" s="353" t="s">
        <v>109</v>
      </c>
      <c r="C4" s="354"/>
      <c r="D4" s="355"/>
      <c r="E4" s="43">
        <v>43125</v>
      </c>
      <c r="F4" s="93" t="s">
        <v>110</v>
      </c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92"/>
      <c r="BA4" s="92"/>
      <c r="BB4" s="92"/>
      <c r="BC4" s="92"/>
      <c r="BD4" s="92"/>
      <c r="BE4" s="92"/>
      <c r="BF4" s="92"/>
      <c r="BG4" s="92"/>
      <c r="BH4" s="92"/>
      <c r="BI4" s="92"/>
      <c r="BJ4" s="92"/>
      <c r="BK4" s="92"/>
    </row>
    <row r="5" spans="1:63" s="30" customFormat="1" ht="14.25">
      <c r="A5" s="31" t="s">
        <v>111</v>
      </c>
      <c r="B5" s="353" t="s">
        <v>112</v>
      </c>
      <c r="C5" s="354"/>
      <c r="D5" s="355"/>
      <c r="E5" s="43">
        <v>43126</v>
      </c>
      <c r="F5" s="93" t="s">
        <v>110</v>
      </c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2"/>
      <c r="BI5" s="92"/>
      <c r="BJ5" s="92"/>
      <c r="BK5" s="92"/>
    </row>
    <row r="6" spans="1:63" s="30" customFormat="1" ht="14.25">
      <c r="A6" s="31" t="s">
        <v>113</v>
      </c>
      <c r="B6" s="353" t="s">
        <v>114</v>
      </c>
      <c r="C6" s="354"/>
      <c r="D6" s="355"/>
      <c r="E6" s="43">
        <v>43121</v>
      </c>
      <c r="F6" s="93" t="s">
        <v>115</v>
      </c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2"/>
      <c r="BJ6" s="92"/>
      <c r="BK6" s="92"/>
    </row>
    <row r="7" spans="1:63" s="30" customFormat="1" ht="14.25">
      <c r="A7" s="31" t="s">
        <v>116</v>
      </c>
      <c r="B7" s="353" t="s">
        <v>117</v>
      </c>
      <c r="C7" s="354"/>
      <c r="D7" s="355"/>
      <c r="E7" s="43">
        <v>43128</v>
      </c>
      <c r="F7" s="93" t="s">
        <v>118</v>
      </c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</row>
    <row r="8" spans="1:63" s="30" customFormat="1" ht="14.25">
      <c r="A8" s="31" t="s">
        <v>119</v>
      </c>
      <c r="B8" s="353" t="s">
        <v>120</v>
      </c>
      <c r="C8" s="354"/>
      <c r="D8" s="355"/>
      <c r="E8" s="43">
        <v>43124</v>
      </c>
      <c r="F8" s="93" t="s">
        <v>118</v>
      </c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</row>
    <row r="9" spans="1:63" s="30" customFormat="1">
      <c r="A9" s="25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2"/>
    </row>
    <row r="10" spans="1:63" s="30" customFormat="1" ht="14.25">
      <c r="A10" s="53" t="s">
        <v>121</v>
      </c>
      <c r="B10" s="364" t="s">
        <v>108</v>
      </c>
      <c r="C10" s="364"/>
      <c r="D10" s="364"/>
      <c r="E10" s="364"/>
      <c r="F10" s="364"/>
      <c r="G10" s="364"/>
      <c r="H10" s="94" t="s">
        <v>121</v>
      </c>
      <c r="I10" s="365" t="s">
        <v>122</v>
      </c>
      <c r="J10" s="365"/>
      <c r="K10" s="365"/>
      <c r="L10" s="365"/>
      <c r="M10" s="365"/>
      <c r="N10" s="365"/>
      <c r="O10" s="94" t="s">
        <v>121</v>
      </c>
      <c r="P10" s="365" t="s">
        <v>111</v>
      </c>
      <c r="Q10" s="365"/>
      <c r="R10" s="365"/>
      <c r="S10" s="365"/>
      <c r="T10" s="365"/>
      <c r="U10" s="365"/>
      <c r="V10" s="94" t="s">
        <v>121</v>
      </c>
      <c r="W10" s="365" t="s">
        <v>119</v>
      </c>
      <c r="X10" s="365"/>
      <c r="Y10" s="365"/>
      <c r="Z10" s="365"/>
      <c r="AA10" s="365"/>
      <c r="AB10" s="365"/>
      <c r="AC10" s="94" t="s">
        <v>121</v>
      </c>
      <c r="AD10" s="364" t="s">
        <v>123</v>
      </c>
      <c r="AE10" s="364"/>
      <c r="AF10" s="364"/>
      <c r="AG10" s="364"/>
      <c r="AH10" s="364"/>
      <c r="AI10" s="364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92"/>
      <c r="BK10" s="92"/>
    </row>
    <row r="11" spans="1:63" s="30" customFormat="1" ht="14.25">
      <c r="A11" s="368" t="s">
        <v>124</v>
      </c>
      <c r="B11" s="363" t="s">
        <v>125</v>
      </c>
      <c r="C11" s="363"/>
      <c r="D11" s="363" t="s">
        <v>126</v>
      </c>
      <c r="E11" s="363"/>
      <c r="F11" s="363" t="s">
        <v>127</v>
      </c>
      <c r="G11" s="363"/>
      <c r="H11" s="368" t="s">
        <v>124</v>
      </c>
      <c r="I11" s="363" t="s">
        <v>125</v>
      </c>
      <c r="J11" s="363"/>
      <c r="K11" s="363" t="s">
        <v>126</v>
      </c>
      <c r="L11" s="363"/>
      <c r="M11" s="363" t="s">
        <v>127</v>
      </c>
      <c r="N11" s="363"/>
      <c r="O11" s="368" t="s">
        <v>124</v>
      </c>
      <c r="P11" s="363" t="s">
        <v>128</v>
      </c>
      <c r="Q11" s="363"/>
      <c r="R11" s="363" t="s">
        <v>126</v>
      </c>
      <c r="S11" s="363"/>
      <c r="T11" s="363" t="s">
        <v>129</v>
      </c>
      <c r="U11" s="363"/>
      <c r="V11" s="368" t="s">
        <v>124</v>
      </c>
      <c r="W11" s="363" t="s">
        <v>128</v>
      </c>
      <c r="X11" s="363"/>
      <c r="Y11" s="363" t="s">
        <v>126</v>
      </c>
      <c r="Z11" s="363"/>
      <c r="AA11" s="363" t="s">
        <v>130</v>
      </c>
      <c r="AB11" s="363"/>
      <c r="AC11" s="368" t="s">
        <v>124</v>
      </c>
      <c r="AD11" s="363" t="s">
        <v>128</v>
      </c>
      <c r="AE11" s="363"/>
      <c r="AF11" s="363" t="s">
        <v>126</v>
      </c>
      <c r="AG11" s="363"/>
      <c r="AH11" s="363" t="s">
        <v>129</v>
      </c>
      <c r="AI11" s="363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</row>
    <row r="12" spans="1:63" s="30" customFormat="1" ht="14.25">
      <c r="A12" s="368"/>
      <c r="B12" s="95" t="s">
        <v>5</v>
      </c>
      <c r="C12" s="95" t="s">
        <v>6</v>
      </c>
      <c r="D12" s="95" t="s">
        <v>5</v>
      </c>
      <c r="E12" s="95" t="s">
        <v>6</v>
      </c>
      <c r="F12" s="95" t="s">
        <v>5</v>
      </c>
      <c r="G12" s="95" t="s">
        <v>6</v>
      </c>
      <c r="H12" s="368"/>
      <c r="I12" s="95" t="s">
        <v>5</v>
      </c>
      <c r="J12" s="95" t="s">
        <v>6</v>
      </c>
      <c r="K12" s="95" t="s">
        <v>5</v>
      </c>
      <c r="L12" s="95" t="s">
        <v>6</v>
      </c>
      <c r="M12" s="95" t="s">
        <v>5</v>
      </c>
      <c r="N12" s="95" t="s">
        <v>6</v>
      </c>
      <c r="O12" s="368"/>
      <c r="P12" s="95" t="s">
        <v>5</v>
      </c>
      <c r="Q12" s="95" t="s">
        <v>6</v>
      </c>
      <c r="R12" s="95" t="s">
        <v>5</v>
      </c>
      <c r="S12" s="95" t="s">
        <v>6</v>
      </c>
      <c r="T12" s="95" t="s">
        <v>5</v>
      </c>
      <c r="U12" s="95" t="s">
        <v>6</v>
      </c>
      <c r="V12" s="368"/>
      <c r="W12" s="95" t="s">
        <v>5</v>
      </c>
      <c r="X12" s="95" t="s">
        <v>6</v>
      </c>
      <c r="Y12" s="95" t="s">
        <v>5</v>
      </c>
      <c r="Z12" s="95" t="s">
        <v>6</v>
      </c>
      <c r="AA12" s="95" t="s">
        <v>5</v>
      </c>
      <c r="AB12" s="95" t="s">
        <v>6</v>
      </c>
      <c r="AC12" s="368"/>
      <c r="AD12" s="95" t="s">
        <v>5</v>
      </c>
      <c r="AE12" s="95" t="s">
        <v>6</v>
      </c>
      <c r="AF12" s="95" t="s">
        <v>5</v>
      </c>
      <c r="AG12" s="95" t="s">
        <v>6</v>
      </c>
      <c r="AH12" s="95" t="s">
        <v>5</v>
      </c>
      <c r="AI12" s="95" t="s">
        <v>6</v>
      </c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92"/>
      <c r="BH12" s="92"/>
      <c r="BI12" s="92"/>
      <c r="BJ12" s="92"/>
      <c r="BK12" s="92"/>
    </row>
    <row r="13" spans="1:63" s="30" customFormat="1" ht="14.25">
      <c r="A13" s="54" t="s">
        <v>131</v>
      </c>
      <c r="B13" s="363" t="s">
        <v>132</v>
      </c>
      <c r="C13" s="363"/>
      <c r="D13" s="363"/>
      <c r="E13" s="363"/>
      <c r="F13" s="363"/>
      <c r="G13" s="363"/>
      <c r="H13" s="96" t="s">
        <v>131</v>
      </c>
      <c r="I13" s="363" t="s">
        <v>133</v>
      </c>
      <c r="J13" s="363"/>
      <c r="K13" s="363"/>
      <c r="L13" s="363"/>
      <c r="M13" s="363"/>
      <c r="N13" s="363"/>
      <c r="O13" s="96" t="s">
        <v>131</v>
      </c>
      <c r="P13" s="363" t="s">
        <v>134</v>
      </c>
      <c r="Q13" s="363"/>
      <c r="R13" s="363"/>
      <c r="S13" s="363"/>
      <c r="T13" s="363"/>
      <c r="U13" s="363"/>
      <c r="V13" s="96" t="s">
        <v>131</v>
      </c>
      <c r="W13" s="363" t="s">
        <v>135</v>
      </c>
      <c r="X13" s="363"/>
      <c r="Y13" s="363"/>
      <c r="Z13" s="363"/>
      <c r="AA13" s="363"/>
      <c r="AB13" s="363"/>
      <c r="AC13" s="96" t="s">
        <v>131</v>
      </c>
      <c r="AD13" s="363" t="s">
        <v>136</v>
      </c>
      <c r="AE13" s="363"/>
      <c r="AF13" s="363"/>
      <c r="AG13" s="363"/>
      <c r="AH13" s="363"/>
      <c r="AI13" s="363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2"/>
      <c r="BI13" s="92"/>
      <c r="BJ13" s="92"/>
      <c r="BK13" s="92"/>
    </row>
    <row r="14" spans="1:63" s="30" customFormat="1" ht="14.25">
      <c r="A14" s="54" t="s">
        <v>7</v>
      </c>
      <c r="B14" s="95">
        <v>150</v>
      </c>
      <c r="C14" s="95">
        <f>B14*14</f>
        <v>2100</v>
      </c>
      <c r="D14" s="95">
        <v>40</v>
      </c>
      <c r="E14" s="95">
        <v>560</v>
      </c>
      <c r="F14" s="95">
        <v>30</v>
      </c>
      <c r="G14" s="95">
        <v>420</v>
      </c>
      <c r="H14" s="96" t="s">
        <v>7</v>
      </c>
      <c r="I14" s="94"/>
      <c r="J14" s="94"/>
      <c r="K14" s="95"/>
      <c r="L14" s="95"/>
      <c r="M14" s="94"/>
      <c r="N14" s="94"/>
      <c r="O14" s="96" t="s">
        <v>7</v>
      </c>
      <c r="P14" s="94"/>
      <c r="Q14" s="94"/>
      <c r="R14" s="95"/>
      <c r="S14" s="95"/>
      <c r="T14" s="94"/>
      <c r="U14" s="94"/>
      <c r="V14" s="96" t="s">
        <v>7</v>
      </c>
      <c r="W14" s="94"/>
      <c r="X14" s="94"/>
      <c r="Y14" s="95"/>
      <c r="Z14" s="95"/>
      <c r="AA14" s="94"/>
      <c r="AB14" s="94"/>
      <c r="AC14" s="96" t="s">
        <v>7</v>
      </c>
      <c r="AD14" s="95"/>
      <c r="AE14" s="95"/>
      <c r="AF14" s="94"/>
      <c r="AG14" s="94"/>
      <c r="AH14" s="95"/>
      <c r="AI14" s="95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2"/>
      <c r="BH14" s="92"/>
      <c r="BI14" s="92"/>
      <c r="BJ14" s="92"/>
      <c r="BK14" s="92"/>
    </row>
    <row r="15" spans="1:63" s="30" customFormat="1" ht="14.25">
      <c r="A15" s="54" t="s">
        <v>137</v>
      </c>
      <c r="B15" s="94"/>
      <c r="C15" s="95"/>
      <c r="D15" s="94"/>
      <c r="E15" s="95"/>
      <c r="F15" s="94"/>
      <c r="G15" s="94"/>
      <c r="H15" s="96" t="s">
        <v>137</v>
      </c>
      <c r="I15" s="94">
        <v>80</v>
      </c>
      <c r="J15" s="94">
        <f>I15*13.5</f>
        <v>1080</v>
      </c>
      <c r="K15" s="94">
        <v>30</v>
      </c>
      <c r="L15" s="94">
        <f>K15*13.5</f>
        <v>405</v>
      </c>
      <c r="M15" s="94"/>
      <c r="N15" s="94"/>
      <c r="O15" s="96" t="s">
        <v>137</v>
      </c>
      <c r="P15" s="94"/>
      <c r="Q15" s="94"/>
      <c r="R15" s="94"/>
      <c r="S15" s="94"/>
      <c r="T15" s="94"/>
      <c r="U15" s="94"/>
      <c r="V15" s="96" t="s">
        <v>137</v>
      </c>
      <c r="W15" s="94"/>
      <c r="X15" s="94"/>
      <c r="Y15" s="94"/>
      <c r="Z15" s="94"/>
      <c r="AA15" s="94"/>
      <c r="AB15" s="94"/>
      <c r="AC15" s="96" t="s">
        <v>137</v>
      </c>
      <c r="AD15" s="95"/>
      <c r="AE15" s="95"/>
      <c r="AF15" s="94"/>
      <c r="AG15" s="94"/>
      <c r="AH15" s="95"/>
      <c r="AI15" s="95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2"/>
      <c r="BI15" s="92"/>
      <c r="BJ15" s="92"/>
      <c r="BK15" s="92"/>
    </row>
    <row r="16" spans="1:63" s="30" customFormat="1" ht="14.25">
      <c r="A16" s="55" t="s">
        <v>138</v>
      </c>
      <c r="B16" s="95">
        <v>250</v>
      </c>
      <c r="C16" s="95">
        <f t="shared" ref="C16:C32" si="0">B16*14</f>
        <v>3500</v>
      </c>
      <c r="D16" s="95">
        <v>50</v>
      </c>
      <c r="E16" s="95">
        <v>560</v>
      </c>
      <c r="F16" s="95">
        <v>30</v>
      </c>
      <c r="G16" s="95"/>
      <c r="H16" s="97" t="s">
        <v>139</v>
      </c>
      <c r="I16" s="94">
        <v>50</v>
      </c>
      <c r="J16" s="94">
        <f>I16*13.5</f>
        <v>675</v>
      </c>
      <c r="K16" s="95"/>
      <c r="L16" s="94"/>
      <c r="M16" s="94"/>
      <c r="N16" s="94"/>
      <c r="O16" s="97" t="s">
        <v>139</v>
      </c>
      <c r="P16" s="94">
        <v>200</v>
      </c>
      <c r="Q16" s="94">
        <f>P16*13.5</f>
        <v>2700</v>
      </c>
      <c r="R16" s="95"/>
      <c r="S16" s="95"/>
      <c r="T16" s="94">
        <v>50</v>
      </c>
      <c r="U16" s="94">
        <f>T16*13.5</f>
        <v>675</v>
      </c>
      <c r="V16" s="97" t="s">
        <v>139</v>
      </c>
      <c r="W16" s="94"/>
      <c r="X16" s="94"/>
      <c r="Y16" s="95"/>
      <c r="Z16" s="95"/>
      <c r="AA16" s="94"/>
      <c r="AB16" s="94"/>
      <c r="AC16" s="97" t="s">
        <v>139</v>
      </c>
      <c r="AD16" s="95"/>
      <c r="AE16" s="95"/>
      <c r="AF16" s="95"/>
      <c r="AG16" s="95"/>
      <c r="AH16" s="95"/>
      <c r="AI16" s="95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  <c r="BJ16" s="92"/>
      <c r="BK16" s="92"/>
    </row>
    <row r="17" spans="1:63" s="30" customFormat="1" ht="14.25">
      <c r="A17" s="55" t="s">
        <v>140</v>
      </c>
      <c r="B17" s="94"/>
      <c r="C17" s="95"/>
      <c r="D17" s="94"/>
      <c r="E17" s="94"/>
      <c r="F17" s="94"/>
      <c r="G17" s="94"/>
      <c r="H17" s="97" t="s">
        <v>140</v>
      </c>
      <c r="I17" s="94"/>
      <c r="J17" s="94"/>
      <c r="K17" s="94"/>
      <c r="L17" s="94"/>
      <c r="M17" s="94"/>
      <c r="N17" s="94"/>
      <c r="O17" s="97" t="s">
        <v>140</v>
      </c>
      <c r="P17" s="94">
        <v>250</v>
      </c>
      <c r="Q17" s="94">
        <f t="shared" ref="Q17:Q32" si="1">P17*13.5</f>
        <v>3375</v>
      </c>
      <c r="R17" s="94"/>
      <c r="S17" s="94"/>
      <c r="T17" s="94">
        <v>30</v>
      </c>
      <c r="U17" s="94">
        <f>T17*13.5</f>
        <v>405</v>
      </c>
      <c r="V17" s="97" t="s">
        <v>140</v>
      </c>
      <c r="W17" s="94">
        <v>750</v>
      </c>
      <c r="X17" s="94">
        <f t="shared" ref="X17:X33" si="2">W17*13.5</f>
        <v>10125</v>
      </c>
      <c r="Y17" s="94">
        <v>100</v>
      </c>
      <c r="Z17" s="94">
        <f>Y17*13.5</f>
        <v>1350</v>
      </c>
      <c r="AA17" s="94">
        <v>50</v>
      </c>
      <c r="AB17" s="94">
        <f>AA17*13.5</f>
        <v>675</v>
      </c>
      <c r="AC17" s="97" t="s">
        <v>140</v>
      </c>
      <c r="AD17" s="95"/>
      <c r="AE17" s="95"/>
      <c r="AF17" s="95">
        <v>100</v>
      </c>
      <c r="AG17" s="95">
        <f>AF17*14</f>
        <v>1400</v>
      </c>
      <c r="AH17" s="95">
        <v>30</v>
      </c>
      <c r="AI17" s="95">
        <f>AH17*14</f>
        <v>420</v>
      </c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  <c r="BD17" s="92"/>
      <c r="BE17" s="92"/>
      <c r="BF17" s="92"/>
      <c r="BG17" s="92"/>
      <c r="BH17" s="92"/>
      <c r="BI17" s="92"/>
      <c r="BJ17" s="92"/>
      <c r="BK17" s="92"/>
    </row>
    <row r="18" spans="1:63" s="30" customFormat="1" ht="14.25">
      <c r="A18" s="55" t="s">
        <v>141</v>
      </c>
      <c r="B18" s="95"/>
      <c r="C18" s="95"/>
      <c r="D18" s="95"/>
      <c r="E18" s="95"/>
      <c r="F18" s="95"/>
      <c r="G18" s="95"/>
      <c r="H18" s="97" t="s">
        <v>141</v>
      </c>
      <c r="I18" s="94"/>
      <c r="J18" s="94"/>
      <c r="K18" s="95"/>
      <c r="L18" s="94"/>
      <c r="M18" s="94"/>
      <c r="N18" s="94"/>
      <c r="O18" s="97" t="s">
        <v>141</v>
      </c>
      <c r="P18" s="94">
        <v>100</v>
      </c>
      <c r="Q18" s="94">
        <f t="shared" si="1"/>
        <v>1350</v>
      </c>
      <c r="R18" s="95"/>
      <c r="S18" s="95"/>
      <c r="T18" s="94">
        <v>20</v>
      </c>
      <c r="U18" s="94">
        <f>T18*13.5</f>
        <v>270</v>
      </c>
      <c r="V18" s="97" t="s">
        <v>141</v>
      </c>
      <c r="W18" s="94">
        <v>300</v>
      </c>
      <c r="X18" s="94">
        <f t="shared" si="2"/>
        <v>4050</v>
      </c>
      <c r="Y18" s="95">
        <v>100</v>
      </c>
      <c r="Z18" s="94">
        <f>Y18*13.5</f>
        <v>1350</v>
      </c>
      <c r="AA18" s="94">
        <v>30</v>
      </c>
      <c r="AB18" s="94">
        <f>AA18*13.5</f>
        <v>405</v>
      </c>
      <c r="AC18" s="97" t="s">
        <v>141</v>
      </c>
      <c r="AD18" s="95"/>
      <c r="AE18" s="95"/>
      <c r="AF18" s="95"/>
      <c r="AG18" s="95"/>
      <c r="AH18" s="95"/>
      <c r="AI18" s="95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</row>
    <row r="19" spans="1:63" s="30" customFormat="1" ht="14.25">
      <c r="A19" s="55" t="s">
        <v>142</v>
      </c>
      <c r="B19" s="95"/>
      <c r="C19" s="95"/>
      <c r="D19" s="95"/>
      <c r="E19" s="95"/>
      <c r="F19" s="95"/>
      <c r="G19" s="95"/>
      <c r="H19" s="97" t="s">
        <v>142</v>
      </c>
      <c r="I19" s="94"/>
      <c r="J19" s="94"/>
      <c r="K19" s="95"/>
      <c r="L19" s="94"/>
      <c r="M19" s="94"/>
      <c r="N19" s="94"/>
      <c r="O19" s="97" t="s">
        <v>142</v>
      </c>
      <c r="P19" s="94"/>
      <c r="Q19" s="94"/>
      <c r="R19" s="95"/>
      <c r="S19" s="95"/>
      <c r="T19" s="94"/>
      <c r="U19" s="94"/>
      <c r="V19" s="97" t="s">
        <v>142</v>
      </c>
      <c r="W19" s="94">
        <v>100</v>
      </c>
      <c r="X19" s="94">
        <f>W19*13.5</f>
        <v>1350</v>
      </c>
      <c r="Y19" s="95"/>
      <c r="Z19" s="95"/>
      <c r="AA19" s="94"/>
      <c r="AB19" s="94"/>
      <c r="AC19" s="97" t="s">
        <v>142</v>
      </c>
      <c r="AD19" s="95">
        <v>50</v>
      </c>
      <c r="AE19" s="95">
        <f>AD19*14</f>
        <v>700</v>
      </c>
      <c r="AF19" s="95"/>
      <c r="AG19" s="95"/>
      <c r="AH19" s="95"/>
      <c r="AI19" s="95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</row>
    <row r="20" spans="1:63" s="30" customFormat="1" ht="14.25">
      <c r="A20" s="55" t="s">
        <v>143</v>
      </c>
      <c r="B20" s="95"/>
      <c r="C20" s="95"/>
      <c r="D20" s="95"/>
      <c r="E20" s="95"/>
      <c r="F20" s="95"/>
      <c r="G20" s="95"/>
      <c r="H20" s="97" t="s">
        <v>143</v>
      </c>
      <c r="I20" s="94"/>
      <c r="J20" s="94"/>
      <c r="K20" s="95"/>
      <c r="L20" s="94"/>
      <c r="M20" s="94"/>
      <c r="N20" s="94"/>
      <c r="O20" s="97" t="s">
        <v>143</v>
      </c>
      <c r="P20" s="94"/>
      <c r="Q20" s="94"/>
      <c r="R20" s="95"/>
      <c r="S20" s="95"/>
      <c r="T20" s="94"/>
      <c r="U20" s="94"/>
      <c r="V20" s="97" t="s">
        <v>143</v>
      </c>
      <c r="W20" s="94">
        <v>50</v>
      </c>
      <c r="X20" s="94">
        <f t="shared" si="2"/>
        <v>675</v>
      </c>
      <c r="Y20" s="95"/>
      <c r="Z20" s="95"/>
      <c r="AA20" s="94"/>
      <c r="AB20" s="94"/>
      <c r="AC20" s="97" t="s">
        <v>143</v>
      </c>
      <c r="AD20" s="95"/>
      <c r="AE20" s="95"/>
      <c r="AF20" s="95"/>
      <c r="AG20" s="95"/>
      <c r="AH20" s="95"/>
      <c r="AI20" s="95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</row>
    <row r="21" spans="1:63" s="30" customFormat="1" ht="14.25">
      <c r="A21" s="55" t="s">
        <v>144</v>
      </c>
      <c r="B21" s="95"/>
      <c r="C21" s="95"/>
      <c r="D21" s="95"/>
      <c r="E21" s="95"/>
      <c r="F21" s="95"/>
      <c r="G21" s="95"/>
      <c r="H21" s="97" t="s">
        <v>144</v>
      </c>
      <c r="I21" s="94">
        <v>100</v>
      </c>
      <c r="J21" s="94">
        <f t="shared" ref="J21:J27" si="3">I21*13.5</f>
        <v>1350</v>
      </c>
      <c r="K21" s="95">
        <v>40</v>
      </c>
      <c r="L21" s="94">
        <f t="shared" ref="L21" si="4">K21*13.5</f>
        <v>540</v>
      </c>
      <c r="M21" s="94"/>
      <c r="N21" s="94"/>
      <c r="O21" s="97" t="s">
        <v>145</v>
      </c>
      <c r="P21" s="94"/>
      <c r="Q21" s="94"/>
      <c r="R21" s="95"/>
      <c r="S21" s="95"/>
      <c r="T21" s="94"/>
      <c r="U21" s="94"/>
      <c r="V21" s="97" t="s">
        <v>145</v>
      </c>
      <c r="W21" s="94"/>
      <c r="X21" s="94"/>
      <c r="Y21" s="95"/>
      <c r="Z21" s="95"/>
      <c r="AA21" s="94"/>
      <c r="AB21" s="94"/>
      <c r="AC21" s="97" t="s">
        <v>145</v>
      </c>
      <c r="AD21" s="95"/>
      <c r="AE21" s="95"/>
      <c r="AF21" s="95"/>
      <c r="AG21" s="95"/>
      <c r="AH21" s="95"/>
      <c r="AI21" s="95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</row>
    <row r="22" spans="1:63" s="30" customFormat="1" ht="14.25">
      <c r="A22" s="55" t="s">
        <v>146</v>
      </c>
      <c r="B22" s="94"/>
      <c r="C22" s="95"/>
      <c r="D22" s="95"/>
      <c r="E22" s="95"/>
      <c r="F22" s="95"/>
      <c r="G22" s="95"/>
      <c r="H22" s="97" t="s">
        <v>146</v>
      </c>
      <c r="I22" s="94"/>
      <c r="J22" s="94"/>
      <c r="K22" s="95"/>
      <c r="L22" s="95"/>
      <c r="M22" s="94"/>
      <c r="N22" s="94"/>
      <c r="O22" s="97" t="s">
        <v>146</v>
      </c>
      <c r="P22" s="94"/>
      <c r="Q22" s="94"/>
      <c r="R22" s="95"/>
      <c r="S22" s="95"/>
      <c r="T22" s="94"/>
      <c r="U22" s="94"/>
      <c r="V22" s="97" t="s">
        <v>146</v>
      </c>
      <c r="W22" s="94">
        <v>50</v>
      </c>
      <c r="X22" s="94">
        <f>W22*13.5</f>
        <v>675</v>
      </c>
      <c r="Y22" s="95"/>
      <c r="Z22" s="95"/>
      <c r="AA22" s="94"/>
      <c r="AB22" s="94"/>
      <c r="AC22" s="97" t="s">
        <v>146</v>
      </c>
      <c r="AD22" s="95"/>
      <c r="AE22" s="95"/>
      <c r="AF22" s="95"/>
      <c r="AG22" s="95"/>
      <c r="AH22" s="95"/>
      <c r="AI22" s="95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</row>
    <row r="23" spans="1:63" s="30" customFormat="1" ht="14.25">
      <c r="A23" s="55" t="s">
        <v>147</v>
      </c>
      <c r="B23" s="95"/>
      <c r="C23" s="95"/>
      <c r="D23" s="95"/>
      <c r="E23" s="95"/>
      <c r="F23" s="95"/>
      <c r="G23" s="95"/>
      <c r="H23" s="97" t="s">
        <v>147</v>
      </c>
      <c r="I23" s="94"/>
      <c r="J23" s="94"/>
      <c r="K23" s="95"/>
      <c r="L23" s="95"/>
      <c r="M23" s="94"/>
      <c r="N23" s="94"/>
      <c r="O23" s="97" t="s">
        <v>147</v>
      </c>
      <c r="P23" s="94"/>
      <c r="Q23" s="94"/>
      <c r="R23" s="95"/>
      <c r="S23" s="95"/>
      <c r="T23" s="94"/>
      <c r="U23" s="94"/>
      <c r="V23" s="97" t="s">
        <v>147</v>
      </c>
      <c r="W23" s="94">
        <v>800</v>
      </c>
      <c r="X23" s="94">
        <f t="shared" si="2"/>
        <v>10800</v>
      </c>
      <c r="Y23" s="95"/>
      <c r="Z23" s="95"/>
      <c r="AA23" s="94"/>
      <c r="AB23" s="94"/>
      <c r="AC23" s="97" t="s">
        <v>147</v>
      </c>
      <c r="AD23" s="95">
        <v>100</v>
      </c>
      <c r="AE23" s="95">
        <f t="shared" ref="AE23:AE32" si="5">AD23*14</f>
        <v>1400</v>
      </c>
      <c r="AF23" s="95">
        <v>50</v>
      </c>
      <c r="AG23" s="95">
        <f t="shared" ref="AG23" si="6">AF23*14</f>
        <v>700</v>
      </c>
      <c r="AH23" s="95"/>
      <c r="AI23" s="95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</row>
    <row r="24" spans="1:63" s="30" customFormat="1" ht="14.25">
      <c r="A24" s="55" t="s">
        <v>148</v>
      </c>
      <c r="B24" s="95">
        <v>50</v>
      </c>
      <c r="C24" s="95">
        <f>B24*14</f>
        <v>700</v>
      </c>
      <c r="D24" s="95"/>
      <c r="E24" s="95"/>
      <c r="F24" s="95"/>
      <c r="G24" s="95"/>
      <c r="H24" s="97" t="s">
        <v>149</v>
      </c>
      <c r="I24" s="94"/>
      <c r="J24" s="94"/>
      <c r="K24" s="95"/>
      <c r="L24" s="95"/>
      <c r="M24" s="94"/>
      <c r="N24" s="94"/>
      <c r="O24" s="97" t="s">
        <v>149</v>
      </c>
      <c r="P24" s="94"/>
      <c r="Q24" s="94"/>
      <c r="R24" s="95"/>
      <c r="S24" s="95"/>
      <c r="T24" s="94"/>
      <c r="U24" s="94"/>
      <c r="V24" s="97" t="s">
        <v>149</v>
      </c>
      <c r="W24" s="94">
        <v>50</v>
      </c>
      <c r="X24" s="94">
        <f>W24*13.5</f>
        <v>675</v>
      </c>
      <c r="Y24" s="95"/>
      <c r="Z24" s="95"/>
      <c r="AA24" s="94"/>
      <c r="AB24" s="94"/>
      <c r="AC24" s="97" t="s">
        <v>149</v>
      </c>
      <c r="AD24" s="95">
        <v>70</v>
      </c>
      <c r="AE24" s="95">
        <f>AD24*14</f>
        <v>980</v>
      </c>
      <c r="AF24" s="95"/>
      <c r="AG24" s="95"/>
      <c r="AH24" s="95"/>
      <c r="AI24" s="95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</row>
    <row r="25" spans="1:63" s="30" customFormat="1" ht="14.25">
      <c r="A25" s="55" t="s">
        <v>150</v>
      </c>
      <c r="B25" s="95">
        <v>30</v>
      </c>
      <c r="C25" s="95">
        <f>B25*14</f>
        <v>420</v>
      </c>
      <c r="D25" s="95"/>
      <c r="E25" s="95"/>
      <c r="F25" s="95"/>
      <c r="G25" s="95"/>
      <c r="H25" s="97" t="s">
        <v>151</v>
      </c>
      <c r="I25" s="94"/>
      <c r="J25" s="94"/>
      <c r="K25" s="95"/>
      <c r="L25" s="95"/>
      <c r="M25" s="94"/>
      <c r="N25" s="94"/>
      <c r="O25" s="97" t="s">
        <v>151</v>
      </c>
      <c r="P25" s="94">
        <v>60</v>
      </c>
      <c r="Q25" s="94">
        <f>P25*13.5</f>
        <v>810</v>
      </c>
      <c r="R25" s="95"/>
      <c r="S25" s="95"/>
      <c r="T25" s="94"/>
      <c r="U25" s="94"/>
      <c r="V25" s="97" t="s">
        <v>151</v>
      </c>
      <c r="W25" s="94">
        <v>80</v>
      </c>
      <c r="X25" s="94">
        <f>W25*13.5</f>
        <v>1080</v>
      </c>
      <c r="Y25" s="95"/>
      <c r="Z25" s="95"/>
      <c r="AA25" s="94"/>
      <c r="AB25" s="94"/>
      <c r="AC25" s="97" t="s">
        <v>151</v>
      </c>
      <c r="AD25" s="95">
        <v>30</v>
      </c>
      <c r="AE25" s="95">
        <f>AD25*14</f>
        <v>420</v>
      </c>
      <c r="AF25" s="95"/>
      <c r="AG25" s="95"/>
      <c r="AH25" s="95"/>
      <c r="AI25" s="95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</row>
    <row r="26" spans="1:63" s="30" customFormat="1" ht="14.25">
      <c r="A26" s="55" t="s">
        <v>152</v>
      </c>
      <c r="B26" s="95">
        <v>20</v>
      </c>
      <c r="C26" s="95">
        <f t="shared" si="0"/>
        <v>280</v>
      </c>
      <c r="D26" s="95"/>
      <c r="E26" s="95"/>
      <c r="F26" s="95"/>
      <c r="G26" s="95"/>
      <c r="H26" s="97" t="s">
        <v>152</v>
      </c>
      <c r="I26" s="94">
        <v>20</v>
      </c>
      <c r="J26" s="94">
        <f t="shared" si="3"/>
        <v>270</v>
      </c>
      <c r="K26" s="95"/>
      <c r="L26" s="95"/>
      <c r="M26" s="94"/>
      <c r="N26" s="94"/>
      <c r="O26" s="97" t="s">
        <v>152</v>
      </c>
      <c r="P26" s="94"/>
      <c r="Q26" s="94"/>
      <c r="R26" s="95"/>
      <c r="S26" s="95"/>
      <c r="T26" s="94"/>
      <c r="U26" s="94"/>
      <c r="V26" s="97" t="s">
        <v>152</v>
      </c>
      <c r="W26" s="94">
        <v>20</v>
      </c>
      <c r="X26" s="94">
        <f t="shared" si="2"/>
        <v>270</v>
      </c>
      <c r="Y26" s="95"/>
      <c r="Z26" s="95"/>
      <c r="AA26" s="94"/>
      <c r="AB26" s="94"/>
      <c r="AC26" s="97" t="s">
        <v>152</v>
      </c>
      <c r="AD26" s="95"/>
      <c r="AE26" s="95"/>
      <c r="AF26" s="95"/>
      <c r="AG26" s="95"/>
      <c r="AH26" s="95"/>
      <c r="AI26" s="95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92"/>
      <c r="BH26" s="92"/>
      <c r="BI26" s="92"/>
      <c r="BJ26" s="92"/>
      <c r="BK26" s="92"/>
    </row>
    <row r="27" spans="1:63" s="30" customFormat="1" ht="14.25">
      <c r="A27" s="55" t="s">
        <v>153</v>
      </c>
      <c r="B27" s="95"/>
      <c r="C27" s="95"/>
      <c r="D27" s="95"/>
      <c r="E27" s="95"/>
      <c r="F27" s="95"/>
      <c r="G27" s="95"/>
      <c r="H27" s="97" t="s">
        <v>153</v>
      </c>
      <c r="I27" s="94">
        <v>50</v>
      </c>
      <c r="J27" s="94">
        <f t="shared" si="3"/>
        <v>675</v>
      </c>
      <c r="K27" s="95"/>
      <c r="L27" s="95"/>
      <c r="M27" s="94"/>
      <c r="N27" s="94"/>
      <c r="O27" s="97" t="s">
        <v>153</v>
      </c>
      <c r="P27" s="94"/>
      <c r="Q27" s="94"/>
      <c r="R27" s="95"/>
      <c r="S27" s="95"/>
      <c r="T27" s="94"/>
      <c r="U27" s="94"/>
      <c r="V27" s="97" t="s">
        <v>153</v>
      </c>
      <c r="W27" s="94"/>
      <c r="X27" s="94"/>
      <c r="Y27" s="95"/>
      <c r="Z27" s="95"/>
      <c r="AA27" s="94"/>
      <c r="AB27" s="94"/>
      <c r="AC27" s="97" t="s">
        <v>153</v>
      </c>
      <c r="AD27" s="95">
        <v>70</v>
      </c>
      <c r="AE27" s="95">
        <f t="shared" si="5"/>
        <v>980</v>
      </c>
      <c r="AF27" s="95"/>
      <c r="AG27" s="95"/>
      <c r="AH27" s="95"/>
      <c r="AI27" s="95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</row>
    <row r="28" spans="1:63" s="30" customFormat="1" ht="14.25">
      <c r="A28" s="55" t="s">
        <v>154</v>
      </c>
      <c r="B28" s="95"/>
      <c r="C28" s="95"/>
      <c r="D28" s="95"/>
      <c r="E28" s="95"/>
      <c r="F28" s="95"/>
      <c r="G28" s="95"/>
      <c r="H28" s="97" t="s">
        <v>154</v>
      </c>
      <c r="I28" s="94"/>
      <c r="J28" s="94"/>
      <c r="K28" s="95"/>
      <c r="L28" s="95"/>
      <c r="M28" s="94"/>
      <c r="N28" s="94"/>
      <c r="O28" s="97" t="s">
        <v>154</v>
      </c>
      <c r="P28" s="94">
        <v>40</v>
      </c>
      <c r="Q28" s="94">
        <v>540</v>
      </c>
      <c r="R28" s="95"/>
      <c r="S28" s="95"/>
      <c r="T28" s="94"/>
      <c r="U28" s="94"/>
      <c r="V28" s="97" t="s">
        <v>154</v>
      </c>
      <c r="W28" s="94"/>
      <c r="X28" s="94"/>
      <c r="Y28" s="95"/>
      <c r="Z28" s="95"/>
      <c r="AA28" s="94"/>
      <c r="AB28" s="94"/>
      <c r="AC28" s="97" t="s">
        <v>154</v>
      </c>
      <c r="AD28" s="95"/>
      <c r="AE28" s="95"/>
      <c r="AF28" s="95"/>
      <c r="AG28" s="95"/>
      <c r="AH28" s="95"/>
      <c r="AI28" s="95"/>
      <c r="AJ28" s="92"/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  <c r="BD28" s="92"/>
      <c r="BE28" s="92"/>
      <c r="BF28" s="92"/>
      <c r="BG28" s="92"/>
      <c r="BH28" s="92"/>
      <c r="BI28" s="92"/>
      <c r="BJ28" s="92"/>
      <c r="BK28" s="92"/>
    </row>
    <row r="29" spans="1:63" s="30" customFormat="1" ht="14.25">
      <c r="A29" s="55" t="s">
        <v>155</v>
      </c>
      <c r="B29" s="95">
        <v>50</v>
      </c>
      <c r="C29" s="95">
        <f t="shared" si="0"/>
        <v>700</v>
      </c>
      <c r="D29" s="95"/>
      <c r="E29" s="95"/>
      <c r="F29" s="95"/>
      <c r="G29" s="95"/>
      <c r="H29" s="97" t="s">
        <v>155</v>
      </c>
      <c r="I29" s="94"/>
      <c r="J29" s="94"/>
      <c r="K29" s="95"/>
      <c r="L29" s="95"/>
      <c r="M29" s="94"/>
      <c r="N29" s="94"/>
      <c r="O29" s="97" t="s">
        <v>155</v>
      </c>
      <c r="P29" s="94"/>
      <c r="Q29" s="94"/>
      <c r="R29" s="95"/>
      <c r="S29" s="95"/>
      <c r="T29" s="94"/>
      <c r="U29" s="94"/>
      <c r="V29" s="97" t="s">
        <v>155</v>
      </c>
      <c r="W29" s="94">
        <v>70</v>
      </c>
      <c r="X29" s="94">
        <f t="shared" si="2"/>
        <v>945</v>
      </c>
      <c r="Y29" s="95"/>
      <c r="Z29" s="95"/>
      <c r="AA29" s="94"/>
      <c r="AB29" s="94"/>
      <c r="AC29" s="97" t="s">
        <v>155</v>
      </c>
      <c r="AD29" s="95"/>
      <c r="AE29" s="95"/>
      <c r="AF29" s="95"/>
      <c r="AG29" s="95"/>
      <c r="AH29" s="95"/>
      <c r="AI29" s="95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2"/>
      <c r="BD29" s="92"/>
      <c r="BE29" s="92"/>
      <c r="BF29" s="92"/>
      <c r="BG29" s="92"/>
      <c r="BH29" s="92"/>
      <c r="BI29" s="92"/>
      <c r="BJ29" s="92"/>
      <c r="BK29" s="92"/>
    </row>
    <row r="30" spans="1:63" s="30" customFormat="1" ht="14.25">
      <c r="A30" s="55" t="s">
        <v>156</v>
      </c>
      <c r="B30" s="95"/>
      <c r="C30" s="95"/>
      <c r="D30" s="95"/>
      <c r="E30" s="95"/>
      <c r="F30" s="95"/>
      <c r="G30" s="95"/>
      <c r="H30" s="97" t="s">
        <v>156</v>
      </c>
      <c r="I30" s="94"/>
      <c r="J30" s="94"/>
      <c r="K30" s="95"/>
      <c r="L30" s="95"/>
      <c r="M30" s="94"/>
      <c r="N30" s="94"/>
      <c r="O30" s="97" t="s">
        <v>156</v>
      </c>
      <c r="P30" s="94"/>
      <c r="Q30" s="94"/>
      <c r="R30" s="95"/>
      <c r="S30" s="95"/>
      <c r="T30" s="94"/>
      <c r="U30" s="94"/>
      <c r="V30" s="97" t="s">
        <v>156</v>
      </c>
      <c r="W30" s="94">
        <v>30</v>
      </c>
      <c r="X30" s="94">
        <f t="shared" si="2"/>
        <v>405</v>
      </c>
      <c r="Y30" s="95"/>
      <c r="Z30" s="95"/>
      <c r="AA30" s="94"/>
      <c r="AB30" s="94"/>
      <c r="AC30" s="97" t="s">
        <v>156</v>
      </c>
      <c r="AD30" s="95"/>
      <c r="AE30" s="95"/>
      <c r="AF30" s="95"/>
      <c r="AG30" s="95"/>
      <c r="AH30" s="95"/>
      <c r="AI30" s="95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</row>
    <row r="31" spans="1:63" s="30" customFormat="1" ht="14.25">
      <c r="A31" s="55" t="s">
        <v>157</v>
      </c>
      <c r="B31" s="95"/>
      <c r="C31" s="95"/>
      <c r="D31" s="95"/>
      <c r="E31" s="95"/>
      <c r="F31" s="95"/>
      <c r="G31" s="95"/>
      <c r="H31" s="97" t="s">
        <v>157</v>
      </c>
      <c r="I31" s="94"/>
      <c r="J31" s="94"/>
      <c r="K31" s="95"/>
      <c r="L31" s="95"/>
      <c r="M31" s="94"/>
      <c r="N31" s="94"/>
      <c r="O31" s="97" t="s">
        <v>157</v>
      </c>
      <c r="P31" s="94"/>
      <c r="Q31" s="94"/>
      <c r="R31" s="95"/>
      <c r="S31" s="95"/>
      <c r="T31" s="94"/>
      <c r="U31" s="94"/>
      <c r="V31" s="97" t="s">
        <v>157</v>
      </c>
      <c r="W31" s="94"/>
      <c r="X31" s="94"/>
      <c r="Y31" s="95"/>
      <c r="Z31" s="95"/>
      <c r="AA31" s="94"/>
      <c r="AB31" s="94"/>
      <c r="AC31" s="97" t="s">
        <v>157</v>
      </c>
      <c r="AD31" s="95"/>
      <c r="AE31" s="95"/>
      <c r="AF31" s="95"/>
      <c r="AG31" s="95"/>
      <c r="AH31" s="95"/>
      <c r="AI31" s="95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</row>
    <row r="32" spans="1:63" s="30" customFormat="1" ht="14.25">
      <c r="A32" s="55" t="s">
        <v>158</v>
      </c>
      <c r="B32" s="95">
        <v>50</v>
      </c>
      <c r="C32" s="95">
        <f t="shared" si="0"/>
        <v>700</v>
      </c>
      <c r="D32" s="95"/>
      <c r="E32" s="95"/>
      <c r="F32" s="95"/>
      <c r="G32" s="95"/>
      <c r="H32" s="97" t="s">
        <v>158</v>
      </c>
      <c r="I32" s="94"/>
      <c r="J32" s="94"/>
      <c r="K32" s="95"/>
      <c r="L32" s="95"/>
      <c r="M32" s="94"/>
      <c r="N32" s="94"/>
      <c r="O32" s="97" t="s">
        <v>158</v>
      </c>
      <c r="P32" s="94">
        <v>50</v>
      </c>
      <c r="Q32" s="94">
        <f t="shared" si="1"/>
        <v>675</v>
      </c>
      <c r="R32" s="95"/>
      <c r="S32" s="95"/>
      <c r="T32" s="94"/>
      <c r="U32" s="94"/>
      <c r="V32" s="97" t="s">
        <v>158</v>
      </c>
      <c r="W32" s="94">
        <v>50</v>
      </c>
      <c r="X32" s="94">
        <f t="shared" si="2"/>
        <v>675</v>
      </c>
      <c r="Y32" s="95"/>
      <c r="Z32" s="95"/>
      <c r="AA32" s="94"/>
      <c r="AB32" s="94"/>
      <c r="AC32" s="97" t="s">
        <v>158</v>
      </c>
      <c r="AD32" s="95">
        <v>30</v>
      </c>
      <c r="AE32" s="95">
        <f t="shared" si="5"/>
        <v>420</v>
      </c>
      <c r="AF32" s="95"/>
      <c r="AG32" s="95"/>
      <c r="AH32" s="95"/>
      <c r="AI32" s="95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</row>
    <row r="33" spans="1:63" s="30" customFormat="1" ht="14.25">
      <c r="A33" s="55" t="s">
        <v>159</v>
      </c>
      <c r="B33" s="95"/>
      <c r="C33" s="95"/>
      <c r="D33" s="98"/>
      <c r="E33" s="98"/>
      <c r="F33" s="98"/>
      <c r="G33" s="98"/>
      <c r="H33" s="97" t="s">
        <v>159</v>
      </c>
      <c r="I33" s="94"/>
      <c r="J33" s="94"/>
      <c r="K33" s="98"/>
      <c r="L33" s="98"/>
      <c r="M33" s="94"/>
      <c r="N33" s="94"/>
      <c r="O33" s="97" t="s">
        <v>159</v>
      </c>
      <c r="P33" s="94"/>
      <c r="Q33" s="94"/>
      <c r="R33" s="98"/>
      <c r="S33" s="98"/>
      <c r="T33" s="94"/>
      <c r="U33" s="94"/>
      <c r="V33" s="97" t="s">
        <v>159</v>
      </c>
      <c r="W33" s="94">
        <v>50</v>
      </c>
      <c r="X33" s="94">
        <f t="shared" si="2"/>
        <v>675</v>
      </c>
      <c r="Y33" s="98"/>
      <c r="Z33" s="98"/>
      <c r="AA33" s="94"/>
      <c r="AB33" s="94"/>
      <c r="AC33" s="97" t="s">
        <v>159</v>
      </c>
      <c r="AD33" s="95"/>
      <c r="AE33" s="95"/>
      <c r="AF33" s="95"/>
      <c r="AG33" s="95"/>
      <c r="AH33" s="95"/>
      <c r="AI33" s="95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/>
    </row>
    <row r="34" spans="1:63" s="30" customFormat="1" ht="15">
      <c r="A34" s="55" t="s">
        <v>160</v>
      </c>
      <c r="B34" s="94">
        <f t="shared" ref="B34:G34" si="7">SUM(B14:B33)</f>
        <v>600</v>
      </c>
      <c r="C34" s="94">
        <f t="shared" si="7"/>
        <v>8400</v>
      </c>
      <c r="D34" s="94">
        <f t="shared" si="7"/>
        <v>90</v>
      </c>
      <c r="E34" s="94">
        <f t="shared" si="7"/>
        <v>1120</v>
      </c>
      <c r="F34" s="94">
        <f t="shared" si="7"/>
        <v>60</v>
      </c>
      <c r="G34" s="94">
        <f t="shared" si="7"/>
        <v>420</v>
      </c>
      <c r="H34" s="97" t="s">
        <v>160</v>
      </c>
      <c r="I34" s="94">
        <f>SUM(I14:I33)</f>
        <v>300</v>
      </c>
      <c r="J34" s="94">
        <f>SUM(J14:J33)</f>
        <v>4050</v>
      </c>
      <c r="K34" s="94">
        <f t="shared" ref="K34:L34" si="8">SUM(K14:K33)</f>
        <v>70</v>
      </c>
      <c r="L34" s="94">
        <f t="shared" si="8"/>
        <v>945</v>
      </c>
      <c r="M34" s="94">
        <f>SUM(M14:M33)</f>
        <v>0</v>
      </c>
      <c r="N34" s="94">
        <f>SUM(N14:N33)</f>
        <v>0</v>
      </c>
      <c r="O34" s="97" t="s">
        <v>160</v>
      </c>
      <c r="P34" s="94">
        <f t="shared" ref="P34:U34" si="9">SUM(P14:P33)</f>
        <v>700</v>
      </c>
      <c r="Q34" s="94">
        <f t="shared" si="9"/>
        <v>9450</v>
      </c>
      <c r="R34" s="94">
        <f t="shared" si="9"/>
        <v>0</v>
      </c>
      <c r="S34" s="94">
        <f t="shared" si="9"/>
        <v>0</v>
      </c>
      <c r="T34" s="94">
        <f t="shared" si="9"/>
        <v>100</v>
      </c>
      <c r="U34" s="94">
        <f t="shared" si="9"/>
        <v>1350</v>
      </c>
      <c r="V34" s="97" t="s">
        <v>160</v>
      </c>
      <c r="W34" s="94">
        <f t="shared" ref="W34:AB34" si="10">SUM(W14:W33)</f>
        <v>2400</v>
      </c>
      <c r="X34" s="94">
        <f t="shared" si="10"/>
        <v>32400</v>
      </c>
      <c r="Y34" s="94">
        <f t="shared" si="10"/>
        <v>200</v>
      </c>
      <c r="Z34" s="94">
        <f t="shared" si="10"/>
        <v>2700</v>
      </c>
      <c r="AA34" s="94">
        <f t="shared" si="10"/>
        <v>80</v>
      </c>
      <c r="AB34" s="94">
        <f t="shared" si="10"/>
        <v>1080</v>
      </c>
      <c r="AC34" s="97" t="s">
        <v>160</v>
      </c>
      <c r="AD34" s="94">
        <f>SUM(AD14:AD33)</f>
        <v>350</v>
      </c>
      <c r="AE34" s="94">
        <f t="shared" ref="AE34:AG34" si="11">SUM(AE14:AE33)</f>
        <v>4900</v>
      </c>
      <c r="AF34" s="94">
        <f t="shared" si="11"/>
        <v>150</v>
      </c>
      <c r="AG34" s="94">
        <f t="shared" si="11"/>
        <v>2100</v>
      </c>
      <c r="AH34" s="94">
        <f>SUM(AH14:AH33)</f>
        <v>30</v>
      </c>
      <c r="AI34" s="94">
        <f>SUM(AI14:AI33)</f>
        <v>420</v>
      </c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2"/>
    </row>
    <row r="35" spans="1:63" s="30" customFormat="1">
      <c r="A35" s="25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/>
      <c r="BH35" s="92"/>
      <c r="BI35" s="92"/>
      <c r="BJ35" s="92"/>
      <c r="BK35" s="92"/>
    </row>
    <row r="36" spans="1:63" s="30" customFormat="1"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92"/>
      <c r="BA36" s="92"/>
      <c r="BB36" s="92"/>
      <c r="BC36" s="92"/>
      <c r="BD36" s="92"/>
      <c r="BE36" s="92"/>
      <c r="BF36" s="92"/>
      <c r="BG36" s="92"/>
      <c r="BH36" s="92"/>
      <c r="BI36" s="92"/>
      <c r="BJ36" s="92"/>
      <c r="BK36" s="92"/>
    </row>
    <row r="37" spans="1:63" s="30" customFormat="1" ht="14.25">
      <c r="A37" s="29" t="s">
        <v>161</v>
      </c>
      <c r="B37" s="91"/>
      <c r="C37" s="91"/>
      <c r="D37" s="91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92"/>
      <c r="AK37" s="92"/>
      <c r="AL37" s="92"/>
      <c r="AM37" s="92"/>
      <c r="AN37" s="92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2"/>
      <c r="BA37" s="92"/>
      <c r="BB37" s="92"/>
      <c r="BC37" s="92"/>
      <c r="BD37" s="92"/>
      <c r="BE37" s="92"/>
      <c r="BF37" s="92"/>
      <c r="BG37" s="92"/>
      <c r="BH37" s="92"/>
      <c r="BI37" s="92"/>
      <c r="BJ37" s="92"/>
      <c r="BK37" s="92"/>
    </row>
    <row r="38" spans="1:63" s="30" customFormat="1" ht="14.25">
      <c r="A38" s="31" t="s">
        <v>162</v>
      </c>
      <c r="B38" s="353" t="s">
        <v>163</v>
      </c>
      <c r="C38" s="354"/>
      <c r="D38" s="355"/>
      <c r="E38" s="93" t="s">
        <v>164</v>
      </c>
      <c r="F38" s="93" t="s">
        <v>165</v>
      </c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92"/>
      <c r="AK38" s="92"/>
      <c r="AL38" s="92"/>
      <c r="AM38" s="92"/>
      <c r="AN38" s="92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92"/>
      <c r="BA38" s="92"/>
      <c r="BB38" s="92"/>
      <c r="BC38" s="92"/>
      <c r="BD38" s="92"/>
      <c r="BE38" s="92"/>
      <c r="BF38" s="92"/>
      <c r="BG38" s="92"/>
      <c r="BH38" s="92"/>
      <c r="BI38" s="92"/>
      <c r="BJ38" s="92"/>
      <c r="BK38" s="92"/>
    </row>
    <row r="39" spans="1:63" s="30" customFormat="1" ht="14.25">
      <c r="A39" s="31" t="s">
        <v>166</v>
      </c>
      <c r="B39" s="353" t="s">
        <v>167</v>
      </c>
      <c r="C39" s="354"/>
      <c r="D39" s="355"/>
      <c r="E39" s="43">
        <v>43123</v>
      </c>
      <c r="F39" s="93" t="s">
        <v>168</v>
      </c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F39" s="92"/>
      <c r="BG39" s="92"/>
      <c r="BH39" s="92"/>
      <c r="BI39" s="92"/>
      <c r="BJ39" s="92"/>
      <c r="BK39" s="92"/>
    </row>
    <row r="40" spans="1:63" s="30" customFormat="1" ht="14.25">
      <c r="A40" s="31" t="s">
        <v>169</v>
      </c>
      <c r="B40" s="353" t="s">
        <v>170</v>
      </c>
      <c r="C40" s="354"/>
      <c r="D40" s="355"/>
      <c r="E40" s="43">
        <v>43125</v>
      </c>
      <c r="F40" s="93" t="s">
        <v>171</v>
      </c>
      <c r="G40" s="87"/>
      <c r="H40" s="99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92"/>
      <c r="BH40" s="92"/>
      <c r="BI40" s="92"/>
      <c r="BJ40" s="92"/>
      <c r="BK40" s="92"/>
    </row>
    <row r="41" spans="1:63" s="30" customFormat="1" ht="14.25">
      <c r="A41" s="32" t="s">
        <v>172</v>
      </c>
      <c r="B41" s="100"/>
      <c r="C41" s="100"/>
      <c r="D41" s="100"/>
      <c r="E41" s="101"/>
      <c r="F41" s="101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92"/>
      <c r="AK41" s="92"/>
      <c r="AL41" s="92"/>
      <c r="AM41" s="92"/>
      <c r="AN41" s="92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92"/>
      <c r="BG41" s="92"/>
      <c r="BH41" s="92"/>
      <c r="BI41" s="92"/>
      <c r="BJ41" s="92"/>
      <c r="BK41" s="92"/>
    </row>
    <row r="42" spans="1:63" s="30" customFormat="1">
      <c r="A42" s="25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92"/>
      <c r="AK42" s="92"/>
      <c r="AL42" s="92"/>
      <c r="AM42" s="92"/>
      <c r="AN42" s="92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92"/>
      <c r="BG42" s="92"/>
      <c r="BH42" s="92"/>
      <c r="BI42" s="92"/>
      <c r="BJ42" s="92"/>
      <c r="BK42" s="92"/>
    </row>
    <row r="43" spans="1:63" s="30" customFormat="1" ht="15.75">
      <c r="A43" s="34" t="s">
        <v>173</v>
      </c>
      <c r="B43" s="366" t="s">
        <v>166</v>
      </c>
      <c r="C43" s="366"/>
      <c r="D43" s="366"/>
      <c r="E43" s="366"/>
      <c r="F43" s="366"/>
      <c r="G43" s="366"/>
      <c r="H43" s="102" t="s">
        <v>173</v>
      </c>
      <c r="I43" s="367" t="s">
        <v>169</v>
      </c>
      <c r="J43" s="367"/>
      <c r="K43" s="367"/>
      <c r="L43" s="367"/>
      <c r="M43" s="367"/>
      <c r="N43" s="367"/>
      <c r="O43" s="102" t="s">
        <v>173</v>
      </c>
      <c r="P43" s="367" t="s">
        <v>174</v>
      </c>
      <c r="Q43" s="367"/>
      <c r="R43" s="367"/>
      <c r="S43" s="367"/>
      <c r="T43" s="367"/>
      <c r="U43" s="367"/>
      <c r="V43" s="102" t="s">
        <v>173</v>
      </c>
      <c r="W43" s="367" t="s">
        <v>175</v>
      </c>
      <c r="X43" s="367"/>
      <c r="Y43" s="367"/>
      <c r="Z43" s="367"/>
      <c r="AA43" s="367"/>
      <c r="AB43" s="367"/>
      <c r="AC43" s="102" t="s">
        <v>173</v>
      </c>
      <c r="AD43" s="366" t="s">
        <v>176</v>
      </c>
      <c r="AE43" s="366"/>
      <c r="AF43" s="366"/>
      <c r="AG43" s="366"/>
      <c r="AH43" s="366"/>
      <c r="AI43" s="366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</row>
    <row r="44" spans="1:63" s="30" customFormat="1" ht="15.75">
      <c r="A44" s="374" t="s">
        <v>177</v>
      </c>
      <c r="B44" s="362" t="s">
        <v>178</v>
      </c>
      <c r="C44" s="362"/>
      <c r="D44" s="362" t="s">
        <v>179</v>
      </c>
      <c r="E44" s="362"/>
      <c r="F44" s="362" t="s">
        <v>180</v>
      </c>
      <c r="G44" s="362"/>
      <c r="H44" s="374" t="s">
        <v>177</v>
      </c>
      <c r="I44" s="362" t="s">
        <v>178</v>
      </c>
      <c r="J44" s="362"/>
      <c r="K44" s="362" t="s">
        <v>179</v>
      </c>
      <c r="L44" s="362"/>
      <c r="M44" s="362" t="s">
        <v>180</v>
      </c>
      <c r="N44" s="362"/>
      <c r="O44" s="374" t="s">
        <v>177</v>
      </c>
      <c r="P44" s="362" t="s">
        <v>181</v>
      </c>
      <c r="Q44" s="362"/>
      <c r="R44" s="362" t="s">
        <v>179</v>
      </c>
      <c r="S44" s="362"/>
      <c r="T44" s="362" t="s">
        <v>182</v>
      </c>
      <c r="U44" s="362"/>
      <c r="V44" s="374" t="s">
        <v>177</v>
      </c>
      <c r="W44" s="362" t="s">
        <v>181</v>
      </c>
      <c r="X44" s="362"/>
      <c r="Y44" s="362" t="s">
        <v>179</v>
      </c>
      <c r="Z44" s="362"/>
      <c r="AA44" s="362" t="s">
        <v>183</v>
      </c>
      <c r="AB44" s="362"/>
      <c r="AC44" s="374" t="s">
        <v>177</v>
      </c>
      <c r="AD44" s="362" t="s">
        <v>181</v>
      </c>
      <c r="AE44" s="362"/>
      <c r="AF44" s="362" t="s">
        <v>179</v>
      </c>
      <c r="AG44" s="362"/>
      <c r="AH44" s="362" t="s">
        <v>182</v>
      </c>
      <c r="AI44" s="362"/>
      <c r="AJ44" s="92"/>
      <c r="AK44" s="92"/>
      <c r="AL44" s="92"/>
      <c r="AM44" s="92"/>
      <c r="AN44" s="92"/>
      <c r="AO44" s="92"/>
      <c r="AP44" s="92"/>
      <c r="AQ44" s="92"/>
      <c r="AR44" s="92"/>
      <c r="AS44" s="92"/>
      <c r="AT44" s="92"/>
      <c r="AU44" s="92"/>
      <c r="AV44" s="92"/>
      <c r="AW44" s="92"/>
      <c r="AX44" s="92"/>
      <c r="AY44" s="92"/>
      <c r="AZ44" s="92"/>
      <c r="BA44" s="92"/>
      <c r="BB44" s="92"/>
      <c r="BC44" s="92"/>
      <c r="BD44" s="92"/>
      <c r="BE44" s="92"/>
      <c r="BF44" s="92"/>
      <c r="BG44" s="92"/>
      <c r="BH44" s="92"/>
      <c r="BI44" s="92"/>
      <c r="BJ44" s="92"/>
      <c r="BK44" s="92"/>
    </row>
    <row r="45" spans="1:63" s="30" customFormat="1" ht="15.75">
      <c r="A45" s="374"/>
      <c r="B45" s="103" t="s">
        <v>5</v>
      </c>
      <c r="C45" s="103" t="s">
        <v>6</v>
      </c>
      <c r="D45" s="103" t="s">
        <v>5</v>
      </c>
      <c r="E45" s="103" t="s">
        <v>6</v>
      </c>
      <c r="F45" s="103" t="s">
        <v>5</v>
      </c>
      <c r="G45" s="103" t="s">
        <v>6</v>
      </c>
      <c r="H45" s="374"/>
      <c r="I45" s="103" t="s">
        <v>5</v>
      </c>
      <c r="J45" s="103" t="s">
        <v>6</v>
      </c>
      <c r="K45" s="103" t="s">
        <v>5</v>
      </c>
      <c r="L45" s="103" t="s">
        <v>6</v>
      </c>
      <c r="M45" s="103" t="s">
        <v>5</v>
      </c>
      <c r="N45" s="103" t="s">
        <v>6</v>
      </c>
      <c r="O45" s="374"/>
      <c r="P45" s="103" t="s">
        <v>5</v>
      </c>
      <c r="Q45" s="103" t="s">
        <v>6</v>
      </c>
      <c r="R45" s="103" t="s">
        <v>5</v>
      </c>
      <c r="S45" s="103" t="s">
        <v>6</v>
      </c>
      <c r="T45" s="103" t="s">
        <v>5</v>
      </c>
      <c r="U45" s="103" t="s">
        <v>6</v>
      </c>
      <c r="V45" s="374"/>
      <c r="W45" s="103" t="s">
        <v>5</v>
      </c>
      <c r="X45" s="103" t="s">
        <v>6</v>
      </c>
      <c r="Y45" s="103" t="s">
        <v>5</v>
      </c>
      <c r="Z45" s="103" t="s">
        <v>6</v>
      </c>
      <c r="AA45" s="103" t="s">
        <v>5</v>
      </c>
      <c r="AB45" s="103" t="s">
        <v>6</v>
      </c>
      <c r="AC45" s="374"/>
      <c r="AD45" s="103" t="s">
        <v>5</v>
      </c>
      <c r="AE45" s="103" t="s">
        <v>6</v>
      </c>
      <c r="AF45" s="103" t="s">
        <v>5</v>
      </c>
      <c r="AG45" s="103" t="s">
        <v>6</v>
      </c>
      <c r="AH45" s="103" t="s">
        <v>5</v>
      </c>
      <c r="AI45" s="103" t="s">
        <v>6</v>
      </c>
      <c r="AJ45" s="92"/>
      <c r="AK45" s="92"/>
      <c r="AL45" s="92"/>
      <c r="AM45" s="92"/>
      <c r="AN45" s="92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2"/>
      <c r="BG45" s="92"/>
      <c r="BH45" s="92"/>
      <c r="BI45" s="92"/>
      <c r="BJ45" s="92"/>
      <c r="BK45" s="92"/>
    </row>
    <row r="46" spans="1:63" s="30" customFormat="1" ht="15.75">
      <c r="A46" s="35" t="s">
        <v>184</v>
      </c>
      <c r="B46" s="362" t="s">
        <v>185</v>
      </c>
      <c r="C46" s="362"/>
      <c r="D46" s="362"/>
      <c r="E46" s="362"/>
      <c r="F46" s="362"/>
      <c r="G46" s="362"/>
      <c r="H46" s="104" t="s">
        <v>184</v>
      </c>
      <c r="I46" s="362" t="s">
        <v>186</v>
      </c>
      <c r="J46" s="362"/>
      <c r="K46" s="362"/>
      <c r="L46" s="362"/>
      <c r="M46" s="362"/>
      <c r="N46" s="362"/>
      <c r="O46" s="104" t="s">
        <v>184</v>
      </c>
      <c r="P46" s="371" t="s">
        <v>187</v>
      </c>
      <c r="Q46" s="372"/>
      <c r="R46" s="372"/>
      <c r="S46" s="372"/>
      <c r="T46" s="372"/>
      <c r="U46" s="373"/>
      <c r="V46" s="104" t="s">
        <v>184</v>
      </c>
      <c r="W46" s="371" t="s">
        <v>188</v>
      </c>
      <c r="X46" s="372"/>
      <c r="Y46" s="372"/>
      <c r="Z46" s="372"/>
      <c r="AA46" s="372"/>
      <c r="AB46" s="373"/>
      <c r="AC46" s="104" t="s">
        <v>184</v>
      </c>
      <c r="AD46" s="362" t="s">
        <v>189</v>
      </c>
      <c r="AE46" s="362"/>
      <c r="AF46" s="362"/>
      <c r="AG46" s="362"/>
      <c r="AH46" s="362"/>
      <c r="AI46" s="362"/>
      <c r="AJ46" s="92"/>
      <c r="AK46" s="92"/>
      <c r="AL46" s="92"/>
      <c r="AM46" s="92"/>
      <c r="AN46" s="92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92"/>
      <c r="BE46" s="92"/>
      <c r="BF46" s="92"/>
      <c r="BG46" s="92"/>
      <c r="BH46" s="92"/>
      <c r="BI46" s="92"/>
      <c r="BJ46" s="92"/>
      <c r="BK46" s="92"/>
    </row>
    <row r="47" spans="1:63" s="30" customFormat="1" ht="15.75">
      <c r="A47" s="35" t="s">
        <v>7</v>
      </c>
      <c r="B47" s="103"/>
      <c r="C47" s="103"/>
      <c r="D47" s="103"/>
      <c r="E47" s="103"/>
      <c r="F47" s="103"/>
      <c r="G47" s="103"/>
      <c r="H47" s="104" t="s">
        <v>7</v>
      </c>
      <c r="I47" s="103">
        <v>70</v>
      </c>
      <c r="J47" s="103">
        <f>I47*14</f>
        <v>980</v>
      </c>
      <c r="K47" s="103">
        <v>30</v>
      </c>
      <c r="L47" s="103">
        <f>K47*14</f>
        <v>420</v>
      </c>
      <c r="M47" s="103"/>
      <c r="N47" s="103"/>
      <c r="O47" s="104" t="s">
        <v>7</v>
      </c>
      <c r="P47" s="102"/>
      <c r="Q47" s="102"/>
      <c r="R47" s="103"/>
      <c r="S47" s="103"/>
      <c r="T47" s="102"/>
      <c r="U47" s="102"/>
      <c r="V47" s="104" t="s">
        <v>7</v>
      </c>
      <c r="W47" s="102"/>
      <c r="X47" s="102"/>
      <c r="Y47" s="103"/>
      <c r="Z47" s="103"/>
      <c r="AA47" s="102"/>
      <c r="AB47" s="102"/>
      <c r="AC47" s="104" t="s">
        <v>7</v>
      </c>
      <c r="AD47" s="103"/>
      <c r="AE47" s="103"/>
      <c r="AF47" s="102"/>
      <c r="AG47" s="102"/>
      <c r="AH47" s="103"/>
      <c r="AI47" s="103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92"/>
      <c r="BG47" s="92"/>
      <c r="BH47" s="92"/>
      <c r="BI47" s="92"/>
      <c r="BJ47" s="92"/>
      <c r="BK47" s="92"/>
    </row>
    <row r="48" spans="1:63" s="30" customFormat="1" ht="15.75">
      <c r="A48" s="35" t="s">
        <v>190</v>
      </c>
      <c r="B48" s="103"/>
      <c r="C48" s="103"/>
      <c r="D48" s="103"/>
      <c r="E48" s="103"/>
      <c r="F48" s="103"/>
      <c r="G48" s="103"/>
      <c r="H48" s="104" t="s">
        <v>190</v>
      </c>
      <c r="I48" s="103"/>
      <c r="J48" s="103"/>
      <c r="K48" s="103"/>
      <c r="L48" s="103"/>
      <c r="M48" s="103"/>
      <c r="N48" s="103"/>
      <c r="O48" s="104" t="s">
        <v>190</v>
      </c>
      <c r="P48" s="102"/>
      <c r="Q48" s="102"/>
      <c r="R48" s="102"/>
      <c r="S48" s="102"/>
      <c r="T48" s="102"/>
      <c r="U48" s="102"/>
      <c r="V48" s="104" t="s">
        <v>190</v>
      </c>
      <c r="W48" s="102"/>
      <c r="X48" s="102"/>
      <c r="Y48" s="102"/>
      <c r="Z48" s="102"/>
      <c r="AA48" s="102"/>
      <c r="AB48" s="102"/>
      <c r="AC48" s="104" t="s">
        <v>190</v>
      </c>
      <c r="AD48" s="103"/>
      <c r="AE48" s="103"/>
      <c r="AF48" s="102"/>
      <c r="AG48" s="102"/>
      <c r="AH48" s="103"/>
      <c r="AI48" s="103"/>
      <c r="AJ48" s="92"/>
      <c r="AK48" s="92"/>
      <c r="AL48" s="92"/>
      <c r="AM48" s="92"/>
      <c r="AN48" s="92"/>
      <c r="AO48" s="92"/>
      <c r="AP48" s="92"/>
      <c r="AQ48" s="92"/>
      <c r="AR48" s="92"/>
      <c r="AS48" s="92"/>
      <c r="AT48" s="92"/>
      <c r="AU48" s="92"/>
      <c r="AV48" s="92"/>
      <c r="AW48" s="92"/>
      <c r="AX48" s="92"/>
      <c r="AY48" s="92"/>
      <c r="AZ48" s="92"/>
      <c r="BA48" s="92"/>
      <c r="BB48" s="92"/>
      <c r="BC48" s="92"/>
      <c r="BD48" s="92"/>
      <c r="BE48" s="92"/>
      <c r="BF48" s="92"/>
      <c r="BG48" s="92"/>
      <c r="BH48" s="92"/>
      <c r="BI48" s="92"/>
      <c r="BJ48" s="92"/>
      <c r="BK48" s="92"/>
    </row>
    <row r="49" spans="1:63" s="30" customFormat="1" ht="15.75">
      <c r="A49" s="36" t="s">
        <v>139</v>
      </c>
      <c r="B49" s="103"/>
      <c r="C49" s="103"/>
      <c r="D49" s="103"/>
      <c r="E49" s="103"/>
      <c r="F49" s="103"/>
      <c r="G49" s="103"/>
      <c r="H49" s="105" t="s">
        <v>139</v>
      </c>
      <c r="I49" s="103">
        <v>120</v>
      </c>
      <c r="J49" s="103">
        <f t="shared" ref="J49:J61" si="12">I49*14</f>
        <v>1680</v>
      </c>
      <c r="K49" s="103">
        <v>100</v>
      </c>
      <c r="L49" s="103">
        <f t="shared" ref="L49" si="13">K49*14</f>
        <v>1400</v>
      </c>
      <c r="M49" s="103"/>
      <c r="N49" s="103"/>
      <c r="O49" s="105" t="s">
        <v>191</v>
      </c>
      <c r="P49" s="102"/>
      <c r="Q49" s="102"/>
      <c r="R49" s="103"/>
      <c r="S49" s="103"/>
      <c r="T49" s="102"/>
      <c r="U49" s="102"/>
      <c r="V49" s="105" t="s">
        <v>191</v>
      </c>
      <c r="W49" s="102"/>
      <c r="X49" s="102"/>
      <c r="Y49" s="103"/>
      <c r="Z49" s="103"/>
      <c r="AA49" s="102"/>
      <c r="AB49" s="102"/>
      <c r="AC49" s="105" t="s">
        <v>191</v>
      </c>
      <c r="AD49" s="103"/>
      <c r="AE49" s="103"/>
      <c r="AF49" s="103"/>
      <c r="AG49" s="103"/>
      <c r="AH49" s="103"/>
      <c r="AI49" s="103"/>
      <c r="AJ49" s="92"/>
      <c r="AK49" s="92"/>
      <c r="AL49" s="92"/>
      <c r="AM49" s="92"/>
      <c r="AN49" s="92"/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92"/>
      <c r="BA49" s="92"/>
      <c r="BB49" s="92"/>
      <c r="BC49" s="92"/>
      <c r="BD49" s="92"/>
      <c r="BE49" s="92"/>
      <c r="BF49" s="92"/>
      <c r="BG49" s="92"/>
      <c r="BH49" s="92"/>
      <c r="BI49" s="92"/>
      <c r="BJ49" s="92"/>
      <c r="BK49" s="92"/>
    </row>
    <row r="50" spans="1:63" s="30" customFormat="1" ht="15.75">
      <c r="A50" s="36" t="s">
        <v>192</v>
      </c>
      <c r="B50" s="103">
        <v>100</v>
      </c>
      <c r="C50" s="103">
        <f>B50*14</f>
        <v>1400</v>
      </c>
      <c r="D50" s="103">
        <v>20</v>
      </c>
      <c r="E50" s="103">
        <f>D50*14</f>
        <v>280</v>
      </c>
      <c r="F50" s="103">
        <v>30</v>
      </c>
      <c r="G50" s="103">
        <f>F50*14</f>
        <v>420</v>
      </c>
      <c r="H50" s="105" t="s">
        <v>140</v>
      </c>
      <c r="I50" s="103">
        <v>180</v>
      </c>
      <c r="J50" s="103">
        <f t="shared" si="12"/>
        <v>2520</v>
      </c>
      <c r="K50" s="103"/>
      <c r="L50" s="103"/>
      <c r="M50" s="103"/>
      <c r="N50" s="103"/>
      <c r="O50" s="105" t="s">
        <v>140</v>
      </c>
      <c r="P50" s="102"/>
      <c r="Q50" s="102"/>
      <c r="R50" s="102"/>
      <c r="S50" s="102"/>
      <c r="T50" s="102"/>
      <c r="U50" s="102"/>
      <c r="V50" s="105" t="s">
        <v>140</v>
      </c>
      <c r="W50" s="102"/>
      <c r="X50" s="102"/>
      <c r="Y50" s="102"/>
      <c r="Z50" s="102"/>
      <c r="AA50" s="102"/>
      <c r="AB50" s="102"/>
      <c r="AC50" s="105" t="s">
        <v>140</v>
      </c>
      <c r="AD50" s="103"/>
      <c r="AE50" s="103"/>
      <c r="AF50" s="103"/>
      <c r="AG50" s="103"/>
      <c r="AH50" s="103"/>
      <c r="AI50" s="103"/>
      <c r="AJ50" s="92"/>
      <c r="AK50" s="92"/>
      <c r="AL50" s="92"/>
      <c r="AM50" s="92"/>
      <c r="AN50" s="92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2"/>
      <c r="BG50" s="92"/>
      <c r="BH50" s="92"/>
      <c r="BI50" s="92"/>
      <c r="BJ50" s="92"/>
      <c r="BK50" s="92"/>
    </row>
    <row r="51" spans="1:63" s="30" customFormat="1" ht="15.75">
      <c r="A51" s="36" t="s">
        <v>193</v>
      </c>
      <c r="B51" s="103">
        <v>120</v>
      </c>
      <c r="C51" s="103">
        <f t="shared" ref="C51:C65" si="14">B51*14</f>
        <v>1680</v>
      </c>
      <c r="D51" s="103">
        <v>80</v>
      </c>
      <c r="E51" s="103">
        <f>D51*14</f>
        <v>1120</v>
      </c>
      <c r="F51" s="103">
        <v>20</v>
      </c>
      <c r="G51" s="103">
        <f>F51*14</f>
        <v>280</v>
      </c>
      <c r="H51" s="105" t="s">
        <v>194</v>
      </c>
      <c r="I51" s="103"/>
      <c r="J51" s="103"/>
      <c r="K51" s="103"/>
      <c r="L51" s="103"/>
      <c r="M51" s="103"/>
      <c r="N51" s="103"/>
      <c r="O51" s="105" t="s">
        <v>194</v>
      </c>
      <c r="P51" s="102"/>
      <c r="Q51" s="102"/>
      <c r="R51" s="103"/>
      <c r="S51" s="103"/>
      <c r="T51" s="102"/>
      <c r="U51" s="102"/>
      <c r="V51" s="105" t="s">
        <v>194</v>
      </c>
      <c r="W51" s="102"/>
      <c r="X51" s="102"/>
      <c r="Y51" s="103"/>
      <c r="Z51" s="102"/>
      <c r="AA51" s="102"/>
      <c r="AB51" s="102"/>
      <c r="AC51" s="105" t="s">
        <v>194</v>
      </c>
      <c r="AD51" s="103"/>
      <c r="AE51" s="103"/>
      <c r="AF51" s="103"/>
      <c r="AG51" s="103"/>
      <c r="AH51" s="103"/>
      <c r="AI51" s="103"/>
      <c r="AJ51" s="92"/>
      <c r="AK51" s="92"/>
      <c r="AL51" s="92"/>
      <c r="AM51" s="92"/>
      <c r="AN51" s="92"/>
      <c r="AO51" s="92"/>
      <c r="AP51" s="92"/>
      <c r="AQ51" s="92"/>
      <c r="AR51" s="92"/>
      <c r="AS51" s="92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92"/>
      <c r="BF51" s="92"/>
      <c r="BG51" s="92"/>
      <c r="BH51" s="92"/>
      <c r="BI51" s="92"/>
      <c r="BJ51" s="92"/>
      <c r="BK51" s="92"/>
    </row>
    <row r="52" spans="1:63" s="30" customFormat="1" ht="15.75">
      <c r="A52" s="36" t="s">
        <v>195</v>
      </c>
      <c r="B52" s="103">
        <v>50</v>
      </c>
      <c r="C52" s="103">
        <f t="shared" si="14"/>
        <v>700</v>
      </c>
      <c r="D52" s="103"/>
      <c r="E52" s="103"/>
      <c r="F52" s="103"/>
      <c r="G52" s="103"/>
      <c r="H52" s="105" t="s">
        <v>195</v>
      </c>
      <c r="I52" s="103"/>
      <c r="J52" s="103"/>
      <c r="K52" s="103"/>
      <c r="L52" s="103"/>
      <c r="M52" s="103"/>
      <c r="N52" s="103"/>
      <c r="O52" s="105" t="s">
        <v>195</v>
      </c>
      <c r="P52" s="102"/>
      <c r="Q52" s="102"/>
      <c r="R52" s="103"/>
      <c r="S52" s="103"/>
      <c r="T52" s="102"/>
      <c r="U52" s="102"/>
      <c r="V52" s="105" t="s">
        <v>195</v>
      </c>
      <c r="W52" s="102"/>
      <c r="X52" s="102"/>
      <c r="Y52" s="103"/>
      <c r="Z52" s="103"/>
      <c r="AA52" s="102"/>
      <c r="AB52" s="102"/>
      <c r="AC52" s="105" t="s">
        <v>195</v>
      </c>
      <c r="AD52" s="103"/>
      <c r="AE52" s="103"/>
      <c r="AF52" s="103"/>
      <c r="AG52" s="103"/>
      <c r="AH52" s="103"/>
      <c r="AI52" s="103"/>
      <c r="AJ52" s="92"/>
      <c r="AK52" s="92"/>
      <c r="AL52" s="92"/>
      <c r="AM52" s="92"/>
      <c r="AN52" s="92"/>
      <c r="AO52" s="92"/>
      <c r="AP52" s="92"/>
      <c r="AQ52" s="92"/>
      <c r="AR52" s="92"/>
      <c r="AS52" s="92"/>
      <c r="AT52" s="92"/>
      <c r="AU52" s="92"/>
      <c r="AV52" s="92"/>
      <c r="AW52" s="92"/>
      <c r="AX52" s="92"/>
      <c r="AY52" s="92"/>
      <c r="AZ52" s="92"/>
      <c r="BA52" s="92"/>
      <c r="BB52" s="92"/>
      <c r="BC52" s="92"/>
      <c r="BD52" s="92"/>
      <c r="BE52" s="92"/>
      <c r="BF52" s="92"/>
      <c r="BG52" s="92"/>
      <c r="BH52" s="92"/>
      <c r="BI52" s="92"/>
      <c r="BJ52" s="92"/>
      <c r="BK52" s="92"/>
    </row>
    <row r="53" spans="1:63" s="30" customFormat="1" ht="15.75">
      <c r="A53" s="36" t="s">
        <v>196</v>
      </c>
      <c r="B53" s="103"/>
      <c r="C53" s="103"/>
      <c r="D53" s="103"/>
      <c r="E53" s="103"/>
      <c r="F53" s="103"/>
      <c r="G53" s="103"/>
      <c r="H53" s="105" t="s">
        <v>196</v>
      </c>
      <c r="I53" s="103">
        <v>50</v>
      </c>
      <c r="J53" s="103">
        <f t="shared" si="12"/>
        <v>700</v>
      </c>
      <c r="K53" s="103"/>
      <c r="L53" s="103"/>
      <c r="M53" s="103"/>
      <c r="N53" s="103"/>
      <c r="O53" s="105" t="s">
        <v>196</v>
      </c>
      <c r="P53" s="102"/>
      <c r="Q53" s="102"/>
      <c r="R53" s="103"/>
      <c r="S53" s="103"/>
      <c r="T53" s="102"/>
      <c r="U53" s="102"/>
      <c r="V53" s="105" t="s">
        <v>196</v>
      </c>
      <c r="W53" s="102"/>
      <c r="X53" s="102"/>
      <c r="Y53" s="103"/>
      <c r="Z53" s="103"/>
      <c r="AA53" s="102"/>
      <c r="AB53" s="102"/>
      <c r="AC53" s="105" t="s">
        <v>196</v>
      </c>
      <c r="AD53" s="103"/>
      <c r="AE53" s="103"/>
      <c r="AF53" s="103"/>
      <c r="AG53" s="103"/>
      <c r="AH53" s="103"/>
      <c r="AI53" s="103"/>
      <c r="AJ53" s="92"/>
      <c r="AK53" s="92"/>
      <c r="AL53" s="92"/>
      <c r="AM53" s="92"/>
      <c r="AN53" s="92"/>
      <c r="AO53" s="92"/>
      <c r="AP53" s="92"/>
      <c r="AQ53" s="92"/>
      <c r="AR53" s="92"/>
      <c r="AS53" s="92"/>
      <c r="AT53" s="92"/>
      <c r="AU53" s="92"/>
      <c r="AV53" s="92"/>
      <c r="AW53" s="92"/>
      <c r="AX53" s="92"/>
      <c r="AY53" s="92"/>
      <c r="AZ53" s="92"/>
      <c r="BA53" s="92"/>
      <c r="BB53" s="92"/>
      <c r="BC53" s="92"/>
      <c r="BD53" s="92"/>
      <c r="BE53" s="92"/>
      <c r="BF53" s="92"/>
      <c r="BG53" s="92"/>
      <c r="BH53" s="92"/>
      <c r="BI53" s="92"/>
      <c r="BJ53" s="92"/>
      <c r="BK53" s="92"/>
    </row>
    <row r="54" spans="1:63" s="30" customFormat="1" ht="15.75">
      <c r="A54" s="36" t="s">
        <v>197</v>
      </c>
      <c r="B54" s="103"/>
      <c r="C54" s="103"/>
      <c r="D54" s="103"/>
      <c r="E54" s="103"/>
      <c r="F54" s="103"/>
      <c r="G54" s="103"/>
      <c r="H54" s="105" t="s">
        <v>197</v>
      </c>
      <c r="I54" s="103">
        <v>50</v>
      </c>
      <c r="J54" s="103">
        <f t="shared" si="12"/>
        <v>700</v>
      </c>
      <c r="K54" s="103"/>
      <c r="L54" s="103"/>
      <c r="M54" s="103"/>
      <c r="N54" s="103"/>
      <c r="O54" s="105" t="s">
        <v>197</v>
      </c>
      <c r="P54" s="102"/>
      <c r="Q54" s="102"/>
      <c r="R54" s="103"/>
      <c r="S54" s="103"/>
      <c r="T54" s="102"/>
      <c r="U54" s="102"/>
      <c r="V54" s="105" t="s">
        <v>197</v>
      </c>
      <c r="W54" s="102"/>
      <c r="X54" s="102"/>
      <c r="Y54" s="103"/>
      <c r="Z54" s="103"/>
      <c r="AA54" s="102"/>
      <c r="AB54" s="102"/>
      <c r="AC54" s="105" t="s">
        <v>197</v>
      </c>
      <c r="AD54" s="103"/>
      <c r="AE54" s="103"/>
      <c r="AF54" s="103"/>
      <c r="AG54" s="103"/>
      <c r="AH54" s="103"/>
      <c r="AI54" s="103"/>
      <c r="AJ54" s="92"/>
      <c r="AK54" s="92"/>
      <c r="AL54" s="92"/>
      <c r="AM54" s="92"/>
      <c r="AN54" s="92"/>
      <c r="AO54" s="92"/>
      <c r="AP54" s="92"/>
      <c r="AQ54" s="92"/>
      <c r="AR54" s="92"/>
      <c r="AS54" s="92"/>
      <c r="AT54" s="92"/>
      <c r="AU54" s="92"/>
      <c r="AV54" s="92"/>
      <c r="AW54" s="92"/>
      <c r="AX54" s="92"/>
      <c r="AY54" s="92"/>
      <c r="AZ54" s="92"/>
      <c r="BA54" s="92"/>
      <c r="BB54" s="92"/>
      <c r="BC54" s="92"/>
      <c r="BD54" s="92"/>
      <c r="BE54" s="92"/>
      <c r="BF54" s="92"/>
      <c r="BG54" s="92"/>
      <c r="BH54" s="92"/>
      <c r="BI54" s="92"/>
      <c r="BJ54" s="92"/>
      <c r="BK54" s="92"/>
    </row>
    <row r="55" spans="1:63" s="30" customFormat="1" ht="15.75">
      <c r="A55" s="36" t="s">
        <v>198</v>
      </c>
      <c r="B55" s="103"/>
      <c r="C55" s="103"/>
      <c r="D55" s="103"/>
      <c r="E55" s="103"/>
      <c r="F55" s="103"/>
      <c r="G55" s="103"/>
      <c r="H55" s="105" t="s">
        <v>198</v>
      </c>
      <c r="I55" s="103">
        <v>40</v>
      </c>
      <c r="J55" s="103">
        <f t="shared" si="12"/>
        <v>560</v>
      </c>
      <c r="K55" s="103"/>
      <c r="L55" s="103"/>
      <c r="M55" s="103"/>
      <c r="N55" s="103"/>
      <c r="O55" s="105" t="s">
        <v>198</v>
      </c>
      <c r="P55" s="102"/>
      <c r="Q55" s="102"/>
      <c r="R55" s="103"/>
      <c r="S55" s="103"/>
      <c r="T55" s="102"/>
      <c r="U55" s="102"/>
      <c r="V55" s="105" t="s">
        <v>198</v>
      </c>
      <c r="W55" s="102"/>
      <c r="X55" s="102"/>
      <c r="Y55" s="103"/>
      <c r="Z55" s="103"/>
      <c r="AA55" s="102"/>
      <c r="AB55" s="102"/>
      <c r="AC55" s="105" t="s">
        <v>198</v>
      </c>
      <c r="AD55" s="103"/>
      <c r="AE55" s="103"/>
      <c r="AF55" s="103"/>
      <c r="AG55" s="103"/>
      <c r="AH55" s="103"/>
      <c r="AI55" s="103"/>
      <c r="AJ55" s="92"/>
      <c r="AK55" s="92"/>
      <c r="AL55" s="92"/>
      <c r="AM55" s="92"/>
      <c r="AN55" s="92"/>
      <c r="AO55" s="92"/>
      <c r="AP55" s="92"/>
      <c r="AQ55" s="92"/>
      <c r="AR55" s="92"/>
      <c r="AS55" s="92"/>
      <c r="AT55" s="92"/>
      <c r="AU55" s="92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F55" s="92"/>
      <c r="BG55" s="92"/>
      <c r="BH55" s="92"/>
      <c r="BI55" s="92"/>
      <c r="BJ55" s="92"/>
      <c r="BK55" s="92"/>
    </row>
    <row r="56" spans="1:63" s="30" customFormat="1" ht="15.75">
      <c r="A56" s="36" t="s">
        <v>199</v>
      </c>
      <c r="B56" s="103">
        <v>100</v>
      </c>
      <c r="C56" s="103">
        <f t="shared" si="14"/>
        <v>1400</v>
      </c>
      <c r="D56" s="103"/>
      <c r="E56" s="103"/>
      <c r="F56" s="103"/>
      <c r="G56" s="103"/>
      <c r="H56" s="105" t="s">
        <v>199</v>
      </c>
      <c r="I56" s="103">
        <v>110</v>
      </c>
      <c r="J56" s="103">
        <f t="shared" si="12"/>
        <v>1540</v>
      </c>
      <c r="K56" s="103"/>
      <c r="L56" s="103"/>
      <c r="M56" s="103"/>
      <c r="N56" s="103"/>
      <c r="O56" s="105" t="s">
        <v>199</v>
      </c>
      <c r="P56" s="102"/>
      <c r="Q56" s="102"/>
      <c r="R56" s="103"/>
      <c r="S56" s="103"/>
      <c r="T56" s="102"/>
      <c r="U56" s="102"/>
      <c r="V56" s="105" t="s">
        <v>16</v>
      </c>
      <c r="W56" s="102"/>
      <c r="X56" s="102"/>
      <c r="Y56" s="103"/>
      <c r="Z56" s="103"/>
      <c r="AA56" s="102"/>
      <c r="AB56" s="102"/>
      <c r="AC56" s="105" t="s">
        <v>16</v>
      </c>
      <c r="AD56" s="103"/>
      <c r="AE56" s="103"/>
      <c r="AF56" s="103"/>
      <c r="AG56" s="103"/>
      <c r="AH56" s="103"/>
      <c r="AI56" s="103"/>
      <c r="AJ56" s="92"/>
      <c r="AK56" s="92"/>
      <c r="AL56" s="92"/>
      <c r="AM56" s="92"/>
      <c r="AN56" s="92"/>
      <c r="AO56" s="92"/>
      <c r="AP56" s="92"/>
      <c r="AQ56" s="92"/>
      <c r="AR56" s="92"/>
      <c r="AS56" s="92"/>
      <c r="AT56" s="92"/>
      <c r="AU56" s="92"/>
      <c r="AV56" s="92"/>
      <c r="AW56" s="92"/>
      <c r="AX56" s="92"/>
      <c r="AY56" s="92"/>
      <c r="AZ56" s="92"/>
      <c r="BA56" s="92"/>
      <c r="BB56" s="92"/>
      <c r="BC56" s="92"/>
      <c r="BD56" s="92"/>
      <c r="BE56" s="92"/>
      <c r="BF56" s="92"/>
      <c r="BG56" s="92"/>
      <c r="BH56" s="92"/>
      <c r="BI56" s="92"/>
      <c r="BJ56" s="92"/>
      <c r="BK56" s="92"/>
    </row>
    <row r="57" spans="1:63" s="30" customFormat="1" ht="15.75">
      <c r="A57" s="36" t="s">
        <v>200</v>
      </c>
      <c r="B57" s="103">
        <v>100</v>
      </c>
      <c r="C57" s="103">
        <f t="shared" si="14"/>
        <v>1400</v>
      </c>
      <c r="D57" s="103"/>
      <c r="E57" s="103"/>
      <c r="F57" s="103"/>
      <c r="G57" s="103"/>
      <c r="H57" s="105" t="s">
        <v>200</v>
      </c>
      <c r="I57" s="103">
        <v>50</v>
      </c>
      <c r="J57" s="103">
        <f t="shared" si="12"/>
        <v>700</v>
      </c>
      <c r="K57" s="103"/>
      <c r="L57" s="103"/>
      <c r="M57" s="103"/>
      <c r="N57" s="103"/>
      <c r="O57" s="105" t="s">
        <v>200</v>
      </c>
      <c r="P57" s="103">
        <v>15</v>
      </c>
      <c r="Q57" s="103">
        <f t="shared" ref="Q57:Q66" si="15">P57*14</f>
        <v>210</v>
      </c>
      <c r="R57" s="103"/>
      <c r="S57" s="103"/>
      <c r="T57" s="102"/>
      <c r="U57" s="102"/>
      <c r="V57" s="105" t="s">
        <v>201</v>
      </c>
      <c r="W57" s="103"/>
      <c r="X57" s="103"/>
      <c r="Y57" s="103"/>
      <c r="Z57" s="103"/>
      <c r="AA57" s="102"/>
      <c r="AB57" s="102"/>
      <c r="AC57" s="105" t="s">
        <v>201</v>
      </c>
      <c r="AD57" s="103"/>
      <c r="AE57" s="103"/>
      <c r="AF57" s="103"/>
      <c r="AG57" s="103"/>
      <c r="AH57" s="103"/>
      <c r="AI57" s="103"/>
      <c r="AJ57" s="92"/>
      <c r="AK57" s="92"/>
      <c r="AL57" s="92"/>
      <c r="AM57" s="92"/>
      <c r="AN57" s="92"/>
      <c r="AO57" s="92"/>
      <c r="AP57" s="92"/>
      <c r="AQ57" s="92"/>
      <c r="AR57" s="92"/>
      <c r="AS57" s="92"/>
      <c r="AT57" s="92"/>
      <c r="AU57" s="92"/>
      <c r="AV57" s="92"/>
      <c r="AW57" s="92"/>
      <c r="AX57" s="92"/>
      <c r="AY57" s="92"/>
      <c r="AZ57" s="92"/>
      <c r="BA57" s="92"/>
      <c r="BB57" s="92"/>
      <c r="BC57" s="92"/>
      <c r="BD57" s="92"/>
      <c r="BE57" s="92"/>
      <c r="BF57" s="92"/>
      <c r="BG57" s="92"/>
      <c r="BH57" s="92"/>
      <c r="BI57" s="92"/>
      <c r="BJ57" s="92"/>
      <c r="BK57" s="92"/>
    </row>
    <row r="58" spans="1:63" s="30" customFormat="1" ht="15.75">
      <c r="A58" s="36" t="s">
        <v>202</v>
      </c>
      <c r="B58" s="103">
        <v>50</v>
      </c>
      <c r="C58" s="103">
        <f t="shared" si="14"/>
        <v>700</v>
      </c>
      <c r="D58" s="103"/>
      <c r="E58" s="103"/>
      <c r="F58" s="103"/>
      <c r="G58" s="103"/>
      <c r="H58" s="105" t="s">
        <v>202</v>
      </c>
      <c r="I58" s="103"/>
      <c r="J58" s="103"/>
      <c r="K58" s="103"/>
      <c r="L58" s="103"/>
      <c r="M58" s="103"/>
      <c r="N58" s="103"/>
      <c r="O58" s="105" t="s">
        <v>202</v>
      </c>
      <c r="P58" s="103">
        <v>50</v>
      </c>
      <c r="Q58" s="103">
        <f t="shared" si="15"/>
        <v>700</v>
      </c>
      <c r="R58" s="103"/>
      <c r="S58" s="103"/>
      <c r="T58" s="102"/>
      <c r="U58" s="102"/>
      <c r="V58" s="105" t="s">
        <v>202</v>
      </c>
      <c r="W58" s="103">
        <v>30</v>
      </c>
      <c r="X58" s="103">
        <f t="shared" ref="X58:X63" si="16">W58*14</f>
        <v>420</v>
      </c>
      <c r="Y58" s="103"/>
      <c r="Z58" s="103"/>
      <c r="AA58" s="102"/>
      <c r="AB58" s="102"/>
      <c r="AC58" s="105" t="s">
        <v>203</v>
      </c>
      <c r="AD58" s="103">
        <v>20</v>
      </c>
      <c r="AE58" s="103">
        <f t="shared" ref="AE58:AE65" si="17">AD58*14</f>
        <v>280</v>
      </c>
      <c r="AF58" s="103"/>
      <c r="AG58" s="103"/>
      <c r="AH58" s="103"/>
      <c r="AI58" s="103"/>
      <c r="AJ58" s="92"/>
      <c r="AK58" s="92"/>
      <c r="AL58" s="92"/>
      <c r="AM58" s="92"/>
      <c r="AN58" s="92"/>
      <c r="AO58" s="92"/>
      <c r="AP58" s="92"/>
      <c r="AQ58" s="92"/>
      <c r="AR58" s="92"/>
      <c r="AS58" s="92"/>
      <c r="AT58" s="92"/>
      <c r="AU58" s="92"/>
      <c r="AV58" s="92"/>
      <c r="AW58" s="92"/>
      <c r="AX58" s="92"/>
      <c r="AY58" s="92"/>
      <c r="AZ58" s="92"/>
      <c r="BA58" s="92"/>
      <c r="BB58" s="92"/>
      <c r="BC58" s="92"/>
      <c r="BD58" s="92"/>
      <c r="BE58" s="92"/>
      <c r="BF58" s="92"/>
      <c r="BG58" s="92"/>
      <c r="BH58" s="92"/>
      <c r="BI58" s="92"/>
      <c r="BJ58" s="92"/>
      <c r="BK58" s="92"/>
    </row>
    <row r="59" spans="1:63" s="30" customFormat="1" ht="15.75">
      <c r="A59" s="36" t="s">
        <v>204</v>
      </c>
      <c r="B59" s="103"/>
      <c r="C59" s="103"/>
      <c r="D59" s="103"/>
      <c r="E59" s="103"/>
      <c r="F59" s="103"/>
      <c r="G59" s="103"/>
      <c r="H59" s="105" t="s">
        <v>204</v>
      </c>
      <c r="I59" s="103">
        <v>20</v>
      </c>
      <c r="J59" s="103">
        <f t="shared" si="12"/>
        <v>280</v>
      </c>
      <c r="K59" s="103"/>
      <c r="L59" s="103"/>
      <c r="M59" s="103"/>
      <c r="N59" s="103"/>
      <c r="O59" s="105" t="s">
        <v>204</v>
      </c>
      <c r="P59" s="103">
        <v>50</v>
      </c>
      <c r="Q59" s="103">
        <f>P59*14</f>
        <v>700</v>
      </c>
      <c r="R59" s="103"/>
      <c r="S59" s="103"/>
      <c r="T59" s="102"/>
      <c r="U59" s="102"/>
      <c r="V59" s="105" t="s">
        <v>205</v>
      </c>
      <c r="W59" s="103"/>
      <c r="X59" s="103">
        <f>W59*14</f>
        <v>0</v>
      </c>
      <c r="Y59" s="103"/>
      <c r="Z59" s="103"/>
      <c r="AA59" s="102"/>
      <c r="AB59" s="102"/>
      <c r="AC59" s="105" t="s">
        <v>206</v>
      </c>
      <c r="AD59" s="103"/>
      <c r="AE59" s="103"/>
      <c r="AF59" s="103"/>
      <c r="AG59" s="103"/>
      <c r="AH59" s="103"/>
      <c r="AI59" s="103"/>
      <c r="AJ59" s="92"/>
      <c r="AK59" s="92"/>
      <c r="AL59" s="92"/>
      <c r="AM59" s="92"/>
      <c r="AN59" s="92"/>
      <c r="AO59" s="92"/>
      <c r="AP59" s="92"/>
      <c r="AQ59" s="92"/>
      <c r="AR59" s="92"/>
      <c r="AS59" s="92"/>
      <c r="AT59" s="92"/>
      <c r="AU59" s="92"/>
      <c r="AV59" s="92"/>
      <c r="AW59" s="92"/>
      <c r="AX59" s="92"/>
      <c r="AY59" s="92"/>
      <c r="AZ59" s="92"/>
      <c r="BA59" s="92"/>
      <c r="BB59" s="92"/>
      <c r="BC59" s="92"/>
      <c r="BD59" s="92"/>
      <c r="BE59" s="92"/>
      <c r="BF59" s="92"/>
      <c r="BG59" s="92"/>
      <c r="BH59" s="92"/>
      <c r="BI59" s="92"/>
      <c r="BJ59" s="92"/>
      <c r="BK59" s="92"/>
    </row>
    <row r="60" spans="1:63" s="30" customFormat="1" ht="15.75">
      <c r="A60" s="36" t="s">
        <v>207</v>
      </c>
      <c r="B60" s="103"/>
      <c r="C60" s="103"/>
      <c r="D60" s="103"/>
      <c r="E60" s="103"/>
      <c r="F60" s="103"/>
      <c r="G60" s="103"/>
      <c r="H60" s="105" t="s">
        <v>207</v>
      </c>
      <c r="I60" s="103">
        <v>30</v>
      </c>
      <c r="J60" s="103">
        <f t="shared" si="12"/>
        <v>420</v>
      </c>
      <c r="K60" s="103"/>
      <c r="L60" s="103"/>
      <c r="M60" s="103"/>
      <c r="N60" s="103"/>
      <c r="O60" s="105" t="s">
        <v>207</v>
      </c>
      <c r="P60" s="103">
        <v>80</v>
      </c>
      <c r="Q60" s="103">
        <f>P60*14</f>
        <v>1120</v>
      </c>
      <c r="R60" s="103"/>
      <c r="S60" s="103"/>
      <c r="T60" s="102"/>
      <c r="U60" s="102"/>
      <c r="V60" s="105" t="s">
        <v>207</v>
      </c>
      <c r="W60" s="103">
        <v>30</v>
      </c>
      <c r="X60" s="103">
        <f>W60*14</f>
        <v>420</v>
      </c>
      <c r="Y60" s="103"/>
      <c r="Z60" s="103"/>
      <c r="AA60" s="102"/>
      <c r="AB60" s="102"/>
      <c r="AC60" s="105" t="s">
        <v>208</v>
      </c>
      <c r="AD60" s="103">
        <v>20</v>
      </c>
      <c r="AE60" s="103">
        <f>AD60*14</f>
        <v>280</v>
      </c>
      <c r="AF60" s="103"/>
      <c r="AG60" s="103"/>
      <c r="AH60" s="103"/>
      <c r="AI60" s="103"/>
      <c r="AJ60" s="92"/>
      <c r="AK60" s="92"/>
      <c r="AL60" s="92"/>
      <c r="AM60" s="92"/>
      <c r="AN60" s="92"/>
      <c r="AO60" s="92"/>
      <c r="AP60" s="92"/>
      <c r="AQ60" s="92"/>
      <c r="AR60" s="92"/>
      <c r="AS60" s="92"/>
      <c r="AT60" s="92"/>
      <c r="AU60" s="92"/>
      <c r="AV60" s="92"/>
      <c r="AW60" s="92"/>
      <c r="AX60" s="92"/>
      <c r="AY60" s="92"/>
      <c r="AZ60" s="92"/>
      <c r="BA60" s="92"/>
      <c r="BB60" s="92"/>
      <c r="BC60" s="92"/>
      <c r="BD60" s="92"/>
      <c r="BE60" s="92"/>
      <c r="BF60" s="92"/>
      <c r="BG60" s="92"/>
      <c r="BH60" s="92"/>
      <c r="BI60" s="92"/>
      <c r="BJ60" s="92"/>
      <c r="BK60" s="92"/>
    </row>
    <row r="61" spans="1:63" s="30" customFormat="1" ht="15.75">
      <c r="A61" s="36" t="s">
        <v>209</v>
      </c>
      <c r="B61" s="103"/>
      <c r="C61" s="103"/>
      <c r="D61" s="103"/>
      <c r="E61" s="103"/>
      <c r="F61" s="103"/>
      <c r="G61" s="103"/>
      <c r="H61" s="105" t="s">
        <v>209</v>
      </c>
      <c r="I61" s="103">
        <v>30</v>
      </c>
      <c r="J61" s="103">
        <f t="shared" si="12"/>
        <v>420</v>
      </c>
      <c r="K61" s="103"/>
      <c r="L61" s="103"/>
      <c r="M61" s="103"/>
      <c r="N61" s="103"/>
      <c r="O61" s="105" t="s">
        <v>209</v>
      </c>
      <c r="P61" s="103">
        <v>50</v>
      </c>
      <c r="Q61" s="103">
        <f t="shared" si="15"/>
        <v>700</v>
      </c>
      <c r="R61" s="103"/>
      <c r="S61" s="103"/>
      <c r="T61" s="102"/>
      <c r="U61" s="102"/>
      <c r="V61" s="105" t="s">
        <v>209</v>
      </c>
      <c r="W61" s="103">
        <v>30</v>
      </c>
      <c r="X61" s="103">
        <f t="shared" si="16"/>
        <v>420</v>
      </c>
      <c r="Y61" s="103"/>
      <c r="Z61" s="103"/>
      <c r="AA61" s="102"/>
      <c r="AB61" s="102"/>
      <c r="AC61" s="105" t="s">
        <v>209</v>
      </c>
      <c r="AD61" s="103">
        <v>20</v>
      </c>
      <c r="AE61" s="103">
        <f t="shared" si="17"/>
        <v>280</v>
      </c>
      <c r="AF61" s="103"/>
      <c r="AG61" s="103"/>
      <c r="AH61" s="103"/>
      <c r="AI61" s="103"/>
      <c r="AJ61" s="92"/>
      <c r="AK61" s="92"/>
      <c r="AL61" s="92"/>
      <c r="AM61" s="92"/>
      <c r="AN61" s="92"/>
      <c r="AO61" s="92"/>
      <c r="AP61" s="92"/>
      <c r="AQ61" s="92"/>
      <c r="AR61" s="92"/>
      <c r="AS61" s="92"/>
      <c r="AT61" s="92"/>
      <c r="AU61" s="92"/>
      <c r="AV61" s="92"/>
      <c r="AW61" s="92"/>
      <c r="AX61" s="92"/>
      <c r="AY61" s="92"/>
      <c r="AZ61" s="92"/>
      <c r="BA61" s="92"/>
      <c r="BB61" s="92"/>
      <c r="BC61" s="92"/>
      <c r="BD61" s="92"/>
      <c r="BE61" s="92"/>
      <c r="BF61" s="92"/>
      <c r="BG61" s="92"/>
      <c r="BH61" s="92"/>
      <c r="BI61" s="92"/>
      <c r="BJ61" s="92"/>
      <c r="BK61" s="92"/>
    </row>
    <row r="62" spans="1:63" s="30" customFormat="1" ht="15.75">
      <c r="A62" s="36" t="s">
        <v>210</v>
      </c>
      <c r="B62" s="103"/>
      <c r="C62" s="103"/>
      <c r="D62" s="103"/>
      <c r="E62" s="103"/>
      <c r="F62" s="103"/>
      <c r="G62" s="103"/>
      <c r="H62" s="105" t="s">
        <v>210</v>
      </c>
      <c r="I62" s="103"/>
      <c r="J62" s="103"/>
      <c r="K62" s="103"/>
      <c r="L62" s="103"/>
      <c r="M62" s="103"/>
      <c r="N62" s="103"/>
      <c r="O62" s="105" t="s">
        <v>210</v>
      </c>
      <c r="P62" s="103">
        <v>60</v>
      </c>
      <c r="Q62" s="103">
        <f t="shared" si="15"/>
        <v>840</v>
      </c>
      <c r="R62" s="103"/>
      <c r="S62" s="103"/>
      <c r="T62" s="102"/>
      <c r="U62" s="102"/>
      <c r="V62" s="105" t="s">
        <v>210</v>
      </c>
      <c r="W62" s="103">
        <v>40</v>
      </c>
      <c r="X62" s="103">
        <f t="shared" si="16"/>
        <v>560</v>
      </c>
      <c r="Y62" s="103"/>
      <c r="Z62" s="103"/>
      <c r="AA62" s="102"/>
      <c r="AB62" s="102"/>
      <c r="AC62" s="105" t="s">
        <v>210</v>
      </c>
      <c r="AD62" s="103">
        <v>20</v>
      </c>
      <c r="AE62" s="103">
        <f t="shared" si="17"/>
        <v>280</v>
      </c>
      <c r="AF62" s="103"/>
      <c r="AG62" s="103"/>
      <c r="AH62" s="103"/>
      <c r="AI62" s="103"/>
      <c r="AJ62" s="92"/>
      <c r="AK62" s="92"/>
      <c r="AL62" s="92"/>
      <c r="AM62" s="92"/>
      <c r="AN62" s="92"/>
      <c r="AO62" s="92"/>
      <c r="AP62" s="92"/>
      <c r="AQ62" s="92"/>
      <c r="AR62" s="92"/>
      <c r="AS62" s="92"/>
      <c r="AT62" s="92"/>
      <c r="AU62" s="92"/>
      <c r="AV62" s="92"/>
      <c r="AW62" s="92"/>
      <c r="AX62" s="92"/>
      <c r="AY62" s="92"/>
      <c r="AZ62" s="92"/>
      <c r="BA62" s="92"/>
      <c r="BB62" s="92"/>
      <c r="BC62" s="92"/>
      <c r="BD62" s="92"/>
      <c r="BE62" s="92"/>
      <c r="BF62" s="92"/>
      <c r="BG62" s="92"/>
      <c r="BH62" s="92"/>
      <c r="BI62" s="92"/>
      <c r="BJ62" s="92"/>
      <c r="BK62" s="92"/>
    </row>
    <row r="63" spans="1:63" s="30" customFormat="1" ht="15.75">
      <c r="A63" s="36" t="s">
        <v>211</v>
      </c>
      <c r="B63" s="103"/>
      <c r="C63" s="103"/>
      <c r="D63" s="103"/>
      <c r="E63" s="103"/>
      <c r="F63" s="103"/>
      <c r="G63" s="103"/>
      <c r="H63" s="105" t="s">
        <v>211</v>
      </c>
      <c r="I63" s="103"/>
      <c r="J63" s="103"/>
      <c r="K63" s="103"/>
      <c r="L63" s="103"/>
      <c r="M63" s="103"/>
      <c r="N63" s="103"/>
      <c r="O63" s="105" t="s">
        <v>211</v>
      </c>
      <c r="P63" s="103">
        <v>30</v>
      </c>
      <c r="Q63" s="103">
        <f t="shared" si="15"/>
        <v>420</v>
      </c>
      <c r="R63" s="103"/>
      <c r="S63" s="103"/>
      <c r="T63" s="102"/>
      <c r="U63" s="102"/>
      <c r="V63" s="105" t="s">
        <v>211</v>
      </c>
      <c r="W63" s="103">
        <v>20</v>
      </c>
      <c r="X63" s="103">
        <f t="shared" si="16"/>
        <v>280</v>
      </c>
      <c r="Y63" s="103"/>
      <c r="Z63" s="103"/>
      <c r="AA63" s="102"/>
      <c r="AB63" s="102"/>
      <c r="AC63" s="105" t="s">
        <v>211</v>
      </c>
      <c r="AD63" s="103"/>
      <c r="AE63" s="103"/>
      <c r="AF63" s="103"/>
      <c r="AG63" s="103"/>
      <c r="AH63" s="103"/>
      <c r="AI63" s="103"/>
      <c r="AJ63" s="92"/>
      <c r="AK63" s="92"/>
      <c r="AL63" s="92"/>
      <c r="AM63" s="92"/>
      <c r="AN63" s="92"/>
      <c r="AO63" s="92"/>
      <c r="AP63" s="92"/>
      <c r="AQ63" s="92"/>
      <c r="AR63" s="92"/>
      <c r="AS63" s="92"/>
      <c r="AT63" s="92"/>
      <c r="AU63" s="92"/>
      <c r="AV63" s="92"/>
      <c r="AW63" s="92"/>
      <c r="AX63" s="92"/>
      <c r="AY63" s="92"/>
      <c r="AZ63" s="92"/>
      <c r="BA63" s="92"/>
      <c r="BB63" s="92"/>
      <c r="BC63" s="92"/>
      <c r="BD63" s="92"/>
      <c r="BE63" s="92"/>
      <c r="BF63" s="92"/>
      <c r="BG63" s="92"/>
      <c r="BH63" s="92"/>
      <c r="BI63" s="92"/>
      <c r="BJ63" s="92"/>
      <c r="BK63" s="92"/>
    </row>
    <row r="64" spans="1:63" s="30" customFormat="1" ht="15.75">
      <c r="A64" s="36" t="s">
        <v>212</v>
      </c>
      <c r="B64" s="103"/>
      <c r="C64" s="103"/>
      <c r="D64" s="103"/>
      <c r="E64" s="103"/>
      <c r="F64" s="103"/>
      <c r="G64" s="103"/>
      <c r="H64" s="105" t="s">
        <v>212</v>
      </c>
      <c r="I64" s="103"/>
      <c r="J64" s="103"/>
      <c r="K64" s="103"/>
      <c r="L64" s="103"/>
      <c r="M64" s="103"/>
      <c r="N64" s="103"/>
      <c r="O64" s="105" t="s">
        <v>212</v>
      </c>
      <c r="P64" s="103"/>
      <c r="Q64" s="103"/>
      <c r="R64" s="103"/>
      <c r="S64" s="103"/>
      <c r="T64" s="102"/>
      <c r="U64" s="102"/>
      <c r="V64" s="105" t="s">
        <v>212</v>
      </c>
      <c r="W64" s="103"/>
      <c r="X64" s="103"/>
      <c r="Y64" s="103"/>
      <c r="Z64" s="103"/>
      <c r="AA64" s="102"/>
      <c r="AB64" s="102"/>
      <c r="AC64" s="105" t="s">
        <v>212</v>
      </c>
      <c r="AD64" s="103"/>
      <c r="AE64" s="103"/>
      <c r="AF64" s="103"/>
      <c r="AG64" s="103"/>
      <c r="AH64" s="103"/>
      <c r="AI64" s="103"/>
      <c r="AJ64" s="92"/>
      <c r="AK64" s="92"/>
      <c r="AL64" s="92"/>
      <c r="AM64" s="92"/>
      <c r="AN64" s="92"/>
      <c r="AO64" s="92"/>
      <c r="AP64" s="92"/>
      <c r="AQ64" s="92"/>
      <c r="AR64" s="92"/>
      <c r="AS64" s="92"/>
      <c r="AT64" s="92"/>
      <c r="AU64" s="92"/>
      <c r="AV64" s="92"/>
      <c r="AW64" s="92"/>
      <c r="AX64" s="92"/>
      <c r="AY64" s="92"/>
      <c r="AZ64" s="92"/>
      <c r="BA64" s="92"/>
      <c r="BB64" s="92"/>
      <c r="BC64" s="92"/>
      <c r="BD64" s="92"/>
      <c r="BE64" s="92"/>
      <c r="BF64" s="92"/>
      <c r="BG64" s="92"/>
      <c r="BH64" s="92"/>
      <c r="BI64" s="92"/>
      <c r="BJ64" s="92"/>
      <c r="BK64" s="92"/>
    </row>
    <row r="65" spans="1:63" s="30" customFormat="1" ht="15.75">
      <c r="A65" s="36" t="s">
        <v>213</v>
      </c>
      <c r="B65" s="103">
        <v>50</v>
      </c>
      <c r="C65" s="103">
        <f t="shared" si="14"/>
        <v>700</v>
      </c>
      <c r="D65" s="103"/>
      <c r="E65" s="103"/>
      <c r="F65" s="103"/>
      <c r="G65" s="103"/>
      <c r="H65" s="105" t="s">
        <v>213</v>
      </c>
      <c r="I65" s="103"/>
      <c r="J65" s="103"/>
      <c r="K65" s="103"/>
      <c r="L65" s="103"/>
      <c r="M65" s="103"/>
      <c r="N65" s="103"/>
      <c r="O65" s="105" t="s">
        <v>213</v>
      </c>
      <c r="P65" s="103">
        <v>30</v>
      </c>
      <c r="Q65" s="103">
        <f t="shared" si="15"/>
        <v>420</v>
      </c>
      <c r="R65" s="103"/>
      <c r="S65" s="103"/>
      <c r="T65" s="102"/>
      <c r="U65" s="102"/>
      <c r="V65" s="105" t="s">
        <v>213</v>
      </c>
      <c r="W65" s="103"/>
      <c r="X65" s="103"/>
      <c r="Y65" s="103"/>
      <c r="Z65" s="103"/>
      <c r="AA65" s="102"/>
      <c r="AB65" s="102"/>
      <c r="AC65" s="105" t="s">
        <v>213</v>
      </c>
      <c r="AD65" s="103">
        <v>10</v>
      </c>
      <c r="AE65" s="103">
        <f t="shared" si="17"/>
        <v>140</v>
      </c>
      <c r="AF65" s="103"/>
      <c r="AG65" s="103"/>
      <c r="AH65" s="103"/>
      <c r="AI65" s="103"/>
      <c r="AJ65" s="92"/>
      <c r="AK65" s="92"/>
      <c r="AL65" s="92"/>
      <c r="AM65" s="92"/>
      <c r="AN65" s="92"/>
      <c r="AO65" s="92"/>
      <c r="AP65" s="92"/>
      <c r="AQ65" s="92"/>
      <c r="AR65" s="92"/>
      <c r="AS65" s="92"/>
      <c r="AT65" s="92"/>
      <c r="AU65" s="92"/>
      <c r="AV65" s="92"/>
      <c r="AW65" s="92"/>
      <c r="AX65" s="92"/>
      <c r="AY65" s="92"/>
      <c r="AZ65" s="92"/>
      <c r="BA65" s="92"/>
      <c r="BB65" s="92"/>
      <c r="BC65" s="92"/>
      <c r="BD65" s="92"/>
      <c r="BE65" s="92"/>
      <c r="BF65" s="92"/>
      <c r="BG65" s="92"/>
      <c r="BH65" s="92"/>
      <c r="BI65" s="92"/>
      <c r="BJ65" s="92"/>
      <c r="BK65" s="92"/>
    </row>
    <row r="66" spans="1:63" s="30" customFormat="1" ht="15.75">
      <c r="A66" s="36" t="s">
        <v>214</v>
      </c>
      <c r="B66" s="103"/>
      <c r="C66" s="103"/>
      <c r="D66" s="103"/>
      <c r="E66" s="103"/>
      <c r="F66" s="103"/>
      <c r="G66" s="103"/>
      <c r="H66" s="105" t="s">
        <v>214</v>
      </c>
      <c r="I66" s="103"/>
      <c r="J66" s="103"/>
      <c r="K66" s="103"/>
      <c r="L66" s="103"/>
      <c r="M66" s="103"/>
      <c r="N66" s="103"/>
      <c r="O66" s="105" t="s">
        <v>214</v>
      </c>
      <c r="P66" s="103">
        <v>50</v>
      </c>
      <c r="Q66" s="103">
        <f t="shared" si="15"/>
        <v>700</v>
      </c>
      <c r="R66" s="106"/>
      <c r="S66" s="106"/>
      <c r="T66" s="102"/>
      <c r="U66" s="102"/>
      <c r="V66" s="105" t="s">
        <v>214</v>
      </c>
      <c r="W66" s="103"/>
      <c r="X66" s="103"/>
      <c r="Y66" s="106"/>
      <c r="Z66" s="106"/>
      <c r="AA66" s="102"/>
      <c r="AB66" s="102"/>
      <c r="AC66" s="105" t="s">
        <v>214</v>
      </c>
      <c r="AD66" s="103"/>
      <c r="AE66" s="103"/>
      <c r="AF66" s="103"/>
      <c r="AG66" s="103"/>
      <c r="AH66" s="103"/>
      <c r="AI66" s="103"/>
      <c r="AJ66" s="92"/>
      <c r="AK66" s="92"/>
      <c r="AL66" s="92"/>
      <c r="AM66" s="92"/>
      <c r="AN66" s="92"/>
      <c r="AO66" s="92"/>
      <c r="AP66" s="92"/>
      <c r="AQ66" s="92"/>
      <c r="AR66" s="92"/>
      <c r="AS66" s="92"/>
      <c r="AT66" s="92"/>
      <c r="AU66" s="92"/>
      <c r="AV66" s="92"/>
      <c r="AW66" s="92"/>
      <c r="AX66" s="92"/>
      <c r="AY66" s="92"/>
      <c r="AZ66" s="92"/>
      <c r="BA66" s="92"/>
      <c r="BB66" s="92"/>
      <c r="BC66" s="92"/>
      <c r="BD66" s="92"/>
      <c r="BE66" s="92"/>
      <c r="BF66" s="92"/>
      <c r="BG66" s="92"/>
      <c r="BH66" s="92"/>
      <c r="BI66" s="92"/>
      <c r="BJ66" s="92"/>
      <c r="BK66" s="92"/>
    </row>
    <row r="67" spans="1:63" s="30" customFormat="1" ht="15.75">
      <c r="A67" s="36" t="s">
        <v>215</v>
      </c>
      <c r="B67" s="102">
        <f t="shared" ref="B67:G67" si="18">SUM(B47:B66)</f>
        <v>570</v>
      </c>
      <c r="C67" s="102">
        <f t="shared" si="18"/>
        <v>7980</v>
      </c>
      <c r="D67" s="102">
        <f t="shared" si="18"/>
        <v>100</v>
      </c>
      <c r="E67" s="102">
        <f t="shared" si="18"/>
        <v>1400</v>
      </c>
      <c r="F67" s="102">
        <f t="shared" si="18"/>
        <v>50</v>
      </c>
      <c r="G67" s="102">
        <f t="shared" si="18"/>
        <v>700</v>
      </c>
      <c r="H67" s="105" t="s">
        <v>215</v>
      </c>
      <c r="I67" s="102">
        <f>SUM(I47:I66)</f>
        <v>750</v>
      </c>
      <c r="J67" s="102">
        <f>SUM(J47:J66)</f>
        <v>10500</v>
      </c>
      <c r="K67" s="102">
        <f t="shared" ref="K67:L67" si="19">SUM(K47:K66)</f>
        <v>130</v>
      </c>
      <c r="L67" s="102">
        <f t="shared" si="19"/>
        <v>1820</v>
      </c>
      <c r="M67" s="102">
        <f>SUM(M47:M66)</f>
        <v>0</v>
      </c>
      <c r="N67" s="102">
        <f>SUM(N47:N66)</f>
        <v>0</v>
      </c>
      <c r="O67" s="105" t="s">
        <v>215</v>
      </c>
      <c r="P67" s="102">
        <f t="shared" ref="P67:U67" si="20">SUM(P47:P66)</f>
        <v>415</v>
      </c>
      <c r="Q67" s="102">
        <f t="shared" si="20"/>
        <v>5810</v>
      </c>
      <c r="R67" s="102">
        <f t="shared" si="20"/>
        <v>0</v>
      </c>
      <c r="S67" s="102">
        <f t="shared" si="20"/>
        <v>0</v>
      </c>
      <c r="T67" s="102">
        <f t="shared" si="20"/>
        <v>0</v>
      </c>
      <c r="U67" s="102">
        <f t="shared" si="20"/>
        <v>0</v>
      </c>
      <c r="V67" s="105" t="s">
        <v>215</v>
      </c>
      <c r="W67" s="102">
        <f t="shared" ref="W67:AB67" si="21">SUM(W47:W66)</f>
        <v>150</v>
      </c>
      <c r="X67" s="102">
        <f t="shared" si="21"/>
        <v>2100</v>
      </c>
      <c r="Y67" s="102">
        <f t="shared" si="21"/>
        <v>0</v>
      </c>
      <c r="Z67" s="102">
        <f t="shared" si="21"/>
        <v>0</v>
      </c>
      <c r="AA67" s="102">
        <f t="shared" si="21"/>
        <v>0</v>
      </c>
      <c r="AB67" s="102">
        <f t="shared" si="21"/>
        <v>0</v>
      </c>
      <c r="AC67" s="105" t="s">
        <v>215</v>
      </c>
      <c r="AD67" s="102">
        <f>SUM(AD47:AD66)</f>
        <v>90</v>
      </c>
      <c r="AE67" s="102">
        <f t="shared" ref="AE67:AG67" si="22">SUM(AE47:AE66)</f>
        <v>1260</v>
      </c>
      <c r="AF67" s="102">
        <f t="shared" si="22"/>
        <v>0</v>
      </c>
      <c r="AG67" s="102">
        <f t="shared" si="22"/>
        <v>0</v>
      </c>
      <c r="AH67" s="102">
        <f>SUM(AH47:AH66)</f>
        <v>0</v>
      </c>
      <c r="AI67" s="102">
        <f>SUM(AI47:AI66)</f>
        <v>0</v>
      </c>
      <c r="AJ67" s="92"/>
      <c r="AK67" s="92"/>
      <c r="AL67" s="92"/>
      <c r="AM67" s="92"/>
      <c r="AN67" s="92"/>
      <c r="AO67" s="92"/>
      <c r="AP67" s="92"/>
      <c r="AQ67" s="92"/>
      <c r="AR67" s="92"/>
      <c r="AS67" s="92"/>
      <c r="AT67" s="92"/>
      <c r="AU67" s="92"/>
      <c r="AV67" s="92"/>
      <c r="AW67" s="92"/>
      <c r="AX67" s="92"/>
      <c r="AY67" s="92"/>
      <c r="AZ67" s="92"/>
      <c r="BA67" s="92"/>
      <c r="BB67" s="92"/>
      <c r="BC67" s="92"/>
      <c r="BD67" s="92"/>
      <c r="BE67" s="92"/>
      <c r="BF67" s="92"/>
      <c r="BG67" s="92"/>
      <c r="BH67" s="92"/>
      <c r="BI67" s="92"/>
      <c r="BJ67" s="92"/>
      <c r="BK67" s="92"/>
    </row>
    <row r="68" spans="1:63" s="30" customFormat="1">
      <c r="B68" s="92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I68" s="92"/>
      <c r="AJ68" s="92"/>
      <c r="AK68" s="92"/>
      <c r="AL68" s="92"/>
      <c r="AM68" s="92"/>
      <c r="AN68" s="92"/>
      <c r="AO68" s="92"/>
      <c r="AP68" s="92"/>
      <c r="AQ68" s="92"/>
      <c r="AR68" s="92"/>
      <c r="AS68" s="92"/>
      <c r="AT68" s="92"/>
      <c r="AU68" s="92"/>
      <c r="AV68" s="92"/>
      <c r="AW68" s="92"/>
      <c r="AX68" s="92"/>
      <c r="AY68" s="92"/>
      <c r="AZ68" s="92"/>
      <c r="BA68" s="92"/>
      <c r="BB68" s="92"/>
      <c r="BC68" s="92"/>
      <c r="BD68" s="92"/>
      <c r="BE68" s="92"/>
      <c r="BF68" s="92"/>
      <c r="BG68" s="92"/>
      <c r="BH68" s="92"/>
      <c r="BI68" s="92"/>
      <c r="BJ68" s="92"/>
      <c r="BK68" s="92"/>
    </row>
    <row r="69" spans="1:63" s="30" customFormat="1" ht="14.25">
      <c r="A69" s="29" t="s">
        <v>216</v>
      </c>
      <c r="B69" s="91"/>
      <c r="C69" s="91"/>
      <c r="D69" s="91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92"/>
      <c r="W69" s="92"/>
      <c r="X69" s="92"/>
      <c r="Y69" s="92"/>
      <c r="Z69" s="92"/>
      <c r="AA69" s="92"/>
      <c r="AB69" s="92"/>
      <c r="AC69" s="92"/>
      <c r="AD69" s="92"/>
      <c r="AE69" s="92"/>
      <c r="AF69" s="92"/>
      <c r="AG69" s="92"/>
      <c r="AH69" s="92"/>
      <c r="AI69" s="92"/>
      <c r="AJ69" s="92"/>
      <c r="AK69" s="92"/>
      <c r="AL69" s="92"/>
      <c r="AM69" s="92"/>
      <c r="AN69" s="92"/>
      <c r="AO69" s="92"/>
      <c r="AP69" s="92"/>
      <c r="AQ69" s="92"/>
      <c r="AR69" s="92"/>
      <c r="AS69" s="92"/>
      <c r="AT69" s="92"/>
      <c r="AU69" s="92"/>
      <c r="AV69" s="92"/>
      <c r="AW69" s="92"/>
      <c r="AX69" s="92"/>
      <c r="AY69" s="92"/>
      <c r="AZ69" s="92"/>
      <c r="BA69" s="92"/>
      <c r="BB69" s="92"/>
      <c r="BC69" s="92"/>
      <c r="BD69" s="92"/>
      <c r="BE69" s="92"/>
      <c r="BF69" s="92"/>
      <c r="BG69" s="92"/>
      <c r="BH69" s="92"/>
      <c r="BI69" s="92"/>
      <c r="BJ69" s="92"/>
      <c r="BK69" s="92"/>
    </row>
    <row r="70" spans="1:63" s="30" customFormat="1" ht="14.25">
      <c r="A70" s="31" t="s">
        <v>217</v>
      </c>
      <c r="B70" s="353" t="s">
        <v>218</v>
      </c>
      <c r="C70" s="354"/>
      <c r="D70" s="355"/>
      <c r="E70" s="93" t="s">
        <v>219</v>
      </c>
      <c r="F70" s="93" t="s">
        <v>220</v>
      </c>
      <c r="G70" s="93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92"/>
      <c r="AJ70" s="92"/>
      <c r="AK70" s="92"/>
      <c r="AL70" s="92"/>
      <c r="AM70" s="92"/>
      <c r="AN70" s="92"/>
      <c r="AO70" s="92"/>
      <c r="AP70" s="92"/>
      <c r="AQ70" s="92"/>
      <c r="AR70" s="92"/>
      <c r="AS70" s="92"/>
      <c r="AT70" s="92"/>
      <c r="AU70" s="92"/>
      <c r="AV70" s="92"/>
      <c r="AW70" s="92"/>
      <c r="AX70" s="92"/>
      <c r="AY70" s="92"/>
      <c r="AZ70" s="92"/>
      <c r="BA70" s="92"/>
      <c r="BB70" s="92"/>
      <c r="BC70" s="92"/>
      <c r="BD70" s="92"/>
      <c r="BE70" s="92"/>
      <c r="BF70" s="92"/>
      <c r="BG70" s="92"/>
      <c r="BH70" s="92"/>
      <c r="BI70" s="92"/>
      <c r="BJ70" s="92"/>
      <c r="BK70" s="92"/>
    </row>
    <row r="71" spans="1:63" s="30" customFormat="1" ht="14.25">
      <c r="A71" s="31" t="s">
        <v>221</v>
      </c>
      <c r="B71" s="353" t="s">
        <v>222</v>
      </c>
      <c r="C71" s="354"/>
      <c r="D71" s="355"/>
      <c r="E71" s="43">
        <v>43121</v>
      </c>
      <c r="F71" s="93" t="s">
        <v>223</v>
      </c>
      <c r="G71" s="93" t="s">
        <v>224</v>
      </c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92"/>
      <c r="W71" s="92"/>
      <c r="X71" s="92"/>
      <c r="Y71" s="92"/>
      <c r="Z71" s="92"/>
      <c r="AA71" s="92"/>
      <c r="AB71" s="92"/>
      <c r="AC71" s="92"/>
      <c r="AD71" s="92"/>
      <c r="AE71" s="92"/>
      <c r="AF71" s="92"/>
      <c r="AG71" s="92"/>
      <c r="AH71" s="92"/>
      <c r="AI71" s="92"/>
      <c r="AJ71" s="92"/>
      <c r="AK71" s="92"/>
      <c r="AL71" s="92"/>
      <c r="AM71" s="92"/>
      <c r="AN71" s="92"/>
      <c r="AO71" s="92"/>
      <c r="AP71" s="92"/>
      <c r="AQ71" s="92"/>
      <c r="AR71" s="92"/>
      <c r="AS71" s="92"/>
      <c r="AT71" s="92"/>
      <c r="AU71" s="92"/>
      <c r="AV71" s="92"/>
      <c r="AW71" s="92"/>
      <c r="AX71" s="92"/>
      <c r="AY71" s="92"/>
      <c r="AZ71" s="92"/>
      <c r="BA71" s="92"/>
      <c r="BB71" s="92"/>
      <c r="BC71" s="92"/>
      <c r="BD71" s="92"/>
      <c r="BE71" s="92"/>
      <c r="BF71" s="92"/>
      <c r="BG71" s="92"/>
      <c r="BH71" s="92"/>
      <c r="BI71" s="92"/>
      <c r="BJ71" s="92"/>
      <c r="BK71" s="92"/>
    </row>
    <row r="72" spans="1:63" s="30" customFormat="1" ht="14.25">
      <c r="A72" s="31" t="s">
        <v>225</v>
      </c>
      <c r="B72" s="353" t="s">
        <v>226</v>
      </c>
      <c r="C72" s="354"/>
      <c r="D72" s="355"/>
      <c r="E72" s="43">
        <v>43124</v>
      </c>
      <c r="F72" s="93" t="s">
        <v>227</v>
      </c>
      <c r="G72" s="93" t="s">
        <v>224</v>
      </c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92"/>
      <c r="W72" s="92"/>
      <c r="X72" s="92"/>
      <c r="Y72" s="92"/>
      <c r="Z72" s="92"/>
      <c r="AA72" s="92"/>
      <c r="AB72" s="92"/>
      <c r="AC72" s="92"/>
      <c r="AD72" s="92"/>
      <c r="AE72" s="92"/>
      <c r="AF72" s="92"/>
      <c r="AG72" s="92"/>
      <c r="AH72" s="92"/>
      <c r="AI72" s="92"/>
      <c r="AJ72" s="92"/>
      <c r="AK72" s="92"/>
      <c r="AL72" s="92"/>
      <c r="AM72" s="92"/>
      <c r="AN72" s="92"/>
      <c r="AO72" s="92"/>
      <c r="AP72" s="92"/>
      <c r="AQ72" s="92"/>
      <c r="AR72" s="92"/>
      <c r="AS72" s="92"/>
      <c r="AT72" s="92"/>
      <c r="AU72" s="92"/>
      <c r="AV72" s="92"/>
      <c r="AW72" s="92"/>
      <c r="AX72" s="92"/>
      <c r="AY72" s="92"/>
      <c r="AZ72" s="92"/>
      <c r="BA72" s="92"/>
      <c r="BB72" s="92"/>
      <c r="BC72" s="92"/>
      <c r="BD72" s="92"/>
      <c r="BE72" s="92"/>
      <c r="BF72" s="92"/>
      <c r="BG72" s="92"/>
      <c r="BH72" s="92"/>
      <c r="BI72" s="92"/>
      <c r="BJ72" s="92"/>
      <c r="BK72" s="92"/>
    </row>
    <row r="73" spans="1:63" s="30" customFormat="1" ht="14.25">
      <c r="A73" s="31" t="s">
        <v>228</v>
      </c>
      <c r="B73" s="353" t="s">
        <v>229</v>
      </c>
      <c r="C73" s="354"/>
      <c r="D73" s="355"/>
      <c r="E73" s="43">
        <v>43112</v>
      </c>
      <c r="F73" s="93" t="s">
        <v>230</v>
      </c>
      <c r="G73" s="93" t="s">
        <v>224</v>
      </c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92"/>
      <c r="W73" s="92"/>
      <c r="X73" s="92"/>
      <c r="Y73" s="92"/>
      <c r="Z73" s="92"/>
      <c r="AA73" s="92"/>
      <c r="AB73" s="92"/>
      <c r="AC73" s="92"/>
      <c r="AD73" s="92"/>
      <c r="AE73" s="92"/>
      <c r="AF73" s="92"/>
      <c r="AG73" s="92"/>
      <c r="AH73" s="92"/>
      <c r="AI73" s="92"/>
      <c r="AJ73" s="92"/>
      <c r="AK73" s="92"/>
      <c r="AL73" s="92"/>
      <c r="AM73" s="92"/>
      <c r="AN73" s="92"/>
      <c r="AO73" s="92"/>
      <c r="AP73" s="92"/>
      <c r="AQ73" s="92"/>
      <c r="AR73" s="92"/>
      <c r="AS73" s="92"/>
      <c r="AT73" s="92"/>
      <c r="AU73" s="92"/>
      <c r="AV73" s="92"/>
      <c r="AW73" s="92"/>
      <c r="AX73" s="92"/>
      <c r="AY73" s="92"/>
      <c r="AZ73" s="92"/>
      <c r="BA73" s="92"/>
      <c r="BB73" s="92"/>
      <c r="BC73" s="92"/>
      <c r="BD73" s="92"/>
      <c r="BE73" s="92"/>
      <c r="BF73" s="92"/>
      <c r="BG73" s="92"/>
      <c r="BH73" s="92"/>
      <c r="BI73" s="92"/>
      <c r="BJ73" s="92"/>
      <c r="BK73" s="92"/>
    </row>
    <row r="74" spans="1:63" s="30" customFormat="1">
      <c r="A74" s="32" t="s">
        <v>231</v>
      </c>
      <c r="B74" s="107"/>
      <c r="C74" s="107"/>
      <c r="D74" s="107"/>
      <c r="E74" s="107"/>
      <c r="F74" s="107"/>
      <c r="G74" s="107"/>
      <c r="H74" s="107"/>
      <c r="I74" s="10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92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2"/>
      <c r="AH74" s="92"/>
      <c r="AI74" s="92"/>
      <c r="AJ74" s="92"/>
      <c r="AK74" s="92"/>
      <c r="AL74" s="92"/>
      <c r="AM74" s="92"/>
      <c r="AN74" s="92"/>
      <c r="AO74" s="92"/>
      <c r="AP74" s="92"/>
      <c r="AQ74" s="92"/>
      <c r="AR74" s="92"/>
      <c r="AS74" s="92"/>
      <c r="AT74" s="92"/>
      <c r="AU74" s="92"/>
      <c r="AV74" s="92"/>
      <c r="AW74" s="92"/>
      <c r="AX74" s="92"/>
      <c r="AY74" s="92"/>
      <c r="AZ74" s="92"/>
      <c r="BA74" s="92"/>
      <c r="BB74" s="92"/>
      <c r="BC74" s="92"/>
      <c r="BD74" s="92"/>
      <c r="BE74" s="92"/>
      <c r="BF74" s="92"/>
      <c r="BG74" s="92"/>
      <c r="BH74" s="92"/>
      <c r="BI74" s="92"/>
      <c r="BJ74" s="92"/>
      <c r="BK74" s="92"/>
    </row>
    <row r="75" spans="1:63" s="30" customFormat="1" ht="14.25">
      <c r="A75" s="33"/>
      <c r="B75" s="100"/>
      <c r="C75" s="100"/>
      <c r="D75" s="100"/>
      <c r="E75" s="101"/>
      <c r="F75" s="101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92"/>
      <c r="W75" s="92"/>
      <c r="X75" s="92"/>
      <c r="Y75" s="92"/>
      <c r="Z75" s="92"/>
      <c r="AA75" s="92"/>
      <c r="AB75" s="92"/>
      <c r="AC75" s="92"/>
      <c r="AD75" s="92"/>
      <c r="AE75" s="92"/>
      <c r="AF75" s="92"/>
      <c r="AG75" s="92"/>
      <c r="AH75" s="92"/>
      <c r="AI75" s="92"/>
      <c r="AJ75" s="92"/>
      <c r="AK75" s="92"/>
      <c r="AL75" s="92"/>
      <c r="AM75" s="92"/>
      <c r="AN75" s="92"/>
      <c r="AO75" s="92"/>
      <c r="AP75" s="92"/>
      <c r="AQ75" s="92"/>
      <c r="AR75" s="92"/>
      <c r="AS75" s="92"/>
      <c r="AT75" s="92"/>
      <c r="AU75" s="92"/>
      <c r="AV75" s="92"/>
      <c r="AW75" s="92"/>
      <c r="AX75" s="92"/>
      <c r="AY75" s="92"/>
      <c r="AZ75" s="92"/>
      <c r="BA75" s="92"/>
      <c r="BB75" s="92"/>
      <c r="BC75" s="92"/>
      <c r="BD75" s="92"/>
      <c r="BE75" s="92"/>
      <c r="BF75" s="92"/>
      <c r="BG75" s="92"/>
      <c r="BH75" s="92"/>
      <c r="BI75" s="92"/>
      <c r="BJ75" s="92"/>
      <c r="BK75" s="92"/>
    </row>
    <row r="76" spans="1:63" s="30" customFormat="1">
      <c r="A76" s="25"/>
      <c r="B76" s="87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92"/>
      <c r="AM76" s="92"/>
      <c r="AN76" s="92"/>
      <c r="AO76" s="92"/>
      <c r="AP76" s="92"/>
      <c r="AQ76" s="92"/>
      <c r="AR76" s="92"/>
      <c r="AS76" s="92"/>
      <c r="AT76" s="92"/>
      <c r="AU76" s="92"/>
      <c r="AV76" s="92"/>
      <c r="AW76" s="92"/>
      <c r="AX76" s="92"/>
      <c r="AY76" s="92"/>
      <c r="AZ76" s="92"/>
      <c r="BA76" s="92"/>
      <c r="BB76" s="92"/>
      <c r="BC76" s="92"/>
      <c r="BD76" s="92"/>
      <c r="BE76" s="92"/>
      <c r="BF76" s="92"/>
      <c r="BG76" s="92"/>
      <c r="BH76" s="92"/>
      <c r="BI76" s="92"/>
      <c r="BJ76" s="92"/>
      <c r="BK76" s="92"/>
    </row>
    <row r="77" spans="1:63" s="30" customFormat="1" ht="15.75">
      <c r="A77" s="34" t="s">
        <v>232</v>
      </c>
      <c r="B77" s="375" t="s">
        <v>221</v>
      </c>
      <c r="C77" s="376"/>
      <c r="D77" s="376"/>
      <c r="E77" s="376"/>
      <c r="F77" s="376"/>
      <c r="G77" s="376"/>
      <c r="H77" s="376"/>
      <c r="I77" s="377"/>
      <c r="J77" s="102" t="s">
        <v>232</v>
      </c>
      <c r="K77" s="367" t="s">
        <v>225</v>
      </c>
      <c r="L77" s="367"/>
      <c r="M77" s="367"/>
      <c r="N77" s="367"/>
      <c r="O77" s="367"/>
      <c r="P77" s="367"/>
      <c r="Q77" s="102" t="s">
        <v>232</v>
      </c>
      <c r="R77" s="369" t="s">
        <v>228</v>
      </c>
      <c r="S77" s="370"/>
      <c r="T77" s="370"/>
      <c r="U77" s="370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92"/>
      <c r="AK77" s="92"/>
      <c r="AL77" s="92"/>
      <c r="AM77" s="92"/>
      <c r="AN77" s="92"/>
      <c r="AO77" s="92"/>
      <c r="AP77" s="92"/>
      <c r="AQ77" s="92"/>
      <c r="AR77" s="92"/>
      <c r="AS77" s="92"/>
      <c r="AT77" s="92"/>
      <c r="AU77" s="92"/>
      <c r="AV77" s="92"/>
      <c r="AW77" s="92"/>
      <c r="AX77" s="92"/>
      <c r="AY77" s="92"/>
      <c r="AZ77" s="92"/>
      <c r="BA77" s="92"/>
      <c r="BB77" s="92"/>
      <c r="BC77" s="92"/>
      <c r="BD77" s="92"/>
      <c r="BE77" s="92"/>
      <c r="BF77" s="92"/>
      <c r="BG77" s="92"/>
      <c r="BH77" s="92"/>
      <c r="BI77" s="92"/>
      <c r="BJ77" s="92"/>
      <c r="BK77" s="92"/>
    </row>
    <row r="78" spans="1:63" s="30" customFormat="1" ht="15.75">
      <c r="A78" s="374" t="s">
        <v>233</v>
      </c>
      <c r="B78" s="362" t="s">
        <v>234</v>
      </c>
      <c r="C78" s="362"/>
      <c r="D78" s="371" t="s">
        <v>235</v>
      </c>
      <c r="E78" s="373"/>
      <c r="F78" s="362" t="s">
        <v>236</v>
      </c>
      <c r="G78" s="362"/>
      <c r="H78" s="371" t="s">
        <v>237</v>
      </c>
      <c r="I78" s="373"/>
      <c r="J78" s="374" t="s">
        <v>233</v>
      </c>
      <c r="K78" s="362" t="s">
        <v>238</v>
      </c>
      <c r="L78" s="362"/>
      <c r="M78" s="362" t="s">
        <v>236</v>
      </c>
      <c r="N78" s="362"/>
      <c r="O78" s="362" t="s">
        <v>237</v>
      </c>
      <c r="P78" s="362"/>
      <c r="Q78" s="374" t="s">
        <v>233</v>
      </c>
      <c r="R78" s="362" t="s">
        <v>239</v>
      </c>
      <c r="S78" s="362"/>
      <c r="T78" s="362" t="s">
        <v>240</v>
      </c>
      <c r="U78" s="36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  <c r="AL78" s="92"/>
      <c r="AM78" s="92"/>
      <c r="AN78" s="92"/>
      <c r="AO78" s="92"/>
      <c r="AP78" s="92"/>
      <c r="AQ78" s="92"/>
      <c r="AR78" s="92"/>
      <c r="AS78" s="92"/>
      <c r="AT78" s="92"/>
      <c r="AU78" s="92"/>
      <c r="AV78" s="92"/>
      <c r="AW78" s="92"/>
      <c r="AX78" s="92"/>
      <c r="AY78" s="92"/>
      <c r="AZ78" s="92"/>
      <c r="BA78" s="92"/>
      <c r="BB78" s="92"/>
      <c r="BC78" s="92"/>
      <c r="BD78" s="92"/>
      <c r="BE78" s="92"/>
      <c r="BF78" s="92"/>
      <c r="BG78" s="92"/>
      <c r="BH78" s="92"/>
      <c r="BI78" s="92"/>
      <c r="BJ78" s="92"/>
      <c r="BK78" s="92"/>
    </row>
    <row r="79" spans="1:63" s="30" customFormat="1" ht="15.75">
      <c r="A79" s="374"/>
      <c r="B79" s="103" t="s">
        <v>5</v>
      </c>
      <c r="C79" s="103" t="s">
        <v>6</v>
      </c>
      <c r="D79" s="103" t="s">
        <v>5</v>
      </c>
      <c r="E79" s="103" t="s">
        <v>6</v>
      </c>
      <c r="F79" s="103" t="s">
        <v>5</v>
      </c>
      <c r="G79" s="103" t="s">
        <v>6</v>
      </c>
      <c r="H79" s="103" t="s">
        <v>5</v>
      </c>
      <c r="I79" s="103" t="s">
        <v>6</v>
      </c>
      <c r="J79" s="374"/>
      <c r="K79" s="103" t="s">
        <v>5</v>
      </c>
      <c r="L79" s="103" t="s">
        <v>6</v>
      </c>
      <c r="M79" s="103" t="s">
        <v>5</v>
      </c>
      <c r="N79" s="103" t="s">
        <v>6</v>
      </c>
      <c r="O79" s="103" t="s">
        <v>5</v>
      </c>
      <c r="P79" s="103" t="s">
        <v>6</v>
      </c>
      <c r="Q79" s="374"/>
      <c r="R79" s="103" t="s">
        <v>5</v>
      </c>
      <c r="S79" s="103" t="s">
        <v>6</v>
      </c>
      <c r="T79" s="103" t="s">
        <v>5</v>
      </c>
      <c r="U79" s="103" t="s">
        <v>6</v>
      </c>
      <c r="V79" s="92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  <c r="AH79" s="92"/>
      <c r="AI79" s="92"/>
      <c r="AJ79" s="92"/>
      <c r="AK79" s="92"/>
      <c r="AL79" s="92"/>
      <c r="AM79" s="92"/>
      <c r="AN79" s="92"/>
      <c r="AO79" s="92"/>
      <c r="AP79" s="92"/>
      <c r="AQ79" s="92"/>
      <c r="AR79" s="92"/>
      <c r="AS79" s="92"/>
      <c r="AT79" s="92"/>
      <c r="AU79" s="92"/>
      <c r="AV79" s="92"/>
      <c r="AW79" s="92"/>
      <c r="AX79" s="92"/>
      <c r="AY79" s="92"/>
      <c r="AZ79" s="92"/>
      <c r="BA79" s="92"/>
      <c r="BB79" s="92"/>
      <c r="BC79" s="92"/>
      <c r="BD79" s="92"/>
      <c r="BE79" s="92"/>
      <c r="BF79" s="92"/>
      <c r="BG79" s="92"/>
      <c r="BH79" s="92"/>
      <c r="BI79" s="92"/>
      <c r="BJ79" s="92"/>
      <c r="BK79" s="92"/>
    </row>
    <row r="80" spans="1:63" s="30" customFormat="1" ht="15.75">
      <c r="A80" s="35" t="s">
        <v>241</v>
      </c>
      <c r="B80" s="356" t="s">
        <v>242</v>
      </c>
      <c r="C80" s="357"/>
      <c r="D80" s="357"/>
      <c r="E80" s="357"/>
      <c r="F80" s="357"/>
      <c r="G80" s="357"/>
      <c r="H80" s="357"/>
      <c r="I80" s="358"/>
      <c r="J80" s="104" t="s">
        <v>243</v>
      </c>
      <c r="K80" s="378" t="s">
        <v>244</v>
      </c>
      <c r="L80" s="379"/>
      <c r="M80" s="379"/>
      <c r="N80" s="379"/>
      <c r="O80" s="379"/>
      <c r="P80" s="380"/>
      <c r="Q80" s="104" t="s">
        <v>243</v>
      </c>
      <c r="R80" s="378" t="s">
        <v>245</v>
      </c>
      <c r="S80" s="379"/>
      <c r="T80" s="379"/>
      <c r="U80" s="380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92"/>
      <c r="AU80" s="92"/>
      <c r="AV80" s="92"/>
      <c r="AW80" s="92"/>
      <c r="AX80" s="92"/>
      <c r="AY80" s="92"/>
      <c r="AZ80" s="92"/>
      <c r="BA80" s="92"/>
      <c r="BB80" s="92"/>
      <c r="BC80" s="92"/>
      <c r="BD80" s="92"/>
      <c r="BE80" s="92"/>
      <c r="BF80" s="92"/>
      <c r="BG80" s="92"/>
      <c r="BH80" s="92"/>
      <c r="BI80" s="92"/>
      <c r="BJ80" s="92"/>
      <c r="BK80" s="92"/>
    </row>
    <row r="81" spans="1:63" s="30" customFormat="1" ht="15.75">
      <c r="A81" s="35" t="s">
        <v>7</v>
      </c>
      <c r="B81" s="108">
        <v>0</v>
      </c>
      <c r="C81" s="108">
        <v>0</v>
      </c>
      <c r="D81" s="108">
        <v>0</v>
      </c>
      <c r="E81" s="108">
        <v>0</v>
      </c>
      <c r="F81" s="108"/>
      <c r="G81" s="108"/>
      <c r="H81" s="108"/>
      <c r="I81" s="108"/>
      <c r="J81" s="104" t="s">
        <v>7</v>
      </c>
      <c r="K81" s="109"/>
      <c r="L81" s="109"/>
      <c r="M81" s="109"/>
      <c r="N81" s="109"/>
      <c r="O81" s="109"/>
      <c r="P81" s="109"/>
      <c r="Q81" s="104" t="s">
        <v>7</v>
      </c>
      <c r="R81" s="110"/>
      <c r="S81" s="110"/>
      <c r="T81" s="110"/>
      <c r="U81" s="110"/>
      <c r="V81" s="92"/>
      <c r="W81" s="92"/>
      <c r="X81" s="92"/>
      <c r="Y81" s="92"/>
      <c r="Z81" s="92"/>
      <c r="AA81" s="92"/>
      <c r="AB81" s="92"/>
      <c r="AC81" s="92"/>
      <c r="AD81" s="92"/>
      <c r="AE81" s="92"/>
      <c r="AF81" s="92"/>
      <c r="AG81" s="92"/>
      <c r="AH81" s="92"/>
      <c r="AI81" s="92"/>
      <c r="AJ81" s="92"/>
      <c r="AK81" s="92"/>
      <c r="AL81" s="92"/>
      <c r="AM81" s="92"/>
      <c r="AN81" s="92"/>
      <c r="AO81" s="92"/>
      <c r="AP81" s="92"/>
      <c r="AQ81" s="92"/>
      <c r="AR81" s="92"/>
      <c r="AS81" s="92"/>
      <c r="AT81" s="92"/>
      <c r="AU81" s="92"/>
      <c r="AV81" s="92"/>
      <c r="AW81" s="92"/>
      <c r="AX81" s="92"/>
      <c r="AY81" s="92"/>
      <c r="AZ81" s="92"/>
      <c r="BA81" s="92"/>
      <c r="BB81" s="92"/>
      <c r="BC81" s="92"/>
      <c r="BD81" s="92"/>
      <c r="BE81" s="92"/>
      <c r="BF81" s="92"/>
      <c r="BG81" s="92"/>
      <c r="BH81" s="92"/>
      <c r="BI81" s="92"/>
      <c r="BJ81" s="92"/>
      <c r="BK81" s="92"/>
    </row>
    <row r="82" spans="1:63" s="30" customFormat="1" ht="15.75">
      <c r="A82" s="35" t="s">
        <v>246</v>
      </c>
      <c r="B82" s="108">
        <v>0</v>
      </c>
      <c r="C82" s="108">
        <v>0</v>
      </c>
      <c r="D82" s="108">
        <v>20</v>
      </c>
      <c r="E82" s="108">
        <v>260</v>
      </c>
      <c r="F82" s="108"/>
      <c r="G82" s="108"/>
      <c r="H82" s="108"/>
      <c r="I82" s="108"/>
      <c r="J82" s="104" t="s">
        <v>246</v>
      </c>
      <c r="K82" s="109"/>
      <c r="L82" s="109"/>
      <c r="M82" s="109"/>
      <c r="N82" s="109"/>
      <c r="O82" s="109"/>
      <c r="P82" s="109"/>
      <c r="Q82" s="104" t="s">
        <v>246</v>
      </c>
      <c r="R82" s="110"/>
      <c r="S82" s="110"/>
      <c r="T82" s="110"/>
      <c r="U82" s="110"/>
      <c r="V82" s="92"/>
      <c r="W82" s="92"/>
      <c r="X82" s="92"/>
      <c r="Y82" s="92"/>
      <c r="Z82" s="92"/>
      <c r="AA82" s="92"/>
      <c r="AB82" s="92"/>
      <c r="AC82" s="92"/>
      <c r="AD82" s="92"/>
      <c r="AE82" s="92"/>
      <c r="AF82" s="92"/>
      <c r="AG82" s="92"/>
      <c r="AH82" s="92"/>
      <c r="AI82" s="92"/>
      <c r="AJ82" s="92"/>
      <c r="AK82" s="92"/>
      <c r="AL82" s="92"/>
      <c r="AM82" s="92"/>
      <c r="AN82" s="92"/>
      <c r="AO82" s="92"/>
      <c r="AP82" s="92"/>
      <c r="AQ82" s="92"/>
      <c r="AR82" s="92"/>
      <c r="AS82" s="92"/>
      <c r="AT82" s="92"/>
      <c r="AU82" s="92"/>
      <c r="AV82" s="92"/>
      <c r="AW82" s="92"/>
      <c r="AX82" s="92"/>
      <c r="AY82" s="92"/>
      <c r="AZ82" s="92"/>
      <c r="BA82" s="92"/>
      <c r="BB82" s="92"/>
      <c r="BC82" s="92"/>
      <c r="BD82" s="92"/>
      <c r="BE82" s="92"/>
      <c r="BF82" s="92"/>
      <c r="BG82" s="92"/>
      <c r="BH82" s="92"/>
      <c r="BI82" s="92"/>
      <c r="BJ82" s="92"/>
      <c r="BK82" s="92"/>
    </row>
    <row r="83" spans="1:63" s="30" customFormat="1" ht="15.75">
      <c r="A83" s="36" t="s">
        <v>247</v>
      </c>
      <c r="B83" s="108">
        <v>100</v>
      </c>
      <c r="C83" s="108">
        <f>B83*13</f>
        <v>1300</v>
      </c>
      <c r="D83" s="108">
        <v>200</v>
      </c>
      <c r="E83" s="108">
        <f>D83*13</f>
        <v>2600</v>
      </c>
      <c r="F83" s="108">
        <v>50</v>
      </c>
      <c r="G83" s="108">
        <f>F83*13</f>
        <v>650</v>
      </c>
      <c r="H83" s="108">
        <v>50</v>
      </c>
      <c r="I83" s="108">
        <v>650</v>
      </c>
      <c r="J83" s="105" t="s">
        <v>248</v>
      </c>
      <c r="K83" s="109"/>
      <c r="L83" s="109"/>
      <c r="M83" s="109"/>
      <c r="N83" s="109"/>
      <c r="O83" s="109"/>
      <c r="P83" s="109"/>
      <c r="Q83" s="105" t="s">
        <v>248</v>
      </c>
      <c r="R83" s="110"/>
      <c r="S83" s="110"/>
      <c r="T83" s="110"/>
      <c r="U83" s="110"/>
      <c r="V83" s="92"/>
      <c r="W83" s="92"/>
      <c r="X83" s="92"/>
      <c r="Y83" s="92"/>
      <c r="Z83" s="92"/>
      <c r="AA83" s="92"/>
      <c r="AB83" s="92"/>
      <c r="AC83" s="92"/>
      <c r="AD83" s="92"/>
      <c r="AE83" s="92"/>
      <c r="AF83" s="92"/>
      <c r="AG83" s="92"/>
      <c r="AH83" s="92"/>
      <c r="AI83" s="92"/>
      <c r="AJ83" s="92"/>
      <c r="AK83" s="92"/>
      <c r="AL83" s="92"/>
      <c r="AM83" s="92"/>
      <c r="AN83" s="92"/>
      <c r="AO83" s="92"/>
      <c r="AP83" s="92"/>
      <c r="AQ83" s="92"/>
      <c r="AR83" s="92"/>
      <c r="AS83" s="92"/>
      <c r="AT83" s="92"/>
      <c r="AU83" s="92"/>
      <c r="AV83" s="92"/>
      <c r="AW83" s="92"/>
      <c r="AX83" s="92"/>
      <c r="AY83" s="92"/>
      <c r="AZ83" s="92"/>
      <c r="BA83" s="92"/>
      <c r="BB83" s="92"/>
      <c r="BC83" s="92"/>
      <c r="BD83" s="92"/>
      <c r="BE83" s="92"/>
      <c r="BF83" s="92"/>
      <c r="BG83" s="92"/>
      <c r="BH83" s="92"/>
      <c r="BI83" s="92"/>
      <c r="BJ83" s="92"/>
      <c r="BK83" s="92"/>
    </row>
    <row r="84" spans="1:63" s="30" customFormat="1" ht="15.75">
      <c r="A84" s="36" t="s">
        <v>249</v>
      </c>
      <c r="B84" s="108">
        <v>100</v>
      </c>
      <c r="C84" s="108">
        <f t="shared" ref="C84:C89" si="23">B84*13</f>
        <v>1300</v>
      </c>
      <c r="D84" s="108">
        <v>600</v>
      </c>
      <c r="E84" s="108">
        <f t="shared" ref="E84:E89" si="24">D84*13</f>
        <v>7800</v>
      </c>
      <c r="F84" s="108">
        <v>50</v>
      </c>
      <c r="G84" s="108">
        <f>F84*13</f>
        <v>650</v>
      </c>
      <c r="H84" s="108"/>
      <c r="I84" s="108"/>
      <c r="J84" s="105" t="s">
        <v>250</v>
      </c>
      <c r="K84" s="109"/>
      <c r="L84" s="109"/>
      <c r="M84" s="109"/>
      <c r="N84" s="109"/>
      <c r="O84" s="109"/>
      <c r="P84" s="109"/>
      <c r="Q84" s="105" t="s">
        <v>250</v>
      </c>
      <c r="R84" s="110"/>
      <c r="S84" s="110"/>
      <c r="T84" s="110"/>
      <c r="U84" s="110"/>
      <c r="V84" s="92"/>
      <c r="W84" s="92"/>
      <c r="X84" s="92"/>
      <c r="Y84" s="92"/>
      <c r="Z84" s="92"/>
      <c r="AA84" s="92"/>
      <c r="AB84" s="92"/>
      <c r="AC84" s="92"/>
      <c r="AD84" s="92"/>
      <c r="AE84" s="92"/>
      <c r="AF84" s="92"/>
      <c r="AG84" s="92"/>
      <c r="AH84" s="92"/>
      <c r="AI84" s="92"/>
      <c r="AJ84" s="92"/>
      <c r="AK84" s="92"/>
      <c r="AL84" s="92"/>
      <c r="AM84" s="92"/>
      <c r="AN84" s="92"/>
      <c r="AO84" s="92"/>
      <c r="AP84" s="92"/>
      <c r="AQ84" s="92"/>
      <c r="AR84" s="92"/>
      <c r="AS84" s="92"/>
      <c r="AT84" s="92"/>
      <c r="AU84" s="92"/>
      <c r="AV84" s="92"/>
      <c r="AW84" s="92"/>
      <c r="AX84" s="92"/>
      <c r="AY84" s="92"/>
      <c r="AZ84" s="92"/>
      <c r="BA84" s="92"/>
      <c r="BB84" s="92"/>
      <c r="BC84" s="92"/>
      <c r="BD84" s="92"/>
      <c r="BE84" s="92"/>
      <c r="BF84" s="92"/>
      <c r="BG84" s="92"/>
      <c r="BH84" s="92"/>
      <c r="BI84" s="92"/>
      <c r="BJ84" s="92"/>
      <c r="BK84" s="92"/>
    </row>
    <row r="85" spans="1:63" s="30" customFormat="1" ht="15.75">
      <c r="A85" s="36" t="s">
        <v>251</v>
      </c>
      <c r="B85" s="108">
        <v>75</v>
      </c>
      <c r="C85" s="108">
        <f t="shared" si="23"/>
        <v>975</v>
      </c>
      <c r="D85" s="108">
        <v>300</v>
      </c>
      <c r="E85" s="108">
        <f t="shared" si="24"/>
        <v>3900</v>
      </c>
      <c r="F85" s="108">
        <v>50</v>
      </c>
      <c r="G85" s="108">
        <f>F85*13</f>
        <v>650</v>
      </c>
      <c r="H85" s="108"/>
      <c r="I85" s="108"/>
      <c r="J85" s="105" t="s">
        <v>252</v>
      </c>
      <c r="K85" s="109"/>
      <c r="L85" s="109"/>
      <c r="M85" s="109"/>
      <c r="N85" s="109"/>
      <c r="O85" s="109"/>
      <c r="P85" s="109"/>
      <c r="Q85" s="105" t="s">
        <v>252</v>
      </c>
      <c r="R85" s="110"/>
      <c r="S85" s="110"/>
      <c r="T85" s="110"/>
      <c r="U85" s="110"/>
      <c r="V85" s="92"/>
      <c r="W85" s="92"/>
      <c r="X85" s="92"/>
      <c r="Y85" s="92"/>
      <c r="Z85" s="92"/>
      <c r="AA85" s="92"/>
      <c r="AB85" s="92"/>
      <c r="AC85" s="92"/>
      <c r="AD85" s="92"/>
      <c r="AE85" s="92"/>
      <c r="AF85" s="92"/>
      <c r="AG85" s="92"/>
      <c r="AH85" s="92"/>
      <c r="AI85" s="92"/>
      <c r="AJ85" s="92"/>
      <c r="AK85" s="92"/>
      <c r="AL85" s="92"/>
      <c r="AM85" s="92"/>
      <c r="AN85" s="92"/>
      <c r="AO85" s="92"/>
      <c r="AP85" s="92"/>
      <c r="AQ85" s="92"/>
      <c r="AR85" s="92"/>
      <c r="AS85" s="92"/>
      <c r="AT85" s="92"/>
      <c r="AU85" s="92"/>
      <c r="AV85" s="92"/>
      <c r="AW85" s="92"/>
      <c r="AX85" s="92"/>
      <c r="AY85" s="92"/>
      <c r="AZ85" s="92"/>
      <c r="BA85" s="92"/>
      <c r="BB85" s="92"/>
      <c r="BC85" s="92"/>
      <c r="BD85" s="92"/>
      <c r="BE85" s="92"/>
      <c r="BF85" s="92"/>
      <c r="BG85" s="92"/>
      <c r="BH85" s="92"/>
      <c r="BI85" s="92"/>
      <c r="BJ85" s="92"/>
      <c r="BK85" s="92"/>
    </row>
    <row r="86" spans="1:63" s="30" customFormat="1" ht="15.75">
      <c r="A86" s="36" t="s">
        <v>253</v>
      </c>
      <c r="B86" s="108">
        <v>25</v>
      </c>
      <c r="C86" s="108">
        <f t="shared" si="23"/>
        <v>325</v>
      </c>
      <c r="D86" s="108">
        <v>55</v>
      </c>
      <c r="E86" s="108">
        <f t="shared" si="24"/>
        <v>715</v>
      </c>
      <c r="F86" s="108"/>
      <c r="G86" s="108"/>
      <c r="H86" s="108"/>
      <c r="I86" s="108"/>
      <c r="J86" s="105" t="s">
        <v>253</v>
      </c>
      <c r="K86" s="109"/>
      <c r="L86" s="109"/>
      <c r="M86" s="109"/>
      <c r="N86" s="109"/>
      <c r="O86" s="109"/>
      <c r="P86" s="109"/>
      <c r="Q86" s="105" t="s">
        <v>253</v>
      </c>
      <c r="R86" s="110"/>
      <c r="S86" s="110"/>
      <c r="T86" s="110"/>
      <c r="U86" s="110"/>
      <c r="V86" s="92"/>
      <c r="W86" s="92"/>
      <c r="X86" s="92"/>
      <c r="Y86" s="92"/>
      <c r="Z86" s="92"/>
      <c r="AA86" s="92"/>
      <c r="AB86" s="92"/>
      <c r="AC86" s="92"/>
      <c r="AD86" s="92"/>
      <c r="AE86" s="92"/>
      <c r="AF86" s="92"/>
      <c r="AG86" s="92"/>
      <c r="AH86" s="92"/>
      <c r="AI86" s="92"/>
      <c r="AJ86" s="92"/>
      <c r="AK86" s="92"/>
      <c r="AL86" s="92"/>
      <c r="AM86" s="92"/>
      <c r="AN86" s="92"/>
      <c r="AO86" s="92"/>
      <c r="AP86" s="92"/>
      <c r="AQ86" s="92"/>
      <c r="AR86" s="92"/>
      <c r="AS86" s="92"/>
      <c r="AT86" s="92"/>
      <c r="AU86" s="92"/>
      <c r="AV86" s="92"/>
      <c r="AW86" s="92"/>
      <c r="AX86" s="92"/>
      <c r="AY86" s="92"/>
      <c r="AZ86" s="92"/>
      <c r="BA86" s="92"/>
      <c r="BB86" s="92"/>
      <c r="BC86" s="92"/>
      <c r="BD86" s="92"/>
      <c r="BE86" s="92"/>
      <c r="BF86" s="92"/>
      <c r="BG86" s="92"/>
      <c r="BH86" s="92"/>
      <c r="BI86" s="92"/>
      <c r="BJ86" s="92"/>
      <c r="BK86" s="92"/>
    </row>
    <row r="87" spans="1:63" s="30" customFormat="1" ht="15.75">
      <c r="A87" s="36" t="s">
        <v>254</v>
      </c>
      <c r="B87" s="108">
        <v>25</v>
      </c>
      <c r="C87" s="108">
        <f t="shared" si="23"/>
        <v>325</v>
      </c>
      <c r="D87" s="108">
        <v>50</v>
      </c>
      <c r="E87" s="108">
        <f t="shared" si="24"/>
        <v>650</v>
      </c>
      <c r="F87" s="108"/>
      <c r="G87" s="108"/>
      <c r="H87" s="108"/>
      <c r="I87" s="108"/>
      <c r="J87" s="105" t="s">
        <v>254</v>
      </c>
      <c r="K87" s="109"/>
      <c r="L87" s="109"/>
      <c r="M87" s="109"/>
      <c r="N87" s="109"/>
      <c r="O87" s="109"/>
      <c r="P87" s="109"/>
      <c r="Q87" s="105" t="s">
        <v>254</v>
      </c>
      <c r="R87" s="110"/>
      <c r="S87" s="110"/>
      <c r="T87" s="110"/>
      <c r="U87" s="110"/>
      <c r="V87" s="92"/>
      <c r="W87" s="92"/>
      <c r="X87" s="92"/>
      <c r="Y87" s="92"/>
      <c r="Z87" s="92"/>
      <c r="AA87" s="92"/>
      <c r="AB87" s="92"/>
      <c r="AC87" s="92"/>
      <c r="AD87" s="92"/>
      <c r="AE87" s="92"/>
      <c r="AF87" s="92"/>
      <c r="AG87" s="92"/>
      <c r="AH87" s="92"/>
      <c r="AI87" s="92"/>
      <c r="AJ87" s="92"/>
      <c r="AK87" s="92"/>
      <c r="AL87" s="92"/>
      <c r="AM87" s="92"/>
      <c r="AN87" s="92"/>
      <c r="AO87" s="92"/>
      <c r="AP87" s="92"/>
      <c r="AQ87" s="92"/>
      <c r="AR87" s="92"/>
      <c r="AS87" s="92"/>
      <c r="AT87" s="92"/>
      <c r="AU87" s="92"/>
      <c r="AV87" s="92"/>
      <c r="AW87" s="92"/>
      <c r="AX87" s="92"/>
      <c r="AY87" s="92"/>
      <c r="AZ87" s="92"/>
      <c r="BA87" s="92"/>
      <c r="BB87" s="92"/>
      <c r="BC87" s="92"/>
      <c r="BD87" s="92"/>
      <c r="BE87" s="92"/>
      <c r="BF87" s="92"/>
      <c r="BG87" s="92"/>
      <c r="BH87" s="92"/>
      <c r="BI87" s="92"/>
      <c r="BJ87" s="92"/>
      <c r="BK87" s="92"/>
    </row>
    <row r="88" spans="1:63" s="30" customFormat="1" ht="15.75">
      <c r="A88" s="36" t="s">
        <v>255</v>
      </c>
      <c r="B88" s="108">
        <v>25</v>
      </c>
      <c r="C88" s="108">
        <f t="shared" si="23"/>
        <v>325</v>
      </c>
      <c r="D88" s="108">
        <v>75</v>
      </c>
      <c r="E88" s="108">
        <f t="shared" si="24"/>
        <v>975</v>
      </c>
      <c r="F88" s="108"/>
      <c r="G88" s="108"/>
      <c r="H88" s="108"/>
      <c r="I88" s="108"/>
      <c r="J88" s="105" t="s">
        <v>255</v>
      </c>
      <c r="K88" s="109"/>
      <c r="L88" s="109"/>
      <c r="M88" s="109"/>
      <c r="N88" s="109"/>
      <c r="O88" s="109"/>
      <c r="P88" s="109"/>
      <c r="Q88" s="105" t="s">
        <v>255</v>
      </c>
      <c r="R88" s="110"/>
      <c r="S88" s="110"/>
      <c r="T88" s="110"/>
      <c r="U88" s="110"/>
      <c r="V88" s="92"/>
      <c r="W88" s="92"/>
      <c r="X88" s="92"/>
      <c r="Y88" s="92"/>
      <c r="Z88" s="92"/>
      <c r="AA88" s="92"/>
      <c r="AB88" s="92"/>
      <c r="AC88" s="92"/>
      <c r="AD88" s="92"/>
      <c r="AE88" s="92"/>
      <c r="AF88" s="92"/>
      <c r="AG88" s="92"/>
      <c r="AH88" s="92"/>
      <c r="AI88" s="92"/>
      <c r="AJ88" s="92"/>
      <c r="AK88" s="92"/>
      <c r="AL88" s="92"/>
      <c r="AM88" s="92"/>
      <c r="AN88" s="92"/>
      <c r="AO88" s="92"/>
      <c r="AP88" s="92"/>
      <c r="AQ88" s="92"/>
      <c r="AR88" s="92"/>
      <c r="AS88" s="92"/>
      <c r="AT88" s="92"/>
      <c r="AU88" s="92"/>
      <c r="AV88" s="92"/>
      <c r="AW88" s="92"/>
      <c r="AX88" s="92"/>
      <c r="AY88" s="92"/>
      <c r="AZ88" s="92"/>
      <c r="BA88" s="92"/>
      <c r="BB88" s="92"/>
      <c r="BC88" s="92"/>
      <c r="BD88" s="92"/>
      <c r="BE88" s="92"/>
      <c r="BF88" s="92"/>
      <c r="BG88" s="92"/>
      <c r="BH88" s="92"/>
      <c r="BI88" s="92"/>
      <c r="BJ88" s="92"/>
      <c r="BK88" s="92"/>
    </row>
    <row r="89" spans="1:63" s="30" customFormat="1" ht="15.75">
      <c r="A89" s="36" t="s">
        <v>256</v>
      </c>
      <c r="B89" s="108">
        <v>0</v>
      </c>
      <c r="C89" s="108">
        <f t="shared" si="23"/>
        <v>0</v>
      </c>
      <c r="D89" s="108">
        <v>50</v>
      </c>
      <c r="E89" s="108">
        <f t="shared" si="24"/>
        <v>650</v>
      </c>
      <c r="F89" s="108"/>
      <c r="G89" s="108"/>
      <c r="H89" s="108"/>
      <c r="I89" s="108"/>
      <c r="J89" s="105" t="s">
        <v>256</v>
      </c>
      <c r="K89" s="109">
        <v>220</v>
      </c>
      <c r="L89" s="109">
        <v>2860</v>
      </c>
      <c r="M89" s="109">
        <v>150</v>
      </c>
      <c r="N89" s="109">
        <v>1300</v>
      </c>
      <c r="O89" s="109">
        <v>50</v>
      </c>
      <c r="P89" s="109">
        <v>650</v>
      </c>
      <c r="Q89" s="105" t="s">
        <v>256</v>
      </c>
      <c r="R89" s="110"/>
      <c r="S89" s="110"/>
      <c r="T89" s="110"/>
      <c r="U89" s="110"/>
      <c r="V89" s="92"/>
      <c r="W89" s="92"/>
      <c r="X89" s="92"/>
      <c r="Y89" s="92"/>
      <c r="Z89" s="92"/>
      <c r="AA89" s="92"/>
      <c r="AB89" s="92"/>
      <c r="AC89" s="92"/>
      <c r="AD89" s="92"/>
      <c r="AE89" s="92"/>
      <c r="AF89" s="92"/>
      <c r="AG89" s="92"/>
      <c r="AH89" s="92"/>
      <c r="AI89" s="92"/>
      <c r="AJ89" s="92"/>
      <c r="AK89" s="92"/>
      <c r="AL89" s="92"/>
      <c r="AM89" s="92"/>
      <c r="AN89" s="92"/>
      <c r="AO89" s="92"/>
      <c r="AP89" s="92"/>
      <c r="AQ89" s="92"/>
      <c r="AR89" s="92"/>
      <c r="AS89" s="92"/>
      <c r="AT89" s="92"/>
      <c r="AU89" s="92"/>
      <c r="AV89" s="92"/>
      <c r="AW89" s="92"/>
      <c r="AX89" s="92"/>
      <c r="AY89" s="92"/>
      <c r="AZ89" s="92"/>
      <c r="BA89" s="92"/>
      <c r="BB89" s="92"/>
      <c r="BC89" s="92"/>
      <c r="BD89" s="92"/>
      <c r="BE89" s="92"/>
      <c r="BF89" s="92"/>
      <c r="BG89" s="92"/>
      <c r="BH89" s="92"/>
      <c r="BI89" s="92"/>
      <c r="BJ89" s="92"/>
      <c r="BK89" s="92"/>
    </row>
    <row r="90" spans="1:63" s="30" customFormat="1" ht="15.75">
      <c r="A90" s="36" t="s">
        <v>257</v>
      </c>
      <c r="B90" s="111"/>
      <c r="C90" s="111"/>
      <c r="D90" s="111"/>
      <c r="E90" s="111"/>
      <c r="F90" s="108"/>
      <c r="G90" s="108"/>
      <c r="H90" s="108"/>
      <c r="I90" s="108"/>
      <c r="J90" s="105" t="s">
        <v>257</v>
      </c>
      <c r="K90" s="109">
        <v>650</v>
      </c>
      <c r="L90" s="109">
        <v>8450</v>
      </c>
      <c r="M90" s="109">
        <v>170</v>
      </c>
      <c r="N90" s="109">
        <v>1950</v>
      </c>
      <c r="O90" s="109">
        <v>50</v>
      </c>
      <c r="P90" s="109">
        <v>650</v>
      </c>
      <c r="Q90" s="105" t="s">
        <v>257</v>
      </c>
      <c r="R90" s="110"/>
      <c r="S90" s="110"/>
      <c r="T90" s="110"/>
      <c r="U90" s="110"/>
      <c r="V90" s="92"/>
      <c r="W90" s="92"/>
      <c r="X90" s="92"/>
      <c r="Y90" s="92"/>
      <c r="Z90" s="92"/>
      <c r="AA90" s="92"/>
      <c r="AB90" s="92"/>
      <c r="AC90" s="92"/>
      <c r="AD90" s="92"/>
      <c r="AE90" s="92"/>
      <c r="AF90" s="92"/>
      <c r="AG90" s="92"/>
      <c r="AH90" s="92"/>
      <c r="AI90" s="92"/>
      <c r="AJ90" s="92"/>
      <c r="AK90" s="92"/>
      <c r="AL90" s="92"/>
      <c r="AM90" s="92"/>
      <c r="AN90" s="92"/>
      <c r="AO90" s="92"/>
      <c r="AP90" s="92"/>
      <c r="AQ90" s="92"/>
      <c r="AR90" s="92"/>
      <c r="AS90" s="92"/>
      <c r="AT90" s="92"/>
      <c r="AU90" s="92"/>
      <c r="AV90" s="92"/>
      <c r="AW90" s="92"/>
      <c r="AX90" s="92"/>
      <c r="AY90" s="92"/>
      <c r="AZ90" s="92"/>
      <c r="BA90" s="92"/>
      <c r="BB90" s="92"/>
      <c r="BC90" s="92"/>
      <c r="BD90" s="92"/>
      <c r="BE90" s="92"/>
      <c r="BF90" s="92"/>
      <c r="BG90" s="92"/>
      <c r="BH90" s="92"/>
      <c r="BI90" s="92"/>
      <c r="BJ90" s="92"/>
      <c r="BK90" s="92"/>
    </row>
    <row r="91" spans="1:63" s="30" customFormat="1" ht="15.75">
      <c r="A91" s="36" t="s">
        <v>258</v>
      </c>
      <c r="B91" s="108">
        <v>0</v>
      </c>
      <c r="C91" s="108">
        <f>B91*13</f>
        <v>0</v>
      </c>
      <c r="D91" s="108">
        <v>50</v>
      </c>
      <c r="E91" s="108">
        <f>D91*13</f>
        <v>650</v>
      </c>
      <c r="F91" s="108"/>
      <c r="G91" s="108"/>
      <c r="H91" s="108"/>
      <c r="I91" s="108"/>
      <c r="J91" s="105" t="s">
        <v>259</v>
      </c>
      <c r="K91" s="109">
        <v>120</v>
      </c>
      <c r="L91" s="109">
        <f t="shared" ref="L91:L99" si="25">K91*13.5</f>
        <v>1620</v>
      </c>
      <c r="M91" s="109"/>
      <c r="N91" s="109"/>
      <c r="O91" s="109"/>
      <c r="P91" s="109"/>
      <c r="Q91" s="105" t="s">
        <v>259</v>
      </c>
      <c r="R91" s="110">
        <v>30</v>
      </c>
      <c r="S91" s="110">
        <f t="shared" ref="S91:S100" si="26">R91*14</f>
        <v>420</v>
      </c>
      <c r="T91" s="110">
        <v>50</v>
      </c>
      <c r="U91" s="110">
        <f>T91*13.5</f>
        <v>675</v>
      </c>
      <c r="V91" s="92"/>
      <c r="W91" s="92"/>
      <c r="X91" s="92"/>
      <c r="Y91" s="92"/>
      <c r="Z91" s="92"/>
      <c r="AA91" s="92"/>
      <c r="AB91" s="92"/>
      <c r="AC91" s="92"/>
      <c r="AD91" s="92"/>
      <c r="AE91" s="92"/>
      <c r="AF91" s="92"/>
      <c r="AG91" s="92"/>
      <c r="AH91" s="92"/>
      <c r="AI91" s="92"/>
      <c r="AJ91" s="92"/>
      <c r="AK91" s="92"/>
      <c r="AL91" s="92"/>
      <c r="AM91" s="92"/>
      <c r="AN91" s="92"/>
      <c r="AO91" s="92"/>
      <c r="AP91" s="92"/>
      <c r="AQ91" s="92"/>
      <c r="AR91" s="92"/>
      <c r="AS91" s="92"/>
      <c r="AT91" s="92"/>
      <c r="AU91" s="92"/>
      <c r="AV91" s="92"/>
      <c r="AW91" s="92"/>
      <c r="AX91" s="92"/>
      <c r="AY91" s="92"/>
      <c r="AZ91" s="92"/>
      <c r="BA91" s="92"/>
      <c r="BB91" s="92"/>
      <c r="BC91" s="92"/>
      <c r="BD91" s="92"/>
      <c r="BE91" s="92"/>
      <c r="BF91" s="92"/>
      <c r="BG91" s="92"/>
      <c r="BH91" s="92"/>
      <c r="BI91" s="92"/>
      <c r="BJ91" s="92"/>
      <c r="BK91" s="92"/>
    </row>
    <row r="92" spans="1:63" s="30" customFormat="1" ht="15.75">
      <c r="A92" s="36" t="s">
        <v>260</v>
      </c>
      <c r="B92" s="108">
        <v>0</v>
      </c>
      <c r="C92" s="108">
        <f>B92*13</f>
        <v>0</v>
      </c>
      <c r="D92" s="108">
        <v>50</v>
      </c>
      <c r="E92" s="108">
        <f>D92*13</f>
        <v>650</v>
      </c>
      <c r="F92" s="108"/>
      <c r="G92" s="108"/>
      <c r="H92" s="108"/>
      <c r="I92" s="108"/>
      <c r="J92" s="105" t="s">
        <v>151</v>
      </c>
      <c r="K92" s="109">
        <v>80</v>
      </c>
      <c r="L92" s="109">
        <f t="shared" si="25"/>
        <v>1080</v>
      </c>
      <c r="M92" s="109"/>
      <c r="N92" s="109"/>
      <c r="O92" s="109"/>
      <c r="P92" s="109"/>
      <c r="Q92" s="105" t="s">
        <v>151</v>
      </c>
      <c r="R92" s="110">
        <v>100</v>
      </c>
      <c r="S92" s="110">
        <f t="shared" si="26"/>
        <v>1400</v>
      </c>
      <c r="T92" s="110">
        <v>30</v>
      </c>
      <c r="U92" s="110">
        <f>T92*13.5</f>
        <v>405</v>
      </c>
      <c r="V92" s="92"/>
      <c r="W92" s="92"/>
      <c r="X92" s="92"/>
      <c r="Y92" s="92"/>
      <c r="Z92" s="92"/>
      <c r="AA92" s="92"/>
      <c r="AB92" s="92"/>
      <c r="AC92" s="92"/>
      <c r="AD92" s="92"/>
      <c r="AE92" s="92"/>
      <c r="AF92" s="92"/>
      <c r="AG92" s="92"/>
      <c r="AH92" s="92"/>
      <c r="AI92" s="92"/>
      <c r="AJ92" s="92"/>
      <c r="AK92" s="92"/>
      <c r="AL92" s="92"/>
      <c r="AM92" s="92"/>
      <c r="AN92" s="92"/>
      <c r="AO92" s="92"/>
      <c r="AP92" s="92"/>
      <c r="AQ92" s="92"/>
      <c r="AR92" s="92"/>
      <c r="AS92" s="92"/>
      <c r="AT92" s="92"/>
      <c r="AU92" s="92"/>
      <c r="AV92" s="92"/>
      <c r="AW92" s="92"/>
      <c r="AX92" s="92"/>
      <c r="AY92" s="92"/>
      <c r="AZ92" s="92"/>
      <c r="BA92" s="92"/>
      <c r="BB92" s="92"/>
      <c r="BC92" s="92"/>
      <c r="BD92" s="92"/>
      <c r="BE92" s="92"/>
      <c r="BF92" s="92"/>
      <c r="BG92" s="92"/>
      <c r="BH92" s="92"/>
      <c r="BI92" s="92"/>
      <c r="BJ92" s="92"/>
      <c r="BK92" s="92"/>
    </row>
    <row r="93" spans="1:63" s="30" customFormat="1" ht="15.75">
      <c r="A93" s="36" t="s">
        <v>152</v>
      </c>
      <c r="B93" s="108">
        <v>0</v>
      </c>
      <c r="C93" s="108">
        <f>B93*13</f>
        <v>0</v>
      </c>
      <c r="D93" s="108">
        <v>50</v>
      </c>
      <c r="E93" s="108">
        <f>D93*13</f>
        <v>650</v>
      </c>
      <c r="F93" s="108"/>
      <c r="G93" s="108"/>
      <c r="H93" s="108"/>
      <c r="I93" s="108"/>
      <c r="J93" s="105" t="s">
        <v>261</v>
      </c>
      <c r="K93" s="109">
        <v>50</v>
      </c>
      <c r="L93" s="109">
        <f>K93*13.5</f>
        <v>675</v>
      </c>
      <c r="M93" s="109"/>
      <c r="N93" s="109"/>
      <c r="O93" s="109"/>
      <c r="P93" s="109"/>
      <c r="Q93" s="105" t="s">
        <v>261</v>
      </c>
      <c r="R93" s="110">
        <v>50</v>
      </c>
      <c r="S93" s="110">
        <f>R93*14</f>
        <v>700</v>
      </c>
      <c r="T93" s="110"/>
      <c r="U93" s="110"/>
      <c r="V93" s="92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  <c r="AI93" s="92"/>
      <c r="AJ93" s="92"/>
      <c r="AK93" s="92"/>
      <c r="AL93" s="92"/>
      <c r="AM93" s="92"/>
      <c r="AN93" s="92"/>
      <c r="AO93" s="92"/>
      <c r="AP93" s="92"/>
      <c r="AQ93" s="92"/>
      <c r="AR93" s="92"/>
      <c r="AS93" s="92"/>
      <c r="AT93" s="92"/>
      <c r="AU93" s="92"/>
      <c r="AV93" s="92"/>
      <c r="AW93" s="92"/>
      <c r="AX93" s="92"/>
      <c r="AY93" s="92"/>
      <c r="AZ93" s="92"/>
      <c r="BA93" s="92"/>
      <c r="BB93" s="92"/>
      <c r="BC93" s="92"/>
      <c r="BD93" s="92"/>
      <c r="BE93" s="92"/>
      <c r="BF93" s="92"/>
      <c r="BG93" s="92"/>
      <c r="BH93" s="92"/>
      <c r="BI93" s="92"/>
      <c r="BJ93" s="92"/>
      <c r="BK93" s="92"/>
    </row>
    <row r="94" spans="1:63" s="30" customFormat="1" ht="15.75">
      <c r="A94" s="36" t="s">
        <v>262</v>
      </c>
      <c r="B94" s="108">
        <v>0</v>
      </c>
      <c r="C94" s="108">
        <f>B94*13</f>
        <v>0</v>
      </c>
      <c r="D94" s="108">
        <v>50</v>
      </c>
      <c r="E94" s="108">
        <f>D94*13</f>
        <v>650</v>
      </c>
      <c r="F94" s="112"/>
      <c r="G94" s="112"/>
      <c r="H94" s="112"/>
      <c r="I94" s="112"/>
      <c r="J94" s="105" t="s">
        <v>263</v>
      </c>
      <c r="K94" s="109">
        <v>50</v>
      </c>
      <c r="L94" s="109">
        <f>K94*13.5</f>
        <v>675</v>
      </c>
      <c r="M94" s="109"/>
      <c r="N94" s="109"/>
      <c r="O94" s="109"/>
      <c r="P94" s="109"/>
      <c r="Q94" s="105" t="s">
        <v>263</v>
      </c>
      <c r="R94" s="110">
        <v>50</v>
      </c>
      <c r="S94" s="110">
        <f>R94*14</f>
        <v>700</v>
      </c>
      <c r="T94" s="110"/>
      <c r="U94" s="110"/>
      <c r="V94" s="92"/>
      <c r="W94" s="92"/>
      <c r="X94" s="92"/>
      <c r="Y94" s="92"/>
      <c r="Z94" s="92"/>
      <c r="AA94" s="92"/>
      <c r="AB94" s="92"/>
      <c r="AC94" s="92"/>
      <c r="AD94" s="92"/>
      <c r="AE94" s="92"/>
      <c r="AF94" s="92"/>
      <c r="AG94" s="92"/>
      <c r="AH94" s="92"/>
      <c r="AI94" s="92"/>
      <c r="AJ94" s="92"/>
      <c r="AK94" s="92"/>
      <c r="AL94" s="92"/>
      <c r="AM94" s="92"/>
      <c r="AN94" s="92"/>
      <c r="AO94" s="92"/>
      <c r="AP94" s="92"/>
      <c r="AQ94" s="92"/>
      <c r="AR94" s="92"/>
      <c r="AS94" s="92"/>
      <c r="AT94" s="92"/>
      <c r="AU94" s="92"/>
      <c r="AV94" s="92"/>
      <c r="AW94" s="92"/>
      <c r="AX94" s="92"/>
      <c r="AY94" s="92"/>
      <c r="AZ94" s="92"/>
      <c r="BA94" s="92"/>
      <c r="BB94" s="92"/>
      <c r="BC94" s="92"/>
      <c r="BD94" s="92"/>
      <c r="BE94" s="92"/>
      <c r="BF94" s="92"/>
      <c r="BG94" s="92"/>
      <c r="BH94" s="92"/>
      <c r="BI94" s="92"/>
      <c r="BJ94" s="92"/>
      <c r="BK94" s="92"/>
    </row>
    <row r="95" spans="1:63" s="30" customFormat="1" ht="15.75">
      <c r="A95" s="36" t="s">
        <v>264</v>
      </c>
      <c r="B95" s="112"/>
      <c r="C95" s="112"/>
      <c r="D95" s="112"/>
      <c r="E95" s="108"/>
      <c r="F95" s="112"/>
      <c r="G95" s="112"/>
      <c r="H95" s="112"/>
      <c r="I95" s="112"/>
      <c r="J95" s="105" t="s">
        <v>264</v>
      </c>
      <c r="K95" s="109">
        <v>40</v>
      </c>
      <c r="L95" s="109">
        <f t="shared" si="25"/>
        <v>540</v>
      </c>
      <c r="M95" s="109"/>
      <c r="N95" s="109"/>
      <c r="O95" s="109"/>
      <c r="P95" s="109"/>
      <c r="Q95" s="105" t="s">
        <v>264</v>
      </c>
      <c r="R95" s="110">
        <v>30</v>
      </c>
      <c r="S95" s="110">
        <f t="shared" si="26"/>
        <v>420</v>
      </c>
      <c r="T95" s="110"/>
      <c r="U95" s="110"/>
      <c r="V95" s="92"/>
      <c r="W95" s="92"/>
      <c r="X95" s="92"/>
      <c r="Y95" s="92"/>
      <c r="Z95" s="92"/>
      <c r="AA95" s="92"/>
      <c r="AB95" s="92"/>
      <c r="AC95" s="92"/>
      <c r="AD95" s="92"/>
      <c r="AE95" s="92"/>
      <c r="AF95" s="92"/>
      <c r="AG95" s="92"/>
      <c r="AH95" s="92"/>
      <c r="AI95" s="92"/>
      <c r="AJ95" s="92"/>
      <c r="AK95" s="92"/>
      <c r="AL95" s="92"/>
      <c r="AM95" s="92"/>
      <c r="AN95" s="92"/>
      <c r="AO95" s="92"/>
      <c r="AP95" s="92"/>
      <c r="AQ95" s="92"/>
      <c r="AR95" s="92"/>
      <c r="AS95" s="92"/>
      <c r="AT95" s="92"/>
      <c r="AU95" s="92"/>
      <c r="AV95" s="92"/>
      <c r="AW95" s="92"/>
      <c r="AX95" s="92"/>
      <c r="AY95" s="92"/>
      <c r="AZ95" s="92"/>
      <c r="BA95" s="92"/>
      <c r="BB95" s="92"/>
      <c r="BC95" s="92"/>
      <c r="BD95" s="92"/>
      <c r="BE95" s="92"/>
      <c r="BF95" s="92"/>
      <c r="BG95" s="92"/>
      <c r="BH95" s="92"/>
      <c r="BI95" s="92"/>
      <c r="BJ95" s="92"/>
      <c r="BK95" s="92"/>
    </row>
    <row r="96" spans="1:63" s="30" customFormat="1" ht="15.75">
      <c r="A96" s="36" t="s">
        <v>265</v>
      </c>
      <c r="B96" s="112"/>
      <c r="C96" s="112"/>
      <c r="D96" s="112"/>
      <c r="E96" s="108"/>
      <c r="F96" s="112"/>
      <c r="G96" s="112"/>
      <c r="H96" s="112"/>
      <c r="I96" s="112"/>
      <c r="J96" s="105" t="s">
        <v>265</v>
      </c>
      <c r="K96" s="109">
        <v>40</v>
      </c>
      <c r="L96" s="109">
        <f t="shared" si="25"/>
        <v>540</v>
      </c>
      <c r="M96" s="109"/>
      <c r="N96" s="109"/>
      <c r="O96" s="109"/>
      <c r="P96" s="109"/>
      <c r="Q96" s="105" t="s">
        <v>265</v>
      </c>
      <c r="R96" s="110">
        <v>20</v>
      </c>
      <c r="S96" s="110">
        <f t="shared" si="26"/>
        <v>280</v>
      </c>
      <c r="T96" s="110"/>
      <c r="U96" s="110"/>
      <c r="V96" s="92"/>
      <c r="W96" s="92"/>
      <c r="X96" s="92"/>
      <c r="Y96" s="92"/>
      <c r="Z96" s="92"/>
      <c r="AA96" s="92"/>
      <c r="AB96" s="92"/>
      <c r="AC96" s="92"/>
      <c r="AD96" s="92"/>
      <c r="AE96" s="92"/>
      <c r="AF96" s="92"/>
      <c r="AG96" s="92"/>
      <c r="AH96" s="92"/>
      <c r="AI96" s="92"/>
      <c r="AJ96" s="92"/>
      <c r="AK96" s="92"/>
      <c r="AL96" s="92"/>
      <c r="AM96" s="92"/>
      <c r="AN96" s="92"/>
      <c r="AO96" s="92"/>
      <c r="AP96" s="92"/>
      <c r="AQ96" s="92"/>
      <c r="AR96" s="92"/>
      <c r="AS96" s="92"/>
      <c r="AT96" s="92"/>
      <c r="AU96" s="92"/>
      <c r="AV96" s="92"/>
      <c r="AW96" s="92"/>
      <c r="AX96" s="92"/>
      <c r="AY96" s="92"/>
      <c r="AZ96" s="92"/>
      <c r="BA96" s="92"/>
      <c r="BB96" s="92"/>
      <c r="BC96" s="92"/>
      <c r="BD96" s="92"/>
      <c r="BE96" s="92"/>
      <c r="BF96" s="92"/>
      <c r="BG96" s="92"/>
      <c r="BH96" s="92"/>
      <c r="BI96" s="92"/>
      <c r="BJ96" s="92"/>
      <c r="BK96" s="92"/>
    </row>
    <row r="97" spans="1:63" s="30" customFormat="1" ht="15.75">
      <c r="A97" s="36" t="s">
        <v>266</v>
      </c>
      <c r="B97" s="112"/>
      <c r="C97" s="112"/>
      <c r="D97" s="112"/>
      <c r="E97" s="108"/>
      <c r="F97" s="112"/>
      <c r="G97" s="112"/>
      <c r="H97" s="112"/>
      <c r="I97" s="112"/>
      <c r="J97" s="105" t="s">
        <v>266</v>
      </c>
      <c r="K97" s="109">
        <v>20</v>
      </c>
      <c r="L97" s="109">
        <f t="shared" si="25"/>
        <v>270</v>
      </c>
      <c r="M97" s="109"/>
      <c r="N97" s="109"/>
      <c r="O97" s="109"/>
      <c r="P97" s="109"/>
      <c r="Q97" s="105" t="s">
        <v>266</v>
      </c>
      <c r="R97" s="110">
        <v>10</v>
      </c>
      <c r="S97" s="110">
        <f t="shared" si="26"/>
        <v>140</v>
      </c>
      <c r="T97" s="110"/>
      <c r="U97" s="110"/>
      <c r="V97" s="92"/>
      <c r="W97" s="92"/>
      <c r="X97" s="92"/>
      <c r="Y97" s="92"/>
      <c r="Z97" s="92"/>
      <c r="AA97" s="92"/>
      <c r="AB97" s="92"/>
      <c r="AC97" s="92"/>
      <c r="AD97" s="92"/>
      <c r="AE97" s="92"/>
      <c r="AF97" s="92"/>
      <c r="AG97" s="92"/>
      <c r="AH97" s="92"/>
      <c r="AI97" s="92"/>
      <c r="AJ97" s="92"/>
      <c r="AK97" s="92"/>
      <c r="AL97" s="92"/>
      <c r="AM97" s="92"/>
      <c r="AN97" s="92"/>
      <c r="AO97" s="92"/>
      <c r="AP97" s="92"/>
      <c r="AQ97" s="92"/>
      <c r="AR97" s="92"/>
      <c r="AS97" s="92"/>
      <c r="AT97" s="92"/>
      <c r="AU97" s="92"/>
      <c r="AV97" s="92"/>
      <c r="AW97" s="92"/>
      <c r="AX97" s="92"/>
      <c r="AY97" s="92"/>
      <c r="AZ97" s="92"/>
      <c r="BA97" s="92"/>
      <c r="BB97" s="92"/>
      <c r="BC97" s="92"/>
      <c r="BD97" s="92"/>
      <c r="BE97" s="92"/>
      <c r="BF97" s="92"/>
      <c r="BG97" s="92"/>
      <c r="BH97" s="92"/>
      <c r="BI97" s="92"/>
      <c r="BJ97" s="92"/>
      <c r="BK97" s="92"/>
    </row>
    <row r="98" spans="1:63" s="30" customFormat="1" ht="15.75">
      <c r="A98" s="36" t="s">
        <v>267</v>
      </c>
      <c r="B98" s="112"/>
      <c r="C98" s="112"/>
      <c r="D98" s="112"/>
      <c r="E98" s="108"/>
      <c r="F98" s="112"/>
      <c r="G98" s="112"/>
      <c r="H98" s="112"/>
      <c r="I98" s="112"/>
      <c r="J98" s="105" t="s">
        <v>267</v>
      </c>
      <c r="K98" s="109"/>
      <c r="L98" s="109"/>
      <c r="M98" s="109"/>
      <c r="N98" s="109"/>
      <c r="O98" s="109"/>
      <c r="P98" s="109"/>
      <c r="Q98" s="105" t="s">
        <v>267</v>
      </c>
      <c r="R98" s="110">
        <v>80</v>
      </c>
      <c r="S98" s="110">
        <f t="shared" si="26"/>
        <v>1120</v>
      </c>
      <c r="T98" s="110"/>
      <c r="U98" s="110"/>
      <c r="V98" s="92"/>
      <c r="W98" s="92"/>
      <c r="X98" s="92"/>
      <c r="Y98" s="92"/>
      <c r="Z98" s="92"/>
      <c r="AA98" s="92"/>
      <c r="AB98" s="92"/>
      <c r="AC98" s="92"/>
      <c r="AD98" s="92"/>
      <c r="AE98" s="92"/>
      <c r="AF98" s="92"/>
      <c r="AG98" s="92"/>
      <c r="AH98" s="92"/>
      <c r="AI98" s="92"/>
      <c r="AJ98" s="92"/>
      <c r="AK98" s="92"/>
      <c r="AL98" s="92"/>
      <c r="AM98" s="92"/>
      <c r="AN98" s="92"/>
      <c r="AO98" s="92"/>
      <c r="AP98" s="92"/>
      <c r="AQ98" s="92"/>
      <c r="AR98" s="92"/>
      <c r="AS98" s="92"/>
      <c r="AT98" s="92"/>
      <c r="AU98" s="92"/>
      <c r="AV98" s="92"/>
      <c r="AW98" s="92"/>
      <c r="AX98" s="92"/>
      <c r="AY98" s="92"/>
      <c r="AZ98" s="92"/>
      <c r="BA98" s="92"/>
      <c r="BB98" s="92"/>
      <c r="BC98" s="92"/>
      <c r="BD98" s="92"/>
      <c r="BE98" s="92"/>
      <c r="BF98" s="92"/>
      <c r="BG98" s="92"/>
      <c r="BH98" s="92"/>
      <c r="BI98" s="92"/>
      <c r="BJ98" s="92"/>
      <c r="BK98" s="92"/>
    </row>
    <row r="99" spans="1:63" s="30" customFormat="1" ht="15.75">
      <c r="A99" s="36" t="s">
        <v>268</v>
      </c>
      <c r="B99" s="112"/>
      <c r="C99" s="112"/>
      <c r="D99" s="112">
        <v>50</v>
      </c>
      <c r="E99" s="108">
        <f t="shared" ref="E99" si="27">D99*13</f>
        <v>650</v>
      </c>
      <c r="F99" s="112"/>
      <c r="G99" s="112"/>
      <c r="H99" s="112"/>
      <c r="I99" s="112"/>
      <c r="J99" s="105" t="s">
        <v>269</v>
      </c>
      <c r="K99" s="109">
        <v>45</v>
      </c>
      <c r="L99" s="109">
        <f t="shared" si="25"/>
        <v>607.5</v>
      </c>
      <c r="M99" s="109"/>
      <c r="N99" s="109"/>
      <c r="O99" s="109"/>
      <c r="P99" s="109"/>
      <c r="Q99" s="105" t="s">
        <v>269</v>
      </c>
      <c r="R99" s="110"/>
      <c r="S99" s="110"/>
      <c r="T99" s="110"/>
      <c r="U99" s="110"/>
      <c r="V99" s="92"/>
      <c r="W99" s="92"/>
      <c r="X99" s="92"/>
      <c r="Y99" s="92"/>
      <c r="Z99" s="92"/>
      <c r="AA99" s="92"/>
      <c r="AB99" s="92"/>
      <c r="AC99" s="92"/>
      <c r="AD99" s="92"/>
      <c r="AE99" s="92"/>
      <c r="AF99" s="92"/>
      <c r="AG99" s="92"/>
      <c r="AH99" s="92"/>
      <c r="AI99" s="92"/>
      <c r="AJ99" s="92"/>
      <c r="AK99" s="92"/>
      <c r="AL99" s="92"/>
      <c r="AM99" s="92"/>
      <c r="AN99" s="92"/>
      <c r="AO99" s="92"/>
      <c r="AP99" s="92"/>
      <c r="AQ99" s="92"/>
      <c r="AR99" s="92"/>
      <c r="AS99" s="92"/>
      <c r="AT99" s="92"/>
      <c r="AU99" s="92"/>
      <c r="AV99" s="92"/>
      <c r="AW99" s="92"/>
      <c r="AX99" s="92"/>
      <c r="AY99" s="92"/>
      <c r="AZ99" s="92"/>
      <c r="BA99" s="92"/>
      <c r="BB99" s="92"/>
      <c r="BC99" s="92"/>
      <c r="BD99" s="92"/>
      <c r="BE99" s="92"/>
      <c r="BF99" s="92"/>
      <c r="BG99" s="92"/>
      <c r="BH99" s="92"/>
      <c r="BI99" s="92"/>
      <c r="BJ99" s="92"/>
      <c r="BK99" s="92"/>
    </row>
    <row r="100" spans="1:63" s="30" customFormat="1" ht="15.75">
      <c r="A100" s="36" t="s">
        <v>270</v>
      </c>
      <c r="B100" s="112"/>
      <c r="C100" s="112"/>
      <c r="D100" s="112"/>
      <c r="E100" s="112"/>
      <c r="F100" s="112"/>
      <c r="G100" s="112"/>
      <c r="H100" s="112"/>
      <c r="I100" s="112"/>
      <c r="J100" s="105" t="s">
        <v>270</v>
      </c>
      <c r="K100" s="109"/>
      <c r="L100" s="109"/>
      <c r="M100" s="109"/>
      <c r="N100" s="109"/>
      <c r="O100" s="109"/>
      <c r="P100" s="109"/>
      <c r="Q100" s="105" t="s">
        <v>271</v>
      </c>
      <c r="R100" s="110">
        <v>230</v>
      </c>
      <c r="S100" s="110">
        <f t="shared" si="26"/>
        <v>3220</v>
      </c>
      <c r="T100" s="110"/>
      <c r="U100" s="110"/>
      <c r="V100" s="92"/>
      <c r="W100" s="92"/>
      <c r="X100" s="92"/>
      <c r="Y100" s="92"/>
      <c r="Z100" s="92"/>
      <c r="AA100" s="92"/>
      <c r="AB100" s="92"/>
      <c r="AC100" s="92"/>
      <c r="AD100" s="92"/>
      <c r="AE100" s="92"/>
      <c r="AF100" s="92"/>
      <c r="AG100" s="92"/>
      <c r="AH100" s="92"/>
      <c r="AI100" s="92"/>
      <c r="AJ100" s="92"/>
      <c r="AK100" s="92"/>
      <c r="AL100" s="92"/>
      <c r="AM100" s="92"/>
      <c r="AN100" s="92"/>
      <c r="AO100" s="92"/>
      <c r="AP100" s="92"/>
      <c r="AQ100" s="92"/>
      <c r="AR100" s="92"/>
      <c r="AS100" s="92"/>
      <c r="AT100" s="92"/>
      <c r="AU100" s="92"/>
      <c r="AV100" s="92"/>
      <c r="AW100" s="92"/>
      <c r="AX100" s="92"/>
      <c r="AY100" s="92"/>
      <c r="AZ100" s="92"/>
      <c r="BA100" s="92"/>
      <c r="BB100" s="92"/>
      <c r="BC100" s="92"/>
      <c r="BD100" s="92"/>
      <c r="BE100" s="92"/>
      <c r="BF100" s="92"/>
      <c r="BG100" s="92"/>
      <c r="BH100" s="92"/>
      <c r="BI100" s="92"/>
      <c r="BJ100" s="92"/>
      <c r="BK100" s="92"/>
    </row>
    <row r="101" spans="1:63" s="30" customFormat="1" ht="15.75">
      <c r="A101" s="36" t="s">
        <v>272</v>
      </c>
      <c r="B101" s="102">
        <f t="shared" ref="B101:I101" si="28">SUM(B81:B100)</f>
        <v>350</v>
      </c>
      <c r="C101" s="102">
        <f t="shared" si="28"/>
        <v>4550</v>
      </c>
      <c r="D101" s="102">
        <f t="shared" si="28"/>
        <v>1600</v>
      </c>
      <c r="E101" s="102">
        <f t="shared" si="28"/>
        <v>20800</v>
      </c>
      <c r="F101" s="102">
        <f t="shared" si="28"/>
        <v>150</v>
      </c>
      <c r="G101" s="102">
        <f t="shared" si="28"/>
        <v>1950</v>
      </c>
      <c r="H101" s="102">
        <f t="shared" si="28"/>
        <v>50</v>
      </c>
      <c r="I101" s="102">
        <f t="shared" si="28"/>
        <v>650</v>
      </c>
      <c r="J101" s="105" t="s">
        <v>272</v>
      </c>
      <c r="K101" s="102">
        <f>SUM(K81:K100)</f>
        <v>1315</v>
      </c>
      <c r="L101" s="102">
        <f>SUM(L81:L100)</f>
        <v>17317.5</v>
      </c>
      <c r="M101" s="102">
        <f t="shared" ref="M101:N101" si="29">SUM(M81:M100)</f>
        <v>320</v>
      </c>
      <c r="N101" s="102">
        <f t="shared" si="29"/>
        <v>3250</v>
      </c>
      <c r="O101" s="102">
        <f>SUM(O81:O100)</f>
        <v>100</v>
      </c>
      <c r="P101" s="102">
        <f>SUM(P81:P100)</f>
        <v>1300</v>
      </c>
      <c r="Q101" s="105" t="s">
        <v>272</v>
      </c>
      <c r="R101" s="102">
        <f>SUM(R81:R100)</f>
        <v>600</v>
      </c>
      <c r="S101" s="102">
        <f>SUM(S81:S100)</f>
        <v>8400</v>
      </c>
      <c r="T101" s="102">
        <f>SUM(T81:T100)</f>
        <v>80</v>
      </c>
      <c r="U101" s="102">
        <f>SUM(U81:U100)</f>
        <v>1080</v>
      </c>
      <c r="V101" s="92"/>
      <c r="W101" s="92"/>
      <c r="X101" s="92"/>
      <c r="Y101" s="92"/>
      <c r="Z101" s="92"/>
      <c r="AA101" s="92"/>
      <c r="AB101" s="92"/>
      <c r="AC101" s="92"/>
      <c r="AD101" s="92"/>
      <c r="AE101" s="92"/>
      <c r="AF101" s="92"/>
      <c r="AG101" s="92"/>
      <c r="AH101" s="92"/>
      <c r="AI101" s="92"/>
      <c r="AJ101" s="92"/>
      <c r="AK101" s="92"/>
      <c r="AL101" s="92"/>
      <c r="AM101" s="92"/>
      <c r="AN101" s="92"/>
      <c r="AO101" s="92"/>
      <c r="AP101" s="92"/>
      <c r="AQ101" s="92"/>
      <c r="AR101" s="92"/>
      <c r="AS101" s="92"/>
      <c r="AT101" s="92"/>
      <c r="AU101" s="92"/>
      <c r="AV101" s="92"/>
      <c r="AW101" s="92"/>
      <c r="AX101" s="92"/>
      <c r="AY101" s="92"/>
      <c r="AZ101" s="92"/>
      <c r="BA101" s="92"/>
      <c r="BB101" s="92"/>
      <c r="BC101" s="92"/>
      <c r="BD101" s="92"/>
      <c r="BE101" s="92"/>
      <c r="BF101" s="92"/>
      <c r="BG101" s="92"/>
      <c r="BH101" s="92"/>
      <c r="BI101" s="92"/>
      <c r="BJ101" s="92"/>
      <c r="BK101" s="92"/>
    </row>
    <row r="102" spans="1:63" s="30" customFormat="1">
      <c r="A102" s="25"/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92"/>
      <c r="W102" s="92"/>
      <c r="X102" s="92"/>
      <c r="Y102" s="92"/>
      <c r="Z102" s="92"/>
      <c r="AA102" s="92"/>
      <c r="AB102" s="92"/>
      <c r="AC102" s="92"/>
      <c r="AD102" s="92"/>
      <c r="AE102" s="92"/>
      <c r="AF102" s="92"/>
      <c r="AG102" s="92"/>
      <c r="AH102" s="92"/>
      <c r="AI102" s="92"/>
      <c r="AJ102" s="92"/>
      <c r="AK102" s="92"/>
      <c r="AL102" s="92"/>
      <c r="AM102" s="92"/>
      <c r="AN102" s="92"/>
      <c r="AO102" s="92"/>
      <c r="AP102" s="92"/>
      <c r="AQ102" s="92"/>
      <c r="AR102" s="92"/>
      <c r="AS102" s="92"/>
      <c r="AT102" s="92"/>
      <c r="AU102" s="92"/>
      <c r="AV102" s="92"/>
      <c r="AW102" s="92"/>
      <c r="AX102" s="92"/>
      <c r="AY102" s="92"/>
      <c r="AZ102" s="92"/>
      <c r="BA102" s="92"/>
      <c r="BB102" s="92"/>
      <c r="BC102" s="92"/>
      <c r="BD102" s="92"/>
      <c r="BE102" s="92"/>
      <c r="BF102" s="92"/>
      <c r="BG102" s="92"/>
      <c r="BH102" s="92"/>
      <c r="BI102" s="92"/>
      <c r="BJ102" s="92"/>
      <c r="BK102" s="92"/>
    </row>
    <row r="103" spans="1:63" s="30" customFormat="1">
      <c r="B103" s="92" t="s">
        <v>273</v>
      </c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  <c r="AA103" s="92"/>
      <c r="AB103" s="92"/>
      <c r="AC103" s="92"/>
      <c r="AD103" s="92"/>
      <c r="AE103" s="92"/>
      <c r="AF103" s="92"/>
      <c r="AG103" s="92"/>
      <c r="AH103" s="92"/>
      <c r="AI103" s="92"/>
      <c r="AJ103" s="92"/>
      <c r="AK103" s="92"/>
      <c r="AL103" s="92"/>
      <c r="AM103" s="92"/>
      <c r="AN103" s="92"/>
      <c r="AO103" s="92"/>
      <c r="AP103" s="92"/>
      <c r="AQ103" s="92"/>
      <c r="AR103" s="92"/>
      <c r="AS103" s="92"/>
      <c r="AT103" s="92"/>
      <c r="AU103" s="92"/>
      <c r="AV103" s="92"/>
      <c r="AW103" s="92"/>
      <c r="AX103" s="92"/>
      <c r="AY103" s="92"/>
      <c r="AZ103" s="92"/>
      <c r="BA103" s="92"/>
      <c r="BB103" s="92"/>
      <c r="BC103" s="92"/>
      <c r="BD103" s="92"/>
      <c r="BE103" s="92"/>
      <c r="BF103" s="92"/>
      <c r="BG103" s="92"/>
      <c r="BH103" s="92"/>
      <c r="BI103" s="92"/>
      <c r="BJ103" s="92"/>
      <c r="BK103" s="92"/>
    </row>
    <row r="104" spans="1:63" s="30" customFormat="1" ht="15.75">
      <c r="A104" s="34" t="s">
        <v>274</v>
      </c>
      <c r="B104" s="366" t="s">
        <v>275</v>
      </c>
      <c r="C104" s="366"/>
      <c r="D104" s="366"/>
      <c r="E104" s="366"/>
      <c r="F104" s="366"/>
      <c r="G104" s="366"/>
      <c r="H104" s="366" t="s">
        <v>276</v>
      </c>
      <c r="I104" s="366"/>
      <c r="J104" s="366"/>
      <c r="K104" s="366"/>
      <c r="L104" s="366"/>
      <c r="M104" s="366"/>
      <c r="N104" s="366" t="s">
        <v>277</v>
      </c>
      <c r="O104" s="366"/>
      <c r="P104" s="366"/>
      <c r="Q104" s="366"/>
      <c r="R104" s="366"/>
      <c r="S104" s="366"/>
      <c r="T104" s="366" t="s">
        <v>278</v>
      </c>
      <c r="U104" s="366"/>
      <c r="V104" s="366"/>
      <c r="W104" s="366"/>
      <c r="X104" s="366"/>
      <c r="Y104" s="366"/>
      <c r="Z104" s="366" t="s">
        <v>279</v>
      </c>
      <c r="AA104" s="366"/>
      <c r="AB104" s="366"/>
      <c r="AC104" s="366"/>
      <c r="AD104" s="366"/>
      <c r="AE104" s="366"/>
      <c r="AF104" s="366" t="s">
        <v>280</v>
      </c>
      <c r="AG104" s="366"/>
      <c r="AH104" s="366"/>
      <c r="AI104" s="366"/>
      <c r="AJ104" s="366"/>
      <c r="AK104" s="366"/>
      <c r="AL104" s="92"/>
      <c r="AM104" s="92"/>
      <c r="AN104" s="92"/>
      <c r="AO104" s="92"/>
      <c r="AP104" s="92"/>
      <c r="AQ104" s="92"/>
      <c r="AR104" s="92"/>
      <c r="AS104" s="92"/>
      <c r="AT104" s="92"/>
      <c r="AU104" s="92"/>
      <c r="AV104" s="92"/>
      <c r="AW104" s="92"/>
      <c r="AX104" s="92"/>
      <c r="AY104" s="92"/>
      <c r="AZ104" s="92"/>
      <c r="BA104" s="92"/>
      <c r="BB104" s="92"/>
      <c r="BC104" s="92"/>
      <c r="BD104" s="92"/>
      <c r="BE104" s="92"/>
      <c r="BF104" s="92"/>
      <c r="BG104" s="92"/>
      <c r="BH104" s="92"/>
      <c r="BI104" s="92"/>
      <c r="BJ104" s="92"/>
      <c r="BK104" s="92"/>
    </row>
    <row r="105" spans="1:63" s="30" customFormat="1" ht="15.75">
      <c r="A105" s="374" t="s">
        <v>281</v>
      </c>
      <c r="B105" s="362" t="s">
        <v>282</v>
      </c>
      <c r="C105" s="362"/>
      <c r="D105" s="362" t="s">
        <v>283</v>
      </c>
      <c r="E105" s="362"/>
      <c r="F105" s="362" t="s">
        <v>284</v>
      </c>
      <c r="G105" s="362"/>
      <c r="H105" s="362" t="s">
        <v>282</v>
      </c>
      <c r="I105" s="362"/>
      <c r="J105" s="362" t="s">
        <v>283</v>
      </c>
      <c r="K105" s="362"/>
      <c r="L105" s="362" t="s">
        <v>284</v>
      </c>
      <c r="M105" s="362"/>
      <c r="N105" s="362" t="s">
        <v>282</v>
      </c>
      <c r="O105" s="362"/>
      <c r="P105" s="362" t="s">
        <v>283</v>
      </c>
      <c r="Q105" s="362"/>
      <c r="R105" s="362" t="s">
        <v>284</v>
      </c>
      <c r="S105" s="362"/>
      <c r="T105" s="362" t="s">
        <v>282</v>
      </c>
      <c r="U105" s="362"/>
      <c r="V105" s="362" t="s">
        <v>283</v>
      </c>
      <c r="W105" s="362"/>
      <c r="X105" s="362" t="s">
        <v>284</v>
      </c>
      <c r="Y105" s="362"/>
      <c r="Z105" s="362" t="s">
        <v>282</v>
      </c>
      <c r="AA105" s="362"/>
      <c r="AB105" s="362" t="s">
        <v>283</v>
      </c>
      <c r="AC105" s="362"/>
      <c r="AD105" s="362" t="s">
        <v>284</v>
      </c>
      <c r="AE105" s="362"/>
      <c r="AF105" s="362" t="s">
        <v>282</v>
      </c>
      <c r="AG105" s="362"/>
      <c r="AH105" s="362" t="s">
        <v>283</v>
      </c>
      <c r="AI105" s="362"/>
      <c r="AJ105" s="362" t="s">
        <v>284</v>
      </c>
      <c r="AK105" s="362"/>
      <c r="AL105" s="92"/>
      <c r="AM105" s="92"/>
      <c r="AN105" s="92"/>
      <c r="AO105" s="92"/>
      <c r="AP105" s="92"/>
      <c r="AQ105" s="92"/>
      <c r="AR105" s="92"/>
      <c r="AS105" s="92"/>
      <c r="AT105" s="92"/>
      <c r="AU105" s="92"/>
      <c r="AV105" s="92"/>
      <c r="AW105" s="92"/>
      <c r="AX105" s="92"/>
      <c r="AY105" s="92"/>
      <c r="AZ105" s="92"/>
      <c r="BA105" s="92"/>
      <c r="BB105" s="92"/>
      <c r="BC105" s="92"/>
      <c r="BD105" s="92"/>
      <c r="BE105" s="92"/>
      <c r="BF105" s="92"/>
      <c r="BG105" s="92"/>
      <c r="BH105" s="92"/>
      <c r="BI105" s="92"/>
      <c r="BJ105" s="92"/>
      <c r="BK105" s="92"/>
    </row>
    <row r="106" spans="1:63" s="30" customFormat="1" ht="15.75">
      <c r="A106" s="374"/>
      <c r="B106" s="103" t="s">
        <v>5</v>
      </c>
      <c r="C106" s="103" t="s">
        <v>6</v>
      </c>
      <c r="D106" s="103" t="s">
        <v>5</v>
      </c>
      <c r="E106" s="103" t="s">
        <v>6</v>
      </c>
      <c r="F106" s="103" t="s">
        <v>5</v>
      </c>
      <c r="G106" s="103" t="s">
        <v>6</v>
      </c>
      <c r="H106" s="103" t="s">
        <v>5</v>
      </c>
      <c r="I106" s="103" t="s">
        <v>6</v>
      </c>
      <c r="J106" s="103" t="s">
        <v>5</v>
      </c>
      <c r="K106" s="103" t="s">
        <v>6</v>
      </c>
      <c r="L106" s="103" t="s">
        <v>5</v>
      </c>
      <c r="M106" s="103" t="s">
        <v>6</v>
      </c>
      <c r="N106" s="103" t="s">
        <v>5</v>
      </c>
      <c r="O106" s="103" t="s">
        <v>6</v>
      </c>
      <c r="P106" s="103" t="s">
        <v>5</v>
      </c>
      <c r="Q106" s="103" t="s">
        <v>6</v>
      </c>
      <c r="R106" s="103" t="s">
        <v>5</v>
      </c>
      <c r="S106" s="103" t="s">
        <v>6</v>
      </c>
      <c r="T106" s="103" t="s">
        <v>5</v>
      </c>
      <c r="U106" s="103" t="s">
        <v>6</v>
      </c>
      <c r="V106" s="103" t="s">
        <v>5</v>
      </c>
      <c r="W106" s="103" t="s">
        <v>6</v>
      </c>
      <c r="X106" s="103" t="s">
        <v>5</v>
      </c>
      <c r="Y106" s="103" t="s">
        <v>6</v>
      </c>
      <c r="Z106" s="103" t="s">
        <v>5</v>
      </c>
      <c r="AA106" s="103" t="s">
        <v>6</v>
      </c>
      <c r="AB106" s="103" t="s">
        <v>5</v>
      </c>
      <c r="AC106" s="103" t="s">
        <v>6</v>
      </c>
      <c r="AD106" s="103" t="s">
        <v>5</v>
      </c>
      <c r="AE106" s="103" t="s">
        <v>6</v>
      </c>
      <c r="AF106" s="103" t="s">
        <v>5</v>
      </c>
      <c r="AG106" s="103" t="s">
        <v>6</v>
      </c>
      <c r="AH106" s="103" t="s">
        <v>5</v>
      </c>
      <c r="AI106" s="103" t="s">
        <v>6</v>
      </c>
      <c r="AJ106" s="103" t="s">
        <v>5</v>
      </c>
      <c r="AK106" s="103" t="s">
        <v>6</v>
      </c>
      <c r="AL106" s="92"/>
      <c r="AM106" s="92"/>
      <c r="AN106" s="92"/>
      <c r="AO106" s="92"/>
      <c r="AP106" s="92"/>
      <c r="AQ106" s="92"/>
      <c r="AR106" s="92"/>
      <c r="AS106" s="92"/>
      <c r="AT106" s="92"/>
      <c r="AU106" s="92"/>
      <c r="AV106" s="92"/>
      <c r="AW106" s="92"/>
      <c r="AX106" s="92"/>
      <c r="AY106" s="92"/>
      <c r="AZ106" s="92"/>
      <c r="BA106" s="92"/>
      <c r="BB106" s="92"/>
      <c r="BC106" s="92"/>
      <c r="BD106" s="92"/>
      <c r="BE106" s="92"/>
      <c r="BF106" s="92"/>
      <c r="BG106" s="92"/>
      <c r="BH106" s="92"/>
      <c r="BI106" s="92"/>
      <c r="BJ106" s="92"/>
      <c r="BK106" s="92"/>
    </row>
    <row r="107" spans="1:63" s="30" customFormat="1" ht="15.75">
      <c r="A107" s="35" t="s">
        <v>285</v>
      </c>
      <c r="B107" s="362" t="s">
        <v>286</v>
      </c>
      <c r="C107" s="362"/>
      <c r="D107" s="362"/>
      <c r="E107" s="362"/>
      <c r="F107" s="362"/>
      <c r="G107" s="362"/>
      <c r="H107" s="362" t="s">
        <v>287</v>
      </c>
      <c r="I107" s="362"/>
      <c r="J107" s="362"/>
      <c r="K107" s="362"/>
      <c r="L107" s="362"/>
      <c r="M107" s="362"/>
      <c r="N107" s="381" t="s">
        <v>288</v>
      </c>
      <c r="O107" s="381"/>
      <c r="P107" s="381"/>
      <c r="Q107" s="381"/>
      <c r="R107" s="381"/>
      <c r="S107" s="381"/>
      <c r="T107" s="362" t="s">
        <v>286</v>
      </c>
      <c r="U107" s="362"/>
      <c r="V107" s="362"/>
      <c r="W107" s="362"/>
      <c r="X107" s="362"/>
      <c r="Y107" s="362"/>
      <c r="Z107" s="362" t="s">
        <v>289</v>
      </c>
      <c r="AA107" s="362"/>
      <c r="AB107" s="362"/>
      <c r="AC107" s="362"/>
      <c r="AD107" s="362"/>
      <c r="AE107" s="362"/>
      <c r="AF107" s="362" t="s">
        <v>289</v>
      </c>
      <c r="AG107" s="362"/>
      <c r="AH107" s="362"/>
      <c r="AI107" s="362"/>
      <c r="AJ107" s="362"/>
      <c r="AK107" s="362"/>
      <c r="AL107" s="92"/>
      <c r="AM107" s="92"/>
      <c r="AN107" s="92"/>
      <c r="AO107" s="92"/>
      <c r="AP107" s="92"/>
      <c r="AQ107" s="92"/>
      <c r="AR107" s="92"/>
      <c r="AS107" s="92"/>
      <c r="AT107" s="92"/>
      <c r="AU107" s="92"/>
      <c r="AV107" s="92"/>
      <c r="AW107" s="92"/>
      <c r="AX107" s="92"/>
      <c r="AY107" s="92"/>
      <c r="AZ107" s="92"/>
      <c r="BA107" s="92"/>
      <c r="BB107" s="92"/>
      <c r="BC107" s="92"/>
      <c r="BD107" s="92"/>
      <c r="BE107" s="92"/>
      <c r="BF107" s="92"/>
      <c r="BG107" s="92"/>
      <c r="BH107" s="92"/>
      <c r="BI107" s="92"/>
      <c r="BJ107" s="92"/>
      <c r="BK107" s="92"/>
    </row>
    <row r="108" spans="1:63" s="30" customFormat="1" ht="15.75">
      <c r="A108" s="35" t="s">
        <v>7</v>
      </c>
      <c r="B108" s="103">
        <v>50</v>
      </c>
      <c r="C108" s="103">
        <f>B108*14</f>
        <v>700</v>
      </c>
      <c r="D108" s="103">
        <v>20</v>
      </c>
      <c r="E108" s="103">
        <v>280</v>
      </c>
      <c r="F108" s="103"/>
      <c r="G108" s="103"/>
      <c r="H108" s="103">
        <v>60</v>
      </c>
      <c r="I108" s="103">
        <f>H108*14</f>
        <v>840</v>
      </c>
      <c r="J108" s="103">
        <v>20</v>
      </c>
      <c r="K108" s="103">
        <v>280</v>
      </c>
      <c r="L108" s="103"/>
      <c r="M108" s="103"/>
      <c r="N108" s="103">
        <v>60</v>
      </c>
      <c r="O108" s="103">
        <f>N108*14</f>
        <v>840</v>
      </c>
      <c r="P108" s="103">
        <v>20</v>
      </c>
      <c r="Q108" s="103">
        <v>280</v>
      </c>
      <c r="R108" s="103"/>
      <c r="S108" s="103"/>
      <c r="T108" s="103">
        <v>70</v>
      </c>
      <c r="U108" s="103">
        <f>T108*14</f>
        <v>980</v>
      </c>
      <c r="V108" s="103">
        <v>20</v>
      </c>
      <c r="W108" s="103">
        <v>280</v>
      </c>
      <c r="X108" s="103"/>
      <c r="Y108" s="103"/>
      <c r="Z108" s="103">
        <v>50</v>
      </c>
      <c r="AA108" s="103">
        <f>Z108*14</f>
        <v>700</v>
      </c>
      <c r="AB108" s="103">
        <v>20</v>
      </c>
      <c r="AC108" s="103">
        <v>280</v>
      </c>
      <c r="AD108" s="103"/>
      <c r="AE108" s="103"/>
      <c r="AF108" s="103">
        <v>50</v>
      </c>
      <c r="AG108" s="103">
        <f>AF108*14</f>
        <v>700</v>
      </c>
      <c r="AH108" s="103">
        <v>20</v>
      </c>
      <c r="AI108" s="103">
        <v>280</v>
      </c>
      <c r="AJ108" s="103"/>
      <c r="AK108" s="103"/>
      <c r="AL108" s="92"/>
      <c r="AM108" s="92"/>
      <c r="AN108" s="92"/>
      <c r="AO108" s="92"/>
      <c r="AP108" s="92"/>
      <c r="AQ108" s="92"/>
      <c r="AR108" s="92"/>
      <c r="AS108" s="92"/>
      <c r="AT108" s="92"/>
      <c r="AU108" s="92"/>
      <c r="AV108" s="92"/>
      <c r="AW108" s="92"/>
      <c r="AX108" s="92"/>
      <c r="AY108" s="92"/>
      <c r="AZ108" s="92"/>
      <c r="BA108" s="92"/>
      <c r="BB108" s="92"/>
      <c r="BC108" s="92"/>
      <c r="BD108" s="92"/>
      <c r="BE108" s="92"/>
      <c r="BF108" s="92"/>
      <c r="BG108" s="92"/>
      <c r="BH108" s="92"/>
      <c r="BI108" s="92"/>
      <c r="BJ108" s="92"/>
      <c r="BK108" s="92"/>
    </row>
    <row r="109" spans="1:63" s="30" customFormat="1" ht="15.75">
      <c r="A109" s="37" t="s">
        <v>290</v>
      </c>
      <c r="B109" s="113">
        <v>100</v>
      </c>
      <c r="C109" s="113">
        <f t="shared" ref="C109:C122" si="30">B109*14</f>
        <v>1400</v>
      </c>
      <c r="D109" s="113">
        <v>20</v>
      </c>
      <c r="E109" s="113">
        <v>280</v>
      </c>
      <c r="F109" s="113"/>
      <c r="G109" s="113"/>
      <c r="H109" s="113">
        <v>120</v>
      </c>
      <c r="I109" s="113">
        <f t="shared" ref="I109:I122" si="31">H109*14</f>
        <v>1680</v>
      </c>
      <c r="J109" s="113">
        <v>20</v>
      </c>
      <c r="K109" s="113">
        <v>280</v>
      </c>
      <c r="L109" s="113">
        <v>20</v>
      </c>
      <c r="M109" s="113">
        <v>280</v>
      </c>
      <c r="N109" s="113">
        <v>120</v>
      </c>
      <c r="O109" s="113">
        <f t="shared" ref="O109:O122" si="32">N109*14</f>
        <v>1680</v>
      </c>
      <c r="P109" s="113">
        <v>20</v>
      </c>
      <c r="Q109" s="113">
        <v>280</v>
      </c>
      <c r="R109" s="113">
        <v>20</v>
      </c>
      <c r="S109" s="113">
        <v>280</v>
      </c>
      <c r="T109" s="113">
        <v>70</v>
      </c>
      <c r="U109" s="113">
        <f t="shared" ref="U109:U122" si="33">T109*14</f>
        <v>980</v>
      </c>
      <c r="V109" s="113">
        <v>20</v>
      </c>
      <c r="W109" s="113">
        <v>280</v>
      </c>
      <c r="X109" s="113"/>
      <c r="Y109" s="113"/>
      <c r="Z109" s="113">
        <v>100</v>
      </c>
      <c r="AA109" s="113">
        <f t="shared" ref="AA109:AA116" si="34">Z109*14</f>
        <v>1400</v>
      </c>
      <c r="AB109" s="113">
        <v>20</v>
      </c>
      <c r="AC109" s="113">
        <v>280</v>
      </c>
      <c r="AD109" s="113"/>
      <c r="AE109" s="113"/>
      <c r="AF109" s="113">
        <v>80</v>
      </c>
      <c r="AG109" s="113">
        <f t="shared" ref="AG109:AG116" si="35">AF109*14</f>
        <v>1120</v>
      </c>
      <c r="AH109" s="113">
        <v>20</v>
      </c>
      <c r="AI109" s="113">
        <v>280</v>
      </c>
      <c r="AJ109" s="113"/>
      <c r="AK109" s="113"/>
      <c r="AL109" s="92"/>
      <c r="AM109" s="92"/>
      <c r="AN109" s="92"/>
      <c r="AO109" s="92"/>
      <c r="AP109" s="92"/>
      <c r="AQ109" s="92"/>
      <c r="AR109" s="92"/>
      <c r="AS109" s="92"/>
      <c r="AT109" s="92"/>
      <c r="AU109" s="92"/>
      <c r="AV109" s="92"/>
      <c r="AW109" s="92"/>
      <c r="AX109" s="92"/>
      <c r="AY109" s="92"/>
      <c r="AZ109" s="92"/>
      <c r="BA109" s="92"/>
      <c r="BB109" s="92"/>
      <c r="BC109" s="92"/>
      <c r="BD109" s="92"/>
      <c r="BE109" s="92"/>
      <c r="BF109" s="92"/>
      <c r="BG109" s="92"/>
      <c r="BH109" s="92"/>
      <c r="BI109" s="92"/>
      <c r="BJ109" s="92"/>
      <c r="BK109" s="92"/>
    </row>
    <row r="110" spans="1:63" s="30" customFormat="1" ht="15.75">
      <c r="A110" s="37" t="s">
        <v>140</v>
      </c>
      <c r="B110" s="113">
        <v>100</v>
      </c>
      <c r="C110" s="113">
        <f t="shared" si="30"/>
        <v>1400</v>
      </c>
      <c r="D110" s="113">
        <v>10</v>
      </c>
      <c r="E110" s="113">
        <v>140</v>
      </c>
      <c r="F110" s="113">
        <v>30</v>
      </c>
      <c r="G110" s="113">
        <v>420</v>
      </c>
      <c r="H110" s="113">
        <v>120</v>
      </c>
      <c r="I110" s="113">
        <f t="shared" si="31"/>
        <v>1680</v>
      </c>
      <c r="J110" s="113">
        <v>20</v>
      </c>
      <c r="K110" s="113">
        <v>280</v>
      </c>
      <c r="L110" s="113">
        <v>20</v>
      </c>
      <c r="M110" s="113">
        <v>280</v>
      </c>
      <c r="N110" s="113">
        <v>120</v>
      </c>
      <c r="O110" s="113">
        <f t="shared" si="32"/>
        <v>1680</v>
      </c>
      <c r="P110" s="113">
        <v>20</v>
      </c>
      <c r="Q110" s="113">
        <v>280</v>
      </c>
      <c r="R110" s="113">
        <v>20</v>
      </c>
      <c r="S110" s="113">
        <v>280</v>
      </c>
      <c r="T110" s="113">
        <v>100</v>
      </c>
      <c r="U110" s="113">
        <f t="shared" si="33"/>
        <v>1400</v>
      </c>
      <c r="V110" s="113">
        <v>10</v>
      </c>
      <c r="W110" s="113">
        <v>140</v>
      </c>
      <c r="X110" s="113">
        <v>30</v>
      </c>
      <c r="Y110" s="113">
        <v>420</v>
      </c>
      <c r="Z110" s="113">
        <v>100</v>
      </c>
      <c r="AA110" s="113">
        <f t="shared" si="34"/>
        <v>1400</v>
      </c>
      <c r="AB110" s="113">
        <v>10</v>
      </c>
      <c r="AC110" s="113">
        <v>140</v>
      </c>
      <c r="AD110" s="113">
        <v>30</v>
      </c>
      <c r="AE110" s="113">
        <v>420</v>
      </c>
      <c r="AF110" s="113">
        <v>80</v>
      </c>
      <c r="AG110" s="113">
        <f t="shared" si="35"/>
        <v>1120</v>
      </c>
      <c r="AH110" s="113">
        <v>10</v>
      </c>
      <c r="AI110" s="113">
        <v>140</v>
      </c>
      <c r="AJ110" s="113">
        <v>30</v>
      </c>
      <c r="AK110" s="113">
        <v>420</v>
      </c>
      <c r="AL110" s="92"/>
      <c r="AM110" s="92"/>
      <c r="AN110" s="92"/>
      <c r="AO110" s="92"/>
      <c r="AP110" s="92"/>
      <c r="AQ110" s="92"/>
      <c r="AR110" s="92"/>
      <c r="AS110" s="92"/>
      <c r="AT110" s="92"/>
      <c r="AU110" s="92"/>
      <c r="AV110" s="92"/>
      <c r="AW110" s="92"/>
      <c r="AX110" s="92"/>
      <c r="AY110" s="92"/>
      <c r="AZ110" s="92"/>
      <c r="BA110" s="92"/>
      <c r="BB110" s="92"/>
      <c r="BC110" s="92"/>
      <c r="BD110" s="92"/>
      <c r="BE110" s="92"/>
      <c r="BF110" s="92"/>
      <c r="BG110" s="92"/>
      <c r="BH110" s="92"/>
      <c r="BI110" s="92"/>
      <c r="BJ110" s="92"/>
      <c r="BK110" s="92"/>
    </row>
    <row r="111" spans="1:63" s="30" customFormat="1" ht="15.75">
      <c r="A111" s="37" t="s">
        <v>193</v>
      </c>
      <c r="B111" s="113">
        <v>50</v>
      </c>
      <c r="C111" s="113">
        <f t="shared" si="30"/>
        <v>700</v>
      </c>
      <c r="D111" s="113"/>
      <c r="E111" s="113"/>
      <c r="F111" s="113"/>
      <c r="G111" s="113"/>
      <c r="H111" s="113">
        <v>70</v>
      </c>
      <c r="I111" s="113">
        <f t="shared" si="31"/>
        <v>980</v>
      </c>
      <c r="J111" s="113"/>
      <c r="K111" s="113"/>
      <c r="L111" s="113"/>
      <c r="M111" s="113"/>
      <c r="N111" s="113">
        <v>70</v>
      </c>
      <c r="O111" s="113">
        <f t="shared" si="32"/>
        <v>980</v>
      </c>
      <c r="P111" s="114"/>
      <c r="Q111" s="114"/>
      <c r="R111" s="114"/>
      <c r="S111" s="114"/>
      <c r="T111" s="113">
        <v>70</v>
      </c>
      <c r="U111" s="113">
        <f t="shared" si="33"/>
        <v>980</v>
      </c>
      <c r="V111" s="113"/>
      <c r="W111" s="113"/>
      <c r="X111" s="113"/>
      <c r="Y111" s="113"/>
      <c r="Z111" s="113">
        <v>50</v>
      </c>
      <c r="AA111" s="113">
        <f t="shared" si="34"/>
        <v>700</v>
      </c>
      <c r="AB111" s="113"/>
      <c r="AC111" s="113"/>
      <c r="AD111" s="113"/>
      <c r="AE111" s="113"/>
      <c r="AF111" s="113">
        <v>40</v>
      </c>
      <c r="AG111" s="113">
        <f t="shared" si="35"/>
        <v>560</v>
      </c>
      <c r="AH111" s="113"/>
      <c r="AI111" s="113"/>
      <c r="AJ111" s="113"/>
      <c r="AK111" s="113"/>
      <c r="AL111" s="92"/>
      <c r="AM111" s="92"/>
      <c r="AN111" s="92"/>
      <c r="AO111" s="92"/>
      <c r="AP111" s="92"/>
      <c r="AQ111" s="92"/>
      <c r="AR111" s="92"/>
      <c r="AS111" s="92"/>
      <c r="AT111" s="92"/>
      <c r="AU111" s="92"/>
      <c r="AV111" s="92"/>
      <c r="AW111" s="92"/>
      <c r="AX111" s="92"/>
      <c r="AY111" s="92"/>
      <c r="AZ111" s="92"/>
      <c r="BA111" s="92"/>
      <c r="BB111" s="92"/>
      <c r="BC111" s="92"/>
      <c r="BD111" s="92"/>
      <c r="BE111" s="92"/>
      <c r="BF111" s="92"/>
      <c r="BG111" s="92"/>
      <c r="BH111" s="92"/>
      <c r="BI111" s="92"/>
      <c r="BJ111" s="92"/>
      <c r="BK111" s="92"/>
    </row>
    <row r="112" spans="1:63" s="30" customFormat="1" ht="15.75">
      <c r="A112" s="37" t="s">
        <v>291</v>
      </c>
      <c r="B112" s="113">
        <v>20</v>
      </c>
      <c r="C112" s="113">
        <f t="shared" si="30"/>
        <v>280</v>
      </c>
      <c r="D112" s="113"/>
      <c r="E112" s="113"/>
      <c r="F112" s="113"/>
      <c r="G112" s="113"/>
      <c r="H112" s="113">
        <v>39.956043956043956</v>
      </c>
      <c r="I112" s="113">
        <f t="shared" si="31"/>
        <v>559.38461538461536</v>
      </c>
      <c r="J112" s="113"/>
      <c r="K112" s="113"/>
      <c r="L112" s="113"/>
      <c r="M112" s="113"/>
      <c r="N112" s="113">
        <v>39.956043956043956</v>
      </c>
      <c r="O112" s="113">
        <f t="shared" si="32"/>
        <v>559.38461538461536</v>
      </c>
      <c r="P112" s="114"/>
      <c r="Q112" s="114"/>
      <c r="R112" s="114"/>
      <c r="S112" s="114"/>
      <c r="T112" s="113">
        <v>40</v>
      </c>
      <c r="U112" s="113">
        <f t="shared" si="33"/>
        <v>560</v>
      </c>
      <c r="V112" s="113"/>
      <c r="W112" s="113"/>
      <c r="X112" s="113"/>
      <c r="Y112" s="113"/>
      <c r="Z112" s="113">
        <v>20</v>
      </c>
      <c r="AA112" s="113">
        <f t="shared" si="34"/>
        <v>280</v>
      </c>
      <c r="AB112" s="113"/>
      <c r="AC112" s="113"/>
      <c r="AD112" s="113"/>
      <c r="AE112" s="113"/>
      <c r="AF112" s="113">
        <v>10</v>
      </c>
      <c r="AG112" s="113">
        <f t="shared" si="35"/>
        <v>140</v>
      </c>
      <c r="AH112" s="113"/>
      <c r="AI112" s="113"/>
      <c r="AJ112" s="113"/>
      <c r="AK112" s="113"/>
      <c r="AL112" s="92"/>
      <c r="AM112" s="92"/>
      <c r="AN112" s="92"/>
      <c r="AO112" s="92"/>
      <c r="AP112" s="92"/>
      <c r="AQ112" s="92"/>
      <c r="AR112" s="92"/>
      <c r="AS112" s="92"/>
      <c r="AT112" s="92"/>
      <c r="AU112" s="92"/>
      <c r="AV112" s="92"/>
      <c r="AW112" s="92"/>
      <c r="AX112" s="92"/>
      <c r="AY112" s="92"/>
      <c r="AZ112" s="92"/>
      <c r="BA112" s="92"/>
      <c r="BB112" s="92"/>
      <c r="BC112" s="92"/>
      <c r="BD112" s="92"/>
      <c r="BE112" s="92"/>
      <c r="BF112" s="92"/>
      <c r="BG112" s="92"/>
      <c r="BH112" s="92"/>
      <c r="BI112" s="92"/>
      <c r="BJ112" s="92"/>
      <c r="BK112" s="92"/>
    </row>
    <row r="113" spans="1:63" s="30" customFormat="1" ht="15.75">
      <c r="A113" s="37" t="s">
        <v>292</v>
      </c>
      <c r="B113" s="113">
        <v>50</v>
      </c>
      <c r="C113" s="113">
        <f t="shared" si="30"/>
        <v>700</v>
      </c>
      <c r="D113" s="113"/>
      <c r="E113" s="113"/>
      <c r="F113" s="113"/>
      <c r="G113" s="113"/>
      <c r="H113" s="113">
        <v>50</v>
      </c>
      <c r="I113" s="113">
        <f t="shared" si="31"/>
        <v>700</v>
      </c>
      <c r="J113" s="113"/>
      <c r="K113" s="113"/>
      <c r="L113" s="113"/>
      <c r="M113" s="113"/>
      <c r="N113" s="113">
        <v>50</v>
      </c>
      <c r="O113" s="113">
        <f t="shared" si="32"/>
        <v>700</v>
      </c>
      <c r="P113" s="114"/>
      <c r="Q113" s="114"/>
      <c r="R113" s="114"/>
      <c r="S113" s="114"/>
      <c r="T113" s="113">
        <v>50</v>
      </c>
      <c r="U113" s="113">
        <f t="shared" si="33"/>
        <v>700</v>
      </c>
      <c r="V113" s="113"/>
      <c r="W113" s="113"/>
      <c r="X113" s="113"/>
      <c r="Y113" s="113"/>
      <c r="Z113" s="113">
        <v>50</v>
      </c>
      <c r="AA113" s="113">
        <f t="shared" si="34"/>
        <v>700</v>
      </c>
      <c r="AB113" s="113"/>
      <c r="AC113" s="113"/>
      <c r="AD113" s="113"/>
      <c r="AE113" s="113"/>
      <c r="AF113" s="113">
        <v>30</v>
      </c>
      <c r="AG113" s="113">
        <f t="shared" si="35"/>
        <v>420</v>
      </c>
      <c r="AH113" s="113"/>
      <c r="AI113" s="113"/>
      <c r="AJ113" s="113"/>
      <c r="AK113" s="113"/>
      <c r="AL113" s="92"/>
      <c r="AM113" s="92"/>
      <c r="AN113" s="92"/>
      <c r="AO113" s="92"/>
      <c r="AP113" s="92"/>
      <c r="AQ113" s="92"/>
      <c r="AR113" s="92"/>
      <c r="AS113" s="92"/>
      <c r="AT113" s="92"/>
      <c r="AU113" s="92"/>
      <c r="AV113" s="92"/>
      <c r="AW113" s="92"/>
      <c r="AX113" s="92"/>
      <c r="AY113" s="92"/>
      <c r="AZ113" s="92"/>
      <c r="BA113" s="92"/>
      <c r="BB113" s="92"/>
      <c r="BC113" s="92"/>
      <c r="BD113" s="92"/>
      <c r="BE113" s="92"/>
      <c r="BF113" s="92"/>
      <c r="BG113" s="92"/>
      <c r="BH113" s="92"/>
      <c r="BI113" s="92"/>
      <c r="BJ113" s="92"/>
      <c r="BK113" s="92"/>
    </row>
    <row r="114" spans="1:63" s="30" customFormat="1" ht="15.75">
      <c r="A114" s="37" t="s">
        <v>293</v>
      </c>
      <c r="B114" s="113">
        <v>50</v>
      </c>
      <c r="C114" s="113">
        <f t="shared" si="30"/>
        <v>700</v>
      </c>
      <c r="D114" s="113"/>
      <c r="E114" s="113"/>
      <c r="F114" s="113"/>
      <c r="G114" s="113"/>
      <c r="H114" s="113">
        <v>50</v>
      </c>
      <c r="I114" s="113">
        <f t="shared" si="31"/>
        <v>700</v>
      </c>
      <c r="J114" s="113"/>
      <c r="K114" s="113"/>
      <c r="L114" s="113"/>
      <c r="M114" s="113"/>
      <c r="N114" s="113">
        <v>50</v>
      </c>
      <c r="O114" s="113">
        <f t="shared" si="32"/>
        <v>700</v>
      </c>
      <c r="P114" s="114"/>
      <c r="Q114" s="114"/>
      <c r="R114" s="114"/>
      <c r="S114" s="114"/>
      <c r="T114" s="113">
        <v>50</v>
      </c>
      <c r="U114" s="113">
        <f t="shared" si="33"/>
        <v>700</v>
      </c>
      <c r="V114" s="113"/>
      <c r="W114" s="113"/>
      <c r="X114" s="113"/>
      <c r="Y114" s="113"/>
      <c r="Z114" s="113">
        <v>50</v>
      </c>
      <c r="AA114" s="113">
        <f t="shared" si="34"/>
        <v>700</v>
      </c>
      <c r="AB114" s="113"/>
      <c r="AC114" s="113"/>
      <c r="AD114" s="113"/>
      <c r="AE114" s="113"/>
      <c r="AF114" s="113">
        <v>30</v>
      </c>
      <c r="AG114" s="113">
        <f t="shared" si="35"/>
        <v>420</v>
      </c>
      <c r="AH114" s="113"/>
      <c r="AI114" s="113"/>
      <c r="AJ114" s="113"/>
      <c r="AK114" s="113"/>
      <c r="AL114" s="92"/>
      <c r="AM114" s="92"/>
      <c r="AN114" s="92"/>
      <c r="AO114" s="92"/>
      <c r="AP114" s="92"/>
      <c r="AQ114" s="92"/>
      <c r="AR114" s="92"/>
      <c r="AS114" s="92"/>
      <c r="AT114" s="92"/>
      <c r="AU114" s="92"/>
      <c r="AV114" s="92"/>
      <c r="AW114" s="92"/>
      <c r="AX114" s="92"/>
      <c r="AY114" s="92"/>
      <c r="AZ114" s="92"/>
      <c r="BA114" s="92"/>
      <c r="BB114" s="92"/>
      <c r="BC114" s="92"/>
      <c r="BD114" s="92"/>
      <c r="BE114" s="92"/>
      <c r="BF114" s="92"/>
      <c r="BG114" s="92"/>
      <c r="BH114" s="92"/>
      <c r="BI114" s="92"/>
      <c r="BJ114" s="92"/>
      <c r="BK114" s="92"/>
    </row>
    <row r="115" spans="1:63" s="30" customFormat="1" ht="15.75">
      <c r="A115" s="37" t="s">
        <v>294</v>
      </c>
      <c r="B115" s="113">
        <v>40</v>
      </c>
      <c r="C115" s="113">
        <f t="shared" si="30"/>
        <v>560</v>
      </c>
      <c r="D115" s="113"/>
      <c r="E115" s="113"/>
      <c r="F115" s="113"/>
      <c r="G115" s="113"/>
      <c r="H115" s="113">
        <v>29.967032967032967</v>
      </c>
      <c r="I115" s="113">
        <f t="shared" si="31"/>
        <v>419.53846153846155</v>
      </c>
      <c r="J115" s="113"/>
      <c r="K115" s="113"/>
      <c r="L115" s="113"/>
      <c r="M115" s="113"/>
      <c r="N115" s="113">
        <v>29.967032967032967</v>
      </c>
      <c r="O115" s="113">
        <f t="shared" si="32"/>
        <v>419.53846153846155</v>
      </c>
      <c r="P115" s="114"/>
      <c r="Q115" s="114"/>
      <c r="R115" s="114"/>
      <c r="S115" s="114"/>
      <c r="T115" s="113">
        <v>40</v>
      </c>
      <c r="U115" s="113">
        <f t="shared" si="33"/>
        <v>560</v>
      </c>
      <c r="V115" s="113"/>
      <c r="W115" s="113"/>
      <c r="X115" s="113"/>
      <c r="Y115" s="113"/>
      <c r="Z115" s="113">
        <v>40</v>
      </c>
      <c r="AA115" s="113">
        <f t="shared" si="34"/>
        <v>560</v>
      </c>
      <c r="AB115" s="113"/>
      <c r="AC115" s="113"/>
      <c r="AD115" s="113"/>
      <c r="AE115" s="113"/>
      <c r="AF115" s="113">
        <v>30</v>
      </c>
      <c r="AG115" s="113">
        <f t="shared" si="35"/>
        <v>420</v>
      </c>
      <c r="AH115" s="113"/>
      <c r="AI115" s="113"/>
      <c r="AJ115" s="113"/>
      <c r="AK115" s="113"/>
      <c r="AL115" s="92"/>
      <c r="AM115" s="92"/>
      <c r="AN115" s="92"/>
      <c r="AO115" s="92"/>
      <c r="AP115" s="92"/>
      <c r="AQ115" s="92"/>
      <c r="AR115" s="92"/>
      <c r="AS115" s="92"/>
      <c r="AT115" s="92"/>
      <c r="AU115" s="92"/>
      <c r="AV115" s="92"/>
      <c r="AW115" s="92"/>
      <c r="AX115" s="92"/>
      <c r="AY115" s="92"/>
      <c r="AZ115" s="92"/>
      <c r="BA115" s="92"/>
      <c r="BB115" s="92"/>
      <c r="BC115" s="92"/>
      <c r="BD115" s="92"/>
      <c r="BE115" s="92"/>
      <c r="BF115" s="92"/>
      <c r="BG115" s="92"/>
      <c r="BH115" s="92"/>
      <c r="BI115" s="92"/>
      <c r="BJ115" s="92"/>
      <c r="BK115" s="92"/>
    </row>
    <row r="116" spans="1:63" s="30" customFormat="1" ht="15.75">
      <c r="A116" s="37" t="s">
        <v>16</v>
      </c>
      <c r="B116" s="113">
        <v>110</v>
      </c>
      <c r="C116" s="113">
        <f t="shared" si="30"/>
        <v>1540</v>
      </c>
      <c r="D116" s="113"/>
      <c r="E116" s="113"/>
      <c r="F116" s="113"/>
      <c r="G116" s="113"/>
      <c r="H116" s="113">
        <v>140</v>
      </c>
      <c r="I116" s="113">
        <f t="shared" si="31"/>
        <v>1960</v>
      </c>
      <c r="J116" s="113"/>
      <c r="K116" s="113"/>
      <c r="L116" s="113"/>
      <c r="M116" s="113"/>
      <c r="N116" s="113">
        <v>140</v>
      </c>
      <c r="O116" s="113">
        <f t="shared" si="32"/>
        <v>1960</v>
      </c>
      <c r="P116" s="114"/>
      <c r="Q116" s="114"/>
      <c r="R116" s="114"/>
      <c r="S116" s="114"/>
      <c r="T116" s="113">
        <v>80</v>
      </c>
      <c r="U116" s="113">
        <f t="shared" si="33"/>
        <v>1120</v>
      </c>
      <c r="V116" s="113"/>
      <c r="W116" s="113"/>
      <c r="X116" s="113"/>
      <c r="Y116" s="113"/>
      <c r="Z116" s="113">
        <v>150</v>
      </c>
      <c r="AA116" s="113">
        <f t="shared" si="34"/>
        <v>2100</v>
      </c>
      <c r="AB116" s="113"/>
      <c r="AC116" s="113"/>
      <c r="AD116" s="113"/>
      <c r="AE116" s="113"/>
      <c r="AF116" s="113">
        <v>120</v>
      </c>
      <c r="AG116" s="113">
        <f t="shared" si="35"/>
        <v>1680</v>
      </c>
      <c r="AH116" s="113"/>
      <c r="AI116" s="113"/>
      <c r="AJ116" s="113"/>
      <c r="AK116" s="113"/>
      <c r="AL116" s="92"/>
      <c r="AM116" s="92"/>
      <c r="AN116" s="92"/>
      <c r="AO116" s="92"/>
      <c r="AP116" s="92"/>
      <c r="AQ116" s="92"/>
      <c r="AR116" s="92"/>
      <c r="AS116" s="92"/>
      <c r="AT116" s="92"/>
      <c r="AU116" s="92"/>
      <c r="AV116" s="92"/>
      <c r="AW116" s="92"/>
      <c r="AX116" s="92"/>
      <c r="AY116" s="92"/>
      <c r="AZ116" s="92"/>
      <c r="BA116" s="92"/>
      <c r="BB116" s="92"/>
      <c r="BC116" s="92"/>
      <c r="BD116" s="92"/>
      <c r="BE116" s="92"/>
      <c r="BF116" s="92"/>
      <c r="BG116" s="92"/>
      <c r="BH116" s="92"/>
      <c r="BI116" s="92"/>
      <c r="BJ116" s="92"/>
      <c r="BK116" s="92"/>
    </row>
    <row r="117" spans="1:63" s="30" customFormat="1" ht="15.75">
      <c r="A117" s="36" t="s">
        <v>295</v>
      </c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15"/>
      <c r="O117" s="115"/>
      <c r="P117" s="116"/>
      <c r="Q117" s="116"/>
      <c r="R117" s="116"/>
      <c r="S117" s="116"/>
      <c r="T117" s="103"/>
      <c r="U117" s="103"/>
      <c r="V117" s="103"/>
      <c r="W117" s="103"/>
      <c r="X117" s="103"/>
      <c r="Y117" s="103"/>
      <c r="Z117" s="103"/>
      <c r="AA117" s="103"/>
      <c r="AB117" s="103"/>
      <c r="AC117" s="103"/>
      <c r="AD117" s="103"/>
      <c r="AE117" s="103"/>
      <c r="AF117" s="103"/>
      <c r="AG117" s="103"/>
      <c r="AH117" s="103"/>
      <c r="AI117" s="103"/>
      <c r="AJ117" s="103"/>
      <c r="AK117" s="103"/>
      <c r="AL117" s="92"/>
      <c r="AM117" s="92"/>
      <c r="AN117" s="92"/>
      <c r="AO117" s="92"/>
      <c r="AP117" s="92"/>
      <c r="AQ117" s="92"/>
      <c r="AR117" s="92"/>
      <c r="AS117" s="92"/>
      <c r="AT117" s="92"/>
      <c r="AU117" s="92"/>
      <c r="AV117" s="92"/>
      <c r="AW117" s="92"/>
      <c r="AX117" s="92"/>
      <c r="AY117" s="92"/>
      <c r="AZ117" s="92"/>
      <c r="BA117" s="92"/>
      <c r="BB117" s="92"/>
      <c r="BC117" s="92"/>
      <c r="BD117" s="92"/>
      <c r="BE117" s="92"/>
      <c r="BF117" s="92"/>
      <c r="BG117" s="92"/>
      <c r="BH117" s="92"/>
      <c r="BI117" s="92"/>
      <c r="BJ117" s="92"/>
      <c r="BK117" s="92"/>
    </row>
    <row r="118" spans="1:63" s="30" customFormat="1" ht="15.75">
      <c r="A118" s="36" t="s">
        <v>152</v>
      </c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15"/>
      <c r="O118" s="115"/>
      <c r="P118" s="116"/>
      <c r="Q118" s="116"/>
      <c r="R118" s="116"/>
      <c r="S118" s="116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  <c r="AI118" s="103"/>
      <c r="AJ118" s="103"/>
      <c r="AK118" s="103"/>
      <c r="AL118" s="92"/>
      <c r="AM118" s="92"/>
      <c r="AN118" s="92"/>
      <c r="AO118" s="92"/>
      <c r="AP118" s="92"/>
      <c r="AQ118" s="92"/>
      <c r="AR118" s="92"/>
      <c r="AS118" s="92"/>
      <c r="AT118" s="92"/>
      <c r="AU118" s="92"/>
      <c r="AV118" s="92"/>
      <c r="AW118" s="92"/>
      <c r="AX118" s="92"/>
      <c r="AY118" s="92"/>
      <c r="AZ118" s="92"/>
      <c r="BA118" s="92"/>
      <c r="BB118" s="92"/>
      <c r="BC118" s="92"/>
      <c r="BD118" s="92"/>
      <c r="BE118" s="92"/>
      <c r="BF118" s="92"/>
      <c r="BG118" s="92"/>
      <c r="BH118" s="92"/>
      <c r="BI118" s="92"/>
      <c r="BJ118" s="92"/>
      <c r="BK118" s="92"/>
    </row>
    <row r="119" spans="1:63" s="30" customFormat="1" ht="15.75">
      <c r="A119" s="36" t="s">
        <v>153</v>
      </c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15"/>
      <c r="O119" s="115"/>
      <c r="P119" s="116"/>
      <c r="Q119" s="116"/>
      <c r="R119" s="116"/>
      <c r="S119" s="116"/>
      <c r="T119" s="103"/>
      <c r="U119" s="103"/>
      <c r="V119" s="103"/>
      <c r="W119" s="103"/>
      <c r="X119" s="103"/>
      <c r="Y119" s="103"/>
      <c r="Z119" s="103"/>
      <c r="AA119" s="103"/>
      <c r="AB119" s="103"/>
      <c r="AC119" s="103"/>
      <c r="AD119" s="103"/>
      <c r="AE119" s="103"/>
      <c r="AF119" s="103"/>
      <c r="AG119" s="103"/>
      <c r="AH119" s="103"/>
      <c r="AI119" s="103"/>
      <c r="AJ119" s="103"/>
      <c r="AK119" s="103"/>
      <c r="AL119" s="92"/>
      <c r="AM119" s="92"/>
      <c r="AN119" s="92"/>
      <c r="AO119" s="92"/>
      <c r="AP119" s="92"/>
      <c r="AQ119" s="92"/>
      <c r="AR119" s="92"/>
      <c r="AS119" s="92"/>
      <c r="AT119" s="92"/>
      <c r="AU119" s="92"/>
      <c r="AV119" s="92"/>
      <c r="AW119" s="92"/>
      <c r="AX119" s="92"/>
      <c r="AY119" s="92"/>
      <c r="AZ119" s="92"/>
      <c r="BA119" s="92"/>
      <c r="BB119" s="92"/>
      <c r="BC119" s="92"/>
      <c r="BD119" s="92"/>
      <c r="BE119" s="92"/>
      <c r="BF119" s="92"/>
      <c r="BG119" s="92"/>
      <c r="BH119" s="92"/>
      <c r="BI119" s="92"/>
      <c r="BJ119" s="92"/>
      <c r="BK119" s="92"/>
    </row>
    <row r="120" spans="1:63" s="30" customFormat="1" ht="15.75">
      <c r="A120" s="36" t="s">
        <v>296</v>
      </c>
      <c r="B120" s="103">
        <v>50</v>
      </c>
      <c r="C120" s="103">
        <f t="shared" si="30"/>
        <v>700</v>
      </c>
      <c r="D120" s="103"/>
      <c r="E120" s="103"/>
      <c r="F120" s="103"/>
      <c r="G120" s="103"/>
      <c r="H120" s="103">
        <v>60</v>
      </c>
      <c r="I120" s="103">
        <f t="shared" si="31"/>
        <v>840</v>
      </c>
      <c r="J120" s="103"/>
      <c r="K120" s="103"/>
      <c r="L120" s="103"/>
      <c r="M120" s="103"/>
      <c r="N120" s="115">
        <v>60</v>
      </c>
      <c r="O120" s="115">
        <f t="shared" si="32"/>
        <v>840</v>
      </c>
      <c r="P120" s="116"/>
      <c r="Q120" s="116"/>
      <c r="R120" s="116"/>
      <c r="S120" s="116"/>
      <c r="T120" s="103">
        <v>50</v>
      </c>
      <c r="U120" s="103">
        <f t="shared" si="33"/>
        <v>700</v>
      </c>
      <c r="V120" s="103"/>
      <c r="W120" s="103"/>
      <c r="X120" s="103"/>
      <c r="Y120" s="103"/>
      <c r="Z120" s="103">
        <v>50</v>
      </c>
      <c r="AA120" s="103">
        <f t="shared" ref="AA120" si="36">Z120*14</f>
        <v>700</v>
      </c>
      <c r="AB120" s="103"/>
      <c r="AC120" s="103"/>
      <c r="AD120" s="103"/>
      <c r="AE120" s="103"/>
      <c r="AF120" s="103">
        <v>50</v>
      </c>
      <c r="AG120" s="103">
        <f t="shared" ref="AG120" si="37">AF120*14</f>
        <v>700</v>
      </c>
      <c r="AH120" s="103"/>
      <c r="AI120" s="103"/>
      <c r="AJ120" s="103"/>
      <c r="AK120" s="103"/>
      <c r="AL120" s="92"/>
      <c r="AM120" s="92"/>
      <c r="AN120" s="92"/>
      <c r="AO120" s="92"/>
      <c r="AP120" s="92"/>
      <c r="AQ120" s="92"/>
      <c r="AR120" s="92"/>
      <c r="AS120" s="92"/>
      <c r="AT120" s="92"/>
      <c r="AU120" s="92"/>
      <c r="AV120" s="92"/>
      <c r="AW120" s="92"/>
      <c r="AX120" s="92"/>
      <c r="AY120" s="92"/>
      <c r="AZ120" s="92"/>
      <c r="BA120" s="92"/>
      <c r="BB120" s="92"/>
      <c r="BC120" s="92"/>
      <c r="BD120" s="92"/>
      <c r="BE120" s="92"/>
      <c r="BF120" s="92"/>
      <c r="BG120" s="92"/>
      <c r="BH120" s="92"/>
      <c r="BI120" s="92"/>
      <c r="BJ120" s="92"/>
      <c r="BK120" s="92"/>
    </row>
    <row r="121" spans="1:63" s="30" customFormat="1" ht="15.75">
      <c r="A121" s="36" t="s">
        <v>297</v>
      </c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15"/>
      <c r="O121" s="115"/>
      <c r="P121" s="116"/>
      <c r="Q121" s="116"/>
      <c r="R121" s="116"/>
      <c r="S121" s="116"/>
      <c r="T121" s="103"/>
      <c r="U121" s="103"/>
      <c r="V121" s="103"/>
      <c r="W121" s="103"/>
      <c r="X121" s="103"/>
      <c r="Y121" s="103"/>
      <c r="Z121" s="103"/>
      <c r="AA121" s="103"/>
      <c r="AB121" s="103"/>
      <c r="AC121" s="103"/>
      <c r="AD121" s="103"/>
      <c r="AE121" s="103"/>
      <c r="AF121" s="103"/>
      <c r="AG121" s="103"/>
      <c r="AH121" s="103"/>
      <c r="AI121" s="103"/>
      <c r="AJ121" s="103"/>
      <c r="AK121" s="103"/>
      <c r="AL121" s="92"/>
      <c r="AM121" s="92"/>
      <c r="AN121" s="92"/>
      <c r="AO121" s="92"/>
      <c r="AP121" s="92"/>
      <c r="AQ121" s="92"/>
      <c r="AR121" s="92"/>
      <c r="AS121" s="92"/>
      <c r="AT121" s="92"/>
      <c r="AU121" s="92"/>
      <c r="AV121" s="92"/>
      <c r="AW121" s="92"/>
      <c r="AX121" s="92"/>
      <c r="AY121" s="92"/>
      <c r="AZ121" s="92"/>
      <c r="BA121" s="92"/>
      <c r="BB121" s="92"/>
      <c r="BC121" s="92"/>
      <c r="BD121" s="92"/>
      <c r="BE121" s="92"/>
      <c r="BF121" s="92"/>
      <c r="BG121" s="92"/>
      <c r="BH121" s="92"/>
      <c r="BI121" s="92"/>
      <c r="BJ121" s="92"/>
      <c r="BK121" s="92"/>
    </row>
    <row r="122" spans="1:63" s="30" customFormat="1" ht="15.75">
      <c r="A122" s="36" t="s">
        <v>298</v>
      </c>
      <c r="B122" s="103">
        <v>30</v>
      </c>
      <c r="C122" s="103">
        <f t="shared" si="30"/>
        <v>420</v>
      </c>
      <c r="D122" s="103"/>
      <c r="E122" s="103"/>
      <c r="F122" s="103"/>
      <c r="G122" s="103"/>
      <c r="H122" s="103">
        <v>39.956043956043956</v>
      </c>
      <c r="I122" s="103">
        <f t="shared" si="31"/>
        <v>559.38461538461536</v>
      </c>
      <c r="J122" s="103"/>
      <c r="K122" s="103"/>
      <c r="L122" s="103"/>
      <c r="M122" s="103"/>
      <c r="N122" s="115">
        <v>39.956043956043956</v>
      </c>
      <c r="O122" s="115">
        <f t="shared" si="32"/>
        <v>559.38461538461536</v>
      </c>
      <c r="P122" s="116"/>
      <c r="Q122" s="116"/>
      <c r="R122" s="116"/>
      <c r="S122" s="116"/>
      <c r="T122" s="103">
        <v>30</v>
      </c>
      <c r="U122" s="103">
        <f t="shared" si="33"/>
        <v>420</v>
      </c>
      <c r="V122" s="103"/>
      <c r="W122" s="103"/>
      <c r="X122" s="103"/>
      <c r="Y122" s="103"/>
      <c r="Z122" s="103">
        <v>30</v>
      </c>
      <c r="AA122" s="103">
        <f t="shared" ref="AA122" si="38">Z122*14</f>
        <v>420</v>
      </c>
      <c r="AB122" s="103"/>
      <c r="AC122" s="103"/>
      <c r="AD122" s="103"/>
      <c r="AE122" s="103"/>
      <c r="AF122" s="103">
        <v>30</v>
      </c>
      <c r="AG122" s="103">
        <f t="shared" ref="AG122" si="39">AF122*14</f>
        <v>420</v>
      </c>
      <c r="AH122" s="103"/>
      <c r="AI122" s="103"/>
      <c r="AJ122" s="103"/>
      <c r="AK122" s="103"/>
      <c r="AL122" s="92"/>
      <c r="AM122" s="92"/>
      <c r="AN122" s="92"/>
      <c r="AO122" s="92"/>
      <c r="AP122" s="92"/>
      <c r="AQ122" s="92"/>
      <c r="AR122" s="92"/>
      <c r="AS122" s="92"/>
      <c r="AT122" s="92"/>
      <c r="AU122" s="92"/>
      <c r="AV122" s="92"/>
      <c r="AW122" s="92"/>
      <c r="AX122" s="92"/>
      <c r="AY122" s="92"/>
      <c r="AZ122" s="92"/>
      <c r="BA122" s="92"/>
      <c r="BB122" s="92"/>
      <c r="BC122" s="92"/>
      <c r="BD122" s="92"/>
      <c r="BE122" s="92"/>
      <c r="BF122" s="92"/>
      <c r="BG122" s="92"/>
      <c r="BH122" s="92"/>
      <c r="BI122" s="92"/>
      <c r="BJ122" s="92"/>
      <c r="BK122" s="92"/>
    </row>
    <row r="123" spans="1:63" s="30" customFormat="1" ht="15.75">
      <c r="A123" s="36" t="s">
        <v>299</v>
      </c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16"/>
      <c r="O123" s="116"/>
      <c r="P123" s="116"/>
      <c r="Q123" s="116"/>
      <c r="R123" s="116"/>
      <c r="S123" s="116"/>
      <c r="T123" s="103"/>
      <c r="U123" s="103"/>
      <c r="V123" s="103"/>
      <c r="W123" s="103"/>
      <c r="X123" s="103"/>
      <c r="Y123" s="103"/>
      <c r="Z123" s="103"/>
      <c r="AA123" s="103"/>
      <c r="AB123" s="103"/>
      <c r="AC123" s="103"/>
      <c r="AD123" s="103"/>
      <c r="AE123" s="103"/>
      <c r="AF123" s="103"/>
      <c r="AG123" s="103"/>
      <c r="AH123" s="103"/>
      <c r="AI123" s="103"/>
      <c r="AJ123" s="103"/>
      <c r="AK123" s="103"/>
      <c r="AL123" s="92"/>
      <c r="AM123" s="92"/>
      <c r="AN123" s="92"/>
      <c r="AO123" s="92"/>
      <c r="AP123" s="92"/>
      <c r="AQ123" s="92"/>
      <c r="AR123" s="92"/>
      <c r="AS123" s="92"/>
      <c r="AT123" s="92"/>
      <c r="AU123" s="92"/>
      <c r="AV123" s="92"/>
      <c r="AW123" s="92"/>
      <c r="AX123" s="92"/>
      <c r="AY123" s="92"/>
      <c r="AZ123" s="92"/>
      <c r="BA123" s="92"/>
      <c r="BB123" s="92"/>
      <c r="BC123" s="92"/>
      <c r="BD123" s="92"/>
      <c r="BE123" s="92"/>
      <c r="BF123" s="92"/>
      <c r="BG123" s="92"/>
      <c r="BH123" s="92"/>
      <c r="BI123" s="92"/>
      <c r="BJ123" s="92"/>
      <c r="BK123" s="92"/>
    </row>
    <row r="124" spans="1:63" s="30" customFormat="1" ht="15.75">
      <c r="A124" s="36" t="s">
        <v>300</v>
      </c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16"/>
      <c r="O124" s="116"/>
      <c r="P124" s="116"/>
      <c r="Q124" s="116"/>
      <c r="R124" s="116"/>
      <c r="S124" s="116"/>
      <c r="T124" s="103"/>
      <c r="U124" s="103"/>
      <c r="V124" s="103"/>
      <c r="W124" s="103"/>
      <c r="X124" s="103"/>
      <c r="Y124" s="103"/>
      <c r="Z124" s="103"/>
      <c r="AA124" s="103"/>
      <c r="AB124" s="103"/>
      <c r="AC124" s="103"/>
      <c r="AD124" s="103"/>
      <c r="AE124" s="103"/>
      <c r="AF124" s="103"/>
      <c r="AG124" s="103"/>
      <c r="AH124" s="103"/>
      <c r="AI124" s="103"/>
      <c r="AJ124" s="103"/>
      <c r="AK124" s="103"/>
      <c r="AL124" s="92"/>
      <c r="AM124" s="92"/>
      <c r="AN124" s="92"/>
      <c r="AO124" s="92"/>
      <c r="AP124" s="92"/>
      <c r="AQ124" s="92"/>
      <c r="AR124" s="92"/>
      <c r="AS124" s="92"/>
      <c r="AT124" s="92"/>
      <c r="AU124" s="92"/>
      <c r="AV124" s="92"/>
      <c r="AW124" s="92"/>
      <c r="AX124" s="92"/>
      <c r="AY124" s="92"/>
      <c r="AZ124" s="92"/>
      <c r="BA124" s="92"/>
      <c r="BB124" s="92"/>
      <c r="BC124" s="92"/>
      <c r="BD124" s="92"/>
      <c r="BE124" s="92"/>
      <c r="BF124" s="92"/>
      <c r="BG124" s="92"/>
      <c r="BH124" s="92"/>
      <c r="BI124" s="92"/>
      <c r="BJ124" s="92"/>
      <c r="BK124" s="92"/>
    </row>
    <row r="125" spans="1:63" s="30" customFormat="1" ht="15.75">
      <c r="A125" s="36" t="s">
        <v>301</v>
      </c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  <c r="L125" s="103"/>
      <c r="M125" s="103"/>
      <c r="N125" s="116"/>
      <c r="O125" s="116"/>
      <c r="P125" s="116"/>
      <c r="Q125" s="116"/>
      <c r="R125" s="116"/>
      <c r="S125" s="116"/>
      <c r="T125" s="103"/>
      <c r="U125" s="103"/>
      <c r="V125" s="103"/>
      <c r="W125" s="103"/>
      <c r="X125" s="103"/>
      <c r="Y125" s="103"/>
      <c r="Z125" s="103"/>
      <c r="AA125" s="103"/>
      <c r="AB125" s="103"/>
      <c r="AC125" s="103"/>
      <c r="AD125" s="103"/>
      <c r="AE125" s="103"/>
      <c r="AF125" s="103"/>
      <c r="AG125" s="103"/>
      <c r="AH125" s="103"/>
      <c r="AI125" s="103"/>
      <c r="AJ125" s="103"/>
      <c r="AK125" s="103"/>
      <c r="AL125" s="92"/>
      <c r="AM125" s="92"/>
      <c r="AN125" s="92"/>
      <c r="AO125" s="92"/>
      <c r="AP125" s="92"/>
      <c r="AQ125" s="92"/>
      <c r="AR125" s="92"/>
      <c r="AS125" s="92"/>
      <c r="AT125" s="92"/>
      <c r="AU125" s="92"/>
      <c r="AV125" s="92"/>
      <c r="AW125" s="92"/>
      <c r="AX125" s="92"/>
      <c r="AY125" s="92"/>
      <c r="AZ125" s="92"/>
      <c r="BA125" s="92"/>
      <c r="BB125" s="92"/>
      <c r="BC125" s="92"/>
      <c r="BD125" s="92"/>
      <c r="BE125" s="92"/>
      <c r="BF125" s="92"/>
      <c r="BG125" s="92"/>
      <c r="BH125" s="92"/>
      <c r="BI125" s="92"/>
      <c r="BJ125" s="92"/>
      <c r="BK125" s="92"/>
    </row>
    <row r="126" spans="1:63" s="30" customFormat="1" ht="15.75">
      <c r="A126" s="36" t="s">
        <v>302</v>
      </c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16"/>
      <c r="O126" s="116"/>
      <c r="P126" s="116"/>
      <c r="Q126" s="116"/>
      <c r="R126" s="116"/>
      <c r="S126" s="116"/>
      <c r="T126" s="103"/>
      <c r="U126" s="103"/>
      <c r="V126" s="103"/>
      <c r="W126" s="103"/>
      <c r="X126" s="103"/>
      <c r="Y126" s="103"/>
      <c r="Z126" s="103"/>
      <c r="AA126" s="103"/>
      <c r="AB126" s="103"/>
      <c r="AC126" s="103"/>
      <c r="AD126" s="103"/>
      <c r="AE126" s="103"/>
      <c r="AF126" s="103"/>
      <c r="AG126" s="103"/>
      <c r="AH126" s="103"/>
      <c r="AI126" s="103"/>
      <c r="AJ126" s="103"/>
      <c r="AK126" s="103"/>
      <c r="AL126" s="92"/>
      <c r="AM126" s="92"/>
      <c r="AN126" s="92"/>
      <c r="AO126" s="92"/>
      <c r="AP126" s="92"/>
      <c r="AQ126" s="92"/>
      <c r="AR126" s="92"/>
      <c r="AS126" s="92"/>
      <c r="AT126" s="92"/>
      <c r="AU126" s="92"/>
      <c r="AV126" s="92"/>
      <c r="AW126" s="92"/>
      <c r="AX126" s="92"/>
      <c r="AY126" s="92"/>
      <c r="AZ126" s="92"/>
      <c r="BA126" s="92"/>
      <c r="BB126" s="92"/>
      <c r="BC126" s="92"/>
      <c r="BD126" s="92"/>
      <c r="BE126" s="92"/>
      <c r="BF126" s="92"/>
      <c r="BG126" s="92"/>
      <c r="BH126" s="92"/>
      <c r="BI126" s="92"/>
      <c r="BJ126" s="92"/>
      <c r="BK126" s="92"/>
    </row>
    <row r="127" spans="1:63" s="30" customFormat="1" ht="15.75">
      <c r="A127" s="38" t="s">
        <v>303</v>
      </c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16"/>
      <c r="O127" s="116"/>
      <c r="P127" s="116"/>
      <c r="Q127" s="116"/>
      <c r="R127" s="116"/>
      <c r="S127" s="116"/>
      <c r="T127" s="103"/>
      <c r="U127" s="103"/>
      <c r="V127" s="103"/>
      <c r="W127" s="103"/>
      <c r="X127" s="103"/>
      <c r="Y127" s="103"/>
      <c r="Z127" s="103"/>
      <c r="AA127" s="103"/>
      <c r="AB127" s="103"/>
      <c r="AC127" s="103"/>
      <c r="AD127" s="103"/>
      <c r="AE127" s="103"/>
      <c r="AF127" s="103"/>
      <c r="AG127" s="103"/>
      <c r="AH127" s="103"/>
      <c r="AI127" s="103"/>
      <c r="AJ127" s="103"/>
      <c r="AK127" s="103"/>
      <c r="AL127" s="92"/>
      <c r="AM127" s="92"/>
      <c r="AN127" s="92"/>
      <c r="AO127" s="92"/>
      <c r="AP127" s="92"/>
      <c r="AQ127" s="92"/>
      <c r="AR127" s="92"/>
      <c r="AS127" s="92"/>
      <c r="AT127" s="92"/>
      <c r="AU127" s="92"/>
      <c r="AV127" s="92"/>
      <c r="AW127" s="92"/>
      <c r="AX127" s="92"/>
      <c r="AY127" s="92"/>
      <c r="AZ127" s="92"/>
      <c r="BA127" s="92"/>
      <c r="BB127" s="92"/>
      <c r="BC127" s="92"/>
      <c r="BD127" s="92"/>
      <c r="BE127" s="92"/>
      <c r="BF127" s="92"/>
      <c r="BG127" s="92"/>
      <c r="BH127" s="92"/>
      <c r="BI127" s="92"/>
      <c r="BJ127" s="92"/>
      <c r="BK127" s="92"/>
    </row>
    <row r="128" spans="1:63" s="30" customFormat="1" ht="15.75">
      <c r="A128" s="36" t="s">
        <v>304</v>
      </c>
      <c r="B128" s="106">
        <f>SUM(B108:B127)</f>
        <v>650</v>
      </c>
      <c r="C128" s="106">
        <f>SUM(C108:C127)</f>
        <v>9100</v>
      </c>
      <c r="D128" s="106">
        <f>SUM(D108:D126)</f>
        <v>50</v>
      </c>
      <c r="E128" s="106">
        <f>SUM(E108:E126)</f>
        <v>700</v>
      </c>
      <c r="F128" s="106">
        <f>SUM(F108:F126)</f>
        <v>30</v>
      </c>
      <c r="G128" s="106">
        <f>SUM(G108:G126)</f>
        <v>420</v>
      </c>
      <c r="H128" s="106">
        <f t="shared" ref="H128:I128" si="40">SUM(H108:H127)</f>
        <v>779.87912087912082</v>
      </c>
      <c r="I128" s="106">
        <f t="shared" si="40"/>
        <v>10918.307692307693</v>
      </c>
      <c r="J128" s="106">
        <f t="shared" ref="J128:M128" si="41">SUM(J108:J126)</f>
        <v>60</v>
      </c>
      <c r="K128" s="106">
        <f t="shared" si="41"/>
        <v>840</v>
      </c>
      <c r="L128" s="106">
        <f t="shared" si="41"/>
        <v>40</v>
      </c>
      <c r="M128" s="106">
        <f t="shared" si="41"/>
        <v>560</v>
      </c>
      <c r="N128" s="117">
        <v>780</v>
      </c>
      <c r="O128" s="117">
        <v>10918</v>
      </c>
      <c r="P128" s="117">
        <v>60</v>
      </c>
      <c r="Q128" s="117">
        <v>840</v>
      </c>
      <c r="R128" s="117">
        <v>40</v>
      </c>
      <c r="S128" s="117">
        <v>560</v>
      </c>
      <c r="T128" s="106">
        <f>SUM(T108:T127)</f>
        <v>650</v>
      </c>
      <c r="U128" s="106">
        <f>SUM(U108:U127)</f>
        <v>9100</v>
      </c>
      <c r="V128" s="106">
        <v>50</v>
      </c>
      <c r="W128" s="106">
        <v>700</v>
      </c>
      <c r="X128" s="106">
        <v>30</v>
      </c>
      <c r="Y128" s="106">
        <v>420</v>
      </c>
      <c r="Z128" s="106">
        <f>SUM(Z108:Z127)</f>
        <v>690</v>
      </c>
      <c r="AA128" s="106">
        <f>SUM(AA108:AA127)</f>
        <v>9660</v>
      </c>
      <c r="AB128" s="106">
        <f>SUM(AB108:AB126)</f>
        <v>50</v>
      </c>
      <c r="AC128" s="106">
        <f>SUM(AC108:AC126)</f>
        <v>700</v>
      </c>
      <c r="AD128" s="106">
        <f>SUM(AD108:AD126)</f>
        <v>30</v>
      </c>
      <c r="AE128" s="106">
        <f>SUM(AE108:AE126)</f>
        <v>420</v>
      </c>
      <c r="AF128" s="106">
        <v>550</v>
      </c>
      <c r="AG128" s="106">
        <f>SUM(AG108:AG127)</f>
        <v>7700</v>
      </c>
      <c r="AH128" s="106">
        <f>SUM(AH108:AH126)</f>
        <v>50</v>
      </c>
      <c r="AI128" s="106">
        <f>SUM(AI108:AI126)</f>
        <v>700</v>
      </c>
      <c r="AJ128" s="106">
        <f>SUM(AJ108:AJ126)</f>
        <v>30</v>
      </c>
      <c r="AK128" s="106">
        <f>SUM(AK108:AK126)</f>
        <v>420</v>
      </c>
      <c r="AL128" s="92"/>
      <c r="AM128" s="92"/>
      <c r="AN128" s="92"/>
      <c r="AO128" s="92"/>
      <c r="AP128" s="92"/>
      <c r="AQ128" s="92"/>
      <c r="AR128" s="92"/>
      <c r="AS128" s="92"/>
      <c r="AT128" s="92"/>
      <c r="AU128" s="92"/>
      <c r="AV128" s="92"/>
      <c r="AW128" s="92"/>
      <c r="AX128" s="92"/>
      <c r="AY128" s="92"/>
      <c r="AZ128" s="92"/>
      <c r="BA128" s="92"/>
      <c r="BB128" s="92"/>
      <c r="BC128" s="92"/>
      <c r="BD128" s="92"/>
      <c r="BE128" s="92"/>
      <c r="BF128" s="92"/>
      <c r="BG128" s="92"/>
      <c r="BH128" s="92"/>
      <c r="BI128" s="92"/>
      <c r="BJ128" s="92"/>
      <c r="BK128" s="92"/>
    </row>
    <row r="129" spans="1:63" s="30" customFormat="1" ht="14.25" thickBot="1">
      <c r="A129" s="39"/>
      <c r="B129" s="118"/>
      <c r="C129" s="118"/>
      <c r="D129" s="118"/>
      <c r="E129" s="118"/>
      <c r="F129" s="118"/>
      <c r="G129" s="118"/>
      <c r="H129" s="118"/>
      <c r="I129" s="118"/>
      <c r="J129" s="118"/>
      <c r="K129" s="118"/>
      <c r="L129" s="118"/>
      <c r="M129" s="118"/>
      <c r="N129" s="118"/>
      <c r="O129" s="118"/>
      <c r="P129" s="118"/>
      <c r="Q129" s="118"/>
      <c r="R129" s="118"/>
      <c r="S129" s="118"/>
      <c r="T129" s="118"/>
      <c r="U129" s="118"/>
      <c r="V129" s="118"/>
      <c r="W129" s="118"/>
      <c r="X129" s="118"/>
      <c r="Y129" s="118"/>
      <c r="Z129" s="118"/>
      <c r="AA129" s="118"/>
      <c r="AB129" s="118"/>
      <c r="AC129" s="118"/>
      <c r="AD129" s="118"/>
      <c r="AE129" s="118"/>
      <c r="AF129" s="118"/>
      <c r="AG129" s="118"/>
      <c r="AH129" s="118"/>
      <c r="AI129" s="118"/>
      <c r="AJ129" s="118"/>
      <c r="AK129" s="118"/>
      <c r="AL129" s="92"/>
      <c r="AM129" s="92"/>
      <c r="AN129" s="92"/>
      <c r="AO129" s="92"/>
      <c r="AP129" s="92"/>
      <c r="AQ129" s="92"/>
      <c r="AR129" s="92"/>
      <c r="AS129" s="92"/>
      <c r="AT129" s="92"/>
      <c r="AU129" s="92"/>
      <c r="AV129" s="92"/>
      <c r="AW129" s="92"/>
      <c r="AX129" s="92"/>
      <c r="AY129" s="92"/>
      <c r="AZ129" s="92"/>
      <c r="BA129" s="92"/>
      <c r="BB129" s="92"/>
      <c r="BC129" s="92"/>
      <c r="BD129" s="92"/>
      <c r="BE129" s="92"/>
      <c r="BF129" s="92"/>
      <c r="BG129" s="92"/>
      <c r="BH129" s="92"/>
      <c r="BI129" s="92"/>
      <c r="BJ129" s="92"/>
      <c r="BK129" s="92"/>
    </row>
    <row r="130" spans="1:63" s="30" customFormat="1" ht="14.25" thickBot="1">
      <c r="A130" s="40" t="s">
        <v>305</v>
      </c>
      <c r="B130" s="359" t="s">
        <v>306</v>
      </c>
      <c r="C130" s="360"/>
      <c r="D130" s="360"/>
      <c r="E130" s="360"/>
      <c r="F130" s="361"/>
      <c r="G130" s="118"/>
      <c r="H130" s="118"/>
      <c r="I130" s="118"/>
      <c r="J130" s="118"/>
      <c r="K130" s="118"/>
      <c r="L130" s="118"/>
      <c r="M130" s="118"/>
      <c r="N130" s="118"/>
      <c r="O130" s="118"/>
      <c r="P130" s="118"/>
      <c r="Q130" s="118"/>
      <c r="R130" s="118"/>
      <c r="S130" s="118"/>
      <c r="T130" s="118"/>
      <c r="U130" s="118"/>
      <c r="V130" s="118"/>
      <c r="W130" s="118"/>
      <c r="X130" s="118"/>
      <c r="Y130" s="118"/>
      <c r="Z130" s="118"/>
      <c r="AA130" s="118"/>
      <c r="AB130" s="118"/>
      <c r="AC130" s="118"/>
      <c r="AD130" s="118"/>
      <c r="AE130" s="118"/>
      <c r="AF130" s="118"/>
      <c r="AG130" s="118"/>
      <c r="AH130" s="118"/>
      <c r="AI130" s="118"/>
      <c r="AJ130" s="118"/>
      <c r="AK130" s="118"/>
      <c r="AL130" s="92"/>
      <c r="AM130" s="92"/>
      <c r="AN130" s="92"/>
      <c r="AO130" s="92"/>
      <c r="AP130" s="92"/>
      <c r="AQ130" s="92"/>
      <c r="AR130" s="92"/>
      <c r="AS130" s="92"/>
      <c r="AT130" s="92"/>
      <c r="AU130" s="92"/>
      <c r="AV130" s="92"/>
      <c r="AW130" s="92"/>
      <c r="AX130" s="92"/>
      <c r="AY130" s="92"/>
      <c r="AZ130" s="92"/>
      <c r="BA130" s="92"/>
      <c r="BB130" s="92"/>
      <c r="BC130" s="92"/>
      <c r="BD130" s="92"/>
      <c r="BE130" s="92"/>
      <c r="BF130" s="92"/>
      <c r="BG130" s="92"/>
      <c r="BH130" s="92"/>
      <c r="BI130" s="92"/>
      <c r="BJ130" s="92"/>
      <c r="BK130" s="92"/>
    </row>
    <row r="131" spans="1:63" s="30" customFormat="1" ht="14.25" thickBot="1">
      <c r="A131" s="41" t="s">
        <v>307</v>
      </c>
      <c r="B131" s="119" t="s">
        <v>308</v>
      </c>
      <c r="C131" s="119" t="s">
        <v>309</v>
      </c>
      <c r="D131" s="119" t="s">
        <v>310</v>
      </c>
      <c r="E131" s="119" t="s">
        <v>311</v>
      </c>
      <c r="F131" s="119" t="s">
        <v>312</v>
      </c>
      <c r="G131" s="118"/>
      <c r="H131" s="118"/>
      <c r="I131" s="118"/>
      <c r="J131" s="118"/>
      <c r="K131" s="118"/>
      <c r="L131" s="118"/>
      <c r="M131" s="118"/>
      <c r="N131" s="118"/>
      <c r="O131" s="118"/>
      <c r="P131" s="118"/>
      <c r="Q131" s="118"/>
      <c r="R131" s="118"/>
      <c r="S131" s="118"/>
      <c r="T131" s="118"/>
      <c r="U131" s="118"/>
      <c r="V131" s="118"/>
      <c r="W131" s="118"/>
      <c r="X131" s="118"/>
      <c r="Y131" s="118"/>
      <c r="Z131" s="118"/>
      <c r="AA131" s="118"/>
      <c r="AB131" s="118"/>
      <c r="AC131" s="118"/>
      <c r="AD131" s="118"/>
      <c r="AE131" s="118"/>
      <c r="AF131" s="118"/>
      <c r="AG131" s="118"/>
      <c r="AH131" s="118"/>
      <c r="AI131" s="118"/>
      <c r="AJ131" s="118"/>
      <c r="AK131" s="118"/>
      <c r="AL131" s="92"/>
      <c r="AM131" s="92"/>
      <c r="AN131" s="92"/>
      <c r="AO131" s="92"/>
      <c r="AP131" s="92"/>
      <c r="AQ131" s="92"/>
      <c r="AR131" s="92"/>
      <c r="AS131" s="92"/>
      <c r="AT131" s="92"/>
      <c r="AU131" s="92"/>
      <c r="AV131" s="92"/>
      <c r="AW131" s="92"/>
      <c r="AX131" s="92"/>
      <c r="AY131" s="92"/>
      <c r="AZ131" s="92"/>
      <c r="BA131" s="92"/>
      <c r="BB131" s="92"/>
      <c r="BC131" s="92"/>
      <c r="BD131" s="92"/>
      <c r="BE131" s="92"/>
      <c r="BF131" s="92"/>
      <c r="BG131" s="92"/>
      <c r="BH131" s="92"/>
      <c r="BI131" s="92"/>
      <c r="BJ131" s="92"/>
      <c r="BK131" s="92"/>
    </row>
    <row r="132" spans="1:63" s="30" customFormat="1" ht="14.25" thickBot="1">
      <c r="A132" s="41" t="s">
        <v>313</v>
      </c>
      <c r="B132" s="119">
        <v>779</v>
      </c>
      <c r="C132" s="119">
        <v>10906</v>
      </c>
      <c r="D132" s="119">
        <v>60</v>
      </c>
      <c r="E132" s="119">
        <v>7162</v>
      </c>
      <c r="F132" s="119">
        <v>7549</v>
      </c>
      <c r="G132" s="118"/>
      <c r="H132" s="118"/>
      <c r="I132" s="118"/>
      <c r="J132" s="118"/>
      <c r="K132" s="118"/>
      <c r="L132" s="118"/>
      <c r="M132" s="118"/>
      <c r="N132" s="118"/>
      <c r="O132" s="118"/>
      <c r="P132" s="118"/>
      <c r="Q132" s="118"/>
      <c r="R132" s="118"/>
      <c r="S132" s="118"/>
      <c r="T132" s="118"/>
      <c r="U132" s="118"/>
      <c r="V132" s="118"/>
      <c r="W132" s="118"/>
      <c r="X132" s="118"/>
      <c r="Y132" s="118"/>
      <c r="Z132" s="118"/>
      <c r="AA132" s="118"/>
      <c r="AB132" s="118"/>
      <c r="AC132" s="118"/>
      <c r="AD132" s="118"/>
      <c r="AE132" s="118"/>
      <c r="AF132" s="118"/>
      <c r="AG132" s="118"/>
      <c r="AH132" s="118"/>
      <c r="AI132" s="118"/>
      <c r="AJ132" s="118"/>
      <c r="AK132" s="118"/>
      <c r="AL132" s="92"/>
      <c r="AM132" s="92"/>
      <c r="AN132" s="92"/>
      <c r="AO132" s="92"/>
      <c r="AP132" s="92"/>
      <c r="AQ132" s="92"/>
      <c r="AR132" s="92"/>
      <c r="AS132" s="92"/>
      <c r="AT132" s="92"/>
      <c r="AU132" s="92"/>
      <c r="AV132" s="92"/>
      <c r="AW132" s="92"/>
      <c r="AX132" s="92"/>
      <c r="AY132" s="92"/>
      <c r="AZ132" s="92"/>
      <c r="BA132" s="92"/>
      <c r="BB132" s="92"/>
      <c r="BC132" s="92"/>
      <c r="BD132" s="92"/>
      <c r="BE132" s="92"/>
      <c r="BF132" s="92"/>
      <c r="BG132" s="92"/>
      <c r="BH132" s="92"/>
      <c r="BI132" s="92"/>
      <c r="BJ132" s="92"/>
      <c r="BK132" s="92"/>
    </row>
    <row r="133" spans="1:63" s="30" customFormat="1" ht="14.25" thickBot="1">
      <c r="A133" s="41" t="s">
        <v>314</v>
      </c>
      <c r="B133" s="119">
        <v>910</v>
      </c>
      <c r="C133" s="119">
        <v>12740</v>
      </c>
      <c r="D133" s="119">
        <v>60</v>
      </c>
      <c r="E133" s="119">
        <v>7634</v>
      </c>
      <c r="F133" s="119">
        <v>6492</v>
      </c>
      <c r="G133" s="118"/>
      <c r="H133" s="118"/>
      <c r="I133" s="118"/>
      <c r="J133" s="118"/>
      <c r="K133" s="118"/>
      <c r="L133" s="118"/>
      <c r="M133" s="118"/>
      <c r="N133" s="118"/>
      <c r="O133" s="118"/>
      <c r="P133" s="118"/>
      <c r="Q133" s="118"/>
      <c r="R133" s="118"/>
      <c r="S133" s="118"/>
      <c r="T133" s="118"/>
      <c r="U133" s="118"/>
      <c r="V133" s="118"/>
      <c r="W133" s="118"/>
      <c r="X133" s="118"/>
      <c r="Y133" s="118"/>
      <c r="Z133" s="118"/>
      <c r="AA133" s="118"/>
      <c r="AB133" s="118"/>
      <c r="AC133" s="118"/>
      <c r="AD133" s="118"/>
      <c r="AE133" s="118"/>
      <c r="AF133" s="118"/>
      <c r="AG133" s="118"/>
      <c r="AH133" s="118"/>
      <c r="AI133" s="118"/>
      <c r="AJ133" s="118"/>
      <c r="AK133" s="118"/>
      <c r="AL133" s="92"/>
      <c r="AM133" s="92"/>
      <c r="AN133" s="92"/>
      <c r="AO133" s="92"/>
      <c r="AP133" s="92"/>
      <c r="AQ133" s="92"/>
      <c r="AR133" s="92"/>
      <c r="AS133" s="92"/>
      <c r="AT133" s="92"/>
      <c r="AU133" s="92"/>
      <c r="AV133" s="92"/>
      <c r="AW133" s="92"/>
      <c r="AX133" s="92"/>
      <c r="AY133" s="92"/>
      <c r="AZ133" s="92"/>
      <c r="BA133" s="92"/>
      <c r="BB133" s="92"/>
      <c r="BC133" s="92"/>
      <c r="BD133" s="92"/>
      <c r="BE133" s="92"/>
      <c r="BF133" s="92"/>
      <c r="BG133" s="92"/>
      <c r="BH133" s="92"/>
      <c r="BI133" s="92"/>
      <c r="BJ133" s="92"/>
      <c r="BK133" s="92"/>
    </row>
    <row r="134" spans="1:63" s="30" customFormat="1" ht="14.25" thickBot="1">
      <c r="A134" s="41" t="s">
        <v>315</v>
      </c>
      <c r="B134" s="119">
        <v>909</v>
      </c>
      <c r="C134" s="119">
        <v>12726</v>
      </c>
      <c r="D134" s="119">
        <v>60</v>
      </c>
      <c r="E134" s="119">
        <v>6785</v>
      </c>
      <c r="F134" s="119">
        <v>6492</v>
      </c>
      <c r="G134" s="118"/>
      <c r="H134" s="118"/>
      <c r="I134" s="118"/>
      <c r="J134" s="118"/>
      <c r="K134" s="118"/>
      <c r="L134" s="118"/>
      <c r="M134" s="118"/>
      <c r="N134" s="118"/>
      <c r="O134" s="118"/>
      <c r="P134" s="118"/>
      <c r="Q134" s="118"/>
      <c r="R134" s="118"/>
      <c r="S134" s="118"/>
      <c r="T134" s="118"/>
      <c r="U134" s="118"/>
      <c r="V134" s="118"/>
      <c r="W134" s="118"/>
      <c r="X134" s="118"/>
      <c r="Y134" s="118"/>
      <c r="Z134" s="118"/>
      <c r="AA134" s="118"/>
      <c r="AB134" s="118"/>
      <c r="AC134" s="118"/>
      <c r="AD134" s="118"/>
      <c r="AE134" s="118"/>
      <c r="AF134" s="118"/>
      <c r="AG134" s="118"/>
      <c r="AH134" s="118"/>
      <c r="AI134" s="118"/>
      <c r="AJ134" s="118"/>
      <c r="AK134" s="118"/>
      <c r="AL134" s="92"/>
      <c r="AM134" s="92"/>
      <c r="AN134" s="92"/>
      <c r="AO134" s="92"/>
      <c r="AP134" s="92"/>
      <c r="AQ134" s="92"/>
      <c r="AR134" s="92"/>
      <c r="AS134" s="92"/>
      <c r="AT134" s="92"/>
      <c r="AU134" s="92"/>
      <c r="AV134" s="92"/>
      <c r="AW134" s="92"/>
      <c r="AX134" s="92"/>
      <c r="AY134" s="92"/>
      <c r="AZ134" s="92"/>
      <c r="BA134" s="92"/>
      <c r="BB134" s="92"/>
      <c r="BC134" s="92"/>
      <c r="BD134" s="92"/>
      <c r="BE134" s="92"/>
      <c r="BF134" s="92"/>
      <c r="BG134" s="92"/>
      <c r="BH134" s="92"/>
      <c r="BI134" s="92"/>
      <c r="BJ134" s="92"/>
      <c r="BK134" s="92"/>
    </row>
    <row r="135" spans="1:63" s="30" customFormat="1" ht="14.25" thickBot="1">
      <c r="A135" s="41" t="s">
        <v>316</v>
      </c>
      <c r="B135" s="119">
        <v>779</v>
      </c>
      <c r="C135" s="119">
        <v>10906</v>
      </c>
      <c r="D135" s="119">
        <v>60</v>
      </c>
      <c r="E135" s="119">
        <v>6785</v>
      </c>
      <c r="F135" s="119">
        <v>6677</v>
      </c>
      <c r="G135" s="118"/>
      <c r="H135" s="118"/>
      <c r="I135" s="118"/>
      <c r="J135" s="118"/>
      <c r="K135" s="118"/>
      <c r="L135" s="118"/>
      <c r="M135" s="118"/>
      <c r="N135" s="118"/>
      <c r="O135" s="118"/>
      <c r="P135" s="118"/>
      <c r="Q135" s="118"/>
      <c r="R135" s="118"/>
      <c r="S135" s="118"/>
      <c r="T135" s="118"/>
      <c r="U135" s="118"/>
      <c r="V135" s="118"/>
      <c r="W135" s="118"/>
      <c r="X135" s="118"/>
      <c r="Y135" s="118"/>
      <c r="Z135" s="118"/>
      <c r="AA135" s="118"/>
      <c r="AB135" s="118"/>
      <c r="AC135" s="118"/>
      <c r="AD135" s="118"/>
      <c r="AE135" s="118"/>
      <c r="AF135" s="118"/>
      <c r="AG135" s="118"/>
      <c r="AH135" s="118"/>
      <c r="AI135" s="118"/>
      <c r="AJ135" s="118"/>
      <c r="AK135" s="118"/>
      <c r="AL135" s="92"/>
      <c r="AM135" s="92"/>
      <c r="AN135" s="92"/>
      <c r="AO135" s="92"/>
      <c r="AP135" s="92"/>
      <c r="AQ135" s="92"/>
      <c r="AR135" s="92"/>
      <c r="AS135" s="92"/>
      <c r="AT135" s="92"/>
      <c r="AU135" s="92"/>
      <c r="AV135" s="92"/>
      <c r="AW135" s="92"/>
      <c r="AX135" s="92"/>
      <c r="AY135" s="92"/>
      <c r="AZ135" s="92"/>
      <c r="BA135" s="92"/>
      <c r="BB135" s="92"/>
      <c r="BC135" s="92"/>
      <c r="BD135" s="92"/>
      <c r="BE135" s="92"/>
      <c r="BF135" s="92"/>
      <c r="BG135" s="92"/>
      <c r="BH135" s="92"/>
      <c r="BI135" s="92"/>
      <c r="BJ135" s="92"/>
      <c r="BK135" s="92"/>
    </row>
    <row r="136" spans="1:63" s="30" customFormat="1" ht="14.25" thickBot="1">
      <c r="A136" s="41" t="s">
        <v>317</v>
      </c>
      <c r="B136" s="119">
        <v>823</v>
      </c>
      <c r="C136" s="119">
        <v>11522</v>
      </c>
      <c r="D136" s="119">
        <v>60</v>
      </c>
      <c r="E136" s="119">
        <v>7634</v>
      </c>
      <c r="F136" s="119">
        <v>7790</v>
      </c>
      <c r="G136" s="118"/>
      <c r="H136" s="118"/>
      <c r="I136" s="118"/>
      <c r="J136" s="118"/>
      <c r="K136" s="118"/>
      <c r="L136" s="118"/>
      <c r="M136" s="118"/>
      <c r="N136" s="118"/>
      <c r="O136" s="118"/>
      <c r="P136" s="118"/>
      <c r="Q136" s="118"/>
      <c r="R136" s="118"/>
      <c r="S136" s="118"/>
      <c r="T136" s="118"/>
      <c r="U136" s="118"/>
      <c r="V136" s="118"/>
      <c r="W136" s="118"/>
      <c r="X136" s="118"/>
      <c r="Y136" s="118"/>
      <c r="Z136" s="118"/>
      <c r="AA136" s="118"/>
      <c r="AB136" s="118"/>
      <c r="AC136" s="118"/>
      <c r="AD136" s="118"/>
      <c r="AE136" s="118"/>
      <c r="AF136" s="118"/>
      <c r="AG136" s="118"/>
      <c r="AH136" s="118"/>
      <c r="AI136" s="118"/>
      <c r="AJ136" s="118"/>
      <c r="AK136" s="118"/>
      <c r="AL136" s="92"/>
      <c r="AM136" s="92"/>
      <c r="AN136" s="92"/>
      <c r="AO136" s="92"/>
      <c r="AP136" s="92"/>
      <c r="AQ136" s="92"/>
      <c r="AR136" s="92"/>
      <c r="AS136" s="92"/>
      <c r="AT136" s="92"/>
      <c r="AU136" s="92"/>
      <c r="AV136" s="92"/>
      <c r="AW136" s="92"/>
      <c r="AX136" s="92"/>
      <c r="AY136" s="92"/>
      <c r="AZ136" s="92"/>
      <c r="BA136" s="92"/>
      <c r="BB136" s="92"/>
      <c r="BC136" s="92"/>
      <c r="BD136" s="92"/>
      <c r="BE136" s="92"/>
      <c r="BF136" s="92"/>
      <c r="BG136" s="92"/>
      <c r="BH136" s="92"/>
      <c r="BI136" s="92"/>
      <c r="BJ136" s="92"/>
      <c r="BK136" s="92"/>
    </row>
    <row r="137" spans="1:63" s="30" customFormat="1" ht="14.25" thickBot="1">
      <c r="A137" s="42" t="s">
        <v>318</v>
      </c>
      <c r="B137" s="120">
        <v>680</v>
      </c>
      <c r="C137" s="120">
        <v>9520</v>
      </c>
      <c r="D137" s="120">
        <v>60</v>
      </c>
      <c r="E137" s="120">
        <v>7200</v>
      </c>
      <c r="F137" s="120">
        <v>7200</v>
      </c>
      <c r="G137" s="118"/>
      <c r="H137" s="118"/>
      <c r="I137" s="118"/>
      <c r="J137" s="118"/>
      <c r="K137" s="118"/>
      <c r="L137" s="118"/>
      <c r="M137" s="118"/>
      <c r="N137" s="118"/>
      <c r="O137" s="118"/>
      <c r="P137" s="118"/>
      <c r="Q137" s="118"/>
      <c r="R137" s="118"/>
      <c r="S137" s="118"/>
      <c r="T137" s="118"/>
      <c r="U137" s="118"/>
      <c r="V137" s="118"/>
      <c r="W137" s="118"/>
      <c r="X137" s="118"/>
      <c r="Y137" s="118"/>
      <c r="Z137" s="118"/>
      <c r="AA137" s="118"/>
      <c r="AB137" s="118"/>
      <c r="AC137" s="118"/>
      <c r="AD137" s="118"/>
      <c r="AE137" s="118"/>
      <c r="AF137" s="118"/>
      <c r="AG137" s="118"/>
      <c r="AH137" s="118"/>
      <c r="AI137" s="118"/>
      <c r="AJ137" s="118"/>
      <c r="AK137" s="118"/>
      <c r="AL137" s="92"/>
      <c r="AM137" s="92"/>
      <c r="AN137" s="92"/>
      <c r="AO137" s="92"/>
      <c r="AP137" s="92"/>
      <c r="AQ137" s="92"/>
      <c r="AR137" s="92"/>
      <c r="AS137" s="92"/>
      <c r="AT137" s="92"/>
      <c r="AU137" s="92"/>
      <c r="AV137" s="92"/>
      <c r="AW137" s="92"/>
      <c r="AX137" s="92"/>
      <c r="AY137" s="92"/>
      <c r="AZ137" s="92"/>
      <c r="BA137" s="92"/>
      <c r="BB137" s="92"/>
      <c r="BC137" s="92"/>
      <c r="BD137" s="92"/>
      <c r="BE137" s="92"/>
      <c r="BF137" s="92"/>
      <c r="BG137" s="92"/>
      <c r="BH137" s="92"/>
      <c r="BI137" s="92"/>
      <c r="BJ137" s="92"/>
      <c r="BK137" s="92"/>
    </row>
    <row r="138" spans="1:63" s="30" customFormat="1" ht="14.25" thickBot="1">
      <c r="A138" s="41"/>
      <c r="B138" s="119"/>
      <c r="C138" s="119"/>
      <c r="D138" s="119"/>
      <c r="E138" s="119"/>
      <c r="F138" s="119"/>
      <c r="G138" s="118"/>
      <c r="H138" s="118"/>
      <c r="I138" s="118"/>
      <c r="J138" s="118"/>
      <c r="K138" s="118"/>
      <c r="L138" s="118"/>
      <c r="M138" s="118"/>
      <c r="N138" s="118"/>
      <c r="O138" s="118"/>
      <c r="P138" s="118"/>
      <c r="Q138" s="118"/>
      <c r="R138" s="118"/>
      <c r="S138" s="118"/>
      <c r="T138" s="118"/>
      <c r="U138" s="118"/>
      <c r="V138" s="118"/>
      <c r="W138" s="118"/>
      <c r="X138" s="118"/>
      <c r="Y138" s="118"/>
      <c r="Z138" s="118"/>
      <c r="AA138" s="118"/>
      <c r="AB138" s="118"/>
      <c r="AC138" s="118"/>
      <c r="AD138" s="118"/>
      <c r="AE138" s="118"/>
      <c r="AF138" s="118"/>
      <c r="AG138" s="118"/>
      <c r="AH138" s="118"/>
      <c r="AI138" s="118"/>
      <c r="AJ138" s="118"/>
      <c r="AK138" s="118"/>
      <c r="AL138" s="92"/>
      <c r="AM138" s="92"/>
      <c r="AN138" s="92"/>
      <c r="AO138" s="92"/>
      <c r="AP138" s="92"/>
      <c r="AQ138" s="92"/>
      <c r="AR138" s="92"/>
      <c r="AS138" s="92"/>
      <c r="AT138" s="92"/>
      <c r="AU138" s="92"/>
      <c r="AV138" s="92"/>
      <c r="AW138" s="92"/>
      <c r="AX138" s="92"/>
      <c r="AY138" s="92"/>
      <c r="AZ138" s="92"/>
      <c r="BA138" s="92"/>
      <c r="BB138" s="92"/>
      <c r="BC138" s="92"/>
      <c r="BD138" s="92"/>
      <c r="BE138" s="92"/>
      <c r="BF138" s="92"/>
      <c r="BG138" s="92"/>
      <c r="BH138" s="92"/>
      <c r="BI138" s="92"/>
      <c r="BJ138" s="92"/>
      <c r="BK138" s="92"/>
    </row>
    <row r="139" spans="1:63" s="30" customFormat="1">
      <c r="B139" s="92"/>
      <c r="C139" s="92"/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  <c r="AA139" s="92"/>
      <c r="AB139" s="92"/>
      <c r="AC139" s="92"/>
      <c r="AD139" s="92"/>
      <c r="AE139" s="92"/>
      <c r="AF139" s="92"/>
      <c r="AG139" s="92"/>
      <c r="AH139" s="92"/>
      <c r="AI139" s="92"/>
      <c r="AJ139" s="92"/>
      <c r="AK139" s="92"/>
      <c r="AL139" s="92"/>
      <c r="AM139" s="92"/>
      <c r="AN139" s="92"/>
      <c r="AO139" s="92"/>
      <c r="AP139" s="92"/>
      <c r="AQ139" s="92"/>
      <c r="AR139" s="92"/>
      <c r="AS139" s="92"/>
      <c r="AT139" s="92"/>
      <c r="AU139" s="92"/>
      <c r="AV139" s="92"/>
      <c r="AW139" s="92"/>
      <c r="AX139" s="92"/>
      <c r="AY139" s="92"/>
      <c r="AZ139" s="92"/>
      <c r="BA139" s="92"/>
      <c r="BB139" s="92"/>
      <c r="BC139" s="92"/>
      <c r="BD139" s="92"/>
      <c r="BE139" s="92"/>
      <c r="BF139" s="92"/>
      <c r="BG139" s="92"/>
      <c r="BH139" s="92"/>
      <c r="BI139" s="92"/>
      <c r="BJ139" s="92"/>
      <c r="BK139" s="92"/>
    </row>
    <row r="140" spans="1:63" s="30" customFormat="1">
      <c r="B140" s="92"/>
      <c r="C140" s="92"/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  <c r="AA140" s="92"/>
      <c r="AB140" s="92"/>
      <c r="AC140" s="92"/>
      <c r="AD140" s="92"/>
      <c r="AE140" s="92"/>
      <c r="AF140" s="92"/>
      <c r="AG140" s="92"/>
      <c r="AH140" s="92"/>
      <c r="AI140" s="92"/>
      <c r="AJ140" s="92"/>
      <c r="AK140" s="92"/>
      <c r="AL140" s="92"/>
      <c r="AM140" s="92"/>
      <c r="AN140" s="92"/>
      <c r="AO140" s="92"/>
      <c r="AP140" s="92"/>
      <c r="AQ140" s="92"/>
      <c r="AR140" s="92"/>
      <c r="AS140" s="92"/>
      <c r="AT140" s="92"/>
      <c r="AU140" s="92"/>
      <c r="AV140" s="92"/>
      <c r="AW140" s="92"/>
      <c r="AX140" s="92"/>
      <c r="AY140" s="92"/>
      <c r="AZ140" s="92"/>
      <c r="BA140" s="92"/>
      <c r="BB140" s="92"/>
      <c r="BC140" s="92"/>
      <c r="BD140" s="92"/>
      <c r="BE140" s="92"/>
      <c r="BF140" s="92"/>
      <c r="BG140" s="92"/>
      <c r="BH140" s="92"/>
      <c r="BI140" s="92"/>
      <c r="BJ140" s="92"/>
      <c r="BK140" s="92"/>
    </row>
    <row r="141" spans="1:63" s="39" customFormat="1" ht="15.75">
      <c r="A141" s="34" t="s">
        <v>319</v>
      </c>
      <c r="B141" s="366" t="s">
        <v>320</v>
      </c>
      <c r="C141" s="366"/>
      <c r="D141" s="366"/>
      <c r="E141" s="366"/>
      <c r="F141" s="366"/>
      <c r="G141" s="366"/>
      <c r="H141" s="366" t="s">
        <v>321</v>
      </c>
      <c r="I141" s="366"/>
      <c r="J141" s="366"/>
      <c r="K141" s="366"/>
      <c r="L141" s="366"/>
      <c r="M141" s="366"/>
      <c r="N141" s="366" t="s">
        <v>322</v>
      </c>
      <c r="O141" s="366"/>
      <c r="P141" s="366"/>
      <c r="Q141" s="366"/>
      <c r="R141" s="366"/>
      <c r="S141" s="366"/>
      <c r="T141" s="366" t="s">
        <v>323</v>
      </c>
      <c r="U141" s="366"/>
      <c r="V141" s="366"/>
      <c r="W141" s="366"/>
      <c r="X141" s="366"/>
      <c r="Y141" s="366"/>
      <c r="Z141" s="366" t="s">
        <v>324</v>
      </c>
      <c r="AA141" s="366"/>
      <c r="AB141" s="366"/>
      <c r="AC141" s="366"/>
      <c r="AD141" s="366"/>
      <c r="AE141" s="366"/>
      <c r="AF141" s="366" t="s">
        <v>325</v>
      </c>
      <c r="AG141" s="366"/>
      <c r="AH141" s="366"/>
      <c r="AI141" s="366"/>
      <c r="AJ141" s="366"/>
      <c r="AK141" s="366"/>
      <c r="AL141" s="118"/>
      <c r="AM141" s="118"/>
      <c r="AN141" s="118"/>
      <c r="AO141" s="118"/>
      <c r="AP141" s="118"/>
      <c r="AQ141" s="118"/>
      <c r="AR141" s="118"/>
      <c r="AS141" s="118"/>
      <c r="AT141" s="118"/>
      <c r="AU141" s="118"/>
      <c r="AV141" s="118"/>
      <c r="AW141" s="118"/>
      <c r="AX141" s="118"/>
      <c r="AY141" s="118"/>
      <c r="AZ141" s="118"/>
      <c r="BA141" s="118"/>
      <c r="BB141" s="118"/>
      <c r="BC141" s="118"/>
      <c r="BD141" s="118"/>
      <c r="BE141" s="118"/>
      <c r="BF141" s="118"/>
      <c r="BG141" s="118"/>
      <c r="BH141" s="118"/>
      <c r="BI141" s="118"/>
      <c r="BJ141" s="118"/>
      <c r="BK141" s="118"/>
    </row>
    <row r="142" spans="1:63" s="39" customFormat="1" ht="15.75">
      <c r="A142" s="374" t="s">
        <v>177</v>
      </c>
      <c r="B142" s="362" t="s">
        <v>326</v>
      </c>
      <c r="C142" s="362"/>
      <c r="D142" s="362" t="s">
        <v>179</v>
      </c>
      <c r="E142" s="362"/>
      <c r="F142" s="362" t="s">
        <v>327</v>
      </c>
      <c r="G142" s="362"/>
      <c r="H142" s="362" t="s">
        <v>326</v>
      </c>
      <c r="I142" s="362"/>
      <c r="J142" s="362" t="s">
        <v>179</v>
      </c>
      <c r="K142" s="362"/>
      <c r="L142" s="362" t="s">
        <v>327</v>
      </c>
      <c r="M142" s="362"/>
      <c r="N142" s="362" t="s">
        <v>326</v>
      </c>
      <c r="O142" s="362"/>
      <c r="P142" s="362" t="s">
        <v>179</v>
      </c>
      <c r="Q142" s="362"/>
      <c r="R142" s="362" t="s">
        <v>327</v>
      </c>
      <c r="S142" s="362"/>
      <c r="T142" s="362" t="s">
        <v>326</v>
      </c>
      <c r="U142" s="362"/>
      <c r="V142" s="362" t="s">
        <v>179</v>
      </c>
      <c r="W142" s="362"/>
      <c r="X142" s="362" t="s">
        <v>327</v>
      </c>
      <c r="Y142" s="362"/>
      <c r="Z142" s="362" t="s">
        <v>326</v>
      </c>
      <c r="AA142" s="362"/>
      <c r="AB142" s="362" t="s">
        <v>179</v>
      </c>
      <c r="AC142" s="362"/>
      <c r="AD142" s="362" t="s">
        <v>327</v>
      </c>
      <c r="AE142" s="362"/>
      <c r="AF142" s="362" t="s">
        <v>326</v>
      </c>
      <c r="AG142" s="362"/>
      <c r="AH142" s="362" t="s">
        <v>179</v>
      </c>
      <c r="AI142" s="362"/>
      <c r="AJ142" s="362" t="s">
        <v>327</v>
      </c>
      <c r="AK142" s="362"/>
      <c r="AL142" s="118"/>
      <c r="AM142" s="118"/>
      <c r="AN142" s="118"/>
      <c r="AO142" s="118"/>
      <c r="AP142" s="118"/>
      <c r="AQ142" s="118"/>
      <c r="AR142" s="118"/>
      <c r="AS142" s="118"/>
      <c r="AT142" s="118"/>
      <c r="AU142" s="118"/>
      <c r="AV142" s="118"/>
      <c r="AW142" s="118"/>
      <c r="AX142" s="118"/>
      <c r="AY142" s="118"/>
      <c r="AZ142" s="118"/>
      <c r="BA142" s="118"/>
      <c r="BB142" s="118"/>
      <c r="BC142" s="118"/>
      <c r="BD142" s="118"/>
      <c r="BE142" s="118"/>
      <c r="BF142" s="118"/>
      <c r="BG142" s="118"/>
      <c r="BH142" s="118"/>
      <c r="BI142" s="118"/>
      <c r="BJ142" s="118"/>
      <c r="BK142" s="118"/>
    </row>
    <row r="143" spans="1:63" s="39" customFormat="1" ht="15.75">
      <c r="A143" s="374"/>
      <c r="B143" s="103" t="s">
        <v>5</v>
      </c>
      <c r="C143" s="103" t="s">
        <v>6</v>
      </c>
      <c r="D143" s="103" t="s">
        <v>5</v>
      </c>
      <c r="E143" s="103" t="s">
        <v>6</v>
      </c>
      <c r="F143" s="103" t="s">
        <v>5</v>
      </c>
      <c r="G143" s="103" t="s">
        <v>6</v>
      </c>
      <c r="H143" s="103" t="s">
        <v>5</v>
      </c>
      <c r="I143" s="103" t="s">
        <v>6</v>
      </c>
      <c r="J143" s="103" t="s">
        <v>5</v>
      </c>
      <c r="K143" s="103" t="s">
        <v>6</v>
      </c>
      <c r="L143" s="103" t="s">
        <v>5</v>
      </c>
      <c r="M143" s="103" t="s">
        <v>6</v>
      </c>
      <c r="N143" s="103" t="s">
        <v>5</v>
      </c>
      <c r="O143" s="103" t="s">
        <v>6</v>
      </c>
      <c r="P143" s="103" t="s">
        <v>5</v>
      </c>
      <c r="Q143" s="103" t="s">
        <v>6</v>
      </c>
      <c r="R143" s="103" t="s">
        <v>5</v>
      </c>
      <c r="S143" s="103" t="s">
        <v>6</v>
      </c>
      <c r="T143" s="103" t="s">
        <v>5</v>
      </c>
      <c r="U143" s="103" t="s">
        <v>6</v>
      </c>
      <c r="V143" s="103" t="s">
        <v>5</v>
      </c>
      <c r="W143" s="103" t="s">
        <v>6</v>
      </c>
      <c r="X143" s="103" t="s">
        <v>5</v>
      </c>
      <c r="Y143" s="103" t="s">
        <v>6</v>
      </c>
      <c r="Z143" s="103" t="s">
        <v>5</v>
      </c>
      <c r="AA143" s="103" t="s">
        <v>6</v>
      </c>
      <c r="AB143" s="103" t="s">
        <v>5</v>
      </c>
      <c r="AC143" s="103" t="s">
        <v>6</v>
      </c>
      <c r="AD143" s="103" t="s">
        <v>5</v>
      </c>
      <c r="AE143" s="103" t="s">
        <v>6</v>
      </c>
      <c r="AF143" s="103" t="s">
        <v>5</v>
      </c>
      <c r="AG143" s="103" t="s">
        <v>6</v>
      </c>
      <c r="AH143" s="103" t="s">
        <v>5</v>
      </c>
      <c r="AI143" s="103" t="s">
        <v>6</v>
      </c>
      <c r="AJ143" s="103" t="s">
        <v>5</v>
      </c>
      <c r="AK143" s="103" t="s">
        <v>6</v>
      </c>
      <c r="AL143" s="118"/>
      <c r="AM143" s="118"/>
      <c r="AN143" s="118"/>
      <c r="AO143" s="118"/>
      <c r="AP143" s="118"/>
      <c r="AQ143" s="118"/>
      <c r="AR143" s="118"/>
      <c r="AS143" s="118"/>
      <c r="AT143" s="118"/>
      <c r="AU143" s="118"/>
      <c r="AV143" s="118"/>
      <c r="AW143" s="118"/>
      <c r="AX143" s="118"/>
      <c r="AY143" s="118"/>
      <c r="AZ143" s="118"/>
      <c r="BA143" s="118"/>
      <c r="BB143" s="118"/>
      <c r="BC143" s="118"/>
      <c r="BD143" s="118"/>
      <c r="BE143" s="118"/>
      <c r="BF143" s="118"/>
      <c r="BG143" s="118"/>
      <c r="BH143" s="118"/>
      <c r="BI143" s="118"/>
      <c r="BJ143" s="118"/>
      <c r="BK143" s="118"/>
    </row>
    <row r="144" spans="1:63" s="39" customFormat="1" ht="15.75">
      <c r="A144" s="35" t="s">
        <v>328</v>
      </c>
      <c r="B144" s="362" t="s">
        <v>329</v>
      </c>
      <c r="C144" s="362"/>
      <c r="D144" s="362"/>
      <c r="E144" s="362"/>
      <c r="F144" s="362"/>
      <c r="G144" s="362"/>
      <c r="H144" s="362" t="s">
        <v>330</v>
      </c>
      <c r="I144" s="362"/>
      <c r="J144" s="362"/>
      <c r="K144" s="362"/>
      <c r="L144" s="362"/>
      <c r="M144" s="362"/>
      <c r="N144" s="381" t="s">
        <v>331</v>
      </c>
      <c r="O144" s="381"/>
      <c r="P144" s="381"/>
      <c r="Q144" s="381"/>
      <c r="R144" s="381"/>
      <c r="S144" s="381"/>
      <c r="T144" s="362" t="s">
        <v>329</v>
      </c>
      <c r="U144" s="362"/>
      <c r="V144" s="362"/>
      <c r="W144" s="362"/>
      <c r="X144" s="362"/>
      <c r="Y144" s="362"/>
      <c r="Z144" s="362" t="s">
        <v>332</v>
      </c>
      <c r="AA144" s="362"/>
      <c r="AB144" s="362"/>
      <c r="AC144" s="362"/>
      <c r="AD144" s="362"/>
      <c r="AE144" s="362"/>
      <c r="AF144" s="362" t="s">
        <v>332</v>
      </c>
      <c r="AG144" s="362"/>
      <c r="AH144" s="362"/>
      <c r="AI144" s="362"/>
      <c r="AJ144" s="362"/>
      <c r="AK144" s="362"/>
      <c r="AL144" s="118"/>
      <c r="AM144" s="118"/>
      <c r="AN144" s="118"/>
      <c r="AO144" s="118"/>
      <c r="AP144" s="118"/>
      <c r="AQ144" s="118"/>
      <c r="AR144" s="118"/>
      <c r="AS144" s="118"/>
      <c r="AT144" s="118"/>
      <c r="AU144" s="118"/>
      <c r="AV144" s="118"/>
      <c r="AW144" s="118"/>
      <c r="AX144" s="118"/>
      <c r="AY144" s="118"/>
      <c r="AZ144" s="118"/>
      <c r="BA144" s="118"/>
      <c r="BB144" s="118"/>
      <c r="BC144" s="118"/>
      <c r="BD144" s="118"/>
      <c r="BE144" s="118"/>
      <c r="BF144" s="118"/>
      <c r="BG144" s="118"/>
      <c r="BH144" s="118"/>
      <c r="BI144" s="118"/>
      <c r="BJ144" s="118"/>
      <c r="BK144" s="118"/>
    </row>
    <row r="145" spans="1:63" s="39" customFormat="1" ht="15.75">
      <c r="A145" s="35" t="s">
        <v>7</v>
      </c>
      <c r="B145" s="103">
        <v>50</v>
      </c>
      <c r="C145" s="103">
        <f>B145*14</f>
        <v>700</v>
      </c>
      <c r="D145" s="103">
        <v>20</v>
      </c>
      <c r="E145" s="103">
        <v>280</v>
      </c>
      <c r="F145" s="103"/>
      <c r="G145" s="103"/>
      <c r="H145" s="103">
        <v>60</v>
      </c>
      <c r="I145" s="103">
        <f>H145*14</f>
        <v>840</v>
      </c>
      <c r="J145" s="103">
        <v>20</v>
      </c>
      <c r="K145" s="103">
        <v>280</v>
      </c>
      <c r="L145" s="103"/>
      <c r="M145" s="103"/>
      <c r="N145" s="103">
        <v>60</v>
      </c>
      <c r="O145" s="103">
        <f>N145*14</f>
        <v>840</v>
      </c>
      <c r="P145" s="103">
        <v>20</v>
      </c>
      <c r="Q145" s="103">
        <v>280</v>
      </c>
      <c r="R145" s="103"/>
      <c r="S145" s="103"/>
      <c r="T145" s="103">
        <v>70</v>
      </c>
      <c r="U145" s="103">
        <f>T145*14</f>
        <v>980</v>
      </c>
      <c r="V145" s="103">
        <v>20</v>
      </c>
      <c r="W145" s="103">
        <v>280</v>
      </c>
      <c r="X145" s="103"/>
      <c r="Y145" s="103"/>
      <c r="Z145" s="103">
        <v>50</v>
      </c>
      <c r="AA145" s="103">
        <f>Z145*14</f>
        <v>700</v>
      </c>
      <c r="AB145" s="103">
        <v>20</v>
      </c>
      <c r="AC145" s="103">
        <v>280</v>
      </c>
      <c r="AD145" s="103"/>
      <c r="AE145" s="103"/>
      <c r="AF145" s="103">
        <v>50</v>
      </c>
      <c r="AG145" s="103">
        <f>AF145*14</f>
        <v>700</v>
      </c>
      <c r="AH145" s="103">
        <v>20</v>
      </c>
      <c r="AI145" s="103">
        <v>280</v>
      </c>
      <c r="AJ145" s="103"/>
      <c r="AK145" s="103"/>
      <c r="AL145" s="118"/>
      <c r="AM145" s="118"/>
      <c r="AN145" s="118"/>
      <c r="AO145" s="118"/>
      <c r="AP145" s="118"/>
      <c r="AQ145" s="118"/>
      <c r="AR145" s="118"/>
      <c r="AS145" s="118"/>
      <c r="AT145" s="118"/>
      <c r="AU145" s="118"/>
      <c r="AV145" s="118"/>
      <c r="AW145" s="118"/>
      <c r="AX145" s="118"/>
      <c r="AY145" s="118"/>
      <c r="AZ145" s="118"/>
      <c r="BA145" s="118"/>
      <c r="BB145" s="118"/>
      <c r="BC145" s="118"/>
      <c r="BD145" s="118"/>
      <c r="BE145" s="118"/>
      <c r="BF145" s="118"/>
      <c r="BG145" s="118"/>
      <c r="BH145" s="118"/>
      <c r="BI145" s="118"/>
      <c r="BJ145" s="118"/>
      <c r="BK145" s="118"/>
    </row>
    <row r="146" spans="1:63" s="39" customFormat="1" ht="15.75">
      <c r="A146" s="37" t="s">
        <v>139</v>
      </c>
      <c r="B146" s="113">
        <v>100</v>
      </c>
      <c r="C146" s="113">
        <f t="shared" ref="C146:C159" si="42">B146*14</f>
        <v>1400</v>
      </c>
      <c r="D146" s="113">
        <v>20</v>
      </c>
      <c r="E146" s="113">
        <v>280</v>
      </c>
      <c r="F146" s="113"/>
      <c r="G146" s="113"/>
      <c r="H146" s="113">
        <v>120</v>
      </c>
      <c r="I146" s="113">
        <f t="shared" ref="I146:I159" si="43">H146*14</f>
        <v>1680</v>
      </c>
      <c r="J146" s="113">
        <v>20</v>
      </c>
      <c r="K146" s="113">
        <v>280</v>
      </c>
      <c r="L146" s="113">
        <v>20</v>
      </c>
      <c r="M146" s="113">
        <v>280</v>
      </c>
      <c r="N146" s="113">
        <v>120</v>
      </c>
      <c r="O146" s="113">
        <f t="shared" ref="O146:O159" si="44">N146*14</f>
        <v>1680</v>
      </c>
      <c r="P146" s="113">
        <v>20</v>
      </c>
      <c r="Q146" s="113">
        <v>280</v>
      </c>
      <c r="R146" s="113">
        <v>20</v>
      </c>
      <c r="S146" s="113">
        <v>280</v>
      </c>
      <c r="T146" s="113">
        <v>70</v>
      </c>
      <c r="U146" s="113">
        <f t="shared" ref="U146:U159" si="45">T146*14</f>
        <v>980</v>
      </c>
      <c r="V146" s="113">
        <v>20</v>
      </c>
      <c r="W146" s="113">
        <v>280</v>
      </c>
      <c r="X146" s="113"/>
      <c r="Y146" s="113"/>
      <c r="Z146" s="113">
        <v>100</v>
      </c>
      <c r="AA146" s="113">
        <f t="shared" ref="AA146:AA153" si="46">Z146*14</f>
        <v>1400</v>
      </c>
      <c r="AB146" s="113">
        <v>20</v>
      </c>
      <c r="AC146" s="113">
        <v>280</v>
      </c>
      <c r="AD146" s="113"/>
      <c r="AE146" s="113"/>
      <c r="AF146" s="113">
        <v>80</v>
      </c>
      <c r="AG146" s="113">
        <f t="shared" ref="AG146:AG153" si="47">AF146*14</f>
        <v>1120</v>
      </c>
      <c r="AH146" s="113">
        <v>20</v>
      </c>
      <c r="AI146" s="113">
        <v>280</v>
      </c>
      <c r="AJ146" s="113"/>
      <c r="AK146" s="113"/>
      <c r="AL146" s="118"/>
      <c r="AM146" s="118"/>
      <c r="AN146" s="118"/>
      <c r="AO146" s="118"/>
      <c r="AP146" s="118"/>
      <c r="AQ146" s="118"/>
      <c r="AR146" s="118"/>
      <c r="AS146" s="118"/>
      <c r="AT146" s="118"/>
      <c r="AU146" s="118"/>
      <c r="AV146" s="118"/>
      <c r="AW146" s="118"/>
      <c r="AX146" s="118"/>
      <c r="AY146" s="118"/>
      <c r="AZ146" s="118"/>
      <c r="BA146" s="118"/>
      <c r="BB146" s="118"/>
      <c r="BC146" s="118"/>
      <c r="BD146" s="118"/>
      <c r="BE146" s="118"/>
      <c r="BF146" s="118"/>
      <c r="BG146" s="118"/>
      <c r="BH146" s="118"/>
      <c r="BI146" s="118"/>
      <c r="BJ146" s="118"/>
      <c r="BK146" s="118"/>
    </row>
    <row r="147" spans="1:63" s="39" customFormat="1" ht="15.75">
      <c r="A147" s="37" t="s">
        <v>140</v>
      </c>
      <c r="B147" s="113">
        <v>100</v>
      </c>
      <c r="C147" s="113">
        <f t="shared" si="42"/>
        <v>1400</v>
      </c>
      <c r="D147" s="113">
        <v>10</v>
      </c>
      <c r="E147" s="113">
        <v>140</v>
      </c>
      <c r="F147" s="113">
        <v>30</v>
      </c>
      <c r="G147" s="113">
        <v>420</v>
      </c>
      <c r="H147" s="113">
        <v>120</v>
      </c>
      <c r="I147" s="113">
        <f t="shared" si="43"/>
        <v>1680</v>
      </c>
      <c r="J147" s="113">
        <v>20</v>
      </c>
      <c r="K147" s="113">
        <v>280</v>
      </c>
      <c r="L147" s="113">
        <v>20</v>
      </c>
      <c r="M147" s="113">
        <v>280</v>
      </c>
      <c r="N147" s="113">
        <v>120</v>
      </c>
      <c r="O147" s="113">
        <f t="shared" si="44"/>
        <v>1680</v>
      </c>
      <c r="P147" s="113">
        <v>20</v>
      </c>
      <c r="Q147" s="113">
        <v>280</v>
      </c>
      <c r="R147" s="113">
        <v>20</v>
      </c>
      <c r="S147" s="113">
        <v>280</v>
      </c>
      <c r="T147" s="113">
        <v>100</v>
      </c>
      <c r="U147" s="113">
        <f t="shared" si="45"/>
        <v>1400</v>
      </c>
      <c r="V147" s="113">
        <v>10</v>
      </c>
      <c r="W147" s="113">
        <v>140</v>
      </c>
      <c r="X147" s="113">
        <v>30</v>
      </c>
      <c r="Y147" s="113">
        <v>420</v>
      </c>
      <c r="Z147" s="113">
        <v>100</v>
      </c>
      <c r="AA147" s="113">
        <f t="shared" si="46"/>
        <v>1400</v>
      </c>
      <c r="AB147" s="113">
        <v>10</v>
      </c>
      <c r="AC147" s="113">
        <v>140</v>
      </c>
      <c r="AD147" s="113">
        <v>30</v>
      </c>
      <c r="AE147" s="113">
        <v>420</v>
      </c>
      <c r="AF147" s="113">
        <v>80</v>
      </c>
      <c r="AG147" s="113">
        <f t="shared" si="47"/>
        <v>1120</v>
      </c>
      <c r="AH147" s="113">
        <v>10</v>
      </c>
      <c r="AI147" s="113">
        <v>140</v>
      </c>
      <c r="AJ147" s="113">
        <v>30</v>
      </c>
      <c r="AK147" s="113">
        <v>420</v>
      </c>
      <c r="AL147" s="118"/>
      <c r="AM147" s="118"/>
      <c r="AN147" s="118"/>
      <c r="AO147" s="118"/>
      <c r="AP147" s="118"/>
      <c r="AQ147" s="118"/>
      <c r="AR147" s="118"/>
      <c r="AS147" s="118"/>
      <c r="AT147" s="118"/>
      <c r="AU147" s="118"/>
      <c r="AV147" s="118"/>
      <c r="AW147" s="118"/>
      <c r="AX147" s="118"/>
      <c r="AY147" s="118"/>
      <c r="AZ147" s="118"/>
      <c r="BA147" s="118"/>
      <c r="BB147" s="118"/>
      <c r="BC147" s="118"/>
      <c r="BD147" s="118"/>
      <c r="BE147" s="118"/>
      <c r="BF147" s="118"/>
      <c r="BG147" s="118"/>
      <c r="BH147" s="118"/>
      <c r="BI147" s="118"/>
      <c r="BJ147" s="118"/>
      <c r="BK147" s="118"/>
    </row>
    <row r="148" spans="1:63" s="39" customFormat="1" ht="15.75">
      <c r="A148" s="37" t="s">
        <v>193</v>
      </c>
      <c r="B148" s="113">
        <v>50</v>
      </c>
      <c r="C148" s="113">
        <f t="shared" si="42"/>
        <v>700</v>
      </c>
      <c r="D148" s="113"/>
      <c r="E148" s="113"/>
      <c r="F148" s="113"/>
      <c r="G148" s="113"/>
      <c r="H148" s="113">
        <v>70</v>
      </c>
      <c r="I148" s="113">
        <f t="shared" si="43"/>
        <v>980</v>
      </c>
      <c r="J148" s="113"/>
      <c r="K148" s="113"/>
      <c r="L148" s="113"/>
      <c r="M148" s="113"/>
      <c r="N148" s="113">
        <v>70</v>
      </c>
      <c r="O148" s="113">
        <f t="shared" si="44"/>
        <v>980</v>
      </c>
      <c r="P148" s="114"/>
      <c r="Q148" s="114"/>
      <c r="R148" s="114"/>
      <c r="S148" s="114"/>
      <c r="T148" s="113">
        <v>70</v>
      </c>
      <c r="U148" s="113">
        <f t="shared" si="45"/>
        <v>980</v>
      </c>
      <c r="V148" s="113"/>
      <c r="W148" s="113"/>
      <c r="X148" s="113"/>
      <c r="Y148" s="113"/>
      <c r="Z148" s="113">
        <v>50</v>
      </c>
      <c r="AA148" s="113">
        <f t="shared" si="46"/>
        <v>700</v>
      </c>
      <c r="AB148" s="113"/>
      <c r="AC148" s="113"/>
      <c r="AD148" s="113"/>
      <c r="AE148" s="113"/>
      <c r="AF148" s="113">
        <v>40</v>
      </c>
      <c r="AG148" s="113">
        <f t="shared" si="47"/>
        <v>560</v>
      </c>
      <c r="AH148" s="113"/>
      <c r="AI148" s="113"/>
      <c r="AJ148" s="113"/>
      <c r="AK148" s="113"/>
      <c r="AL148" s="118"/>
      <c r="AM148" s="118"/>
      <c r="AN148" s="118"/>
      <c r="AO148" s="118"/>
      <c r="AP148" s="118"/>
      <c r="AQ148" s="118"/>
      <c r="AR148" s="118"/>
      <c r="AS148" s="118"/>
      <c r="AT148" s="118"/>
      <c r="AU148" s="118"/>
      <c r="AV148" s="118"/>
      <c r="AW148" s="118"/>
      <c r="AX148" s="118"/>
      <c r="AY148" s="118"/>
      <c r="AZ148" s="118"/>
      <c r="BA148" s="118"/>
      <c r="BB148" s="118"/>
      <c r="BC148" s="118"/>
      <c r="BD148" s="118"/>
      <c r="BE148" s="118"/>
      <c r="BF148" s="118"/>
      <c r="BG148" s="118"/>
      <c r="BH148" s="118"/>
      <c r="BI148" s="118"/>
      <c r="BJ148" s="118"/>
      <c r="BK148" s="118"/>
    </row>
    <row r="149" spans="1:63" s="39" customFormat="1" ht="15.75">
      <c r="A149" s="37" t="s">
        <v>291</v>
      </c>
      <c r="B149" s="113">
        <v>20</v>
      </c>
      <c r="C149" s="113">
        <f t="shared" si="42"/>
        <v>280</v>
      </c>
      <c r="D149" s="113"/>
      <c r="E149" s="113"/>
      <c r="F149" s="113"/>
      <c r="G149" s="113"/>
      <c r="H149" s="113">
        <v>40</v>
      </c>
      <c r="I149" s="113">
        <f t="shared" si="43"/>
        <v>560</v>
      </c>
      <c r="J149" s="113"/>
      <c r="K149" s="113"/>
      <c r="L149" s="113"/>
      <c r="M149" s="113"/>
      <c r="N149" s="113">
        <v>39.956043956043956</v>
      </c>
      <c r="O149" s="113">
        <f t="shared" si="44"/>
        <v>559.38461538461536</v>
      </c>
      <c r="P149" s="114"/>
      <c r="Q149" s="114"/>
      <c r="R149" s="114"/>
      <c r="S149" s="114"/>
      <c r="T149" s="113">
        <v>40</v>
      </c>
      <c r="U149" s="113">
        <f t="shared" si="45"/>
        <v>560</v>
      </c>
      <c r="V149" s="113"/>
      <c r="W149" s="113"/>
      <c r="X149" s="113"/>
      <c r="Y149" s="113"/>
      <c r="Z149" s="113">
        <v>20</v>
      </c>
      <c r="AA149" s="113">
        <f t="shared" si="46"/>
        <v>280</v>
      </c>
      <c r="AB149" s="113"/>
      <c r="AC149" s="113"/>
      <c r="AD149" s="113"/>
      <c r="AE149" s="113"/>
      <c r="AF149" s="113">
        <v>10</v>
      </c>
      <c r="AG149" s="113">
        <f t="shared" si="47"/>
        <v>140</v>
      </c>
      <c r="AH149" s="113"/>
      <c r="AI149" s="113"/>
      <c r="AJ149" s="113"/>
      <c r="AK149" s="113"/>
      <c r="AL149" s="118"/>
      <c r="AM149" s="118"/>
      <c r="AN149" s="118"/>
      <c r="AO149" s="118"/>
      <c r="AP149" s="118"/>
      <c r="AQ149" s="118"/>
      <c r="AR149" s="118"/>
      <c r="AS149" s="118"/>
      <c r="AT149" s="118"/>
      <c r="AU149" s="118"/>
      <c r="AV149" s="118"/>
      <c r="AW149" s="118"/>
      <c r="AX149" s="118"/>
      <c r="AY149" s="118"/>
      <c r="AZ149" s="118"/>
      <c r="BA149" s="118"/>
      <c r="BB149" s="118"/>
      <c r="BC149" s="118"/>
      <c r="BD149" s="118"/>
      <c r="BE149" s="118"/>
      <c r="BF149" s="118"/>
      <c r="BG149" s="118"/>
      <c r="BH149" s="118"/>
      <c r="BI149" s="118"/>
      <c r="BJ149" s="118"/>
      <c r="BK149" s="118"/>
    </row>
    <row r="150" spans="1:63" s="39" customFormat="1" ht="15.75">
      <c r="A150" s="37" t="s">
        <v>292</v>
      </c>
      <c r="B150" s="113">
        <v>50</v>
      </c>
      <c r="C150" s="113">
        <f t="shared" si="42"/>
        <v>700</v>
      </c>
      <c r="D150" s="113"/>
      <c r="E150" s="113"/>
      <c r="F150" s="113"/>
      <c r="G150" s="113"/>
      <c r="H150" s="113">
        <v>50</v>
      </c>
      <c r="I150" s="113">
        <f t="shared" si="43"/>
        <v>700</v>
      </c>
      <c r="J150" s="113"/>
      <c r="K150" s="113"/>
      <c r="L150" s="113"/>
      <c r="M150" s="113"/>
      <c r="N150" s="113">
        <v>50</v>
      </c>
      <c r="O150" s="113">
        <f t="shared" si="44"/>
        <v>700</v>
      </c>
      <c r="P150" s="114"/>
      <c r="Q150" s="114"/>
      <c r="R150" s="114"/>
      <c r="S150" s="114"/>
      <c r="T150" s="113">
        <v>50</v>
      </c>
      <c r="U150" s="113">
        <f t="shared" si="45"/>
        <v>700</v>
      </c>
      <c r="V150" s="113"/>
      <c r="W150" s="113"/>
      <c r="X150" s="113"/>
      <c r="Y150" s="113"/>
      <c r="Z150" s="113">
        <v>50</v>
      </c>
      <c r="AA150" s="113">
        <f t="shared" si="46"/>
        <v>700</v>
      </c>
      <c r="AB150" s="113"/>
      <c r="AC150" s="113"/>
      <c r="AD150" s="113"/>
      <c r="AE150" s="113"/>
      <c r="AF150" s="113">
        <v>30</v>
      </c>
      <c r="AG150" s="113">
        <f t="shared" si="47"/>
        <v>420</v>
      </c>
      <c r="AH150" s="113"/>
      <c r="AI150" s="113"/>
      <c r="AJ150" s="113"/>
      <c r="AK150" s="113"/>
      <c r="AL150" s="118"/>
      <c r="AM150" s="118"/>
      <c r="AN150" s="118"/>
      <c r="AO150" s="118"/>
      <c r="AP150" s="118"/>
      <c r="AQ150" s="118"/>
      <c r="AR150" s="118"/>
      <c r="AS150" s="118"/>
      <c r="AT150" s="118"/>
      <c r="AU150" s="118"/>
      <c r="AV150" s="118"/>
      <c r="AW150" s="118"/>
      <c r="AX150" s="118"/>
      <c r="AY150" s="118"/>
      <c r="AZ150" s="118"/>
      <c r="BA150" s="118"/>
      <c r="BB150" s="118"/>
      <c r="BC150" s="118"/>
      <c r="BD150" s="118"/>
      <c r="BE150" s="118"/>
      <c r="BF150" s="118"/>
      <c r="BG150" s="118"/>
      <c r="BH150" s="118"/>
      <c r="BI150" s="118"/>
      <c r="BJ150" s="118"/>
      <c r="BK150" s="118"/>
    </row>
    <row r="151" spans="1:63" s="39" customFormat="1" ht="15.75">
      <c r="A151" s="37" t="s">
        <v>293</v>
      </c>
      <c r="B151" s="113">
        <v>50</v>
      </c>
      <c r="C151" s="113">
        <f t="shared" si="42"/>
        <v>700</v>
      </c>
      <c r="D151" s="113"/>
      <c r="E151" s="113"/>
      <c r="F151" s="113"/>
      <c r="G151" s="113"/>
      <c r="H151" s="113">
        <v>50</v>
      </c>
      <c r="I151" s="113">
        <f t="shared" si="43"/>
        <v>700</v>
      </c>
      <c r="J151" s="113"/>
      <c r="K151" s="113"/>
      <c r="L151" s="113"/>
      <c r="M151" s="113"/>
      <c r="N151" s="113">
        <v>50</v>
      </c>
      <c r="O151" s="113">
        <f t="shared" si="44"/>
        <v>700</v>
      </c>
      <c r="P151" s="114"/>
      <c r="Q151" s="114"/>
      <c r="R151" s="114"/>
      <c r="S151" s="114"/>
      <c r="T151" s="113">
        <v>50</v>
      </c>
      <c r="U151" s="113">
        <f t="shared" si="45"/>
        <v>700</v>
      </c>
      <c r="V151" s="113"/>
      <c r="W151" s="113"/>
      <c r="X151" s="113"/>
      <c r="Y151" s="113"/>
      <c r="Z151" s="113">
        <v>50</v>
      </c>
      <c r="AA151" s="113">
        <f t="shared" si="46"/>
        <v>700</v>
      </c>
      <c r="AB151" s="113"/>
      <c r="AC151" s="113"/>
      <c r="AD151" s="113"/>
      <c r="AE151" s="113"/>
      <c r="AF151" s="113">
        <v>30</v>
      </c>
      <c r="AG151" s="113">
        <f t="shared" si="47"/>
        <v>420</v>
      </c>
      <c r="AH151" s="113"/>
      <c r="AI151" s="113"/>
      <c r="AJ151" s="113"/>
      <c r="AK151" s="113"/>
      <c r="AL151" s="118"/>
      <c r="AM151" s="118"/>
      <c r="AN151" s="118"/>
      <c r="AO151" s="118"/>
      <c r="AP151" s="118"/>
      <c r="AQ151" s="118"/>
      <c r="AR151" s="118"/>
      <c r="AS151" s="118"/>
      <c r="AT151" s="118"/>
      <c r="AU151" s="118"/>
      <c r="AV151" s="118"/>
      <c r="AW151" s="118"/>
      <c r="AX151" s="118"/>
      <c r="AY151" s="118"/>
      <c r="AZ151" s="118"/>
      <c r="BA151" s="118"/>
      <c r="BB151" s="118"/>
      <c r="BC151" s="118"/>
      <c r="BD151" s="118"/>
      <c r="BE151" s="118"/>
      <c r="BF151" s="118"/>
      <c r="BG151" s="118"/>
      <c r="BH151" s="118"/>
      <c r="BI151" s="118"/>
      <c r="BJ151" s="118"/>
      <c r="BK151" s="118"/>
    </row>
    <row r="152" spans="1:63" s="39" customFormat="1" ht="15.75">
      <c r="A152" s="37" t="s">
        <v>294</v>
      </c>
      <c r="B152" s="113">
        <v>40</v>
      </c>
      <c r="C152" s="113">
        <f t="shared" si="42"/>
        <v>560</v>
      </c>
      <c r="D152" s="113"/>
      <c r="E152" s="113"/>
      <c r="F152" s="113"/>
      <c r="G152" s="113"/>
      <c r="H152" s="113">
        <v>30</v>
      </c>
      <c r="I152" s="113">
        <f t="shared" si="43"/>
        <v>420</v>
      </c>
      <c r="J152" s="113"/>
      <c r="K152" s="113"/>
      <c r="L152" s="113"/>
      <c r="M152" s="113"/>
      <c r="N152" s="113">
        <v>29.967032967032967</v>
      </c>
      <c r="O152" s="113">
        <f t="shared" si="44"/>
        <v>419.53846153846155</v>
      </c>
      <c r="P152" s="114"/>
      <c r="Q152" s="114"/>
      <c r="R152" s="114"/>
      <c r="S152" s="114"/>
      <c r="T152" s="113">
        <v>40</v>
      </c>
      <c r="U152" s="113">
        <f t="shared" si="45"/>
        <v>560</v>
      </c>
      <c r="V152" s="113"/>
      <c r="W152" s="113"/>
      <c r="X152" s="113"/>
      <c r="Y152" s="113"/>
      <c r="Z152" s="113">
        <v>40</v>
      </c>
      <c r="AA152" s="113">
        <f t="shared" si="46"/>
        <v>560</v>
      </c>
      <c r="AB152" s="113"/>
      <c r="AC152" s="113"/>
      <c r="AD152" s="113"/>
      <c r="AE152" s="113"/>
      <c r="AF152" s="113">
        <v>30</v>
      </c>
      <c r="AG152" s="113">
        <f t="shared" si="47"/>
        <v>420</v>
      </c>
      <c r="AH152" s="113"/>
      <c r="AI152" s="113"/>
      <c r="AJ152" s="113"/>
      <c r="AK152" s="113"/>
      <c r="AL152" s="118"/>
      <c r="AM152" s="118"/>
      <c r="AN152" s="118"/>
      <c r="AO152" s="118"/>
      <c r="AP152" s="118"/>
      <c r="AQ152" s="118"/>
      <c r="AR152" s="118"/>
      <c r="AS152" s="118"/>
      <c r="AT152" s="118"/>
      <c r="AU152" s="118"/>
      <c r="AV152" s="118"/>
      <c r="AW152" s="118"/>
      <c r="AX152" s="118"/>
      <c r="AY152" s="118"/>
      <c r="AZ152" s="118"/>
      <c r="BA152" s="118"/>
      <c r="BB152" s="118"/>
      <c r="BC152" s="118"/>
      <c r="BD152" s="118"/>
      <c r="BE152" s="118"/>
      <c r="BF152" s="118"/>
      <c r="BG152" s="118"/>
      <c r="BH152" s="118"/>
      <c r="BI152" s="118"/>
      <c r="BJ152" s="118"/>
      <c r="BK152" s="118"/>
    </row>
    <row r="153" spans="1:63" s="39" customFormat="1" ht="15.75">
      <c r="A153" s="37" t="s">
        <v>16</v>
      </c>
      <c r="B153" s="113">
        <v>110</v>
      </c>
      <c r="C153" s="113">
        <f t="shared" si="42"/>
        <v>1540</v>
      </c>
      <c r="D153" s="113"/>
      <c r="E153" s="113"/>
      <c r="F153" s="113"/>
      <c r="G153" s="113"/>
      <c r="H153" s="113">
        <v>140</v>
      </c>
      <c r="I153" s="113">
        <f t="shared" si="43"/>
        <v>1960</v>
      </c>
      <c r="J153" s="113"/>
      <c r="K153" s="113"/>
      <c r="L153" s="113"/>
      <c r="M153" s="113"/>
      <c r="N153" s="113">
        <v>140</v>
      </c>
      <c r="O153" s="113">
        <f t="shared" si="44"/>
        <v>1960</v>
      </c>
      <c r="P153" s="114"/>
      <c r="Q153" s="114"/>
      <c r="R153" s="114"/>
      <c r="S153" s="114"/>
      <c r="T153" s="113">
        <v>80</v>
      </c>
      <c r="U153" s="113">
        <f t="shared" si="45"/>
        <v>1120</v>
      </c>
      <c r="V153" s="113"/>
      <c r="W153" s="113"/>
      <c r="X153" s="113"/>
      <c r="Y153" s="113"/>
      <c r="Z153" s="113">
        <v>150</v>
      </c>
      <c r="AA153" s="113">
        <f t="shared" si="46"/>
        <v>2100</v>
      </c>
      <c r="AB153" s="113"/>
      <c r="AC153" s="113"/>
      <c r="AD153" s="113"/>
      <c r="AE153" s="113"/>
      <c r="AF153" s="113">
        <v>120</v>
      </c>
      <c r="AG153" s="113">
        <f t="shared" si="47"/>
        <v>1680</v>
      </c>
      <c r="AH153" s="113"/>
      <c r="AI153" s="113"/>
      <c r="AJ153" s="113"/>
      <c r="AK153" s="113"/>
      <c r="AL153" s="118"/>
      <c r="AM153" s="118"/>
      <c r="AN153" s="118"/>
      <c r="AO153" s="118"/>
      <c r="AP153" s="118"/>
      <c r="AQ153" s="118"/>
      <c r="AR153" s="118"/>
      <c r="AS153" s="118"/>
      <c r="AT153" s="118"/>
      <c r="AU153" s="118"/>
      <c r="AV153" s="118"/>
      <c r="AW153" s="118"/>
      <c r="AX153" s="118"/>
      <c r="AY153" s="118"/>
      <c r="AZ153" s="118"/>
      <c r="BA153" s="118"/>
      <c r="BB153" s="118"/>
      <c r="BC153" s="118"/>
      <c r="BD153" s="118"/>
      <c r="BE153" s="118"/>
      <c r="BF153" s="118"/>
      <c r="BG153" s="118"/>
      <c r="BH153" s="118"/>
      <c r="BI153" s="118"/>
      <c r="BJ153" s="118"/>
      <c r="BK153" s="118"/>
    </row>
    <row r="154" spans="1:63" s="39" customFormat="1" ht="15.75">
      <c r="A154" s="36" t="s">
        <v>295</v>
      </c>
      <c r="B154" s="103"/>
      <c r="C154" s="103"/>
      <c r="D154" s="103"/>
      <c r="E154" s="103"/>
      <c r="F154" s="103"/>
      <c r="G154" s="103"/>
      <c r="H154" s="103"/>
      <c r="I154" s="103"/>
      <c r="J154" s="103"/>
      <c r="K154" s="103"/>
      <c r="L154" s="103"/>
      <c r="M154" s="103"/>
      <c r="N154" s="115"/>
      <c r="O154" s="115"/>
      <c r="P154" s="116"/>
      <c r="Q154" s="116"/>
      <c r="R154" s="116"/>
      <c r="S154" s="116"/>
      <c r="T154" s="103"/>
      <c r="U154" s="103"/>
      <c r="V154" s="103"/>
      <c r="W154" s="103"/>
      <c r="X154" s="103"/>
      <c r="Y154" s="103"/>
      <c r="Z154" s="103"/>
      <c r="AA154" s="103"/>
      <c r="AB154" s="103"/>
      <c r="AC154" s="103"/>
      <c r="AD154" s="103"/>
      <c r="AE154" s="103"/>
      <c r="AF154" s="103"/>
      <c r="AG154" s="103"/>
      <c r="AH154" s="103"/>
      <c r="AI154" s="103"/>
      <c r="AJ154" s="103"/>
      <c r="AK154" s="103"/>
      <c r="AL154" s="118"/>
      <c r="AM154" s="118"/>
      <c r="AN154" s="118"/>
      <c r="AO154" s="118"/>
      <c r="AP154" s="118"/>
      <c r="AQ154" s="118"/>
      <c r="AR154" s="118"/>
      <c r="AS154" s="118"/>
      <c r="AT154" s="118"/>
      <c r="AU154" s="118"/>
      <c r="AV154" s="118"/>
      <c r="AW154" s="118"/>
      <c r="AX154" s="118"/>
      <c r="AY154" s="118"/>
      <c r="AZ154" s="118"/>
      <c r="BA154" s="118"/>
      <c r="BB154" s="118"/>
      <c r="BC154" s="118"/>
      <c r="BD154" s="118"/>
      <c r="BE154" s="118"/>
      <c r="BF154" s="118"/>
      <c r="BG154" s="118"/>
      <c r="BH154" s="118"/>
      <c r="BI154" s="118"/>
      <c r="BJ154" s="118"/>
      <c r="BK154" s="118"/>
    </row>
    <row r="155" spans="1:63" s="39" customFormat="1" ht="15.75">
      <c r="A155" s="36" t="s">
        <v>152</v>
      </c>
      <c r="B155" s="103"/>
      <c r="C155" s="103"/>
      <c r="D155" s="103"/>
      <c r="E155" s="103"/>
      <c r="F155" s="103"/>
      <c r="G155" s="103"/>
      <c r="H155" s="103"/>
      <c r="I155" s="103"/>
      <c r="J155" s="103"/>
      <c r="K155" s="103"/>
      <c r="L155" s="103"/>
      <c r="M155" s="103"/>
      <c r="N155" s="115"/>
      <c r="O155" s="115"/>
      <c r="P155" s="116"/>
      <c r="Q155" s="116"/>
      <c r="R155" s="116"/>
      <c r="S155" s="116"/>
      <c r="T155" s="103"/>
      <c r="U155" s="103"/>
      <c r="V155" s="103"/>
      <c r="W155" s="103"/>
      <c r="X155" s="103"/>
      <c r="Y155" s="103"/>
      <c r="Z155" s="103"/>
      <c r="AA155" s="103"/>
      <c r="AB155" s="103"/>
      <c r="AC155" s="103"/>
      <c r="AD155" s="103"/>
      <c r="AE155" s="103"/>
      <c r="AF155" s="103"/>
      <c r="AG155" s="103"/>
      <c r="AH155" s="103"/>
      <c r="AI155" s="103"/>
      <c r="AJ155" s="103"/>
      <c r="AK155" s="103"/>
      <c r="AL155" s="118"/>
      <c r="AM155" s="118"/>
      <c r="AN155" s="118"/>
      <c r="AO155" s="118"/>
      <c r="AP155" s="118"/>
      <c r="AQ155" s="118"/>
      <c r="AR155" s="118"/>
      <c r="AS155" s="118"/>
      <c r="AT155" s="118"/>
      <c r="AU155" s="118"/>
      <c r="AV155" s="118"/>
      <c r="AW155" s="118"/>
      <c r="AX155" s="118"/>
      <c r="AY155" s="118"/>
      <c r="AZ155" s="118"/>
      <c r="BA155" s="118"/>
      <c r="BB155" s="118"/>
      <c r="BC155" s="118"/>
      <c r="BD155" s="118"/>
      <c r="BE155" s="118"/>
      <c r="BF155" s="118"/>
      <c r="BG155" s="118"/>
      <c r="BH155" s="118"/>
      <c r="BI155" s="118"/>
      <c r="BJ155" s="118"/>
      <c r="BK155" s="118"/>
    </row>
    <row r="156" spans="1:63" s="39" customFormat="1" ht="15.75">
      <c r="A156" s="36" t="s">
        <v>153</v>
      </c>
      <c r="B156" s="103"/>
      <c r="C156" s="103"/>
      <c r="D156" s="103"/>
      <c r="E156" s="103"/>
      <c r="F156" s="103"/>
      <c r="G156" s="103"/>
      <c r="H156" s="103"/>
      <c r="I156" s="103"/>
      <c r="J156" s="103"/>
      <c r="K156" s="103"/>
      <c r="L156" s="103"/>
      <c r="M156" s="103"/>
      <c r="N156" s="115"/>
      <c r="O156" s="115"/>
      <c r="P156" s="116"/>
      <c r="Q156" s="116"/>
      <c r="R156" s="116"/>
      <c r="S156" s="116"/>
      <c r="T156" s="103"/>
      <c r="U156" s="103"/>
      <c r="V156" s="103"/>
      <c r="W156" s="103"/>
      <c r="X156" s="103"/>
      <c r="Y156" s="103"/>
      <c r="Z156" s="103"/>
      <c r="AA156" s="103"/>
      <c r="AB156" s="103"/>
      <c r="AC156" s="103"/>
      <c r="AD156" s="103"/>
      <c r="AE156" s="103"/>
      <c r="AF156" s="103"/>
      <c r="AG156" s="103"/>
      <c r="AH156" s="103"/>
      <c r="AI156" s="103"/>
      <c r="AJ156" s="103"/>
      <c r="AK156" s="103"/>
      <c r="AL156" s="118"/>
      <c r="AM156" s="118"/>
      <c r="AN156" s="118"/>
      <c r="AO156" s="118"/>
      <c r="AP156" s="118"/>
      <c r="AQ156" s="118"/>
      <c r="AR156" s="118"/>
      <c r="AS156" s="118"/>
      <c r="AT156" s="118"/>
      <c r="AU156" s="118"/>
      <c r="AV156" s="118"/>
      <c r="AW156" s="118"/>
      <c r="AX156" s="118"/>
      <c r="AY156" s="118"/>
      <c r="AZ156" s="118"/>
      <c r="BA156" s="118"/>
      <c r="BB156" s="118"/>
      <c r="BC156" s="118"/>
      <c r="BD156" s="118"/>
      <c r="BE156" s="118"/>
      <c r="BF156" s="118"/>
      <c r="BG156" s="118"/>
      <c r="BH156" s="118"/>
      <c r="BI156" s="118"/>
      <c r="BJ156" s="118"/>
      <c r="BK156" s="118"/>
    </row>
    <row r="157" spans="1:63" s="39" customFormat="1" ht="15.75">
      <c r="A157" s="36" t="s">
        <v>296</v>
      </c>
      <c r="B157" s="103">
        <v>50</v>
      </c>
      <c r="C157" s="103">
        <f t="shared" si="42"/>
        <v>700</v>
      </c>
      <c r="D157" s="103"/>
      <c r="E157" s="103"/>
      <c r="F157" s="103"/>
      <c r="G157" s="103"/>
      <c r="H157" s="103">
        <v>60</v>
      </c>
      <c r="I157" s="103">
        <f t="shared" si="43"/>
        <v>840</v>
      </c>
      <c r="J157" s="103"/>
      <c r="K157" s="103"/>
      <c r="L157" s="103"/>
      <c r="M157" s="103"/>
      <c r="N157" s="115">
        <v>60</v>
      </c>
      <c r="O157" s="115">
        <f t="shared" si="44"/>
        <v>840</v>
      </c>
      <c r="P157" s="116"/>
      <c r="Q157" s="116"/>
      <c r="R157" s="116"/>
      <c r="S157" s="116"/>
      <c r="T157" s="103">
        <v>50</v>
      </c>
      <c r="U157" s="103">
        <f t="shared" si="45"/>
        <v>700</v>
      </c>
      <c r="V157" s="103"/>
      <c r="W157" s="103"/>
      <c r="X157" s="103"/>
      <c r="Y157" s="103"/>
      <c r="Z157" s="103">
        <v>50</v>
      </c>
      <c r="AA157" s="103">
        <f t="shared" ref="AA157" si="48">Z157*14</f>
        <v>700</v>
      </c>
      <c r="AB157" s="103"/>
      <c r="AC157" s="103"/>
      <c r="AD157" s="103"/>
      <c r="AE157" s="103"/>
      <c r="AF157" s="103">
        <v>50</v>
      </c>
      <c r="AG157" s="103">
        <f t="shared" ref="AG157" si="49">AF157*14</f>
        <v>700</v>
      </c>
      <c r="AH157" s="103"/>
      <c r="AI157" s="103"/>
      <c r="AJ157" s="103"/>
      <c r="AK157" s="103"/>
      <c r="AL157" s="118"/>
      <c r="AM157" s="118"/>
      <c r="AN157" s="118"/>
      <c r="AO157" s="118"/>
      <c r="AP157" s="118"/>
      <c r="AQ157" s="118"/>
      <c r="AR157" s="118"/>
      <c r="AS157" s="118"/>
      <c r="AT157" s="118"/>
      <c r="AU157" s="118"/>
      <c r="AV157" s="118"/>
      <c r="AW157" s="118"/>
      <c r="AX157" s="118"/>
      <c r="AY157" s="118"/>
      <c r="AZ157" s="118"/>
      <c r="BA157" s="118"/>
      <c r="BB157" s="118"/>
      <c r="BC157" s="118"/>
      <c r="BD157" s="118"/>
      <c r="BE157" s="118"/>
      <c r="BF157" s="118"/>
      <c r="BG157" s="118"/>
      <c r="BH157" s="118"/>
      <c r="BI157" s="118"/>
      <c r="BJ157" s="118"/>
      <c r="BK157" s="118"/>
    </row>
    <row r="158" spans="1:63" s="39" customFormat="1" ht="15.75">
      <c r="A158" s="36" t="s">
        <v>151</v>
      </c>
      <c r="B158" s="103"/>
      <c r="C158" s="103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15"/>
      <c r="O158" s="115"/>
      <c r="P158" s="116"/>
      <c r="Q158" s="116"/>
      <c r="R158" s="116"/>
      <c r="S158" s="116"/>
      <c r="T158" s="103"/>
      <c r="U158" s="103"/>
      <c r="V158" s="103"/>
      <c r="W158" s="103"/>
      <c r="X158" s="103"/>
      <c r="Y158" s="103"/>
      <c r="Z158" s="103"/>
      <c r="AA158" s="103"/>
      <c r="AB158" s="103"/>
      <c r="AC158" s="103"/>
      <c r="AD158" s="103"/>
      <c r="AE158" s="103"/>
      <c r="AF158" s="103"/>
      <c r="AG158" s="103"/>
      <c r="AH158" s="103"/>
      <c r="AI158" s="103"/>
      <c r="AJ158" s="103"/>
      <c r="AK158" s="103"/>
      <c r="AL158" s="118"/>
      <c r="AM158" s="118"/>
      <c r="AN158" s="118"/>
      <c r="AO158" s="118"/>
      <c r="AP158" s="118"/>
      <c r="AQ158" s="118"/>
      <c r="AR158" s="118"/>
      <c r="AS158" s="118"/>
      <c r="AT158" s="118"/>
      <c r="AU158" s="118"/>
      <c r="AV158" s="118"/>
      <c r="AW158" s="118"/>
      <c r="AX158" s="118"/>
      <c r="AY158" s="118"/>
      <c r="AZ158" s="118"/>
      <c r="BA158" s="118"/>
      <c r="BB158" s="118"/>
      <c r="BC158" s="118"/>
      <c r="BD158" s="118"/>
      <c r="BE158" s="118"/>
      <c r="BF158" s="118"/>
      <c r="BG158" s="118"/>
      <c r="BH158" s="118"/>
      <c r="BI158" s="118"/>
      <c r="BJ158" s="118"/>
      <c r="BK158" s="118"/>
    </row>
    <row r="159" spans="1:63" s="39" customFormat="1" ht="15.75">
      <c r="A159" s="36" t="s">
        <v>154</v>
      </c>
      <c r="B159" s="103">
        <v>30</v>
      </c>
      <c r="C159" s="103">
        <f t="shared" si="42"/>
        <v>420</v>
      </c>
      <c r="D159" s="103"/>
      <c r="E159" s="103"/>
      <c r="F159" s="103"/>
      <c r="G159" s="103"/>
      <c r="H159" s="103">
        <v>40</v>
      </c>
      <c r="I159" s="103">
        <f t="shared" si="43"/>
        <v>560</v>
      </c>
      <c r="J159" s="103"/>
      <c r="K159" s="103"/>
      <c r="L159" s="103"/>
      <c r="M159" s="103"/>
      <c r="N159" s="115">
        <v>39.956043956043956</v>
      </c>
      <c r="O159" s="115">
        <f t="shared" si="44"/>
        <v>559.38461538461536</v>
      </c>
      <c r="P159" s="116"/>
      <c r="Q159" s="116"/>
      <c r="R159" s="116"/>
      <c r="S159" s="116"/>
      <c r="T159" s="103">
        <v>30</v>
      </c>
      <c r="U159" s="103">
        <f t="shared" si="45"/>
        <v>420</v>
      </c>
      <c r="V159" s="103"/>
      <c r="W159" s="103"/>
      <c r="X159" s="103"/>
      <c r="Y159" s="103"/>
      <c r="Z159" s="103">
        <v>30</v>
      </c>
      <c r="AA159" s="103">
        <f t="shared" ref="AA159" si="50">Z159*14</f>
        <v>420</v>
      </c>
      <c r="AB159" s="103"/>
      <c r="AC159" s="103"/>
      <c r="AD159" s="103"/>
      <c r="AE159" s="103"/>
      <c r="AF159" s="103">
        <v>30</v>
      </c>
      <c r="AG159" s="103">
        <f t="shared" ref="AG159" si="51">AF159*14</f>
        <v>420</v>
      </c>
      <c r="AH159" s="103"/>
      <c r="AI159" s="103"/>
      <c r="AJ159" s="103"/>
      <c r="AK159" s="103"/>
      <c r="AL159" s="118"/>
      <c r="AM159" s="118"/>
      <c r="AN159" s="118"/>
      <c r="AO159" s="118"/>
      <c r="AP159" s="118"/>
      <c r="AQ159" s="118"/>
      <c r="AR159" s="118"/>
      <c r="AS159" s="118"/>
      <c r="AT159" s="118"/>
      <c r="AU159" s="118"/>
      <c r="AV159" s="118"/>
      <c r="AW159" s="118"/>
      <c r="AX159" s="118"/>
      <c r="AY159" s="118"/>
      <c r="AZ159" s="118"/>
      <c r="BA159" s="118"/>
      <c r="BB159" s="118"/>
      <c r="BC159" s="118"/>
      <c r="BD159" s="118"/>
      <c r="BE159" s="118"/>
      <c r="BF159" s="118"/>
      <c r="BG159" s="118"/>
      <c r="BH159" s="118"/>
      <c r="BI159" s="118"/>
      <c r="BJ159" s="118"/>
      <c r="BK159" s="118"/>
    </row>
    <row r="160" spans="1:63" s="39" customFormat="1" ht="15.75">
      <c r="A160" s="36" t="s">
        <v>155</v>
      </c>
      <c r="B160" s="103"/>
      <c r="C160" s="103"/>
      <c r="D160" s="103"/>
      <c r="E160" s="103"/>
      <c r="F160" s="103"/>
      <c r="G160" s="103"/>
      <c r="H160" s="103"/>
      <c r="I160" s="103"/>
      <c r="J160" s="103"/>
      <c r="K160" s="103"/>
      <c r="L160" s="103"/>
      <c r="M160" s="103"/>
      <c r="N160" s="116"/>
      <c r="O160" s="116"/>
      <c r="P160" s="116"/>
      <c r="Q160" s="116"/>
      <c r="R160" s="116"/>
      <c r="S160" s="116"/>
      <c r="T160" s="103"/>
      <c r="U160" s="103"/>
      <c r="V160" s="103"/>
      <c r="W160" s="103"/>
      <c r="X160" s="103"/>
      <c r="Y160" s="103"/>
      <c r="Z160" s="103"/>
      <c r="AA160" s="103"/>
      <c r="AB160" s="103"/>
      <c r="AC160" s="103"/>
      <c r="AD160" s="103"/>
      <c r="AE160" s="103"/>
      <c r="AF160" s="103"/>
      <c r="AG160" s="103"/>
      <c r="AH160" s="103"/>
      <c r="AI160" s="103"/>
      <c r="AJ160" s="103"/>
      <c r="AK160" s="103"/>
      <c r="AL160" s="118"/>
      <c r="AM160" s="118"/>
      <c r="AN160" s="118"/>
      <c r="AO160" s="118"/>
      <c r="AP160" s="118"/>
      <c r="AQ160" s="118"/>
      <c r="AR160" s="118"/>
      <c r="AS160" s="118"/>
      <c r="AT160" s="118"/>
      <c r="AU160" s="118"/>
      <c r="AV160" s="118"/>
      <c r="AW160" s="118"/>
      <c r="AX160" s="118"/>
      <c r="AY160" s="118"/>
      <c r="AZ160" s="118"/>
      <c r="BA160" s="118"/>
      <c r="BB160" s="118"/>
      <c r="BC160" s="118"/>
      <c r="BD160" s="118"/>
      <c r="BE160" s="118"/>
      <c r="BF160" s="118"/>
      <c r="BG160" s="118"/>
      <c r="BH160" s="118"/>
      <c r="BI160" s="118"/>
      <c r="BJ160" s="118"/>
      <c r="BK160" s="118"/>
    </row>
    <row r="161" spans="1:63" s="39" customFormat="1" ht="15.75">
      <c r="A161" s="36" t="s">
        <v>156</v>
      </c>
      <c r="B161" s="103"/>
      <c r="C161" s="103"/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16"/>
      <c r="O161" s="116"/>
      <c r="P161" s="116"/>
      <c r="Q161" s="116"/>
      <c r="R161" s="116"/>
      <c r="S161" s="116"/>
      <c r="T161" s="103"/>
      <c r="U161" s="103"/>
      <c r="V161" s="103"/>
      <c r="W161" s="103"/>
      <c r="X161" s="103"/>
      <c r="Y161" s="103"/>
      <c r="Z161" s="103"/>
      <c r="AA161" s="103"/>
      <c r="AB161" s="103"/>
      <c r="AC161" s="103"/>
      <c r="AD161" s="103"/>
      <c r="AE161" s="103"/>
      <c r="AF161" s="103"/>
      <c r="AG161" s="103"/>
      <c r="AH161" s="103"/>
      <c r="AI161" s="103"/>
      <c r="AJ161" s="103"/>
      <c r="AK161" s="103"/>
      <c r="AL161" s="118"/>
      <c r="AM161" s="118"/>
      <c r="AN161" s="118"/>
      <c r="AO161" s="118"/>
      <c r="AP161" s="118"/>
      <c r="AQ161" s="118"/>
      <c r="AR161" s="118"/>
      <c r="AS161" s="118"/>
      <c r="AT161" s="118"/>
      <c r="AU161" s="118"/>
      <c r="AV161" s="118"/>
      <c r="AW161" s="118"/>
      <c r="AX161" s="118"/>
      <c r="AY161" s="118"/>
      <c r="AZ161" s="118"/>
      <c r="BA161" s="118"/>
      <c r="BB161" s="118"/>
      <c r="BC161" s="118"/>
      <c r="BD161" s="118"/>
      <c r="BE161" s="118"/>
      <c r="BF161" s="118"/>
      <c r="BG161" s="118"/>
      <c r="BH161" s="118"/>
      <c r="BI161" s="118"/>
      <c r="BJ161" s="118"/>
      <c r="BK161" s="118"/>
    </row>
    <row r="162" spans="1:63" s="39" customFormat="1" ht="15.75">
      <c r="A162" s="36" t="s">
        <v>157</v>
      </c>
      <c r="B162" s="103"/>
      <c r="C162" s="103"/>
      <c r="D162" s="103"/>
      <c r="E162" s="103"/>
      <c r="F162" s="103"/>
      <c r="G162" s="103"/>
      <c r="H162" s="103"/>
      <c r="I162" s="103"/>
      <c r="J162" s="103"/>
      <c r="K162" s="103"/>
      <c r="L162" s="103"/>
      <c r="M162" s="103"/>
      <c r="N162" s="116"/>
      <c r="O162" s="116"/>
      <c r="P162" s="116"/>
      <c r="Q162" s="116"/>
      <c r="R162" s="116"/>
      <c r="S162" s="116"/>
      <c r="T162" s="103"/>
      <c r="U162" s="103"/>
      <c r="V162" s="103"/>
      <c r="W162" s="103"/>
      <c r="X162" s="103"/>
      <c r="Y162" s="103"/>
      <c r="Z162" s="103"/>
      <c r="AA162" s="103"/>
      <c r="AB162" s="103"/>
      <c r="AC162" s="103"/>
      <c r="AD162" s="103"/>
      <c r="AE162" s="103"/>
      <c r="AF162" s="103"/>
      <c r="AG162" s="103"/>
      <c r="AH162" s="103"/>
      <c r="AI162" s="103"/>
      <c r="AJ162" s="103"/>
      <c r="AK162" s="103"/>
      <c r="AL162" s="118"/>
      <c r="AM162" s="118"/>
      <c r="AN162" s="118"/>
      <c r="AO162" s="118"/>
      <c r="AP162" s="118"/>
      <c r="AQ162" s="118"/>
      <c r="AR162" s="118"/>
      <c r="AS162" s="118"/>
      <c r="AT162" s="118"/>
      <c r="AU162" s="118"/>
      <c r="AV162" s="118"/>
      <c r="AW162" s="118"/>
      <c r="AX162" s="118"/>
      <c r="AY162" s="118"/>
      <c r="AZ162" s="118"/>
      <c r="BA162" s="118"/>
      <c r="BB162" s="118"/>
      <c r="BC162" s="118"/>
      <c r="BD162" s="118"/>
      <c r="BE162" s="118"/>
      <c r="BF162" s="118"/>
      <c r="BG162" s="118"/>
      <c r="BH162" s="118"/>
      <c r="BI162" s="118"/>
      <c r="BJ162" s="118"/>
      <c r="BK162" s="118"/>
    </row>
    <row r="163" spans="1:63" s="39" customFormat="1" ht="15.75">
      <c r="A163" s="36" t="s">
        <v>333</v>
      </c>
      <c r="B163" s="103"/>
      <c r="C163" s="103"/>
      <c r="D163" s="103"/>
      <c r="E163" s="103"/>
      <c r="F163" s="103"/>
      <c r="G163" s="103"/>
      <c r="H163" s="103"/>
      <c r="I163" s="103"/>
      <c r="J163" s="103"/>
      <c r="K163" s="103"/>
      <c r="L163" s="103"/>
      <c r="M163" s="103"/>
      <c r="N163" s="116"/>
      <c r="O163" s="116"/>
      <c r="P163" s="116"/>
      <c r="Q163" s="116"/>
      <c r="R163" s="116"/>
      <c r="S163" s="116"/>
      <c r="T163" s="103"/>
      <c r="U163" s="103"/>
      <c r="V163" s="103"/>
      <c r="W163" s="103"/>
      <c r="X163" s="103"/>
      <c r="Y163" s="103"/>
      <c r="Z163" s="103"/>
      <c r="AA163" s="103"/>
      <c r="AB163" s="103"/>
      <c r="AC163" s="103"/>
      <c r="AD163" s="103"/>
      <c r="AE163" s="103"/>
      <c r="AF163" s="103"/>
      <c r="AG163" s="103"/>
      <c r="AH163" s="103"/>
      <c r="AI163" s="103"/>
      <c r="AJ163" s="103"/>
      <c r="AK163" s="103"/>
      <c r="AL163" s="118"/>
      <c r="AM163" s="118"/>
      <c r="AN163" s="118"/>
      <c r="AO163" s="118"/>
      <c r="AP163" s="118"/>
      <c r="AQ163" s="118"/>
      <c r="AR163" s="118"/>
      <c r="AS163" s="118"/>
      <c r="AT163" s="118"/>
      <c r="AU163" s="118"/>
      <c r="AV163" s="118"/>
      <c r="AW163" s="118"/>
      <c r="AX163" s="118"/>
      <c r="AY163" s="118"/>
      <c r="AZ163" s="118"/>
      <c r="BA163" s="118"/>
      <c r="BB163" s="118"/>
      <c r="BC163" s="118"/>
      <c r="BD163" s="118"/>
      <c r="BE163" s="118"/>
      <c r="BF163" s="118"/>
      <c r="BG163" s="118"/>
      <c r="BH163" s="118"/>
      <c r="BI163" s="118"/>
      <c r="BJ163" s="118"/>
      <c r="BK163" s="118"/>
    </row>
    <row r="164" spans="1:63" s="39" customFormat="1" ht="15.75">
      <c r="A164" s="38" t="s">
        <v>334</v>
      </c>
      <c r="B164" s="103"/>
      <c r="C164" s="103"/>
      <c r="D164" s="103"/>
      <c r="E164" s="103"/>
      <c r="F164" s="103"/>
      <c r="G164" s="103"/>
      <c r="H164" s="103"/>
      <c r="I164" s="103"/>
      <c r="J164" s="103"/>
      <c r="K164" s="103"/>
      <c r="L164" s="103"/>
      <c r="M164" s="103"/>
      <c r="N164" s="116"/>
      <c r="O164" s="116"/>
      <c r="P164" s="116"/>
      <c r="Q164" s="116"/>
      <c r="R164" s="116"/>
      <c r="S164" s="116"/>
      <c r="T164" s="103"/>
      <c r="U164" s="103"/>
      <c r="V164" s="103"/>
      <c r="W164" s="103"/>
      <c r="X164" s="103"/>
      <c r="Y164" s="103"/>
      <c r="Z164" s="103"/>
      <c r="AA164" s="103"/>
      <c r="AB164" s="103"/>
      <c r="AC164" s="103"/>
      <c r="AD164" s="103"/>
      <c r="AE164" s="103"/>
      <c r="AF164" s="103"/>
      <c r="AG164" s="103"/>
      <c r="AH164" s="103"/>
      <c r="AI164" s="103"/>
      <c r="AJ164" s="103"/>
      <c r="AK164" s="103"/>
      <c r="AL164" s="118"/>
      <c r="AM164" s="118"/>
      <c r="AN164" s="118"/>
      <c r="AO164" s="118"/>
      <c r="AP164" s="118"/>
      <c r="AQ164" s="118"/>
      <c r="AR164" s="118"/>
      <c r="AS164" s="118"/>
      <c r="AT164" s="118"/>
      <c r="AU164" s="118"/>
      <c r="AV164" s="118"/>
      <c r="AW164" s="118"/>
      <c r="AX164" s="118"/>
      <c r="AY164" s="118"/>
      <c r="AZ164" s="118"/>
      <c r="BA164" s="118"/>
      <c r="BB164" s="118"/>
      <c r="BC164" s="118"/>
      <c r="BD164" s="118"/>
      <c r="BE164" s="118"/>
      <c r="BF164" s="118"/>
      <c r="BG164" s="118"/>
      <c r="BH164" s="118"/>
      <c r="BI164" s="118"/>
      <c r="BJ164" s="118"/>
      <c r="BK164" s="118"/>
    </row>
    <row r="165" spans="1:63" s="39" customFormat="1" ht="15.75">
      <c r="A165" s="36" t="s">
        <v>335</v>
      </c>
      <c r="B165" s="106">
        <f>SUM(B145:B164)</f>
        <v>650</v>
      </c>
      <c r="C165" s="106">
        <f>SUM(C145:C164)</f>
        <v>9100</v>
      </c>
      <c r="D165" s="106">
        <f>SUM(D145:D163)</f>
        <v>50</v>
      </c>
      <c r="E165" s="106">
        <f>SUM(E145:E163)</f>
        <v>700</v>
      </c>
      <c r="F165" s="106">
        <f>SUM(F145:F163)</f>
        <v>30</v>
      </c>
      <c r="G165" s="106">
        <f>SUM(G145:G163)</f>
        <v>420</v>
      </c>
      <c r="H165" s="106">
        <f t="shared" ref="H165:I165" si="52">SUM(H145:H164)</f>
        <v>780</v>
      </c>
      <c r="I165" s="106">
        <f t="shared" si="52"/>
        <v>10920</v>
      </c>
      <c r="J165" s="106">
        <f t="shared" ref="J165:M165" si="53">SUM(J145:J163)</f>
        <v>60</v>
      </c>
      <c r="K165" s="106">
        <f t="shared" si="53"/>
        <v>840</v>
      </c>
      <c r="L165" s="106">
        <f t="shared" si="53"/>
        <v>40</v>
      </c>
      <c r="M165" s="106">
        <f t="shared" si="53"/>
        <v>560</v>
      </c>
      <c r="N165" s="117">
        <v>780</v>
      </c>
      <c r="O165" s="117">
        <v>10918</v>
      </c>
      <c r="P165" s="117">
        <v>60</v>
      </c>
      <c r="Q165" s="117">
        <v>840</v>
      </c>
      <c r="R165" s="117">
        <v>40</v>
      </c>
      <c r="S165" s="117">
        <v>560</v>
      </c>
      <c r="T165" s="106">
        <f>SUM(T145:T164)</f>
        <v>650</v>
      </c>
      <c r="U165" s="106">
        <f>SUM(U145:U164)</f>
        <v>9100</v>
      </c>
      <c r="V165" s="106">
        <v>50</v>
      </c>
      <c r="W165" s="106">
        <v>700</v>
      </c>
      <c r="X165" s="106">
        <v>30</v>
      </c>
      <c r="Y165" s="106">
        <v>420</v>
      </c>
      <c r="Z165" s="106">
        <f>SUM(Z145:Z164)</f>
        <v>690</v>
      </c>
      <c r="AA165" s="106">
        <f>SUM(AA145:AA164)</f>
        <v>9660</v>
      </c>
      <c r="AB165" s="106">
        <f>SUM(AB145:AB163)</f>
        <v>50</v>
      </c>
      <c r="AC165" s="106">
        <f>SUM(AC145:AC163)</f>
        <v>700</v>
      </c>
      <c r="AD165" s="106">
        <f>SUM(AD145:AD163)</f>
        <v>30</v>
      </c>
      <c r="AE165" s="106">
        <f>SUM(AE145:AE163)</f>
        <v>420</v>
      </c>
      <c r="AF165" s="106">
        <v>550</v>
      </c>
      <c r="AG165" s="106">
        <f>SUM(AG145:AG164)</f>
        <v>7700</v>
      </c>
      <c r="AH165" s="106">
        <f>SUM(AH145:AH163)</f>
        <v>50</v>
      </c>
      <c r="AI165" s="106">
        <f>SUM(AI145:AI163)</f>
        <v>700</v>
      </c>
      <c r="AJ165" s="106">
        <f>SUM(AJ145:AJ163)</f>
        <v>30</v>
      </c>
      <c r="AK165" s="106">
        <f>SUM(AK145:AK163)</f>
        <v>420</v>
      </c>
      <c r="AL165" s="118"/>
      <c r="AM165" s="118"/>
      <c r="AN165" s="118"/>
      <c r="AO165" s="118"/>
      <c r="AP165" s="118"/>
      <c r="AQ165" s="118"/>
      <c r="AR165" s="118"/>
      <c r="AS165" s="118"/>
      <c r="AT165" s="118"/>
      <c r="AU165" s="118"/>
      <c r="AV165" s="118"/>
      <c r="AW165" s="118"/>
      <c r="AX165" s="118"/>
      <c r="AY165" s="118"/>
      <c r="AZ165" s="118"/>
      <c r="BA165" s="118"/>
      <c r="BB165" s="118"/>
      <c r="BC165" s="118"/>
      <c r="BD165" s="118"/>
      <c r="BE165" s="118"/>
      <c r="BF165" s="118"/>
      <c r="BG165" s="118"/>
      <c r="BH165" s="118"/>
      <c r="BI165" s="118"/>
      <c r="BJ165" s="118"/>
      <c r="BK165" s="118"/>
    </row>
    <row r="166" spans="1:63" s="30" customFormat="1" ht="14.25" thickBot="1">
      <c r="B166" s="92"/>
      <c r="C166" s="92"/>
      <c r="D166" s="92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  <c r="AA166" s="92"/>
      <c r="AB166" s="92"/>
      <c r="AC166" s="92"/>
      <c r="AD166" s="92"/>
      <c r="AE166" s="92"/>
      <c r="AF166" s="92"/>
      <c r="AG166" s="92"/>
      <c r="AH166" s="92"/>
      <c r="AI166" s="92"/>
      <c r="AJ166" s="92"/>
      <c r="AK166" s="92"/>
      <c r="AL166" s="92"/>
      <c r="AM166" s="92"/>
      <c r="AN166" s="92"/>
      <c r="AO166" s="92"/>
      <c r="AP166" s="92"/>
      <c r="AQ166" s="92"/>
      <c r="AR166" s="92"/>
      <c r="AS166" s="92"/>
      <c r="AT166" s="92"/>
      <c r="AU166" s="92"/>
      <c r="AV166" s="92"/>
      <c r="AW166" s="92"/>
      <c r="AX166" s="92"/>
      <c r="AY166" s="92"/>
      <c r="AZ166" s="92"/>
      <c r="BA166" s="92"/>
      <c r="BB166" s="92"/>
      <c r="BC166" s="92"/>
      <c r="BD166" s="92"/>
      <c r="BE166" s="92"/>
      <c r="BF166" s="92"/>
      <c r="BG166" s="92"/>
      <c r="BH166" s="92"/>
      <c r="BI166" s="92"/>
      <c r="BJ166" s="92"/>
      <c r="BK166" s="92"/>
    </row>
    <row r="167" spans="1:63" s="39" customFormat="1" ht="14.25" thickBot="1">
      <c r="A167" s="40" t="s">
        <v>305</v>
      </c>
      <c r="B167" s="359" t="s">
        <v>306</v>
      </c>
      <c r="C167" s="360"/>
      <c r="D167" s="360"/>
      <c r="E167" s="360"/>
      <c r="F167" s="361"/>
      <c r="G167" s="118"/>
      <c r="H167" s="118"/>
      <c r="I167" s="118"/>
      <c r="J167" s="118"/>
      <c r="K167" s="118"/>
      <c r="L167" s="118"/>
      <c r="M167" s="118"/>
      <c r="N167" s="118"/>
      <c r="O167" s="118"/>
      <c r="P167" s="118"/>
      <c r="Q167" s="118"/>
      <c r="R167" s="118"/>
      <c r="S167" s="118"/>
      <c r="T167" s="118"/>
      <c r="U167" s="118"/>
      <c r="V167" s="118"/>
      <c r="W167" s="118"/>
      <c r="X167" s="118"/>
      <c r="Y167" s="118"/>
      <c r="Z167" s="118"/>
      <c r="AA167" s="118"/>
      <c r="AB167" s="118"/>
      <c r="AC167" s="118"/>
      <c r="AD167" s="118"/>
      <c r="AE167" s="118"/>
      <c r="AF167" s="118"/>
      <c r="AG167" s="118"/>
      <c r="AH167" s="118"/>
      <c r="AI167" s="118"/>
      <c r="AJ167" s="118"/>
      <c r="AK167" s="118"/>
      <c r="AL167" s="118"/>
      <c r="AM167" s="118"/>
      <c r="AN167" s="118"/>
      <c r="AO167" s="118"/>
      <c r="AP167" s="118"/>
      <c r="AQ167" s="118"/>
      <c r="AR167" s="118"/>
      <c r="AS167" s="118"/>
      <c r="AT167" s="118"/>
      <c r="AU167" s="118"/>
      <c r="AV167" s="118"/>
      <c r="AW167" s="118"/>
      <c r="AX167" s="118"/>
      <c r="AY167" s="118"/>
      <c r="AZ167" s="118"/>
      <c r="BA167" s="118"/>
      <c r="BB167" s="118"/>
      <c r="BC167" s="118"/>
      <c r="BD167" s="118"/>
      <c r="BE167" s="118"/>
      <c r="BF167" s="118"/>
      <c r="BG167" s="118"/>
      <c r="BH167" s="118"/>
      <c r="BI167" s="118"/>
      <c r="BJ167" s="118"/>
      <c r="BK167" s="118"/>
    </row>
    <row r="168" spans="1:63" s="39" customFormat="1" ht="14.25" thickBot="1">
      <c r="A168" s="41" t="s">
        <v>307</v>
      </c>
      <c r="B168" s="119" t="s">
        <v>308</v>
      </c>
      <c r="C168" s="119" t="s">
        <v>309</v>
      </c>
      <c r="D168" s="119" t="s">
        <v>310</v>
      </c>
      <c r="E168" s="119" t="s">
        <v>311</v>
      </c>
      <c r="F168" s="119" t="s">
        <v>312</v>
      </c>
      <c r="G168" s="118"/>
      <c r="H168" s="118"/>
      <c r="I168" s="118"/>
      <c r="J168" s="118"/>
      <c r="K168" s="118"/>
      <c r="L168" s="118"/>
      <c r="M168" s="118"/>
      <c r="N168" s="118"/>
      <c r="O168" s="118"/>
      <c r="P168" s="118"/>
      <c r="Q168" s="118"/>
      <c r="R168" s="118"/>
      <c r="S168" s="118"/>
      <c r="T168" s="118"/>
      <c r="U168" s="118"/>
      <c r="V168" s="118"/>
      <c r="W168" s="118"/>
      <c r="X168" s="118"/>
      <c r="Y168" s="118"/>
      <c r="Z168" s="118"/>
      <c r="AA168" s="118"/>
      <c r="AB168" s="118"/>
      <c r="AC168" s="118"/>
      <c r="AD168" s="118"/>
      <c r="AE168" s="118"/>
      <c r="AF168" s="118"/>
      <c r="AG168" s="118"/>
      <c r="AH168" s="118"/>
      <c r="AI168" s="118"/>
      <c r="AJ168" s="118"/>
      <c r="AK168" s="118"/>
      <c r="AL168" s="118"/>
      <c r="AM168" s="118"/>
      <c r="AN168" s="118"/>
      <c r="AO168" s="118"/>
      <c r="AP168" s="118"/>
      <c r="AQ168" s="118"/>
      <c r="AR168" s="118"/>
      <c r="AS168" s="118"/>
      <c r="AT168" s="118"/>
      <c r="AU168" s="118"/>
      <c r="AV168" s="118"/>
      <c r="AW168" s="118"/>
      <c r="AX168" s="118"/>
      <c r="AY168" s="118"/>
      <c r="AZ168" s="118"/>
      <c r="BA168" s="118"/>
      <c r="BB168" s="118"/>
      <c r="BC168" s="118"/>
      <c r="BD168" s="118"/>
      <c r="BE168" s="118"/>
      <c r="BF168" s="118"/>
      <c r="BG168" s="118"/>
      <c r="BH168" s="118"/>
      <c r="BI168" s="118"/>
      <c r="BJ168" s="118"/>
      <c r="BK168" s="118"/>
    </row>
    <row r="169" spans="1:63" s="39" customFormat="1" ht="14.25" thickBot="1">
      <c r="A169" s="41" t="s">
        <v>313</v>
      </c>
      <c r="B169" s="119">
        <v>779</v>
      </c>
      <c r="C169" s="119">
        <v>10906</v>
      </c>
      <c r="D169" s="119">
        <v>60</v>
      </c>
      <c r="E169" s="119">
        <v>7162</v>
      </c>
      <c r="F169" s="119">
        <v>7549</v>
      </c>
      <c r="G169" s="118"/>
      <c r="H169" s="118"/>
      <c r="I169" s="118"/>
      <c r="J169" s="118"/>
      <c r="K169" s="118"/>
      <c r="L169" s="118"/>
      <c r="M169" s="118"/>
      <c r="N169" s="118"/>
      <c r="O169" s="118"/>
      <c r="P169" s="118"/>
      <c r="Q169" s="118"/>
      <c r="R169" s="118"/>
      <c r="S169" s="118"/>
      <c r="T169" s="118"/>
      <c r="U169" s="118"/>
      <c r="V169" s="118"/>
      <c r="W169" s="118"/>
      <c r="X169" s="118"/>
      <c r="Y169" s="118"/>
      <c r="Z169" s="118"/>
      <c r="AA169" s="118"/>
      <c r="AB169" s="118"/>
      <c r="AC169" s="118"/>
      <c r="AD169" s="118"/>
      <c r="AE169" s="118"/>
      <c r="AF169" s="118"/>
      <c r="AG169" s="118"/>
      <c r="AH169" s="118"/>
      <c r="AI169" s="118"/>
      <c r="AJ169" s="118"/>
      <c r="AK169" s="118"/>
      <c r="AL169" s="118"/>
      <c r="AM169" s="118"/>
      <c r="AN169" s="118"/>
      <c r="AO169" s="118"/>
      <c r="AP169" s="118"/>
      <c r="AQ169" s="118"/>
      <c r="AR169" s="118"/>
      <c r="AS169" s="118"/>
      <c r="AT169" s="118"/>
      <c r="AU169" s="118"/>
      <c r="AV169" s="118"/>
      <c r="AW169" s="118"/>
      <c r="AX169" s="118"/>
      <c r="AY169" s="118"/>
      <c r="AZ169" s="118"/>
      <c r="BA169" s="118"/>
      <c r="BB169" s="118"/>
      <c r="BC169" s="118"/>
      <c r="BD169" s="118"/>
      <c r="BE169" s="118"/>
      <c r="BF169" s="118"/>
      <c r="BG169" s="118"/>
      <c r="BH169" s="118"/>
      <c r="BI169" s="118"/>
      <c r="BJ169" s="118"/>
      <c r="BK169" s="118"/>
    </row>
    <row r="170" spans="1:63" s="39" customFormat="1" ht="14.25" thickBot="1">
      <c r="A170" s="41" t="s">
        <v>314</v>
      </c>
      <c r="B170" s="119">
        <v>910</v>
      </c>
      <c r="C170" s="119">
        <v>12740</v>
      </c>
      <c r="D170" s="119">
        <v>60</v>
      </c>
      <c r="E170" s="119">
        <v>7634</v>
      </c>
      <c r="F170" s="119">
        <v>6492</v>
      </c>
      <c r="G170" s="118"/>
      <c r="H170" s="118"/>
      <c r="I170" s="118"/>
      <c r="J170" s="118"/>
      <c r="K170" s="118"/>
      <c r="L170" s="118"/>
      <c r="M170" s="118"/>
      <c r="N170" s="118"/>
      <c r="O170" s="118"/>
      <c r="P170" s="118"/>
      <c r="Q170" s="118"/>
      <c r="R170" s="118"/>
      <c r="S170" s="118"/>
      <c r="T170" s="118"/>
      <c r="U170" s="118"/>
      <c r="V170" s="118"/>
      <c r="W170" s="118"/>
      <c r="X170" s="118"/>
      <c r="Y170" s="118"/>
      <c r="Z170" s="118"/>
      <c r="AA170" s="118"/>
      <c r="AB170" s="118"/>
      <c r="AC170" s="118"/>
      <c r="AD170" s="118"/>
      <c r="AE170" s="118"/>
      <c r="AF170" s="118"/>
      <c r="AG170" s="118"/>
      <c r="AH170" s="118"/>
      <c r="AI170" s="118"/>
      <c r="AJ170" s="118"/>
      <c r="AK170" s="118"/>
      <c r="AL170" s="118"/>
      <c r="AM170" s="118"/>
      <c r="AN170" s="118"/>
      <c r="AO170" s="118"/>
      <c r="AP170" s="118"/>
      <c r="AQ170" s="118"/>
      <c r="AR170" s="118"/>
      <c r="AS170" s="118"/>
      <c r="AT170" s="118"/>
      <c r="AU170" s="118"/>
      <c r="AV170" s="118"/>
      <c r="AW170" s="118"/>
      <c r="AX170" s="118"/>
      <c r="AY170" s="118"/>
      <c r="AZ170" s="118"/>
      <c r="BA170" s="118"/>
      <c r="BB170" s="118"/>
      <c r="BC170" s="118"/>
      <c r="BD170" s="118"/>
      <c r="BE170" s="118"/>
      <c r="BF170" s="118"/>
      <c r="BG170" s="118"/>
      <c r="BH170" s="118"/>
      <c r="BI170" s="118"/>
      <c r="BJ170" s="118"/>
      <c r="BK170" s="118"/>
    </row>
    <row r="171" spans="1:63" s="39" customFormat="1" ht="14.25" thickBot="1">
      <c r="A171" s="41" t="s">
        <v>315</v>
      </c>
      <c r="B171" s="119">
        <v>909</v>
      </c>
      <c r="C171" s="119">
        <v>12726</v>
      </c>
      <c r="D171" s="119">
        <v>60</v>
      </c>
      <c r="E171" s="119">
        <v>6785</v>
      </c>
      <c r="F171" s="119">
        <v>6492</v>
      </c>
      <c r="G171" s="118"/>
      <c r="H171" s="118"/>
      <c r="I171" s="118"/>
      <c r="J171" s="118"/>
      <c r="K171" s="118"/>
      <c r="L171" s="118"/>
      <c r="M171" s="118"/>
      <c r="N171" s="118"/>
      <c r="O171" s="118"/>
      <c r="P171" s="118"/>
      <c r="Q171" s="118"/>
      <c r="R171" s="118"/>
      <c r="S171" s="118"/>
      <c r="T171" s="118"/>
      <c r="U171" s="118"/>
      <c r="V171" s="118"/>
      <c r="W171" s="118"/>
      <c r="X171" s="118"/>
      <c r="Y171" s="118"/>
      <c r="Z171" s="118"/>
      <c r="AA171" s="118"/>
      <c r="AB171" s="118"/>
      <c r="AC171" s="118"/>
      <c r="AD171" s="118"/>
      <c r="AE171" s="118"/>
      <c r="AF171" s="118"/>
      <c r="AG171" s="118"/>
      <c r="AH171" s="118"/>
      <c r="AI171" s="118"/>
      <c r="AJ171" s="118"/>
      <c r="AK171" s="118"/>
      <c r="AL171" s="118"/>
      <c r="AM171" s="118"/>
      <c r="AN171" s="118"/>
      <c r="AO171" s="118"/>
      <c r="AP171" s="118"/>
      <c r="AQ171" s="118"/>
      <c r="AR171" s="118"/>
      <c r="AS171" s="118"/>
      <c r="AT171" s="118"/>
      <c r="AU171" s="118"/>
      <c r="AV171" s="118"/>
      <c r="AW171" s="118"/>
      <c r="AX171" s="118"/>
      <c r="AY171" s="118"/>
      <c r="AZ171" s="118"/>
      <c r="BA171" s="118"/>
      <c r="BB171" s="118"/>
      <c r="BC171" s="118"/>
      <c r="BD171" s="118"/>
      <c r="BE171" s="118"/>
      <c r="BF171" s="118"/>
      <c r="BG171" s="118"/>
      <c r="BH171" s="118"/>
      <c r="BI171" s="118"/>
      <c r="BJ171" s="118"/>
      <c r="BK171" s="118"/>
    </row>
    <row r="172" spans="1:63" s="39" customFormat="1" ht="14.25" thickBot="1">
      <c r="A172" s="41" t="s">
        <v>316</v>
      </c>
      <c r="B172" s="119">
        <v>779</v>
      </c>
      <c r="C172" s="119">
        <v>10906</v>
      </c>
      <c r="D172" s="119">
        <v>60</v>
      </c>
      <c r="E172" s="119">
        <v>6785</v>
      </c>
      <c r="F172" s="119">
        <v>6677</v>
      </c>
      <c r="G172" s="118"/>
      <c r="H172" s="118"/>
      <c r="I172" s="118"/>
      <c r="J172" s="118"/>
      <c r="K172" s="118"/>
      <c r="L172" s="118"/>
      <c r="M172" s="118"/>
      <c r="N172" s="118"/>
      <c r="O172" s="118"/>
      <c r="P172" s="118"/>
      <c r="Q172" s="118"/>
      <c r="R172" s="118"/>
      <c r="S172" s="118"/>
      <c r="T172" s="118"/>
      <c r="U172" s="118"/>
      <c r="V172" s="118"/>
      <c r="W172" s="118"/>
      <c r="X172" s="118"/>
      <c r="Y172" s="118"/>
      <c r="Z172" s="118"/>
      <c r="AA172" s="118"/>
      <c r="AB172" s="118"/>
      <c r="AC172" s="118"/>
      <c r="AD172" s="118"/>
      <c r="AE172" s="118"/>
      <c r="AF172" s="118"/>
      <c r="AG172" s="118"/>
      <c r="AH172" s="118"/>
      <c r="AI172" s="118"/>
      <c r="AJ172" s="118"/>
      <c r="AK172" s="118"/>
      <c r="AL172" s="118"/>
      <c r="AM172" s="118"/>
      <c r="AN172" s="118"/>
      <c r="AO172" s="118"/>
      <c r="AP172" s="118"/>
      <c r="AQ172" s="118"/>
      <c r="AR172" s="118"/>
      <c r="AS172" s="118"/>
      <c r="AT172" s="118"/>
      <c r="AU172" s="118"/>
      <c r="AV172" s="118"/>
      <c r="AW172" s="118"/>
      <c r="AX172" s="118"/>
      <c r="AY172" s="118"/>
      <c r="AZ172" s="118"/>
      <c r="BA172" s="118"/>
      <c r="BB172" s="118"/>
      <c r="BC172" s="118"/>
      <c r="BD172" s="118"/>
      <c r="BE172" s="118"/>
      <c r="BF172" s="118"/>
      <c r="BG172" s="118"/>
      <c r="BH172" s="118"/>
      <c r="BI172" s="118"/>
      <c r="BJ172" s="118"/>
      <c r="BK172" s="118"/>
    </row>
    <row r="173" spans="1:63" s="39" customFormat="1" ht="14.25" thickBot="1">
      <c r="A173" s="41" t="s">
        <v>317</v>
      </c>
      <c r="B173" s="119">
        <v>823</v>
      </c>
      <c r="C173" s="119">
        <v>11522</v>
      </c>
      <c r="D173" s="119">
        <v>60</v>
      </c>
      <c r="E173" s="119">
        <v>7634</v>
      </c>
      <c r="F173" s="119">
        <v>7790</v>
      </c>
      <c r="G173" s="118"/>
      <c r="H173" s="118"/>
      <c r="I173" s="118"/>
      <c r="J173" s="118"/>
      <c r="K173" s="118"/>
      <c r="L173" s="118"/>
      <c r="M173" s="118"/>
      <c r="N173" s="118"/>
      <c r="O173" s="118"/>
      <c r="P173" s="118"/>
      <c r="Q173" s="118"/>
      <c r="R173" s="118"/>
      <c r="S173" s="118"/>
      <c r="T173" s="118"/>
      <c r="U173" s="118"/>
      <c r="V173" s="118"/>
      <c r="W173" s="118"/>
      <c r="X173" s="118"/>
      <c r="Y173" s="118"/>
      <c r="Z173" s="118"/>
      <c r="AA173" s="118"/>
      <c r="AB173" s="118"/>
      <c r="AC173" s="118"/>
      <c r="AD173" s="118"/>
      <c r="AE173" s="118"/>
      <c r="AF173" s="118"/>
      <c r="AG173" s="118"/>
      <c r="AH173" s="118"/>
      <c r="AI173" s="118"/>
      <c r="AJ173" s="118"/>
      <c r="AK173" s="118"/>
      <c r="AL173" s="118"/>
      <c r="AM173" s="118"/>
      <c r="AN173" s="118"/>
      <c r="AO173" s="118"/>
      <c r="AP173" s="118"/>
      <c r="AQ173" s="118"/>
      <c r="AR173" s="118"/>
      <c r="AS173" s="118"/>
      <c r="AT173" s="118"/>
      <c r="AU173" s="118"/>
      <c r="AV173" s="118"/>
      <c r="AW173" s="118"/>
      <c r="AX173" s="118"/>
      <c r="AY173" s="118"/>
      <c r="AZ173" s="118"/>
      <c r="BA173" s="118"/>
      <c r="BB173" s="118"/>
      <c r="BC173" s="118"/>
      <c r="BD173" s="118"/>
      <c r="BE173" s="118"/>
      <c r="BF173" s="118"/>
      <c r="BG173" s="118"/>
      <c r="BH173" s="118"/>
      <c r="BI173" s="118"/>
      <c r="BJ173" s="118"/>
      <c r="BK173" s="118"/>
    </row>
    <row r="174" spans="1:63" s="39" customFormat="1" ht="14.25" thickBot="1">
      <c r="A174" s="42" t="s">
        <v>318</v>
      </c>
      <c r="B174" s="120">
        <v>680</v>
      </c>
      <c r="C174" s="120">
        <v>9520</v>
      </c>
      <c r="D174" s="120">
        <v>60</v>
      </c>
      <c r="E174" s="120">
        <v>7200</v>
      </c>
      <c r="F174" s="120">
        <v>7200</v>
      </c>
      <c r="G174" s="118"/>
      <c r="H174" s="118"/>
      <c r="I174" s="118"/>
      <c r="J174" s="118"/>
      <c r="K174" s="118"/>
      <c r="L174" s="118"/>
      <c r="M174" s="118"/>
      <c r="N174" s="118"/>
      <c r="O174" s="118"/>
      <c r="P174" s="118"/>
      <c r="Q174" s="118"/>
      <c r="R174" s="118"/>
      <c r="S174" s="118"/>
      <c r="T174" s="118"/>
      <c r="U174" s="118"/>
      <c r="V174" s="118"/>
      <c r="W174" s="118"/>
      <c r="X174" s="118"/>
      <c r="Y174" s="118"/>
      <c r="Z174" s="118"/>
      <c r="AA174" s="118"/>
      <c r="AB174" s="118"/>
      <c r="AC174" s="118"/>
      <c r="AD174" s="118"/>
      <c r="AE174" s="118"/>
      <c r="AF174" s="118"/>
      <c r="AG174" s="118"/>
      <c r="AH174" s="118"/>
      <c r="AI174" s="118"/>
      <c r="AJ174" s="118"/>
      <c r="AK174" s="118"/>
      <c r="AL174" s="118"/>
      <c r="AM174" s="118"/>
      <c r="AN174" s="118"/>
      <c r="AO174" s="118"/>
      <c r="AP174" s="118"/>
      <c r="AQ174" s="118"/>
      <c r="AR174" s="118"/>
      <c r="AS174" s="118"/>
      <c r="AT174" s="118"/>
      <c r="AU174" s="118"/>
      <c r="AV174" s="118"/>
      <c r="AW174" s="118"/>
      <c r="AX174" s="118"/>
      <c r="AY174" s="118"/>
      <c r="AZ174" s="118"/>
      <c r="BA174" s="118"/>
      <c r="BB174" s="118"/>
      <c r="BC174" s="118"/>
      <c r="BD174" s="118"/>
      <c r="BE174" s="118"/>
      <c r="BF174" s="118"/>
      <c r="BG174" s="118"/>
      <c r="BH174" s="118"/>
      <c r="BI174" s="118"/>
      <c r="BJ174" s="118"/>
      <c r="BK174" s="118"/>
    </row>
    <row r="175" spans="1:63" s="39" customFormat="1" ht="14.25" thickBot="1">
      <c r="A175" s="41"/>
      <c r="B175" s="119"/>
      <c r="C175" s="119"/>
      <c r="D175" s="119"/>
      <c r="E175" s="119"/>
      <c r="F175" s="119"/>
      <c r="G175" s="118"/>
      <c r="H175" s="118"/>
      <c r="I175" s="118"/>
      <c r="J175" s="118"/>
      <c r="K175" s="118"/>
      <c r="L175" s="118"/>
      <c r="M175" s="118"/>
      <c r="N175" s="118"/>
      <c r="O175" s="118"/>
      <c r="P175" s="118"/>
      <c r="Q175" s="118"/>
      <c r="R175" s="118"/>
      <c r="S175" s="118"/>
      <c r="T175" s="118"/>
      <c r="U175" s="118"/>
      <c r="V175" s="118"/>
      <c r="W175" s="118"/>
      <c r="X175" s="118"/>
      <c r="Y175" s="118"/>
      <c r="Z175" s="118"/>
      <c r="AA175" s="118"/>
      <c r="AB175" s="118"/>
      <c r="AC175" s="118"/>
      <c r="AD175" s="118"/>
      <c r="AE175" s="118"/>
      <c r="AF175" s="118"/>
      <c r="AG175" s="118"/>
      <c r="AH175" s="118"/>
      <c r="AI175" s="118"/>
      <c r="AJ175" s="118"/>
      <c r="AK175" s="118"/>
      <c r="AL175" s="118"/>
      <c r="AM175" s="118"/>
      <c r="AN175" s="118"/>
      <c r="AO175" s="118"/>
      <c r="AP175" s="118"/>
      <c r="AQ175" s="118"/>
      <c r="AR175" s="118"/>
      <c r="AS175" s="118"/>
      <c r="AT175" s="118"/>
      <c r="AU175" s="118"/>
      <c r="AV175" s="118"/>
      <c r="AW175" s="118"/>
      <c r="AX175" s="118"/>
      <c r="AY175" s="118"/>
      <c r="AZ175" s="118"/>
      <c r="BA175" s="118"/>
      <c r="BB175" s="118"/>
      <c r="BC175" s="118"/>
      <c r="BD175" s="118"/>
      <c r="BE175" s="118"/>
      <c r="BF175" s="118"/>
      <c r="BG175" s="118"/>
      <c r="BH175" s="118"/>
      <c r="BI175" s="118"/>
      <c r="BJ175" s="118"/>
      <c r="BK175" s="118"/>
    </row>
    <row r="178" spans="1:28">
      <c r="A178" s="268">
        <v>43181</v>
      </c>
      <c r="B178" s="269" t="s">
        <v>518</v>
      </c>
    </row>
    <row r="179" spans="1:28" ht="14.25">
      <c r="A179" s="264" t="s">
        <v>121</v>
      </c>
      <c r="B179" s="364" t="s">
        <v>108</v>
      </c>
      <c r="C179" s="364"/>
      <c r="D179" s="364"/>
      <c r="E179" s="364"/>
      <c r="F179" s="364"/>
      <c r="G179" s="364"/>
      <c r="H179" s="264" t="s">
        <v>121</v>
      </c>
      <c r="I179" s="365" t="s">
        <v>122</v>
      </c>
      <c r="J179" s="365"/>
      <c r="K179" s="365"/>
      <c r="L179" s="365"/>
      <c r="M179" s="365"/>
      <c r="N179" s="365"/>
      <c r="O179" s="264" t="s">
        <v>121</v>
      </c>
      <c r="P179" s="365" t="s">
        <v>111</v>
      </c>
      <c r="Q179" s="365"/>
      <c r="R179" s="365"/>
      <c r="S179" s="365"/>
      <c r="T179" s="365"/>
      <c r="U179" s="365"/>
      <c r="V179" s="264" t="s">
        <v>121</v>
      </c>
      <c r="W179" s="365" t="s">
        <v>119</v>
      </c>
      <c r="X179" s="365"/>
      <c r="Y179" s="365"/>
      <c r="Z179" s="365"/>
      <c r="AA179" s="365"/>
      <c r="AB179" s="365"/>
    </row>
    <row r="180" spans="1:28" ht="14.25">
      <c r="A180" s="368" t="s">
        <v>124</v>
      </c>
      <c r="B180" s="363" t="s">
        <v>125</v>
      </c>
      <c r="C180" s="363"/>
      <c r="D180" s="363" t="s">
        <v>126</v>
      </c>
      <c r="E180" s="363"/>
      <c r="F180" s="363" t="s">
        <v>127</v>
      </c>
      <c r="G180" s="363"/>
      <c r="H180" s="368" t="s">
        <v>124</v>
      </c>
      <c r="I180" s="363" t="s">
        <v>125</v>
      </c>
      <c r="J180" s="363"/>
      <c r="K180" s="363" t="s">
        <v>126</v>
      </c>
      <c r="L180" s="363"/>
      <c r="M180" s="363" t="s">
        <v>127</v>
      </c>
      <c r="N180" s="363"/>
      <c r="O180" s="368" t="s">
        <v>124</v>
      </c>
      <c r="P180" s="363" t="s">
        <v>128</v>
      </c>
      <c r="Q180" s="363"/>
      <c r="R180" s="363" t="s">
        <v>126</v>
      </c>
      <c r="S180" s="363"/>
      <c r="T180" s="363" t="s">
        <v>129</v>
      </c>
      <c r="U180" s="363"/>
      <c r="V180" s="368" t="s">
        <v>124</v>
      </c>
      <c r="W180" s="363" t="s">
        <v>128</v>
      </c>
      <c r="X180" s="363"/>
      <c r="Y180" s="363" t="s">
        <v>126</v>
      </c>
      <c r="Z180" s="363"/>
      <c r="AA180" s="363" t="s">
        <v>130</v>
      </c>
      <c r="AB180" s="363"/>
    </row>
    <row r="181" spans="1:28" ht="14.25">
      <c r="A181" s="368"/>
      <c r="B181" s="263" t="s">
        <v>5</v>
      </c>
      <c r="C181" s="263" t="s">
        <v>6</v>
      </c>
      <c r="D181" s="263" t="s">
        <v>5</v>
      </c>
      <c r="E181" s="263" t="s">
        <v>6</v>
      </c>
      <c r="F181" s="263" t="s">
        <v>5</v>
      </c>
      <c r="G181" s="263" t="s">
        <v>6</v>
      </c>
      <c r="H181" s="368"/>
      <c r="I181" s="263" t="s">
        <v>5</v>
      </c>
      <c r="J181" s="263" t="s">
        <v>6</v>
      </c>
      <c r="K181" s="263" t="s">
        <v>5</v>
      </c>
      <c r="L181" s="263" t="s">
        <v>6</v>
      </c>
      <c r="M181" s="263" t="s">
        <v>5</v>
      </c>
      <c r="N181" s="263" t="s">
        <v>6</v>
      </c>
      <c r="O181" s="368"/>
      <c r="P181" s="263" t="s">
        <v>5</v>
      </c>
      <c r="Q181" s="263" t="s">
        <v>6</v>
      </c>
      <c r="R181" s="263" t="s">
        <v>5</v>
      </c>
      <c r="S181" s="263" t="s">
        <v>6</v>
      </c>
      <c r="T181" s="263" t="s">
        <v>5</v>
      </c>
      <c r="U181" s="263" t="s">
        <v>6</v>
      </c>
      <c r="V181" s="368"/>
      <c r="W181" s="263" t="s">
        <v>5</v>
      </c>
      <c r="X181" s="263" t="s">
        <v>6</v>
      </c>
      <c r="Y181" s="263" t="s">
        <v>5</v>
      </c>
      <c r="Z181" s="263" t="s">
        <v>6</v>
      </c>
      <c r="AA181" s="263" t="s">
        <v>5</v>
      </c>
      <c r="AB181" s="263" t="s">
        <v>6</v>
      </c>
    </row>
    <row r="182" spans="1:28" ht="14.25">
      <c r="A182" s="96" t="s">
        <v>131</v>
      </c>
      <c r="B182" s="363" t="s">
        <v>132</v>
      </c>
      <c r="C182" s="363"/>
      <c r="D182" s="363"/>
      <c r="E182" s="363"/>
      <c r="F182" s="363"/>
      <c r="G182" s="363"/>
      <c r="H182" s="96" t="s">
        <v>131</v>
      </c>
      <c r="I182" s="363" t="s">
        <v>487</v>
      </c>
      <c r="J182" s="363"/>
      <c r="K182" s="363"/>
      <c r="L182" s="363"/>
      <c r="M182" s="363"/>
      <c r="N182" s="363"/>
      <c r="O182" s="96" t="s">
        <v>131</v>
      </c>
      <c r="P182" s="363" t="s">
        <v>488</v>
      </c>
      <c r="Q182" s="363"/>
      <c r="R182" s="363"/>
      <c r="S182" s="363"/>
      <c r="T182" s="363"/>
      <c r="U182" s="363"/>
      <c r="V182" s="96" t="s">
        <v>131</v>
      </c>
      <c r="W182" s="363" t="s">
        <v>489</v>
      </c>
      <c r="X182" s="363"/>
      <c r="Y182" s="363"/>
      <c r="Z182" s="363"/>
      <c r="AA182" s="363"/>
      <c r="AB182" s="363"/>
    </row>
    <row r="183" spans="1:28" ht="14.25">
      <c r="A183" s="96" t="s">
        <v>7</v>
      </c>
      <c r="B183" s="263">
        <v>150</v>
      </c>
      <c r="C183" s="263">
        <f>B183*14</f>
        <v>2100</v>
      </c>
      <c r="D183" s="263">
        <v>40</v>
      </c>
      <c r="E183" s="263">
        <v>560</v>
      </c>
      <c r="F183" s="263">
        <v>30</v>
      </c>
      <c r="G183" s="263">
        <v>420</v>
      </c>
      <c r="H183" s="96" t="s">
        <v>7</v>
      </c>
      <c r="I183" s="264"/>
      <c r="J183" s="264"/>
      <c r="K183" s="263"/>
      <c r="L183" s="263"/>
      <c r="M183" s="264"/>
      <c r="N183" s="264"/>
      <c r="O183" s="96" t="s">
        <v>7</v>
      </c>
      <c r="P183" s="264"/>
      <c r="Q183" s="264"/>
      <c r="R183" s="263"/>
      <c r="S183" s="263"/>
      <c r="T183" s="264"/>
      <c r="U183" s="264"/>
      <c r="V183" s="96" t="s">
        <v>7</v>
      </c>
      <c r="W183" s="264"/>
      <c r="X183" s="264"/>
      <c r="Y183" s="263"/>
      <c r="Z183" s="263"/>
      <c r="AA183" s="264"/>
      <c r="AB183" s="264"/>
    </row>
    <row r="184" spans="1:28" ht="14.25">
      <c r="A184" s="96" t="s">
        <v>137</v>
      </c>
      <c r="B184" s="264"/>
      <c r="C184" s="263"/>
      <c r="D184" s="264"/>
      <c r="E184" s="263"/>
      <c r="F184" s="264"/>
      <c r="G184" s="264"/>
      <c r="H184" s="96" t="s">
        <v>137</v>
      </c>
      <c r="I184" s="264">
        <v>200</v>
      </c>
      <c r="J184" s="264">
        <f>I184*13.5</f>
        <v>2700</v>
      </c>
      <c r="K184" s="264">
        <v>50</v>
      </c>
      <c r="L184" s="264">
        <f>K184*13.5</f>
        <v>675</v>
      </c>
      <c r="M184" s="264">
        <v>20</v>
      </c>
      <c r="N184" s="264">
        <f>M184*13.5</f>
        <v>270</v>
      </c>
      <c r="O184" s="96" t="s">
        <v>137</v>
      </c>
      <c r="P184" s="264"/>
      <c r="Q184" s="264"/>
      <c r="R184" s="264"/>
      <c r="S184" s="264"/>
      <c r="T184" s="264"/>
      <c r="U184" s="264"/>
      <c r="V184" s="96" t="s">
        <v>137</v>
      </c>
      <c r="W184" s="264"/>
      <c r="X184" s="264"/>
      <c r="Y184" s="264"/>
      <c r="Z184" s="264"/>
      <c r="AA184" s="264"/>
      <c r="AB184" s="264"/>
    </row>
    <row r="185" spans="1:28" ht="14.25">
      <c r="A185" s="97" t="s">
        <v>71</v>
      </c>
      <c r="B185" s="263">
        <v>200</v>
      </c>
      <c r="C185" s="263">
        <f t="shared" ref="C185:C199" si="54">B185*14</f>
        <v>2800</v>
      </c>
      <c r="D185" s="263">
        <v>50</v>
      </c>
      <c r="E185" s="263">
        <v>560</v>
      </c>
      <c r="F185" s="263"/>
      <c r="G185" s="263"/>
      <c r="H185" s="97" t="s">
        <v>71</v>
      </c>
      <c r="I185" s="264">
        <v>150</v>
      </c>
      <c r="J185" s="264">
        <f>I185*13.5</f>
        <v>2025</v>
      </c>
      <c r="K185" s="263">
        <v>150</v>
      </c>
      <c r="L185" s="264">
        <f>K185*13.5</f>
        <v>2025</v>
      </c>
      <c r="M185" s="264"/>
      <c r="N185" s="264"/>
      <c r="O185" s="97" t="s">
        <v>71</v>
      </c>
      <c r="P185" s="264">
        <v>250</v>
      </c>
      <c r="Q185" s="264">
        <f>P185*13.5</f>
        <v>3375</v>
      </c>
      <c r="R185" s="263"/>
      <c r="S185" s="263"/>
      <c r="T185" s="264">
        <v>50</v>
      </c>
      <c r="U185" s="264">
        <f>T185*13.5</f>
        <v>675</v>
      </c>
      <c r="V185" s="97" t="s">
        <v>71</v>
      </c>
      <c r="W185" s="264"/>
      <c r="X185" s="264"/>
      <c r="Y185" s="263"/>
      <c r="Z185" s="263"/>
      <c r="AA185" s="264"/>
      <c r="AB185" s="264"/>
    </row>
    <row r="186" spans="1:28" ht="14.25">
      <c r="A186" s="97" t="s">
        <v>72</v>
      </c>
      <c r="B186" s="264"/>
      <c r="C186" s="263"/>
      <c r="D186" s="264"/>
      <c r="E186" s="264"/>
      <c r="F186" s="264"/>
      <c r="G186" s="264"/>
      <c r="H186" s="97" t="s">
        <v>72</v>
      </c>
      <c r="I186" s="264"/>
      <c r="J186" s="264"/>
      <c r="K186" s="264"/>
      <c r="L186" s="264"/>
      <c r="M186" s="264"/>
      <c r="N186" s="264"/>
      <c r="O186" s="97" t="s">
        <v>72</v>
      </c>
      <c r="P186" s="264">
        <v>250</v>
      </c>
      <c r="Q186" s="264">
        <f t="shared" ref="Q186:Q203" si="55">P186*13.5</f>
        <v>3375</v>
      </c>
      <c r="R186" s="264"/>
      <c r="S186" s="264"/>
      <c r="T186" s="264">
        <v>50</v>
      </c>
      <c r="U186" s="264">
        <f>T186*13.5</f>
        <v>675</v>
      </c>
      <c r="V186" s="97" t="s">
        <v>72</v>
      </c>
      <c r="W186" s="264">
        <v>550</v>
      </c>
      <c r="X186" s="264">
        <f t="shared" ref="X186:X200" si="56">W186*13.5</f>
        <v>7425</v>
      </c>
      <c r="Y186" s="264">
        <v>250</v>
      </c>
      <c r="Z186" s="264">
        <f>Y186*13.5</f>
        <v>3375</v>
      </c>
      <c r="AA186" s="264"/>
      <c r="AB186" s="264"/>
    </row>
    <row r="187" spans="1:28" ht="14.25">
      <c r="A187" s="97" t="s">
        <v>73</v>
      </c>
      <c r="B187" s="263"/>
      <c r="C187" s="263"/>
      <c r="D187" s="263"/>
      <c r="E187" s="263"/>
      <c r="F187" s="263"/>
      <c r="G187" s="263"/>
      <c r="H187" s="97" t="s">
        <v>73</v>
      </c>
      <c r="I187" s="264"/>
      <c r="J187" s="264"/>
      <c r="K187" s="263"/>
      <c r="L187" s="264"/>
      <c r="M187" s="264"/>
      <c r="N187" s="264"/>
      <c r="O187" s="97" t="s">
        <v>73</v>
      </c>
      <c r="P187" s="264">
        <v>100</v>
      </c>
      <c r="Q187" s="264">
        <f t="shared" si="55"/>
        <v>1350</v>
      </c>
      <c r="R187" s="263"/>
      <c r="S187" s="263"/>
      <c r="T187" s="264">
        <v>50</v>
      </c>
      <c r="U187" s="264">
        <f>T187*13.5</f>
        <v>675</v>
      </c>
      <c r="V187" s="97" t="s">
        <v>73</v>
      </c>
      <c r="W187" s="264">
        <v>300</v>
      </c>
      <c r="X187" s="264">
        <f t="shared" si="56"/>
        <v>4050</v>
      </c>
      <c r="Y187" s="263">
        <v>130</v>
      </c>
      <c r="Z187" s="264">
        <f>Y187*13.5</f>
        <v>1755</v>
      </c>
      <c r="AA187" s="264"/>
      <c r="AB187" s="264"/>
    </row>
    <row r="188" spans="1:28" ht="14.25">
      <c r="A188" s="97" t="s">
        <v>74</v>
      </c>
      <c r="B188" s="263"/>
      <c r="C188" s="263"/>
      <c r="D188" s="263"/>
      <c r="E188" s="263"/>
      <c r="F188" s="263"/>
      <c r="G188" s="263"/>
      <c r="H188" s="97" t="s">
        <v>74</v>
      </c>
      <c r="I188" s="264"/>
      <c r="J188" s="264"/>
      <c r="K188" s="263"/>
      <c r="L188" s="264"/>
      <c r="M188" s="264"/>
      <c r="N188" s="264"/>
      <c r="O188" s="97" t="s">
        <v>74</v>
      </c>
      <c r="P188" s="264"/>
      <c r="Q188" s="264"/>
      <c r="R188" s="263"/>
      <c r="S188" s="263"/>
      <c r="T188" s="264"/>
      <c r="U188" s="264"/>
      <c r="V188" s="97" t="s">
        <v>74</v>
      </c>
      <c r="W188" s="264">
        <v>50</v>
      </c>
      <c r="X188" s="264">
        <f>W188*13.5</f>
        <v>675</v>
      </c>
      <c r="Y188" s="263"/>
      <c r="Z188" s="263"/>
      <c r="AA188" s="264"/>
      <c r="AB188" s="264"/>
    </row>
    <row r="189" spans="1:28" ht="14.25">
      <c r="A189" s="97" t="s">
        <v>75</v>
      </c>
      <c r="B189" s="263"/>
      <c r="C189" s="263"/>
      <c r="D189" s="263"/>
      <c r="E189" s="263"/>
      <c r="F189" s="263"/>
      <c r="G189" s="263"/>
      <c r="H189" s="97" t="s">
        <v>75</v>
      </c>
      <c r="I189" s="264"/>
      <c r="J189" s="264"/>
      <c r="K189" s="263"/>
      <c r="L189" s="264"/>
      <c r="M189" s="264"/>
      <c r="N189" s="264"/>
      <c r="O189" s="97" t="s">
        <v>75</v>
      </c>
      <c r="P189" s="264"/>
      <c r="Q189" s="264"/>
      <c r="R189" s="263"/>
      <c r="S189" s="263"/>
      <c r="T189" s="264"/>
      <c r="U189" s="264"/>
      <c r="V189" s="97" t="s">
        <v>75</v>
      </c>
      <c r="W189" s="264">
        <v>50</v>
      </c>
      <c r="X189" s="264">
        <f t="shared" si="56"/>
        <v>675</v>
      </c>
      <c r="Y189" s="263"/>
      <c r="Z189" s="263"/>
      <c r="AA189" s="264"/>
      <c r="AB189" s="264"/>
    </row>
    <row r="190" spans="1:28" ht="14.25">
      <c r="A190" s="97" t="s">
        <v>76</v>
      </c>
      <c r="B190" s="263"/>
      <c r="C190" s="263"/>
      <c r="D190" s="263"/>
      <c r="E190" s="263"/>
      <c r="F190" s="263"/>
      <c r="G190" s="263"/>
      <c r="H190" s="97" t="s">
        <v>76</v>
      </c>
      <c r="I190" s="264">
        <v>200</v>
      </c>
      <c r="J190" s="264">
        <f t="shared" ref="J190:J202" si="57">I190*13.5</f>
        <v>2700</v>
      </c>
      <c r="K190" s="263">
        <v>100</v>
      </c>
      <c r="L190" s="264">
        <f t="shared" ref="L190" si="58">K190*13.5</f>
        <v>1350</v>
      </c>
      <c r="M190" s="264">
        <v>30</v>
      </c>
      <c r="N190" s="264">
        <f>M190*13.5</f>
        <v>405</v>
      </c>
      <c r="O190" s="97" t="s">
        <v>76</v>
      </c>
      <c r="P190" s="264"/>
      <c r="Q190" s="264"/>
      <c r="R190" s="263"/>
      <c r="S190" s="263"/>
      <c r="T190" s="264"/>
      <c r="U190" s="264"/>
      <c r="V190" s="97" t="s">
        <v>76</v>
      </c>
      <c r="W190" s="264"/>
      <c r="X190" s="264"/>
      <c r="Y190" s="263"/>
      <c r="Z190" s="263"/>
      <c r="AA190" s="264"/>
      <c r="AB190" s="264"/>
    </row>
    <row r="191" spans="1:28" ht="14.25">
      <c r="A191" s="97" t="s">
        <v>146</v>
      </c>
      <c r="B191" s="264"/>
      <c r="C191" s="263"/>
      <c r="D191" s="263"/>
      <c r="E191" s="263"/>
      <c r="F191" s="263"/>
      <c r="G191" s="263"/>
      <c r="H191" s="97" t="s">
        <v>146</v>
      </c>
      <c r="I191" s="264"/>
      <c r="J191" s="264"/>
      <c r="K191" s="263"/>
      <c r="L191" s="263"/>
      <c r="M191" s="264"/>
      <c r="N191" s="264"/>
      <c r="O191" s="97" t="s">
        <v>146</v>
      </c>
      <c r="P191" s="264"/>
      <c r="Q191" s="264"/>
      <c r="R191" s="263"/>
      <c r="S191" s="263"/>
      <c r="T191" s="264"/>
      <c r="U191" s="264"/>
      <c r="V191" s="97" t="s">
        <v>146</v>
      </c>
      <c r="W191" s="264">
        <v>50</v>
      </c>
      <c r="X191" s="264">
        <f>W191*13.5</f>
        <v>675</v>
      </c>
      <c r="Y191" s="263"/>
      <c r="Z191" s="263"/>
      <c r="AA191" s="264"/>
      <c r="AB191" s="264"/>
    </row>
    <row r="192" spans="1:28" ht="14.25">
      <c r="A192" s="97" t="s">
        <v>490</v>
      </c>
      <c r="B192" s="264"/>
      <c r="C192" s="263"/>
      <c r="D192" s="263"/>
      <c r="E192" s="263"/>
      <c r="F192" s="263"/>
      <c r="G192" s="263"/>
      <c r="H192" s="97" t="s">
        <v>490</v>
      </c>
      <c r="I192" s="264"/>
      <c r="J192" s="264"/>
      <c r="K192" s="263"/>
      <c r="L192" s="263"/>
      <c r="M192" s="264"/>
      <c r="N192" s="264"/>
      <c r="O192" s="97" t="s">
        <v>490</v>
      </c>
      <c r="P192" s="264"/>
      <c r="Q192" s="264"/>
      <c r="R192" s="263"/>
      <c r="S192" s="263"/>
      <c r="T192" s="264"/>
      <c r="U192" s="264"/>
      <c r="V192" s="97" t="s">
        <v>490</v>
      </c>
      <c r="W192" s="264">
        <v>100</v>
      </c>
      <c r="X192" s="264">
        <f>W192*13.5</f>
        <v>1350</v>
      </c>
      <c r="Y192" s="263"/>
      <c r="Z192" s="263"/>
      <c r="AA192" s="264"/>
      <c r="AB192" s="264"/>
    </row>
    <row r="193" spans="1:28" ht="14.25">
      <c r="A193" s="97" t="s">
        <v>491</v>
      </c>
      <c r="B193" s="263">
        <v>50</v>
      </c>
      <c r="C193" s="263">
        <f t="shared" si="54"/>
        <v>700</v>
      </c>
      <c r="D193" s="263"/>
      <c r="E193" s="263"/>
      <c r="F193" s="263"/>
      <c r="G193" s="263"/>
      <c r="H193" s="97" t="s">
        <v>491</v>
      </c>
      <c r="I193" s="264"/>
      <c r="J193" s="264"/>
      <c r="K193" s="263"/>
      <c r="L193" s="263"/>
      <c r="M193" s="264"/>
      <c r="N193" s="264"/>
      <c r="O193" s="97" t="s">
        <v>491</v>
      </c>
      <c r="P193" s="264">
        <v>100</v>
      </c>
      <c r="Q193" s="264">
        <f t="shared" si="55"/>
        <v>1350</v>
      </c>
      <c r="R193" s="263"/>
      <c r="S193" s="263"/>
      <c r="T193" s="264">
        <v>50</v>
      </c>
      <c r="U193" s="264">
        <f t="shared" ref="U193" si="59">T193*13.5</f>
        <v>675</v>
      </c>
      <c r="V193" s="97" t="s">
        <v>491</v>
      </c>
      <c r="W193" s="264">
        <v>850</v>
      </c>
      <c r="X193" s="264">
        <f t="shared" si="56"/>
        <v>11475</v>
      </c>
      <c r="Y193" s="263">
        <v>50</v>
      </c>
      <c r="Z193" s="263">
        <v>700</v>
      </c>
      <c r="AA193" s="264"/>
      <c r="AB193" s="264"/>
    </row>
    <row r="194" spans="1:28" ht="14.25">
      <c r="A194" s="97" t="s">
        <v>148</v>
      </c>
      <c r="B194" s="263">
        <v>30</v>
      </c>
      <c r="C194" s="263">
        <f>B194*14</f>
        <v>420</v>
      </c>
      <c r="D194" s="263"/>
      <c r="E194" s="263"/>
      <c r="F194" s="263"/>
      <c r="G194" s="263"/>
      <c r="H194" s="97" t="s">
        <v>492</v>
      </c>
      <c r="I194" s="264">
        <v>70</v>
      </c>
      <c r="J194" s="264">
        <f t="shared" si="57"/>
        <v>945</v>
      </c>
      <c r="K194" s="263"/>
      <c r="L194" s="263"/>
      <c r="M194" s="264"/>
      <c r="N194" s="264"/>
      <c r="O194" s="97" t="s">
        <v>492</v>
      </c>
      <c r="P194" s="264"/>
      <c r="Q194" s="264"/>
      <c r="R194" s="263"/>
      <c r="S194" s="263"/>
      <c r="T194" s="264"/>
      <c r="U194" s="264"/>
      <c r="V194" s="97" t="s">
        <v>492</v>
      </c>
      <c r="W194" s="264">
        <v>50</v>
      </c>
      <c r="X194" s="264">
        <f>W194*13.5</f>
        <v>675</v>
      </c>
      <c r="Y194" s="263"/>
      <c r="Z194" s="263"/>
      <c r="AA194" s="264"/>
      <c r="AB194" s="264"/>
    </row>
    <row r="195" spans="1:28" ht="14.25">
      <c r="A195" s="97" t="s">
        <v>493</v>
      </c>
      <c r="B195" s="263">
        <v>30</v>
      </c>
      <c r="C195" s="263">
        <f>B195*14</f>
        <v>420</v>
      </c>
      <c r="D195" s="263"/>
      <c r="E195" s="263"/>
      <c r="F195" s="263"/>
      <c r="G195" s="263"/>
      <c r="H195" s="97" t="s">
        <v>493</v>
      </c>
      <c r="I195" s="264">
        <v>50</v>
      </c>
      <c r="J195" s="264">
        <f t="shared" si="57"/>
        <v>675</v>
      </c>
      <c r="K195" s="263"/>
      <c r="L195" s="263"/>
      <c r="M195" s="264"/>
      <c r="N195" s="264"/>
      <c r="O195" s="97" t="s">
        <v>493</v>
      </c>
      <c r="P195" s="264">
        <v>60</v>
      </c>
      <c r="Q195" s="264">
        <f>P195*13.5</f>
        <v>810</v>
      </c>
      <c r="R195" s="263"/>
      <c r="S195" s="263"/>
      <c r="T195" s="264"/>
      <c r="U195" s="264"/>
      <c r="V195" s="97" t="s">
        <v>493</v>
      </c>
      <c r="W195" s="264">
        <v>30</v>
      </c>
      <c r="X195" s="264">
        <f>W195*13.5</f>
        <v>405</v>
      </c>
      <c r="Y195" s="263"/>
      <c r="Z195" s="263"/>
      <c r="AA195" s="264"/>
      <c r="AB195" s="264"/>
    </row>
    <row r="196" spans="1:28" ht="14.25">
      <c r="A196" s="97" t="s">
        <v>494</v>
      </c>
      <c r="B196" s="263">
        <v>20</v>
      </c>
      <c r="C196" s="263">
        <f t="shared" si="54"/>
        <v>280</v>
      </c>
      <c r="D196" s="263"/>
      <c r="E196" s="263"/>
      <c r="F196" s="263"/>
      <c r="G196" s="263"/>
      <c r="H196" s="97" t="s">
        <v>494</v>
      </c>
      <c r="I196" s="264">
        <v>80</v>
      </c>
      <c r="J196" s="264">
        <f t="shared" si="57"/>
        <v>1080</v>
      </c>
      <c r="K196" s="263"/>
      <c r="L196" s="263"/>
      <c r="M196" s="264"/>
      <c r="N196" s="264"/>
      <c r="O196" s="97" t="s">
        <v>494</v>
      </c>
      <c r="P196" s="264"/>
      <c r="Q196" s="264"/>
      <c r="R196" s="263"/>
      <c r="S196" s="263"/>
      <c r="T196" s="264"/>
      <c r="U196" s="264"/>
      <c r="V196" s="97" t="s">
        <v>494</v>
      </c>
      <c r="W196" s="264">
        <v>20</v>
      </c>
      <c r="X196" s="264">
        <f t="shared" si="56"/>
        <v>270</v>
      </c>
      <c r="Y196" s="263"/>
      <c r="Z196" s="263"/>
      <c r="AA196" s="264"/>
      <c r="AB196" s="264"/>
    </row>
    <row r="197" spans="1:28" ht="14.25">
      <c r="A197" s="97" t="s">
        <v>495</v>
      </c>
      <c r="B197" s="263"/>
      <c r="C197" s="263"/>
      <c r="D197" s="263"/>
      <c r="E197" s="263"/>
      <c r="F197" s="263"/>
      <c r="G197" s="263"/>
      <c r="H197" s="97" t="s">
        <v>495</v>
      </c>
      <c r="I197" s="264">
        <v>100</v>
      </c>
      <c r="J197" s="264">
        <f t="shared" si="57"/>
        <v>1350</v>
      </c>
      <c r="K197" s="263"/>
      <c r="L197" s="263"/>
      <c r="M197" s="264"/>
      <c r="N197" s="264"/>
      <c r="O197" s="97" t="s">
        <v>495</v>
      </c>
      <c r="P197" s="264"/>
      <c r="Q197" s="264"/>
      <c r="R197" s="263"/>
      <c r="S197" s="263"/>
      <c r="T197" s="264"/>
      <c r="U197" s="264"/>
      <c r="V197" s="97" t="s">
        <v>495</v>
      </c>
      <c r="W197" s="264"/>
      <c r="X197" s="264"/>
      <c r="Y197" s="263"/>
      <c r="Z197" s="263"/>
      <c r="AA197" s="264"/>
      <c r="AB197" s="264"/>
    </row>
    <row r="198" spans="1:28" ht="14.25">
      <c r="A198" s="97" t="s">
        <v>496</v>
      </c>
      <c r="B198" s="263"/>
      <c r="C198" s="263"/>
      <c r="D198" s="263"/>
      <c r="E198" s="263"/>
      <c r="F198" s="263"/>
      <c r="G198" s="263"/>
      <c r="H198" s="97" t="s">
        <v>496</v>
      </c>
      <c r="I198" s="264"/>
      <c r="J198" s="264"/>
      <c r="K198" s="263"/>
      <c r="L198" s="263"/>
      <c r="M198" s="264"/>
      <c r="N198" s="264"/>
      <c r="O198" s="97" t="s">
        <v>496</v>
      </c>
      <c r="P198" s="264">
        <v>40</v>
      </c>
      <c r="Q198" s="264">
        <v>540</v>
      </c>
      <c r="R198" s="263"/>
      <c r="S198" s="263"/>
      <c r="T198" s="264"/>
      <c r="U198" s="264"/>
      <c r="V198" s="97" t="s">
        <v>496</v>
      </c>
      <c r="W198" s="264"/>
      <c r="X198" s="264"/>
      <c r="Y198" s="263"/>
      <c r="Z198" s="263"/>
      <c r="AA198" s="264"/>
      <c r="AB198" s="264"/>
    </row>
    <row r="199" spans="1:28" ht="14.25">
      <c r="A199" s="97" t="s">
        <v>497</v>
      </c>
      <c r="B199" s="263">
        <v>50</v>
      </c>
      <c r="C199" s="263">
        <f t="shared" si="54"/>
        <v>700</v>
      </c>
      <c r="D199" s="263"/>
      <c r="E199" s="263"/>
      <c r="F199" s="263"/>
      <c r="G199" s="263"/>
      <c r="H199" s="97" t="s">
        <v>497</v>
      </c>
      <c r="I199" s="264"/>
      <c r="J199" s="264"/>
      <c r="K199" s="263"/>
      <c r="L199" s="263"/>
      <c r="M199" s="264"/>
      <c r="N199" s="264"/>
      <c r="O199" s="97" t="s">
        <v>497</v>
      </c>
      <c r="P199" s="264"/>
      <c r="Q199" s="264"/>
      <c r="R199" s="263"/>
      <c r="S199" s="263"/>
      <c r="T199" s="264"/>
      <c r="U199" s="264"/>
      <c r="V199" s="97" t="s">
        <v>497</v>
      </c>
      <c r="W199" s="264">
        <v>20</v>
      </c>
      <c r="X199" s="264">
        <f t="shared" si="56"/>
        <v>270</v>
      </c>
      <c r="Y199" s="263"/>
      <c r="Z199" s="263"/>
      <c r="AA199" s="264"/>
      <c r="AB199" s="264"/>
    </row>
    <row r="200" spans="1:28" ht="14.25">
      <c r="A200" s="97" t="s">
        <v>498</v>
      </c>
      <c r="B200" s="263"/>
      <c r="C200" s="263"/>
      <c r="D200" s="263"/>
      <c r="E200" s="263"/>
      <c r="F200" s="263"/>
      <c r="G200" s="263"/>
      <c r="H200" s="97" t="s">
        <v>498</v>
      </c>
      <c r="I200" s="264"/>
      <c r="J200" s="264"/>
      <c r="K200" s="263"/>
      <c r="L200" s="263"/>
      <c r="M200" s="264"/>
      <c r="N200" s="264"/>
      <c r="O200" s="97" t="s">
        <v>498</v>
      </c>
      <c r="P200" s="264"/>
      <c r="Q200" s="264"/>
      <c r="R200" s="263"/>
      <c r="S200" s="263"/>
      <c r="T200" s="264"/>
      <c r="U200" s="264"/>
      <c r="V200" s="97" t="s">
        <v>498</v>
      </c>
      <c r="W200" s="264">
        <v>30</v>
      </c>
      <c r="X200" s="264">
        <f t="shared" si="56"/>
        <v>405</v>
      </c>
      <c r="Y200" s="263"/>
      <c r="Z200" s="263"/>
      <c r="AA200" s="264"/>
      <c r="AB200" s="264"/>
    </row>
    <row r="201" spans="1:28" ht="14.25">
      <c r="A201" s="97" t="s">
        <v>499</v>
      </c>
      <c r="B201" s="263"/>
      <c r="C201" s="263"/>
      <c r="D201" s="263"/>
      <c r="E201" s="263"/>
      <c r="F201" s="263"/>
      <c r="G201" s="263"/>
      <c r="H201" s="97" t="s">
        <v>499</v>
      </c>
      <c r="I201" s="264"/>
      <c r="J201" s="264"/>
      <c r="K201" s="263"/>
      <c r="L201" s="263"/>
      <c r="M201" s="264"/>
      <c r="N201" s="264"/>
      <c r="O201" s="97" t="s">
        <v>499</v>
      </c>
      <c r="P201" s="264"/>
      <c r="Q201" s="264"/>
      <c r="R201" s="263"/>
      <c r="S201" s="263"/>
      <c r="T201" s="264"/>
      <c r="U201" s="264"/>
      <c r="V201" s="97" t="s">
        <v>499</v>
      </c>
      <c r="W201" s="264"/>
      <c r="X201" s="264"/>
      <c r="Y201" s="263"/>
      <c r="Z201" s="263"/>
      <c r="AA201" s="264"/>
      <c r="AB201" s="264"/>
    </row>
    <row r="202" spans="1:28" ht="14.25">
      <c r="A202" s="97" t="s">
        <v>500</v>
      </c>
      <c r="B202" s="263"/>
      <c r="C202" s="263"/>
      <c r="D202" s="263"/>
      <c r="E202" s="263"/>
      <c r="F202" s="263"/>
      <c r="G202" s="263"/>
      <c r="H202" s="97" t="s">
        <v>500</v>
      </c>
      <c r="I202" s="264">
        <v>50</v>
      </c>
      <c r="J202" s="264">
        <f t="shared" si="57"/>
        <v>675</v>
      </c>
      <c r="K202" s="263"/>
      <c r="L202" s="263"/>
      <c r="M202" s="264"/>
      <c r="N202" s="264"/>
      <c r="O202" s="97" t="s">
        <v>500</v>
      </c>
      <c r="P202" s="264">
        <v>50</v>
      </c>
      <c r="Q202" s="264">
        <f t="shared" si="55"/>
        <v>675</v>
      </c>
      <c r="R202" s="263"/>
      <c r="S202" s="263"/>
      <c r="T202" s="264"/>
      <c r="U202" s="264"/>
      <c r="V202" s="97" t="s">
        <v>500</v>
      </c>
      <c r="W202" s="264"/>
      <c r="X202" s="264"/>
      <c r="Y202" s="263"/>
      <c r="Z202" s="263"/>
      <c r="AA202" s="264"/>
      <c r="AB202" s="264"/>
    </row>
    <row r="203" spans="1:28" ht="14.25">
      <c r="A203" s="97" t="s">
        <v>501</v>
      </c>
      <c r="B203" s="263"/>
      <c r="C203" s="263"/>
      <c r="D203" s="98"/>
      <c r="E203" s="98"/>
      <c r="F203" s="98"/>
      <c r="G203" s="98"/>
      <c r="H203" s="97" t="s">
        <v>501</v>
      </c>
      <c r="I203" s="264"/>
      <c r="J203" s="264"/>
      <c r="K203" s="98"/>
      <c r="L203" s="98"/>
      <c r="M203" s="264"/>
      <c r="N203" s="264"/>
      <c r="O203" s="97" t="s">
        <v>501</v>
      </c>
      <c r="P203" s="264">
        <v>50</v>
      </c>
      <c r="Q203" s="264">
        <f t="shared" si="55"/>
        <v>675</v>
      </c>
      <c r="R203" s="98"/>
      <c r="S203" s="98"/>
      <c r="T203" s="264"/>
      <c r="U203" s="264"/>
      <c r="V203" s="97" t="s">
        <v>501</v>
      </c>
      <c r="W203" s="264"/>
      <c r="X203" s="264"/>
      <c r="Y203" s="98"/>
      <c r="Z203" s="98"/>
      <c r="AA203" s="264"/>
      <c r="AB203" s="264"/>
    </row>
    <row r="204" spans="1:28" ht="15">
      <c r="A204" s="97" t="s">
        <v>502</v>
      </c>
      <c r="B204" s="264">
        <f t="shared" ref="B204:G204" si="60">SUM(B183:B203)</f>
        <v>530</v>
      </c>
      <c r="C204" s="264">
        <f t="shared" si="60"/>
        <v>7420</v>
      </c>
      <c r="D204" s="264">
        <f t="shared" si="60"/>
        <v>90</v>
      </c>
      <c r="E204" s="264">
        <f t="shared" si="60"/>
        <v>1120</v>
      </c>
      <c r="F204" s="264">
        <f t="shared" si="60"/>
        <v>30</v>
      </c>
      <c r="G204" s="264">
        <f t="shared" si="60"/>
        <v>420</v>
      </c>
      <c r="H204" s="97" t="s">
        <v>502</v>
      </c>
      <c r="I204" s="266">
        <f>SUM(I183:I203)</f>
        <v>900</v>
      </c>
      <c r="J204" s="264">
        <f>SUM(J183:J203)</f>
        <v>12150</v>
      </c>
      <c r="K204" s="264">
        <f t="shared" ref="K204:L204" si="61">SUM(K183:K203)</f>
        <v>300</v>
      </c>
      <c r="L204" s="264">
        <f t="shared" si="61"/>
        <v>4050</v>
      </c>
      <c r="M204" s="264">
        <f>SUM(M183:M203)</f>
        <v>50</v>
      </c>
      <c r="N204" s="264">
        <f>SUM(N183:N203)</f>
        <v>675</v>
      </c>
      <c r="O204" s="97" t="s">
        <v>502</v>
      </c>
      <c r="P204" s="266">
        <f t="shared" ref="P204:U204" si="62">SUM(P183:P203)</f>
        <v>900</v>
      </c>
      <c r="Q204" s="264">
        <f t="shared" si="62"/>
        <v>12150</v>
      </c>
      <c r="R204" s="264">
        <f t="shared" si="62"/>
        <v>0</v>
      </c>
      <c r="S204" s="264">
        <f t="shared" si="62"/>
        <v>0</v>
      </c>
      <c r="T204" s="264">
        <f t="shared" si="62"/>
        <v>200</v>
      </c>
      <c r="U204" s="264">
        <f t="shared" si="62"/>
        <v>2700</v>
      </c>
      <c r="V204" s="97" t="s">
        <v>502</v>
      </c>
      <c r="W204" s="266">
        <f t="shared" ref="W204:AB204" si="63">SUM(W183:W203)</f>
        <v>2100</v>
      </c>
      <c r="X204" s="264">
        <f t="shared" si="63"/>
        <v>28350</v>
      </c>
      <c r="Y204" s="264">
        <f t="shared" si="63"/>
        <v>430</v>
      </c>
      <c r="Z204" s="264">
        <f t="shared" si="63"/>
        <v>5830</v>
      </c>
      <c r="AA204" s="264">
        <f t="shared" si="63"/>
        <v>0</v>
      </c>
      <c r="AB204" s="264">
        <f t="shared" si="63"/>
        <v>0</v>
      </c>
    </row>
    <row r="205" spans="1:28">
      <c r="A205" s="118"/>
      <c r="B205" s="118"/>
      <c r="C205" s="118"/>
      <c r="D205" s="118"/>
      <c r="E205" s="118"/>
      <c r="F205" s="118"/>
      <c r="G205" s="118"/>
      <c r="H205" s="118"/>
      <c r="I205" s="118"/>
      <c r="J205" s="118"/>
      <c r="K205" s="118"/>
      <c r="L205" s="118"/>
      <c r="M205" s="118"/>
      <c r="N205" s="118"/>
      <c r="O205" s="118"/>
      <c r="P205" s="118"/>
      <c r="Q205" s="118"/>
      <c r="R205" s="118"/>
      <c r="S205" s="118"/>
      <c r="T205" s="118"/>
      <c r="U205" s="118"/>
      <c r="V205" s="118"/>
      <c r="W205" s="118"/>
      <c r="X205" s="118"/>
      <c r="Y205" s="118"/>
      <c r="Z205" s="118"/>
      <c r="AA205" s="118"/>
      <c r="AB205" s="118"/>
    </row>
    <row r="206" spans="1:28">
      <c r="A206" s="118"/>
      <c r="B206" s="118"/>
      <c r="C206" s="118"/>
      <c r="D206" s="118"/>
      <c r="E206" s="118"/>
      <c r="F206" s="118"/>
      <c r="G206" s="118"/>
      <c r="H206" s="118"/>
      <c r="I206" s="118"/>
      <c r="J206" s="118"/>
      <c r="K206" s="118"/>
      <c r="L206" s="118"/>
      <c r="M206" s="118"/>
      <c r="N206" s="118"/>
      <c r="O206" s="118"/>
      <c r="P206" s="118"/>
      <c r="Q206" s="118"/>
      <c r="R206" s="118"/>
      <c r="S206" s="118"/>
      <c r="T206" s="118"/>
      <c r="U206" s="118"/>
      <c r="V206" s="118"/>
      <c r="W206" s="118"/>
      <c r="X206" s="118"/>
      <c r="Y206" s="118"/>
      <c r="Z206" s="118"/>
      <c r="AA206" s="118"/>
      <c r="AB206" s="118"/>
    </row>
    <row r="207" spans="1:28" ht="14.25">
      <c r="A207" s="91" t="s">
        <v>503</v>
      </c>
      <c r="B207" s="91"/>
      <c r="C207" s="91"/>
      <c r="D207" s="91"/>
      <c r="E207" s="118"/>
      <c r="F207" s="118"/>
      <c r="G207" s="118"/>
      <c r="H207" s="118"/>
      <c r="I207" s="118"/>
      <c r="J207" s="118"/>
      <c r="K207" s="118"/>
      <c r="L207" s="118"/>
      <c r="M207" s="118"/>
      <c r="N207" s="118"/>
      <c r="O207" s="118"/>
      <c r="P207" s="118"/>
      <c r="Q207" s="118"/>
      <c r="R207" s="118"/>
      <c r="S207" s="118"/>
      <c r="T207" s="118"/>
      <c r="U207" s="118"/>
      <c r="V207" s="118"/>
      <c r="W207" s="118"/>
      <c r="X207" s="118"/>
      <c r="Y207" s="118"/>
      <c r="Z207" s="118"/>
      <c r="AA207" s="118"/>
      <c r="AB207" s="118"/>
    </row>
    <row r="208" spans="1:28" ht="14.25">
      <c r="A208" s="93" t="s">
        <v>504</v>
      </c>
      <c r="B208" s="93" t="s">
        <v>505</v>
      </c>
      <c r="C208" s="93" t="s">
        <v>506</v>
      </c>
      <c r="D208" s="93" t="s">
        <v>507</v>
      </c>
      <c r="E208" s="118"/>
      <c r="F208" s="118"/>
      <c r="G208" s="118"/>
      <c r="H208" s="118"/>
      <c r="I208" s="118"/>
      <c r="J208" s="118"/>
      <c r="K208" s="118"/>
      <c r="L208" s="118"/>
      <c r="M208" s="118"/>
      <c r="N208" s="118"/>
      <c r="O208" s="118"/>
      <c r="P208" s="118"/>
      <c r="Q208" s="118"/>
      <c r="R208" s="118"/>
      <c r="S208" s="118"/>
      <c r="T208" s="118"/>
      <c r="U208" s="118"/>
      <c r="V208" s="118"/>
      <c r="W208" s="118"/>
      <c r="X208" s="118"/>
      <c r="Y208" s="118"/>
      <c r="Z208" s="118"/>
      <c r="AA208" s="118"/>
      <c r="AB208" s="118"/>
    </row>
    <row r="209" spans="1:28" ht="14.25">
      <c r="A209" s="93" t="s">
        <v>508</v>
      </c>
      <c r="B209" s="93" t="s">
        <v>509</v>
      </c>
      <c r="C209" s="93" t="s">
        <v>564</v>
      </c>
      <c r="D209" s="93" t="s">
        <v>510</v>
      </c>
      <c r="E209" s="118"/>
      <c r="F209" s="118"/>
      <c r="G209" s="118"/>
      <c r="H209" s="118"/>
      <c r="I209" s="118"/>
      <c r="J209" s="118"/>
      <c r="K209" s="118"/>
      <c r="L209" s="118"/>
      <c r="M209" s="118"/>
      <c r="N209" s="118"/>
      <c r="O209" s="118"/>
      <c r="P209" s="118"/>
      <c r="Q209" s="118"/>
      <c r="R209" s="118"/>
      <c r="S209" s="118"/>
      <c r="T209" s="118"/>
      <c r="U209" s="118"/>
      <c r="V209" s="118"/>
      <c r="W209" s="118"/>
      <c r="X209" s="118"/>
      <c r="Y209" s="118"/>
      <c r="Z209" s="118"/>
      <c r="AA209" s="118"/>
      <c r="AB209" s="118"/>
    </row>
    <row r="210" spans="1:28" ht="14.25">
      <c r="A210" s="93" t="s">
        <v>559</v>
      </c>
      <c r="B210" s="93" t="s">
        <v>560</v>
      </c>
      <c r="C210" s="93" t="s">
        <v>561</v>
      </c>
      <c r="D210" s="93" t="s">
        <v>562</v>
      </c>
      <c r="E210" s="118"/>
      <c r="F210" s="118"/>
      <c r="G210" s="118"/>
      <c r="H210" s="118"/>
      <c r="I210" s="118"/>
      <c r="J210" s="118"/>
      <c r="K210" s="118"/>
      <c r="L210" s="118"/>
      <c r="M210" s="118"/>
      <c r="N210" s="118"/>
      <c r="O210" s="118"/>
      <c r="P210" s="118"/>
      <c r="Q210" s="118"/>
      <c r="R210" s="118"/>
      <c r="S210" s="118"/>
      <c r="T210" s="118"/>
      <c r="U210" s="118"/>
      <c r="V210" s="118"/>
      <c r="W210" s="118"/>
      <c r="X210" s="118"/>
      <c r="Y210" s="118"/>
      <c r="Z210" s="118"/>
      <c r="AA210" s="118"/>
      <c r="AB210" s="118"/>
    </row>
    <row r="211" spans="1:28" ht="14.25">
      <c r="A211" s="93" t="s">
        <v>511</v>
      </c>
      <c r="B211" s="93" t="s">
        <v>512</v>
      </c>
      <c r="C211" s="93" t="s">
        <v>513</v>
      </c>
      <c r="D211" s="93" t="s">
        <v>514</v>
      </c>
      <c r="E211" s="118"/>
      <c r="F211" s="118"/>
      <c r="G211" s="118"/>
      <c r="H211" s="118"/>
      <c r="I211" s="118"/>
      <c r="J211" s="118"/>
      <c r="K211" s="118"/>
      <c r="L211" s="118"/>
      <c r="M211" s="118"/>
      <c r="N211" s="118"/>
      <c r="O211" s="118"/>
      <c r="P211" s="118"/>
      <c r="Q211" s="118"/>
      <c r="R211" s="118"/>
      <c r="S211" s="118"/>
      <c r="T211" s="118"/>
      <c r="U211" s="118"/>
      <c r="V211" s="118"/>
      <c r="W211" s="118"/>
      <c r="X211" s="118"/>
      <c r="Y211" s="118"/>
      <c r="Z211" s="118"/>
      <c r="AA211" s="118"/>
      <c r="AB211" s="118"/>
    </row>
    <row r="212" spans="1:28" ht="14.25">
      <c r="A212" s="267" t="s">
        <v>515</v>
      </c>
      <c r="B212" s="267" t="s">
        <v>516</v>
      </c>
      <c r="C212" s="267" t="s">
        <v>517</v>
      </c>
      <c r="D212" s="267" t="s">
        <v>510</v>
      </c>
      <c r="E212" s="118"/>
      <c r="F212" s="118"/>
      <c r="G212" s="118"/>
      <c r="H212" s="118"/>
      <c r="I212" s="118"/>
      <c r="J212" s="118"/>
      <c r="K212" s="118"/>
      <c r="L212" s="118"/>
      <c r="M212" s="118"/>
      <c r="N212" s="118"/>
      <c r="O212" s="118"/>
      <c r="P212" s="118"/>
      <c r="Q212" s="118"/>
      <c r="R212" s="118"/>
      <c r="S212" s="118"/>
      <c r="T212" s="118"/>
      <c r="U212" s="118"/>
      <c r="V212" s="118"/>
      <c r="W212" s="118"/>
      <c r="X212" s="118"/>
      <c r="Y212" s="118"/>
      <c r="Z212" s="118"/>
      <c r="AA212" s="118"/>
      <c r="AB212" s="118"/>
    </row>
    <row r="213" spans="1:28">
      <c r="A213" s="118"/>
      <c r="B213" s="118"/>
      <c r="C213" s="118"/>
      <c r="D213" s="118"/>
      <c r="E213" s="118"/>
      <c r="F213" s="118"/>
      <c r="G213" s="118"/>
      <c r="H213" s="118"/>
      <c r="I213" s="118"/>
      <c r="J213" s="118"/>
      <c r="K213" s="118"/>
      <c r="L213" s="118"/>
      <c r="M213" s="118"/>
      <c r="N213" s="118"/>
      <c r="O213" s="118"/>
      <c r="P213" s="118"/>
      <c r="Q213" s="118"/>
      <c r="R213" s="118"/>
      <c r="S213" s="118"/>
      <c r="T213" s="118"/>
      <c r="U213" s="118"/>
      <c r="V213" s="118"/>
      <c r="W213" s="118"/>
      <c r="X213" s="118"/>
      <c r="Y213" s="118"/>
      <c r="Z213" s="118"/>
      <c r="AA213" s="118"/>
      <c r="AB213" s="118"/>
    </row>
    <row r="214" spans="1:28" ht="14.25" thickBot="1"/>
    <row r="215" spans="1:28" ht="14.25" thickBot="1">
      <c r="A215" s="287" t="s">
        <v>305</v>
      </c>
      <c r="B215" s="350" t="s">
        <v>306</v>
      </c>
      <c r="C215" s="351"/>
      <c r="D215" s="351"/>
      <c r="E215" s="351"/>
      <c r="F215" s="352"/>
    </row>
    <row r="216" spans="1:28" ht="26.25" thickBot="1">
      <c r="A216" s="288" t="s">
        <v>307</v>
      </c>
      <c r="B216" s="289" t="s">
        <v>308</v>
      </c>
      <c r="C216" s="289" t="s">
        <v>309</v>
      </c>
      <c r="D216" s="289" t="s">
        <v>310</v>
      </c>
      <c r="E216" s="289" t="s">
        <v>311</v>
      </c>
      <c r="F216" s="289" t="s">
        <v>312</v>
      </c>
    </row>
    <row r="217" spans="1:28" ht="26.25" thickBot="1">
      <c r="A217" s="288" t="s">
        <v>566</v>
      </c>
      <c r="B217" s="290" t="s">
        <v>567</v>
      </c>
      <c r="C217" s="290" t="s">
        <v>568</v>
      </c>
      <c r="D217" s="311">
        <f t="shared" ref="D217:D222" si="64">60-13</f>
        <v>47</v>
      </c>
      <c r="E217" s="311">
        <f>6892-130*14</f>
        <v>5072</v>
      </c>
      <c r="F217" s="311">
        <v>8478</v>
      </c>
    </row>
    <row r="218" spans="1:28" ht="26.25" thickBot="1">
      <c r="A218" s="288" t="s">
        <v>314</v>
      </c>
      <c r="B218" s="291" t="s">
        <v>569</v>
      </c>
      <c r="C218" s="291" t="s">
        <v>570</v>
      </c>
      <c r="D218" s="310">
        <f t="shared" si="64"/>
        <v>47</v>
      </c>
      <c r="E218" s="310">
        <f>7346-130*14</f>
        <v>5526</v>
      </c>
      <c r="F218" s="310">
        <v>8478</v>
      </c>
    </row>
    <row r="219" spans="1:28" ht="26.25" thickBot="1">
      <c r="A219" s="288" t="s">
        <v>571</v>
      </c>
      <c r="B219" s="291" t="s">
        <v>572</v>
      </c>
      <c r="C219" s="291" t="s">
        <v>573</v>
      </c>
      <c r="D219" s="310">
        <f t="shared" si="64"/>
        <v>47</v>
      </c>
      <c r="E219" s="310">
        <f>6528-130*14</f>
        <v>4708</v>
      </c>
      <c r="F219" s="310">
        <v>9858</v>
      </c>
    </row>
    <row r="220" spans="1:28" ht="26.25" thickBot="1">
      <c r="A220" s="288" t="s">
        <v>574</v>
      </c>
      <c r="B220" s="291" t="s">
        <v>572</v>
      </c>
      <c r="C220" s="291" t="s">
        <v>573</v>
      </c>
      <c r="D220" s="310">
        <f t="shared" si="64"/>
        <v>47</v>
      </c>
      <c r="E220" s="310">
        <f>7617-14*130</f>
        <v>5797</v>
      </c>
      <c r="F220" s="310">
        <v>11593</v>
      </c>
    </row>
    <row r="221" spans="1:28" ht="26.25" thickBot="1">
      <c r="A221" s="288" t="s">
        <v>575</v>
      </c>
      <c r="B221" s="291" t="s">
        <v>572</v>
      </c>
      <c r="C221" s="291" t="s">
        <v>573</v>
      </c>
      <c r="D221" s="310">
        <f t="shared" si="64"/>
        <v>47</v>
      </c>
      <c r="E221" s="310">
        <f>7617-130*14</f>
        <v>5797</v>
      </c>
      <c r="F221" s="310">
        <v>11593</v>
      </c>
    </row>
    <row r="222" spans="1:28" s="87" customFormat="1" ht="24.75" thickBot="1">
      <c r="A222" s="288" t="s">
        <v>608</v>
      </c>
      <c r="B222" s="310">
        <v>700</v>
      </c>
      <c r="C222" s="310">
        <v>9800</v>
      </c>
      <c r="D222" s="310">
        <f t="shared" si="64"/>
        <v>47</v>
      </c>
      <c r="E222" s="310">
        <f>7500-130*14</f>
        <v>5680</v>
      </c>
      <c r="F222" s="310">
        <v>9800</v>
      </c>
    </row>
    <row r="223" spans="1:28" ht="26.25" thickBot="1">
      <c r="A223" s="292" t="s">
        <v>576</v>
      </c>
      <c r="B223" s="291" t="s">
        <v>577</v>
      </c>
      <c r="C223" s="291" t="s">
        <v>578</v>
      </c>
      <c r="D223" s="291">
        <f>300-13*6</f>
        <v>222</v>
      </c>
      <c r="E223" s="291" t="s">
        <v>579</v>
      </c>
      <c r="F223" s="291" t="s">
        <v>580</v>
      </c>
    </row>
    <row r="225" spans="1:8" ht="14.25" thickBot="1"/>
    <row r="226" spans="1:8" ht="14.25" thickBot="1">
      <c r="A226" s="316" t="s">
        <v>305</v>
      </c>
      <c r="B226" s="347" t="s">
        <v>306</v>
      </c>
      <c r="C226" s="348"/>
      <c r="D226" s="348"/>
      <c r="E226" s="348"/>
      <c r="F226" s="349"/>
      <c r="G226" s="87">
        <v>130</v>
      </c>
      <c r="H226" s="87">
        <v>1755</v>
      </c>
    </row>
    <row r="227" spans="1:8" ht="14.25" thickBot="1">
      <c r="A227" s="317" t="s">
        <v>307</v>
      </c>
      <c r="B227" s="318" t="s">
        <v>308</v>
      </c>
      <c r="C227" s="318" t="s">
        <v>309</v>
      </c>
      <c r="D227" s="318" t="s">
        <v>310</v>
      </c>
      <c r="E227" s="318" t="s">
        <v>311</v>
      </c>
      <c r="F227" s="319" t="s">
        <v>312</v>
      </c>
    </row>
    <row r="228" spans="1:8" ht="14.25" thickBot="1">
      <c r="A228" s="42" t="s">
        <v>313</v>
      </c>
      <c r="B228" s="320">
        <f>741-130</f>
        <v>611</v>
      </c>
      <c r="C228" s="320">
        <f>10374-1755</f>
        <v>8619</v>
      </c>
      <c r="D228" s="320">
        <v>60</v>
      </c>
      <c r="E228" s="320">
        <f>6892-1755</f>
        <v>5137</v>
      </c>
      <c r="F228" s="320">
        <v>8676</v>
      </c>
    </row>
    <row r="229" spans="1:8" ht="14.25" thickBot="1">
      <c r="A229" s="42" t="s">
        <v>314</v>
      </c>
      <c r="B229" s="320">
        <f>864-130</f>
        <v>734</v>
      </c>
      <c r="C229" s="320">
        <f>12096-1755</f>
        <v>10341</v>
      </c>
      <c r="D229" s="320">
        <v>60</v>
      </c>
      <c r="E229" s="320">
        <f>7346-1755</f>
        <v>5591</v>
      </c>
      <c r="F229" s="320">
        <v>8676</v>
      </c>
    </row>
    <row r="230" spans="1:8" ht="14.25" thickBot="1">
      <c r="A230" s="42" t="s">
        <v>617</v>
      </c>
      <c r="B230" s="320">
        <f>865-130</f>
        <v>735</v>
      </c>
      <c r="C230" s="320">
        <f>12110-1755</f>
        <v>10355</v>
      </c>
      <c r="D230" s="320">
        <v>60</v>
      </c>
      <c r="E230" s="320">
        <f>6528-1755</f>
        <v>4773</v>
      </c>
      <c r="F230" s="320">
        <v>10090</v>
      </c>
    </row>
    <row r="231" spans="1:8" ht="14.25" thickBot="1">
      <c r="A231" s="42" t="s">
        <v>618</v>
      </c>
      <c r="B231" s="320">
        <f>865-130</f>
        <v>735</v>
      </c>
      <c r="C231" s="320">
        <f>12110-1755</f>
        <v>10355</v>
      </c>
      <c r="D231" s="320">
        <v>60</v>
      </c>
      <c r="E231" s="320">
        <f>7617-1755</f>
        <v>5862</v>
      </c>
      <c r="F231" s="320">
        <v>11864</v>
      </c>
    </row>
    <row r="232" spans="1:8" ht="14.25" thickBot="1">
      <c r="A232" s="42" t="s">
        <v>575</v>
      </c>
      <c r="B232" s="320">
        <f>865-130</f>
        <v>735</v>
      </c>
      <c r="C232" s="320">
        <f>12110-1755</f>
        <v>10355</v>
      </c>
      <c r="D232" s="320">
        <v>60</v>
      </c>
      <c r="E232" s="320">
        <f>7617-1755</f>
        <v>5862</v>
      </c>
      <c r="F232" s="320">
        <v>10694</v>
      </c>
    </row>
    <row r="233" spans="1:8" ht="14.25" thickBot="1">
      <c r="A233" s="321" t="s">
        <v>576</v>
      </c>
      <c r="B233" s="322">
        <v>4200</v>
      </c>
      <c r="C233" s="322">
        <v>58800</v>
      </c>
      <c r="D233" s="322">
        <v>300</v>
      </c>
      <c r="E233" s="322">
        <v>36000</v>
      </c>
      <c r="F233" s="322">
        <v>50000</v>
      </c>
    </row>
    <row r="234" spans="1:8" ht="14.25" thickBot="1">
      <c r="A234" s="316" t="s">
        <v>305</v>
      </c>
      <c r="B234" s="347" t="s">
        <v>306</v>
      </c>
      <c r="C234" s="348"/>
      <c r="D234" s="348"/>
      <c r="E234" s="348"/>
      <c r="F234" s="349"/>
    </row>
    <row r="235" spans="1:8" ht="14.25" thickBot="1">
      <c r="A235" s="317" t="s">
        <v>307</v>
      </c>
      <c r="B235" s="318" t="s">
        <v>308</v>
      </c>
      <c r="C235" s="318" t="s">
        <v>309</v>
      </c>
      <c r="D235" s="318" t="s">
        <v>310</v>
      </c>
      <c r="E235" s="318" t="s">
        <v>311</v>
      </c>
      <c r="F235" s="319" t="s">
        <v>312</v>
      </c>
    </row>
    <row r="236" spans="1:8">
      <c r="A236" s="42" t="s">
        <v>608</v>
      </c>
      <c r="B236" s="320">
        <f>700-130</f>
        <v>570</v>
      </c>
      <c r="C236" s="320">
        <f>9800-1755</f>
        <v>8045</v>
      </c>
      <c r="D236" s="320">
        <v>60</v>
      </c>
      <c r="E236" s="320">
        <f>7500-1755</f>
        <v>5745</v>
      </c>
      <c r="F236" s="320">
        <v>9800</v>
      </c>
    </row>
  </sheetData>
  <mergeCells count="182">
    <mergeCell ref="W182:AB182"/>
    <mergeCell ref="B179:G179"/>
    <mergeCell ref="I179:N179"/>
    <mergeCell ref="P179:U179"/>
    <mergeCell ref="W179:AB179"/>
    <mergeCell ref="A180:A181"/>
    <mergeCell ref="B180:C180"/>
    <mergeCell ref="D180:E180"/>
    <mergeCell ref="F180:G180"/>
    <mergeCell ref="H180:H181"/>
    <mergeCell ref="I180:J180"/>
    <mergeCell ref="K180:L180"/>
    <mergeCell ref="M180:N180"/>
    <mergeCell ref="O180:O181"/>
    <mergeCell ref="P180:Q180"/>
    <mergeCell ref="R180:S180"/>
    <mergeCell ref="T180:U180"/>
    <mergeCell ref="V180:V181"/>
    <mergeCell ref="W180:X180"/>
    <mergeCell ref="Y180:Z180"/>
    <mergeCell ref="AA180:AB180"/>
    <mergeCell ref="T144:Y144"/>
    <mergeCell ref="Z144:AE144"/>
    <mergeCell ref="AF144:AK144"/>
    <mergeCell ref="X142:Y142"/>
    <mergeCell ref="Z142:AA142"/>
    <mergeCell ref="AB142:AC142"/>
    <mergeCell ref="AD142:AE142"/>
    <mergeCell ref="AF142:AG142"/>
    <mergeCell ref="AH142:AI142"/>
    <mergeCell ref="T142:U142"/>
    <mergeCell ref="V142:W142"/>
    <mergeCell ref="A142:A143"/>
    <mergeCell ref="B142:C142"/>
    <mergeCell ref="D142:E142"/>
    <mergeCell ref="F142:G142"/>
    <mergeCell ref="H142:I142"/>
    <mergeCell ref="J142:K142"/>
    <mergeCell ref="AF107:AK107"/>
    <mergeCell ref="B130:F130"/>
    <mergeCell ref="B141:G141"/>
    <mergeCell ref="H141:M141"/>
    <mergeCell ref="N141:S141"/>
    <mergeCell ref="T141:Y141"/>
    <mergeCell ref="Z141:AE141"/>
    <mergeCell ref="AF141:AK141"/>
    <mergeCell ref="B107:G107"/>
    <mergeCell ref="H107:M107"/>
    <mergeCell ref="N107:S107"/>
    <mergeCell ref="T107:Y107"/>
    <mergeCell ref="Z107:AE107"/>
    <mergeCell ref="AJ142:AK142"/>
    <mergeCell ref="L142:M142"/>
    <mergeCell ref="N142:O142"/>
    <mergeCell ref="P142:Q142"/>
    <mergeCell ref="R142:S142"/>
    <mergeCell ref="R105:S105"/>
    <mergeCell ref="T105:U105"/>
    <mergeCell ref="V105:W105"/>
    <mergeCell ref="X105:Y105"/>
    <mergeCell ref="Z105:AA105"/>
    <mergeCell ref="Z104:AE104"/>
    <mergeCell ref="AF104:AK104"/>
    <mergeCell ref="A105:A106"/>
    <mergeCell ref="B105:C105"/>
    <mergeCell ref="D105:E105"/>
    <mergeCell ref="F105:G105"/>
    <mergeCell ref="H105:I105"/>
    <mergeCell ref="J105:K105"/>
    <mergeCell ref="L105:M105"/>
    <mergeCell ref="N105:O105"/>
    <mergeCell ref="AB105:AC105"/>
    <mergeCell ref="AD105:AE105"/>
    <mergeCell ref="AF105:AG105"/>
    <mergeCell ref="AH105:AI105"/>
    <mergeCell ref="AJ105:AK105"/>
    <mergeCell ref="R80:U80"/>
    <mergeCell ref="B104:G104"/>
    <mergeCell ref="H104:M104"/>
    <mergeCell ref="N104:S104"/>
    <mergeCell ref="T104:Y104"/>
    <mergeCell ref="K78:L78"/>
    <mergeCell ref="M78:N78"/>
    <mergeCell ref="O78:P78"/>
    <mergeCell ref="Q78:Q79"/>
    <mergeCell ref="R78:S78"/>
    <mergeCell ref="T78:U78"/>
    <mergeCell ref="A78:A79"/>
    <mergeCell ref="B78:C78"/>
    <mergeCell ref="D78:E78"/>
    <mergeCell ref="F78:G78"/>
    <mergeCell ref="H78:I78"/>
    <mergeCell ref="J78:J79"/>
    <mergeCell ref="B71:D71"/>
    <mergeCell ref="B72:D72"/>
    <mergeCell ref="B73:D73"/>
    <mergeCell ref="B77:I77"/>
    <mergeCell ref="W46:AB46"/>
    <mergeCell ref="AD46:AI46"/>
    <mergeCell ref="B70:D70"/>
    <mergeCell ref="Y44:Z44"/>
    <mergeCell ref="AA44:AB44"/>
    <mergeCell ref="AC44:AC45"/>
    <mergeCell ref="AD44:AE44"/>
    <mergeCell ref="AF44:AG44"/>
    <mergeCell ref="AH44:AI44"/>
    <mergeCell ref="O44:O45"/>
    <mergeCell ref="P44:Q44"/>
    <mergeCell ref="R44:S44"/>
    <mergeCell ref="T44:U44"/>
    <mergeCell ref="V44:V45"/>
    <mergeCell ref="W44:X44"/>
    <mergeCell ref="W43:AB43"/>
    <mergeCell ref="AD43:AI43"/>
    <mergeCell ref="A44:A45"/>
    <mergeCell ref="B44:C44"/>
    <mergeCell ref="D44:E44"/>
    <mergeCell ref="F44:G44"/>
    <mergeCell ref="H44:H45"/>
    <mergeCell ref="I44:J44"/>
    <mergeCell ref="K44:L44"/>
    <mergeCell ref="M44:N44"/>
    <mergeCell ref="W10:AB10"/>
    <mergeCell ref="AD10:AI10"/>
    <mergeCell ref="A11:A12"/>
    <mergeCell ref="B11:C11"/>
    <mergeCell ref="D11:E11"/>
    <mergeCell ref="F11:G11"/>
    <mergeCell ref="H11:H12"/>
    <mergeCell ref="B38:D38"/>
    <mergeCell ref="B39:D39"/>
    <mergeCell ref="AD11:AE11"/>
    <mergeCell ref="AF11:AG11"/>
    <mergeCell ref="AH11:AI11"/>
    <mergeCell ref="B13:G13"/>
    <mergeCell ref="I13:N13"/>
    <mergeCell ref="P13:U13"/>
    <mergeCell ref="W13:AB13"/>
    <mergeCell ref="AD13:AI13"/>
    <mergeCell ref="T11:U11"/>
    <mergeCell ref="V11:V12"/>
    <mergeCell ref="W11:X11"/>
    <mergeCell ref="Y11:Z11"/>
    <mergeCell ref="AA11:AB11"/>
    <mergeCell ref="AC11:AC12"/>
    <mergeCell ref="I11:J11"/>
    <mergeCell ref="P10:U10"/>
    <mergeCell ref="B40:D40"/>
    <mergeCell ref="B43:G43"/>
    <mergeCell ref="I43:N43"/>
    <mergeCell ref="P43:U43"/>
    <mergeCell ref="K11:L11"/>
    <mergeCell ref="M11:N11"/>
    <mergeCell ref="O11:O12"/>
    <mergeCell ref="K77:P77"/>
    <mergeCell ref="R77:U77"/>
    <mergeCell ref="B46:G46"/>
    <mergeCell ref="I46:N46"/>
    <mergeCell ref="P46:U46"/>
    <mergeCell ref="P11:Q11"/>
    <mergeCell ref="R11:S11"/>
    <mergeCell ref="B226:F226"/>
    <mergeCell ref="B234:F234"/>
    <mergeCell ref="B215:F215"/>
    <mergeCell ref="B3:D3"/>
    <mergeCell ref="B4:D4"/>
    <mergeCell ref="B5:D5"/>
    <mergeCell ref="B6:D6"/>
    <mergeCell ref="B7:D7"/>
    <mergeCell ref="B8:D8"/>
    <mergeCell ref="B80:I80"/>
    <mergeCell ref="B167:F167"/>
    <mergeCell ref="B144:G144"/>
    <mergeCell ref="H144:M144"/>
    <mergeCell ref="B182:G182"/>
    <mergeCell ref="I182:N182"/>
    <mergeCell ref="B10:G10"/>
    <mergeCell ref="I10:N10"/>
    <mergeCell ref="K80:P80"/>
    <mergeCell ref="P105:Q105"/>
    <mergeCell ref="N144:S144"/>
    <mergeCell ref="P182:U182"/>
  </mergeCells>
  <phoneticPr fontId="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topLeftCell="A25" workbookViewId="0">
      <selection activeCell="F35" sqref="F35"/>
    </sheetView>
  </sheetViews>
  <sheetFormatPr defaultRowHeight="13.5"/>
  <cols>
    <col min="2" max="17" width="9" style="87"/>
  </cols>
  <sheetData>
    <row r="1" spans="1:16" ht="15">
      <c r="A1" s="6"/>
      <c r="B1" s="121"/>
      <c r="C1" s="122" t="s">
        <v>336</v>
      </c>
      <c r="D1" s="123"/>
      <c r="E1" s="123"/>
      <c r="F1" s="123"/>
      <c r="G1" s="123"/>
      <c r="H1" s="123"/>
      <c r="I1" s="124"/>
      <c r="J1" s="125"/>
      <c r="K1" s="124"/>
      <c r="L1" s="126"/>
      <c r="M1" s="127"/>
      <c r="N1" s="128"/>
      <c r="O1" s="129"/>
      <c r="P1" s="121"/>
    </row>
    <row r="2" spans="1:16" ht="15">
      <c r="A2" s="7"/>
      <c r="B2" s="122"/>
      <c r="C2" s="123"/>
      <c r="D2" s="123"/>
      <c r="E2" s="123"/>
      <c r="F2" s="123"/>
      <c r="G2" s="124"/>
      <c r="H2" s="125"/>
      <c r="I2" s="124"/>
      <c r="J2" s="126"/>
      <c r="K2" s="127"/>
      <c r="L2" s="127"/>
      <c r="M2" s="130"/>
      <c r="N2" s="121"/>
      <c r="O2" s="129"/>
      <c r="P2" s="129"/>
    </row>
    <row r="3" spans="1:16" ht="16.5">
      <c r="A3" s="7"/>
      <c r="B3" s="131" t="s">
        <v>337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3"/>
      <c r="N3" s="134" t="s">
        <v>338</v>
      </c>
      <c r="O3" s="129"/>
      <c r="P3" s="129"/>
    </row>
    <row r="4" spans="1:16" ht="15">
      <c r="A4" s="9"/>
      <c r="B4" s="135" t="s">
        <v>339</v>
      </c>
      <c r="C4" s="136"/>
      <c r="D4" s="136"/>
      <c r="E4" s="136"/>
      <c r="F4" s="136"/>
      <c r="G4" s="136"/>
      <c r="H4" s="136"/>
      <c r="I4" s="137"/>
      <c r="J4" s="136"/>
      <c r="K4" s="136"/>
      <c r="L4" s="136"/>
      <c r="M4" s="136"/>
      <c r="N4" s="136"/>
      <c r="O4" s="138"/>
      <c r="P4" s="138"/>
    </row>
    <row r="5" spans="1:16" ht="15">
      <c r="A5" s="10"/>
      <c r="B5" s="139" t="s">
        <v>5</v>
      </c>
      <c r="C5" s="140"/>
      <c r="D5" s="140"/>
      <c r="E5" s="140"/>
      <c r="F5" s="141"/>
      <c r="G5" s="141"/>
      <c r="H5" s="142" t="s">
        <v>340</v>
      </c>
      <c r="I5" s="141" t="s">
        <v>341</v>
      </c>
      <c r="J5" s="141" t="s">
        <v>342</v>
      </c>
      <c r="K5" s="141" t="s">
        <v>343</v>
      </c>
      <c r="L5" s="143" t="s">
        <v>344</v>
      </c>
      <c r="M5" s="144" t="s">
        <v>345</v>
      </c>
      <c r="N5" s="144"/>
      <c r="O5" s="143"/>
      <c r="P5" s="145"/>
    </row>
    <row r="6" spans="1:16" ht="15">
      <c r="A6" s="10"/>
      <c r="B6" s="146" t="s">
        <v>346</v>
      </c>
      <c r="C6" s="147" t="s">
        <v>347</v>
      </c>
      <c r="D6" s="148" t="s">
        <v>348</v>
      </c>
      <c r="E6" s="148" t="s">
        <v>349</v>
      </c>
      <c r="F6" s="148" t="s">
        <v>5</v>
      </c>
      <c r="G6" s="148" t="s">
        <v>350</v>
      </c>
      <c r="H6" s="149">
        <v>0.48780487804878048</v>
      </c>
      <c r="I6" s="150">
        <v>0.17073170731707318</v>
      </c>
      <c r="J6" s="150">
        <v>0.17073170731707318</v>
      </c>
      <c r="K6" s="150">
        <v>0.17073170731707318</v>
      </c>
      <c r="L6" s="151"/>
      <c r="M6" s="152">
        <v>1</v>
      </c>
      <c r="N6" s="152" t="s">
        <v>351</v>
      </c>
      <c r="O6" s="153" t="s">
        <v>5</v>
      </c>
      <c r="P6" s="145"/>
    </row>
    <row r="7" spans="1:16" ht="15">
      <c r="A7" s="11"/>
      <c r="B7" s="154">
        <v>1</v>
      </c>
      <c r="C7" s="155" t="s">
        <v>341</v>
      </c>
      <c r="D7" s="156" t="s">
        <v>352</v>
      </c>
      <c r="E7" s="156" t="s">
        <v>353</v>
      </c>
      <c r="F7" s="157">
        <v>4200</v>
      </c>
      <c r="G7" s="158">
        <v>0.17073170731707318</v>
      </c>
      <c r="H7" s="159">
        <v>1949</v>
      </c>
      <c r="I7" s="160">
        <v>449</v>
      </c>
      <c r="J7" s="160">
        <v>667</v>
      </c>
      <c r="K7" s="160">
        <v>867</v>
      </c>
      <c r="L7" s="161">
        <v>268</v>
      </c>
      <c r="M7" s="162">
        <v>4200</v>
      </c>
      <c r="N7" s="163" t="s">
        <v>354</v>
      </c>
      <c r="O7" s="164">
        <v>100</v>
      </c>
      <c r="P7" s="145"/>
    </row>
    <row r="8" spans="1:16" ht="47.25">
      <c r="A8" s="10"/>
      <c r="B8" s="165">
        <v>2</v>
      </c>
      <c r="C8" s="135" t="s">
        <v>340</v>
      </c>
      <c r="D8" s="135" t="s">
        <v>355</v>
      </c>
      <c r="E8" s="166" t="s">
        <v>356</v>
      </c>
      <c r="F8" s="157">
        <v>4200</v>
      </c>
      <c r="G8" s="158">
        <v>0.17073170731707318</v>
      </c>
      <c r="H8" s="167">
        <v>1949</v>
      </c>
      <c r="I8" s="157">
        <v>449</v>
      </c>
      <c r="J8" s="157">
        <v>667</v>
      </c>
      <c r="K8" s="157">
        <v>867</v>
      </c>
      <c r="L8" s="162">
        <v>268</v>
      </c>
      <c r="M8" s="162">
        <v>4200</v>
      </c>
      <c r="N8" s="168" t="s">
        <v>357</v>
      </c>
      <c r="O8" s="169">
        <v>50</v>
      </c>
      <c r="P8" s="145"/>
    </row>
    <row r="9" spans="1:16" ht="47.25">
      <c r="A9" s="10"/>
      <c r="B9" s="165">
        <v>3</v>
      </c>
      <c r="C9" s="135" t="s">
        <v>343</v>
      </c>
      <c r="D9" s="135" t="s">
        <v>358</v>
      </c>
      <c r="E9" s="166" t="s">
        <v>359</v>
      </c>
      <c r="F9" s="157">
        <v>4200</v>
      </c>
      <c r="G9" s="158">
        <v>0.17073170731707318</v>
      </c>
      <c r="H9" s="167">
        <v>1949</v>
      </c>
      <c r="I9" s="157">
        <v>449</v>
      </c>
      <c r="J9" s="157">
        <v>667</v>
      </c>
      <c r="K9" s="157">
        <v>867</v>
      </c>
      <c r="L9" s="162">
        <v>268</v>
      </c>
      <c r="M9" s="162">
        <v>4200</v>
      </c>
      <c r="N9" s="168" t="s">
        <v>360</v>
      </c>
      <c r="O9" s="169">
        <v>268</v>
      </c>
      <c r="P9" s="145"/>
    </row>
    <row r="10" spans="1:16" ht="15.75">
      <c r="A10" s="10"/>
      <c r="B10" s="165">
        <v>4</v>
      </c>
      <c r="C10" s="135" t="s">
        <v>342</v>
      </c>
      <c r="D10" s="135" t="s">
        <v>361</v>
      </c>
      <c r="E10" s="166" t="s">
        <v>362</v>
      </c>
      <c r="F10" s="157">
        <v>4200</v>
      </c>
      <c r="G10" s="158">
        <v>0.17073170731707318</v>
      </c>
      <c r="H10" s="167">
        <v>1949</v>
      </c>
      <c r="I10" s="157">
        <v>449</v>
      </c>
      <c r="J10" s="157">
        <v>667</v>
      </c>
      <c r="K10" s="157">
        <v>867</v>
      </c>
      <c r="L10" s="162">
        <v>268</v>
      </c>
      <c r="M10" s="162">
        <v>4200</v>
      </c>
      <c r="N10" s="168"/>
      <c r="O10" s="170"/>
      <c r="P10" s="145"/>
    </row>
    <row r="11" spans="1:16" ht="15.75">
      <c r="A11" s="10"/>
      <c r="B11" s="165">
        <v>5</v>
      </c>
      <c r="C11" s="135" t="s">
        <v>340</v>
      </c>
      <c r="D11" s="135" t="s">
        <v>363</v>
      </c>
      <c r="E11" s="166" t="s">
        <v>364</v>
      </c>
      <c r="F11" s="171">
        <v>4200</v>
      </c>
      <c r="G11" s="158">
        <v>0.17073170731707318</v>
      </c>
      <c r="H11" s="167">
        <v>1949</v>
      </c>
      <c r="I11" s="157">
        <v>449</v>
      </c>
      <c r="J11" s="157">
        <v>667</v>
      </c>
      <c r="K11" s="157">
        <v>867</v>
      </c>
      <c r="L11" s="162">
        <v>268</v>
      </c>
      <c r="M11" s="162">
        <v>4200</v>
      </c>
      <c r="N11" s="168"/>
      <c r="O11" s="170"/>
      <c r="P11" s="145"/>
    </row>
    <row r="12" spans="1:16" ht="15">
      <c r="A12" s="10"/>
      <c r="B12" s="165">
        <v>6</v>
      </c>
      <c r="C12" s="135" t="s">
        <v>340</v>
      </c>
      <c r="D12" s="135" t="s">
        <v>365</v>
      </c>
      <c r="E12" s="135" t="s">
        <v>366</v>
      </c>
      <c r="F12" s="157">
        <v>3600</v>
      </c>
      <c r="G12" s="158">
        <v>0.14634146341463414</v>
      </c>
      <c r="H12" s="172">
        <v>1655</v>
      </c>
      <c r="I12" s="173">
        <v>347</v>
      </c>
      <c r="J12" s="173">
        <v>565</v>
      </c>
      <c r="K12" s="173">
        <v>765</v>
      </c>
      <c r="L12" s="174">
        <v>268</v>
      </c>
      <c r="M12" s="162">
        <v>3600</v>
      </c>
      <c r="N12" s="175"/>
      <c r="O12" s="176"/>
      <c r="P12" s="145"/>
    </row>
    <row r="13" spans="1:16" ht="15">
      <c r="A13" s="10"/>
      <c r="B13" s="177"/>
      <c r="C13" s="178"/>
      <c r="D13" s="178" t="s">
        <v>345</v>
      </c>
      <c r="E13" s="178"/>
      <c r="F13" s="179">
        <v>24600</v>
      </c>
      <c r="G13" s="180">
        <v>1</v>
      </c>
      <c r="H13" s="181">
        <v>11400</v>
      </c>
      <c r="I13" s="182">
        <v>2592</v>
      </c>
      <c r="J13" s="182">
        <v>3900</v>
      </c>
      <c r="K13" s="182">
        <v>5100</v>
      </c>
      <c r="L13" s="182">
        <v>1608</v>
      </c>
      <c r="M13" s="183">
        <v>24600</v>
      </c>
      <c r="N13" s="184"/>
      <c r="O13" s="185"/>
      <c r="P13" s="145"/>
    </row>
    <row r="14" spans="1:16" ht="15">
      <c r="A14" s="10"/>
      <c r="B14" s="135"/>
      <c r="C14" s="186" t="s">
        <v>367</v>
      </c>
      <c r="D14" s="125" t="s">
        <v>368</v>
      </c>
      <c r="E14" s="125"/>
      <c r="F14" s="124" t="s">
        <v>369</v>
      </c>
      <c r="G14" s="187" t="s">
        <v>370</v>
      </c>
      <c r="H14" s="158"/>
      <c r="I14" s="158"/>
      <c r="J14" s="158"/>
      <c r="K14" s="158"/>
      <c r="L14" s="158"/>
      <c r="M14" s="158"/>
      <c r="N14" s="188"/>
      <c r="O14" s="145"/>
      <c r="P14" s="145"/>
    </row>
    <row r="15" spans="1:16" ht="15">
      <c r="A15" s="10"/>
      <c r="B15" s="135"/>
      <c r="C15" s="135"/>
      <c r="D15" s="125" t="s">
        <v>371</v>
      </c>
      <c r="E15" s="125"/>
      <c r="F15" s="124" t="s">
        <v>372</v>
      </c>
      <c r="G15" s="125"/>
      <c r="H15" s="189"/>
      <c r="I15" s="189"/>
      <c r="J15" s="189"/>
      <c r="K15" s="189"/>
      <c r="L15" s="189"/>
      <c r="M15" s="158"/>
      <c r="N15" s="188"/>
      <c r="O15" s="145"/>
      <c r="P15" s="145"/>
    </row>
    <row r="16" spans="1:16" ht="15">
      <c r="A16" s="10"/>
      <c r="B16" s="135"/>
      <c r="C16" s="135"/>
      <c r="D16" s="125" t="s">
        <v>373</v>
      </c>
      <c r="E16" s="125"/>
      <c r="F16" s="124" t="s">
        <v>374</v>
      </c>
      <c r="G16" s="190" t="s">
        <v>375</v>
      </c>
      <c r="H16" s="158"/>
      <c r="I16" s="158"/>
      <c r="J16" s="158"/>
      <c r="K16" s="158"/>
      <c r="L16" s="158"/>
      <c r="M16" s="158"/>
      <c r="N16" s="188"/>
      <c r="O16" s="145"/>
      <c r="P16" s="145"/>
    </row>
    <row r="17" spans="1:16" ht="15">
      <c r="A17" s="10"/>
      <c r="B17" s="191" t="s">
        <v>376</v>
      </c>
      <c r="C17" s="192"/>
      <c r="D17" s="192"/>
      <c r="E17" s="192"/>
      <c r="F17" s="192"/>
      <c r="G17" s="192"/>
      <c r="H17" s="192"/>
      <c r="I17" s="192"/>
      <c r="J17" s="192"/>
      <c r="K17" s="192"/>
      <c r="L17" s="192"/>
      <c r="M17" s="193"/>
      <c r="N17" s="194"/>
      <c r="O17" s="195"/>
      <c r="P17" s="195"/>
    </row>
    <row r="18" spans="1:16" ht="15">
      <c r="A18" s="10"/>
      <c r="B18" s="191" t="s">
        <v>377</v>
      </c>
      <c r="C18" s="192"/>
      <c r="D18" s="192"/>
      <c r="E18" s="192"/>
      <c r="F18" s="192"/>
      <c r="G18" s="192"/>
      <c r="H18" s="192"/>
      <c r="I18" s="192"/>
      <c r="J18" s="192"/>
      <c r="K18" s="192"/>
      <c r="L18" s="192"/>
      <c r="M18" s="193"/>
      <c r="N18" s="194"/>
      <c r="O18" s="195"/>
      <c r="P18" s="195"/>
    </row>
    <row r="19" spans="1:16" ht="15">
      <c r="A19" s="10"/>
      <c r="B19" s="139" t="s">
        <v>378</v>
      </c>
      <c r="C19" s="140"/>
      <c r="D19" s="140"/>
      <c r="E19" s="140"/>
      <c r="F19" s="141">
        <v>13</v>
      </c>
      <c r="G19" s="140"/>
      <c r="H19" s="142" t="s">
        <v>340</v>
      </c>
      <c r="I19" s="141" t="s">
        <v>341</v>
      </c>
      <c r="J19" s="141" t="s">
        <v>342</v>
      </c>
      <c r="K19" s="141" t="s">
        <v>343</v>
      </c>
      <c r="L19" s="143" t="s">
        <v>344</v>
      </c>
      <c r="M19" s="144" t="s">
        <v>345</v>
      </c>
      <c r="N19" s="144"/>
      <c r="O19" s="143"/>
      <c r="P19" s="145"/>
    </row>
    <row r="20" spans="1:16" ht="15">
      <c r="A20" s="10"/>
      <c r="B20" s="146" t="s">
        <v>346</v>
      </c>
      <c r="C20" s="147" t="s">
        <v>347</v>
      </c>
      <c r="D20" s="148" t="s">
        <v>348</v>
      </c>
      <c r="E20" s="148"/>
      <c r="F20" s="148" t="s">
        <v>378</v>
      </c>
      <c r="G20" s="148" t="s">
        <v>350</v>
      </c>
      <c r="H20" s="196">
        <v>0.48780487804878048</v>
      </c>
      <c r="I20" s="148">
        <v>0.17073170731707318</v>
      </c>
      <c r="J20" s="148">
        <v>0.17073170731707318</v>
      </c>
      <c r="K20" s="148">
        <v>0.17073170731707318</v>
      </c>
      <c r="L20" s="153"/>
      <c r="M20" s="152">
        <v>1</v>
      </c>
      <c r="N20" s="152" t="s">
        <v>351</v>
      </c>
      <c r="O20" s="151" t="s">
        <v>17</v>
      </c>
      <c r="P20" s="145"/>
    </row>
    <row r="21" spans="1:16" ht="15">
      <c r="A21" s="10"/>
      <c r="B21" s="154">
        <v>1</v>
      </c>
      <c r="C21" s="155" t="s">
        <v>341</v>
      </c>
      <c r="D21" s="156" t="s">
        <v>352</v>
      </c>
      <c r="E21" s="156" t="s">
        <v>353</v>
      </c>
      <c r="F21" s="197">
        <v>54600</v>
      </c>
      <c r="G21" s="198">
        <v>0.17073170731707318</v>
      </c>
      <c r="H21" s="167">
        <v>25337</v>
      </c>
      <c r="I21" s="160">
        <v>5837</v>
      </c>
      <c r="J21" s="160">
        <v>8671</v>
      </c>
      <c r="K21" s="160">
        <v>11271</v>
      </c>
      <c r="L21" s="160">
        <v>3484</v>
      </c>
      <c r="M21" s="199">
        <v>54600</v>
      </c>
      <c r="N21" s="200" t="s">
        <v>354</v>
      </c>
      <c r="O21" s="201">
        <v>1300</v>
      </c>
      <c r="P21" s="145"/>
    </row>
    <row r="22" spans="1:16" ht="47.25">
      <c r="A22" s="10"/>
      <c r="B22" s="165">
        <v>2</v>
      </c>
      <c r="C22" s="135" t="s">
        <v>340</v>
      </c>
      <c r="D22" s="135" t="s">
        <v>355</v>
      </c>
      <c r="E22" s="166" t="s">
        <v>356</v>
      </c>
      <c r="F22" s="197">
        <v>54600</v>
      </c>
      <c r="G22" s="197">
        <v>0.17073170731707318</v>
      </c>
      <c r="H22" s="167">
        <v>25337</v>
      </c>
      <c r="I22" s="157">
        <v>5837</v>
      </c>
      <c r="J22" s="157">
        <v>8671</v>
      </c>
      <c r="K22" s="157">
        <v>11271</v>
      </c>
      <c r="L22" s="157">
        <v>3484</v>
      </c>
      <c r="M22" s="199">
        <v>54600</v>
      </c>
      <c r="N22" s="202" t="s">
        <v>357</v>
      </c>
      <c r="O22" s="203">
        <v>650</v>
      </c>
      <c r="P22" s="145"/>
    </row>
    <row r="23" spans="1:16" ht="47.25">
      <c r="A23" s="10"/>
      <c r="B23" s="165">
        <v>3</v>
      </c>
      <c r="C23" s="135" t="s">
        <v>343</v>
      </c>
      <c r="D23" s="135" t="s">
        <v>358</v>
      </c>
      <c r="E23" s="166" t="s">
        <v>359</v>
      </c>
      <c r="F23" s="197">
        <v>54600</v>
      </c>
      <c r="G23" s="158">
        <v>0.17073170731707318</v>
      </c>
      <c r="H23" s="167">
        <v>25337</v>
      </c>
      <c r="I23" s="157">
        <v>5837</v>
      </c>
      <c r="J23" s="157">
        <v>8671</v>
      </c>
      <c r="K23" s="157">
        <v>11271</v>
      </c>
      <c r="L23" s="157">
        <v>3484</v>
      </c>
      <c r="M23" s="199">
        <v>54600</v>
      </c>
      <c r="N23" s="202" t="s">
        <v>360</v>
      </c>
      <c r="O23" s="203">
        <v>3484</v>
      </c>
      <c r="P23" s="145"/>
    </row>
    <row r="24" spans="1:16" ht="15.75">
      <c r="A24" s="10"/>
      <c r="B24" s="165">
        <v>4</v>
      </c>
      <c r="C24" s="135" t="s">
        <v>342</v>
      </c>
      <c r="D24" s="135" t="s">
        <v>361</v>
      </c>
      <c r="E24" s="166" t="s">
        <v>362</v>
      </c>
      <c r="F24" s="197">
        <v>54600</v>
      </c>
      <c r="G24" s="158">
        <v>0.17073170731707318</v>
      </c>
      <c r="H24" s="167">
        <v>25337</v>
      </c>
      <c r="I24" s="157">
        <v>5837</v>
      </c>
      <c r="J24" s="157">
        <v>8671</v>
      </c>
      <c r="K24" s="157">
        <v>11271</v>
      </c>
      <c r="L24" s="157">
        <v>3484</v>
      </c>
      <c r="M24" s="199">
        <v>54600</v>
      </c>
      <c r="N24" s="202"/>
      <c r="O24" s="204"/>
      <c r="P24" s="145"/>
    </row>
    <row r="25" spans="1:16" ht="15.75">
      <c r="A25" s="10"/>
      <c r="B25" s="165">
        <v>5</v>
      </c>
      <c r="C25" s="135" t="s">
        <v>340</v>
      </c>
      <c r="D25" s="135" t="s">
        <v>363</v>
      </c>
      <c r="E25" s="166" t="s">
        <v>364</v>
      </c>
      <c r="F25" s="205">
        <v>54600</v>
      </c>
      <c r="G25" s="158">
        <v>0.17073170731707318</v>
      </c>
      <c r="H25" s="167">
        <v>25337</v>
      </c>
      <c r="I25" s="157">
        <v>5837</v>
      </c>
      <c r="J25" s="157">
        <v>8671</v>
      </c>
      <c r="K25" s="157">
        <v>11271</v>
      </c>
      <c r="L25" s="157">
        <v>3484</v>
      </c>
      <c r="M25" s="199">
        <v>54600</v>
      </c>
      <c r="N25" s="202"/>
      <c r="O25" s="204"/>
      <c r="P25" s="145"/>
    </row>
    <row r="26" spans="1:16" ht="15">
      <c r="A26" s="10"/>
      <c r="B26" s="165">
        <v>6</v>
      </c>
      <c r="C26" s="135" t="s">
        <v>340</v>
      </c>
      <c r="D26" s="135" t="s">
        <v>365</v>
      </c>
      <c r="E26" s="135" t="s">
        <v>366</v>
      </c>
      <c r="F26" s="158">
        <v>46800</v>
      </c>
      <c r="G26" s="158">
        <v>0.14634146341463414</v>
      </c>
      <c r="H26" s="167">
        <v>21515</v>
      </c>
      <c r="I26" s="157">
        <v>4511</v>
      </c>
      <c r="J26" s="157">
        <v>7345</v>
      </c>
      <c r="K26" s="157">
        <v>9945</v>
      </c>
      <c r="L26" s="157">
        <v>3484</v>
      </c>
      <c r="M26" s="199">
        <v>46800</v>
      </c>
      <c r="N26" s="206"/>
      <c r="O26" s="207"/>
      <c r="P26" s="145"/>
    </row>
    <row r="27" spans="1:16" ht="15">
      <c r="A27" s="10"/>
      <c r="B27" s="177"/>
      <c r="C27" s="178"/>
      <c r="D27" s="178" t="s">
        <v>345</v>
      </c>
      <c r="E27" s="178"/>
      <c r="F27" s="179">
        <v>319800</v>
      </c>
      <c r="G27" s="179">
        <v>1</v>
      </c>
      <c r="H27" s="208">
        <v>148200</v>
      </c>
      <c r="I27" s="209">
        <v>33696</v>
      </c>
      <c r="J27" s="209">
        <v>50700</v>
      </c>
      <c r="K27" s="209">
        <v>66300</v>
      </c>
      <c r="L27" s="209">
        <v>20904</v>
      </c>
      <c r="M27" s="183">
        <v>319800</v>
      </c>
      <c r="N27" s="210"/>
      <c r="O27" s="211"/>
      <c r="P27" s="145"/>
    </row>
    <row r="28" spans="1:16" ht="15">
      <c r="A28" s="10"/>
      <c r="B28" s="135"/>
      <c r="C28" s="135"/>
      <c r="D28" s="135"/>
      <c r="E28" s="135"/>
      <c r="F28" s="158"/>
      <c r="G28" s="158"/>
      <c r="H28" s="158"/>
      <c r="I28" s="158"/>
      <c r="J28" s="158"/>
      <c r="K28" s="158"/>
      <c r="L28" s="158"/>
      <c r="M28" s="188"/>
      <c r="N28" s="145"/>
      <c r="O28" s="145"/>
      <c r="P28" s="145"/>
    </row>
    <row r="29" spans="1:16" ht="15">
      <c r="A29" s="10"/>
      <c r="B29" s="139" t="s">
        <v>379</v>
      </c>
      <c r="C29" s="140"/>
      <c r="D29" s="140"/>
      <c r="E29" s="140"/>
      <c r="F29" s="141"/>
      <c r="G29" s="212"/>
      <c r="H29" s="142" t="s">
        <v>340</v>
      </c>
      <c r="I29" s="141" t="s">
        <v>341</v>
      </c>
      <c r="J29" s="141" t="s">
        <v>342</v>
      </c>
      <c r="K29" s="141" t="s">
        <v>343</v>
      </c>
      <c r="L29" s="143" t="s">
        <v>344</v>
      </c>
      <c r="M29" s="144" t="s">
        <v>345</v>
      </c>
      <c r="N29" s="144"/>
      <c r="O29" s="143"/>
      <c r="P29" s="145"/>
    </row>
    <row r="30" spans="1:16" ht="15">
      <c r="A30" s="10"/>
      <c r="B30" s="146" t="s">
        <v>346</v>
      </c>
      <c r="C30" s="147" t="s">
        <v>347</v>
      </c>
      <c r="D30" s="148" t="s">
        <v>348</v>
      </c>
      <c r="E30" s="148"/>
      <c r="F30" s="148" t="s">
        <v>379</v>
      </c>
      <c r="G30" s="153" t="s">
        <v>350</v>
      </c>
      <c r="H30" s="150">
        <v>0.49295774647887325</v>
      </c>
      <c r="I30" s="150">
        <v>0.16901408450704225</v>
      </c>
      <c r="J30" s="150">
        <v>0.16901408450704225</v>
      </c>
      <c r="K30" s="150">
        <v>0.16901408450704225</v>
      </c>
      <c r="L30" s="213"/>
      <c r="M30" s="152">
        <v>1</v>
      </c>
      <c r="N30" s="152" t="s">
        <v>351</v>
      </c>
      <c r="O30" s="153" t="s">
        <v>17</v>
      </c>
      <c r="P30" s="145"/>
    </row>
    <row r="31" spans="1:16" ht="15">
      <c r="A31" s="11"/>
      <c r="B31" s="214">
        <v>1</v>
      </c>
      <c r="C31" s="155" t="s">
        <v>341</v>
      </c>
      <c r="D31" s="156" t="s">
        <v>352</v>
      </c>
      <c r="E31" s="156" t="s">
        <v>353</v>
      </c>
      <c r="F31" s="197">
        <v>36000</v>
      </c>
      <c r="G31" s="198">
        <v>0.16901408450704225</v>
      </c>
      <c r="H31" s="215">
        <v>16855</v>
      </c>
      <c r="I31" s="216">
        <v>3835</v>
      </c>
      <c r="J31" s="216">
        <v>5655</v>
      </c>
      <c r="K31" s="216">
        <v>7405</v>
      </c>
      <c r="L31" s="217">
        <v>2250</v>
      </c>
      <c r="M31" s="218">
        <v>36000</v>
      </c>
      <c r="N31" s="163" t="s">
        <v>354</v>
      </c>
      <c r="O31" s="164">
        <v>890</v>
      </c>
      <c r="P31" s="145"/>
    </row>
    <row r="32" spans="1:16" ht="47.25">
      <c r="A32" s="11"/>
      <c r="B32" s="165">
        <v>2</v>
      </c>
      <c r="C32" s="219" t="s">
        <v>340</v>
      </c>
      <c r="D32" s="156" t="s">
        <v>355</v>
      </c>
      <c r="E32" s="166" t="s">
        <v>356</v>
      </c>
      <c r="F32" s="197">
        <v>36000</v>
      </c>
      <c r="G32" s="197">
        <v>0.16901408450704225</v>
      </c>
      <c r="H32" s="220">
        <v>16856</v>
      </c>
      <c r="I32" s="221">
        <v>3834</v>
      </c>
      <c r="J32" s="221">
        <v>5655</v>
      </c>
      <c r="K32" s="221">
        <v>7405</v>
      </c>
      <c r="L32" s="222">
        <v>2250</v>
      </c>
      <c r="M32" s="218">
        <v>36000</v>
      </c>
      <c r="N32" s="168" t="s">
        <v>357</v>
      </c>
      <c r="O32" s="169">
        <v>430</v>
      </c>
      <c r="P32" s="145"/>
    </row>
    <row r="33" spans="1:16" ht="57">
      <c r="A33" s="11"/>
      <c r="B33" s="165">
        <v>3</v>
      </c>
      <c r="C33" s="135" t="s">
        <v>343</v>
      </c>
      <c r="D33" s="156" t="s">
        <v>358</v>
      </c>
      <c r="E33" s="166" t="s">
        <v>359</v>
      </c>
      <c r="F33" s="197">
        <v>36000</v>
      </c>
      <c r="G33" s="197">
        <v>0.16901408450704225</v>
      </c>
      <c r="H33" s="220">
        <v>16856</v>
      </c>
      <c r="I33" s="221">
        <v>3835</v>
      </c>
      <c r="J33" s="221">
        <v>5654</v>
      </c>
      <c r="K33" s="221">
        <v>7405</v>
      </c>
      <c r="L33" s="222">
        <v>2250</v>
      </c>
      <c r="M33" s="218">
        <v>36000</v>
      </c>
      <c r="N33" s="223" t="s">
        <v>380</v>
      </c>
      <c r="O33" s="224">
        <v>2250</v>
      </c>
      <c r="P33" s="145"/>
    </row>
    <row r="34" spans="1:16" ht="57">
      <c r="A34" s="11"/>
      <c r="B34" s="165">
        <v>4</v>
      </c>
      <c r="C34" s="135" t="s">
        <v>342</v>
      </c>
      <c r="D34" s="156" t="s">
        <v>361</v>
      </c>
      <c r="E34" s="166" t="s">
        <v>362</v>
      </c>
      <c r="F34" s="197">
        <v>36000</v>
      </c>
      <c r="G34" s="197">
        <v>0.16901408450704225</v>
      </c>
      <c r="H34" s="220">
        <v>16856</v>
      </c>
      <c r="I34" s="221">
        <v>3835</v>
      </c>
      <c r="J34" s="221">
        <v>5655</v>
      </c>
      <c r="K34" s="221">
        <v>7404</v>
      </c>
      <c r="L34" s="222">
        <v>2250</v>
      </c>
      <c r="M34" s="218">
        <v>36000</v>
      </c>
      <c r="N34" s="223" t="s">
        <v>381</v>
      </c>
      <c r="O34" s="169">
        <v>2407</v>
      </c>
      <c r="P34" s="145"/>
    </row>
    <row r="35" spans="1:16" ht="15">
      <c r="A35" s="10"/>
      <c r="B35" s="165">
        <v>5</v>
      </c>
      <c r="C35" s="135" t="s">
        <v>340</v>
      </c>
      <c r="D35" s="156" t="s">
        <v>363</v>
      </c>
      <c r="E35" s="166" t="s">
        <v>364</v>
      </c>
      <c r="F35" s="171">
        <v>36000</v>
      </c>
      <c r="G35" s="158">
        <v>0.16901408450704225</v>
      </c>
      <c r="H35" s="220">
        <v>16856</v>
      </c>
      <c r="I35" s="221">
        <v>3834</v>
      </c>
      <c r="J35" s="221">
        <v>5655</v>
      </c>
      <c r="K35" s="221">
        <v>7405</v>
      </c>
      <c r="L35" s="222">
        <v>2250</v>
      </c>
      <c r="M35" s="218">
        <v>36000</v>
      </c>
      <c r="N35" s="175"/>
      <c r="O35" s="176"/>
      <c r="P35" s="145"/>
    </row>
    <row r="36" spans="1:16" ht="15">
      <c r="A36" s="10"/>
      <c r="B36" s="165">
        <v>6</v>
      </c>
      <c r="C36" s="135" t="s">
        <v>340</v>
      </c>
      <c r="D36" s="156" t="s">
        <v>365</v>
      </c>
      <c r="E36" s="135" t="s">
        <v>366</v>
      </c>
      <c r="F36" s="157">
        <v>33000</v>
      </c>
      <c r="G36" s="158">
        <v>0.15492957746478872</v>
      </c>
      <c r="H36" s="225">
        <v>15381</v>
      </c>
      <c r="I36" s="226">
        <v>3170</v>
      </c>
      <c r="J36" s="226">
        <v>5146</v>
      </c>
      <c r="K36" s="226">
        <v>6896</v>
      </c>
      <c r="L36" s="227">
        <v>2407</v>
      </c>
      <c r="M36" s="228">
        <v>33000</v>
      </c>
      <c r="N36" s="175"/>
      <c r="O36" s="176"/>
      <c r="P36" s="145"/>
    </row>
    <row r="37" spans="1:16" ht="15">
      <c r="A37" s="10"/>
      <c r="B37" s="177"/>
      <c r="C37" s="178"/>
      <c r="D37" s="178" t="s">
        <v>345</v>
      </c>
      <c r="E37" s="178"/>
      <c r="F37" s="179">
        <v>213000</v>
      </c>
      <c r="G37" s="229">
        <v>1</v>
      </c>
      <c r="H37" s="182">
        <v>99660</v>
      </c>
      <c r="I37" s="182">
        <v>22343</v>
      </c>
      <c r="J37" s="182">
        <v>33420</v>
      </c>
      <c r="K37" s="182">
        <v>43920</v>
      </c>
      <c r="L37" s="182">
        <v>13657</v>
      </c>
      <c r="M37" s="230">
        <v>213000</v>
      </c>
      <c r="N37" s="231"/>
      <c r="O37" s="232"/>
      <c r="P37" s="145"/>
    </row>
    <row r="38" spans="1:16" ht="15">
      <c r="A38" s="8"/>
      <c r="B38" s="135"/>
      <c r="C38" s="186"/>
      <c r="D38" s="123"/>
      <c r="E38" s="123"/>
      <c r="F38" s="158"/>
      <c r="G38" s="158"/>
      <c r="H38" s="158"/>
      <c r="I38" s="158"/>
      <c r="J38" s="158"/>
      <c r="K38" s="158"/>
      <c r="L38" s="158"/>
      <c r="M38" s="158"/>
      <c r="N38" s="123"/>
      <c r="O38" s="145"/>
      <c r="P38" s="145"/>
    </row>
    <row r="39" spans="1:16" ht="15">
      <c r="A39" s="10"/>
      <c r="B39" s="139" t="s">
        <v>382</v>
      </c>
      <c r="C39" s="140"/>
      <c r="D39" s="140"/>
      <c r="E39" s="140"/>
      <c r="F39" s="141"/>
      <c r="G39" s="212"/>
      <c r="H39" s="142" t="s">
        <v>340</v>
      </c>
      <c r="I39" s="141" t="s">
        <v>341</v>
      </c>
      <c r="J39" s="141" t="s">
        <v>342</v>
      </c>
      <c r="K39" s="141" t="s">
        <v>343</v>
      </c>
      <c r="L39" s="143" t="s">
        <v>344</v>
      </c>
      <c r="M39" s="144" t="s">
        <v>345</v>
      </c>
      <c r="N39" s="144"/>
      <c r="O39" s="143"/>
      <c r="P39" s="145"/>
    </row>
    <row r="40" spans="1:16" ht="15">
      <c r="A40" s="10"/>
      <c r="B40" s="146" t="s">
        <v>346</v>
      </c>
      <c r="C40" s="147" t="s">
        <v>347</v>
      </c>
      <c r="D40" s="148" t="s">
        <v>348</v>
      </c>
      <c r="E40" s="148"/>
      <c r="F40" s="148" t="s">
        <v>382</v>
      </c>
      <c r="G40" s="153" t="s">
        <v>350</v>
      </c>
      <c r="H40" s="150">
        <v>0.48727272727272725</v>
      </c>
      <c r="I40" s="150">
        <v>0.1709090909090909</v>
      </c>
      <c r="J40" s="150">
        <v>0.1709090909090909</v>
      </c>
      <c r="K40" s="150">
        <v>0.1709090909090909</v>
      </c>
      <c r="L40" s="213"/>
      <c r="M40" s="152">
        <v>1</v>
      </c>
      <c r="N40" s="152" t="s">
        <v>351</v>
      </c>
      <c r="O40" s="153" t="s">
        <v>17</v>
      </c>
      <c r="P40" s="145"/>
    </row>
    <row r="41" spans="1:16" ht="15">
      <c r="A41" s="11"/>
      <c r="B41" s="154">
        <v>1</v>
      </c>
      <c r="C41" s="155" t="s">
        <v>341</v>
      </c>
      <c r="D41" s="156" t="s">
        <v>352</v>
      </c>
      <c r="E41" s="156" t="s">
        <v>353</v>
      </c>
      <c r="F41" s="197">
        <v>47000</v>
      </c>
      <c r="G41" s="198">
        <v>0.1709090909090909</v>
      </c>
      <c r="H41" s="215">
        <v>21780</v>
      </c>
      <c r="I41" s="216">
        <v>5029</v>
      </c>
      <c r="J41" s="216">
        <v>7473</v>
      </c>
      <c r="K41" s="216">
        <v>9713</v>
      </c>
      <c r="L41" s="217">
        <v>3005</v>
      </c>
      <c r="M41" s="218">
        <v>47000</v>
      </c>
      <c r="N41" s="163" t="s">
        <v>354</v>
      </c>
      <c r="O41" s="164">
        <v>1120</v>
      </c>
      <c r="P41" s="145"/>
    </row>
    <row r="42" spans="1:16" ht="47.25">
      <c r="A42" s="11"/>
      <c r="B42" s="165">
        <v>2</v>
      </c>
      <c r="C42" s="135" t="s">
        <v>340</v>
      </c>
      <c r="D42" s="156" t="s">
        <v>355</v>
      </c>
      <c r="E42" s="156" t="s">
        <v>356</v>
      </c>
      <c r="F42" s="197">
        <v>47000</v>
      </c>
      <c r="G42" s="197">
        <v>0.1709090909090909</v>
      </c>
      <c r="H42" s="220">
        <v>21782</v>
      </c>
      <c r="I42" s="221">
        <v>5026</v>
      </c>
      <c r="J42" s="221">
        <v>7474</v>
      </c>
      <c r="K42" s="221">
        <v>9713</v>
      </c>
      <c r="L42" s="222">
        <v>3005</v>
      </c>
      <c r="M42" s="218">
        <v>47000</v>
      </c>
      <c r="N42" s="168" t="s">
        <v>357</v>
      </c>
      <c r="O42" s="169">
        <v>560</v>
      </c>
      <c r="P42" s="145"/>
    </row>
    <row r="43" spans="1:16" ht="57">
      <c r="A43" s="11"/>
      <c r="B43" s="165">
        <v>3</v>
      </c>
      <c r="C43" s="135" t="s">
        <v>343</v>
      </c>
      <c r="D43" s="156" t="s">
        <v>358</v>
      </c>
      <c r="E43" s="156" t="s">
        <v>359</v>
      </c>
      <c r="F43" s="197">
        <v>47000</v>
      </c>
      <c r="G43" s="197">
        <v>0.1709090909090909</v>
      </c>
      <c r="H43" s="220">
        <v>21782</v>
      </c>
      <c r="I43" s="221">
        <v>5028</v>
      </c>
      <c r="J43" s="221">
        <v>7471</v>
      </c>
      <c r="K43" s="221">
        <v>9714</v>
      </c>
      <c r="L43" s="222">
        <v>3005</v>
      </c>
      <c r="M43" s="218">
        <v>47000</v>
      </c>
      <c r="N43" s="223" t="s">
        <v>380</v>
      </c>
      <c r="O43" s="224">
        <v>3005</v>
      </c>
      <c r="P43" s="145"/>
    </row>
    <row r="44" spans="1:16" ht="57">
      <c r="A44" s="11"/>
      <c r="B44" s="165">
        <v>4</v>
      </c>
      <c r="C44" s="135" t="s">
        <v>342</v>
      </c>
      <c r="D44" s="156" t="s">
        <v>361</v>
      </c>
      <c r="E44" s="156" t="s">
        <v>362</v>
      </c>
      <c r="F44" s="197">
        <v>47000</v>
      </c>
      <c r="G44" s="197">
        <v>0.1709090909090909</v>
      </c>
      <c r="H44" s="220">
        <v>21782</v>
      </c>
      <c r="I44" s="221">
        <v>5029</v>
      </c>
      <c r="J44" s="221">
        <v>7473</v>
      </c>
      <c r="K44" s="221">
        <v>9711</v>
      </c>
      <c r="L44" s="222">
        <v>3005</v>
      </c>
      <c r="M44" s="218">
        <v>47000</v>
      </c>
      <c r="N44" s="223" t="s">
        <v>381</v>
      </c>
      <c r="O44" s="169">
        <v>2984</v>
      </c>
      <c r="P44" s="145"/>
    </row>
    <row r="45" spans="1:16" ht="15">
      <c r="A45" s="10"/>
      <c r="B45" s="165">
        <v>5</v>
      </c>
      <c r="C45" s="135" t="s">
        <v>340</v>
      </c>
      <c r="D45" s="156" t="s">
        <v>363</v>
      </c>
      <c r="E45" s="156" t="s">
        <v>364</v>
      </c>
      <c r="F45" s="171">
        <v>47000</v>
      </c>
      <c r="G45" s="158">
        <v>0.1709090909090909</v>
      </c>
      <c r="H45" s="220">
        <v>21782</v>
      </c>
      <c r="I45" s="221">
        <v>5027</v>
      </c>
      <c r="J45" s="221">
        <v>7473</v>
      </c>
      <c r="K45" s="221">
        <v>9713</v>
      </c>
      <c r="L45" s="222">
        <v>3005</v>
      </c>
      <c r="M45" s="218">
        <v>47000</v>
      </c>
      <c r="N45" s="175"/>
      <c r="O45" s="176"/>
      <c r="P45" s="145"/>
    </row>
    <row r="46" spans="1:16" ht="15">
      <c r="A46" s="10"/>
      <c r="B46" s="165">
        <v>6</v>
      </c>
      <c r="C46" s="135" t="s">
        <v>340</v>
      </c>
      <c r="D46" s="156" t="s">
        <v>365</v>
      </c>
      <c r="E46" s="156" t="s">
        <v>366</v>
      </c>
      <c r="F46" s="157">
        <v>40000</v>
      </c>
      <c r="G46" s="158">
        <v>0.14545454545454545</v>
      </c>
      <c r="H46" s="225">
        <v>18372</v>
      </c>
      <c r="I46" s="226">
        <v>3852</v>
      </c>
      <c r="J46" s="226">
        <v>6276</v>
      </c>
      <c r="K46" s="226">
        <v>8516</v>
      </c>
      <c r="L46" s="227">
        <v>2984</v>
      </c>
      <c r="M46" s="228">
        <v>40000</v>
      </c>
      <c r="N46" s="175"/>
      <c r="O46" s="176"/>
      <c r="P46" s="145"/>
    </row>
    <row r="47" spans="1:16" ht="15">
      <c r="A47" s="10"/>
      <c r="B47" s="177"/>
      <c r="C47" s="178"/>
      <c r="D47" s="178" t="s">
        <v>345</v>
      </c>
      <c r="E47" s="178"/>
      <c r="F47" s="179">
        <v>275000</v>
      </c>
      <c r="G47" s="229">
        <v>1</v>
      </c>
      <c r="H47" s="182">
        <v>127280</v>
      </c>
      <c r="I47" s="182">
        <v>28991</v>
      </c>
      <c r="J47" s="182">
        <v>43640</v>
      </c>
      <c r="K47" s="182">
        <v>57080</v>
      </c>
      <c r="L47" s="182">
        <v>18009</v>
      </c>
      <c r="M47" s="230">
        <v>275000</v>
      </c>
      <c r="N47" s="231"/>
      <c r="O47" s="232"/>
      <c r="P47" s="145"/>
    </row>
    <row r="48" spans="1:16" ht="15">
      <c r="A48" s="8"/>
      <c r="B48" s="135"/>
      <c r="C48" s="186"/>
      <c r="D48" s="123"/>
      <c r="E48" s="123"/>
      <c r="F48" s="158"/>
      <c r="G48" s="158"/>
      <c r="H48" s="158"/>
      <c r="I48" s="158"/>
      <c r="J48" s="158"/>
      <c r="K48" s="158"/>
      <c r="L48" s="158"/>
      <c r="M48" s="158"/>
      <c r="N48" s="123"/>
      <c r="O48" s="145"/>
      <c r="P48" s="145"/>
    </row>
    <row r="49" spans="1:16" ht="15">
      <c r="A49" s="8"/>
      <c r="B49" s="139" t="s">
        <v>383</v>
      </c>
      <c r="C49" s="140"/>
      <c r="D49" s="140"/>
      <c r="E49" s="140"/>
      <c r="F49" s="141"/>
      <c r="G49" s="140"/>
      <c r="H49" s="142" t="s">
        <v>340</v>
      </c>
      <c r="I49" s="141" t="s">
        <v>341</v>
      </c>
      <c r="J49" s="141" t="s">
        <v>342</v>
      </c>
      <c r="K49" s="141" t="s">
        <v>343</v>
      </c>
      <c r="L49" s="143" t="s">
        <v>344</v>
      </c>
      <c r="M49" s="144" t="s">
        <v>345</v>
      </c>
      <c r="N49" s="144"/>
      <c r="O49" s="143"/>
      <c r="P49" s="145"/>
    </row>
    <row r="50" spans="1:16" ht="15">
      <c r="A50" s="8"/>
      <c r="B50" s="146" t="s">
        <v>346</v>
      </c>
      <c r="C50" s="147" t="s">
        <v>347</v>
      </c>
      <c r="D50" s="148" t="s">
        <v>348</v>
      </c>
      <c r="E50" s="148"/>
      <c r="F50" s="148" t="s">
        <v>383</v>
      </c>
      <c r="G50" s="148" t="s">
        <v>350</v>
      </c>
      <c r="H50" s="196">
        <v>0.5</v>
      </c>
      <c r="I50" s="148">
        <v>0.16666666666666666</v>
      </c>
      <c r="J50" s="148">
        <v>0.16666666666666666</v>
      </c>
      <c r="K50" s="148">
        <v>0.16666666666666666</v>
      </c>
      <c r="L50" s="153"/>
      <c r="M50" s="152">
        <v>0.99999999999999989</v>
      </c>
      <c r="N50" s="152" t="s">
        <v>351</v>
      </c>
      <c r="O50" s="153" t="s">
        <v>384</v>
      </c>
      <c r="P50" s="145"/>
    </row>
    <row r="51" spans="1:16" ht="15">
      <c r="A51" s="8"/>
      <c r="B51" s="154">
        <v>1</v>
      </c>
      <c r="C51" s="155" t="s">
        <v>341</v>
      </c>
      <c r="D51" s="156" t="s">
        <v>352</v>
      </c>
      <c r="E51" s="156" t="s">
        <v>353</v>
      </c>
      <c r="F51" s="158">
        <v>300</v>
      </c>
      <c r="G51" s="233">
        <v>0.16666666666666666</v>
      </c>
      <c r="H51" s="167">
        <v>140</v>
      </c>
      <c r="I51" s="157">
        <v>25</v>
      </c>
      <c r="J51" s="157">
        <v>45</v>
      </c>
      <c r="K51" s="158">
        <v>65</v>
      </c>
      <c r="L51" s="161">
        <v>25</v>
      </c>
      <c r="M51" s="199">
        <v>300</v>
      </c>
      <c r="N51" s="163" t="s">
        <v>354</v>
      </c>
      <c r="O51" s="164">
        <v>10</v>
      </c>
      <c r="P51" s="145"/>
    </row>
    <row r="52" spans="1:16" ht="47.25">
      <c r="A52" s="8"/>
      <c r="B52" s="165">
        <v>2</v>
      </c>
      <c r="C52" s="135" t="s">
        <v>340</v>
      </c>
      <c r="D52" s="156" t="s">
        <v>355</v>
      </c>
      <c r="E52" s="156" t="s">
        <v>356</v>
      </c>
      <c r="F52" s="158">
        <v>300</v>
      </c>
      <c r="G52" s="158">
        <v>0.16666666666666666</v>
      </c>
      <c r="H52" s="167">
        <v>140</v>
      </c>
      <c r="I52" s="157">
        <v>25</v>
      </c>
      <c r="J52" s="157">
        <v>45</v>
      </c>
      <c r="K52" s="158">
        <v>65</v>
      </c>
      <c r="L52" s="162">
        <v>25</v>
      </c>
      <c r="M52" s="199">
        <v>300</v>
      </c>
      <c r="N52" s="168" t="s">
        <v>357</v>
      </c>
      <c r="O52" s="169">
        <v>5</v>
      </c>
      <c r="P52" s="145"/>
    </row>
    <row r="53" spans="1:16" ht="47.25">
      <c r="A53" s="8"/>
      <c r="B53" s="165">
        <v>3</v>
      </c>
      <c r="C53" s="135" t="s">
        <v>343</v>
      </c>
      <c r="D53" s="156" t="s">
        <v>358</v>
      </c>
      <c r="E53" s="156" t="s">
        <v>359</v>
      </c>
      <c r="F53" s="158">
        <v>300</v>
      </c>
      <c r="G53" s="158">
        <v>0.16666666666666666</v>
      </c>
      <c r="H53" s="167">
        <v>140</v>
      </c>
      <c r="I53" s="157">
        <v>25</v>
      </c>
      <c r="J53" s="157">
        <v>45</v>
      </c>
      <c r="K53" s="158">
        <v>65</v>
      </c>
      <c r="L53" s="162">
        <v>25</v>
      </c>
      <c r="M53" s="199">
        <v>300</v>
      </c>
      <c r="N53" s="168" t="s">
        <v>360</v>
      </c>
      <c r="O53" s="169">
        <v>25</v>
      </c>
      <c r="P53" s="145"/>
    </row>
    <row r="54" spans="1:16" ht="15.75">
      <c r="A54" s="8"/>
      <c r="B54" s="165">
        <v>4</v>
      </c>
      <c r="C54" s="135" t="s">
        <v>342</v>
      </c>
      <c r="D54" s="156" t="s">
        <v>361</v>
      </c>
      <c r="E54" s="156" t="s">
        <v>362</v>
      </c>
      <c r="F54" s="158">
        <v>300</v>
      </c>
      <c r="G54" s="158">
        <v>0.16666666666666666</v>
      </c>
      <c r="H54" s="167">
        <v>140</v>
      </c>
      <c r="I54" s="157">
        <v>25</v>
      </c>
      <c r="J54" s="157">
        <v>45</v>
      </c>
      <c r="K54" s="158">
        <v>65</v>
      </c>
      <c r="L54" s="162">
        <v>25</v>
      </c>
      <c r="M54" s="199">
        <v>300</v>
      </c>
      <c r="N54" s="168"/>
      <c r="O54" s="170"/>
      <c r="P54" s="145"/>
    </row>
    <row r="55" spans="1:16" ht="15.75">
      <c r="A55" s="8"/>
      <c r="B55" s="165">
        <v>5</v>
      </c>
      <c r="C55" s="135" t="s">
        <v>340</v>
      </c>
      <c r="D55" s="156" t="s">
        <v>363</v>
      </c>
      <c r="E55" s="156" t="s">
        <v>364</v>
      </c>
      <c r="F55" s="158">
        <v>300</v>
      </c>
      <c r="G55" s="158">
        <v>0.16666666666666666</v>
      </c>
      <c r="H55" s="167">
        <v>140</v>
      </c>
      <c r="I55" s="157">
        <v>25</v>
      </c>
      <c r="J55" s="157">
        <v>45</v>
      </c>
      <c r="K55" s="158">
        <v>65</v>
      </c>
      <c r="L55" s="162">
        <v>25</v>
      </c>
      <c r="M55" s="199">
        <v>300</v>
      </c>
      <c r="N55" s="168"/>
      <c r="O55" s="170"/>
      <c r="P55" s="145"/>
    </row>
    <row r="56" spans="1:16" ht="15">
      <c r="A56" s="8"/>
      <c r="B56" s="165">
        <v>6</v>
      </c>
      <c r="C56" s="135" t="s">
        <v>340</v>
      </c>
      <c r="D56" s="156" t="s">
        <v>365</v>
      </c>
      <c r="E56" s="156" t="s">
        <v>366</v>
      </c>
      <c r="F56" s="158">
        <v>300</v>
      </c>
      <c r="G56" s="158">
        <v>0.16666666666666666</v>
      </c>
      <c r="H56" s="167">
        <v>140</v>
      </c>
      <c r="I56" s="157">
        <v>25</v>
      </c>
      <c r="J56" s="157">
        <v>45</v>
      </c>
      <c r="K56" s="158">
        <v>65</v>
      </c>
      <c r="L56" s="162">
        <v>25</v>
      </c>
      <c r="M56" s="199">
        <v>300</v>
      </c>
      <c r="N56" s="175"/>
      <c r="O56" s="176"/>
      <c r="P56" s="145"/>
    </row>
    <row r="57" spans="1:16" ht="15">
      <c r="A57" s="8"/>
      <c r="B57" s="177"/>
      <c r="C57" s="178"/>
      <c r="D57" s="178" t="s">
        <v>345</v>
      </c>
      <c r="E57" s="178"/>
      <c r="F57" s="179">
        <v>1800</v>
      </c>
      <c r="G57" s="179">
        <v>0.99999999999999989</v>
      </c>
      <c r="H57" s="208">
        <v>840</v>
      </c>
      <c r="I57" s="179">
        <v>150</v>
      </c>
      <c r="J57" s="179">
        <v>270</v>
      </c>
      <c r="K57" s="179">
        <v>390</v>
      </c>
      <c r="L57" s="234">
        <v>150</v>
      </c>
      <c r="M57" s="183">
        <v>1800</v>
      </c>
      <c r="N57" s="184"/>
      <c r="O57" s="185"/>
      <c r="P57" s="145"/>
    </row>
  </sheetData>
  <phoneticPr fontId="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selection activeCell="B13" sqref="B13"/>
    </sheetView>
  </sheetViews>
  <sheetFormatPr defaultRowHeight="13.5"/>
  <cols>
    <col min="1" max="1" width="18.875" customWidth="1"/>
    <col min="3" max="3" width="18.25" customWidth="1"/>
  </cols>
  <sheetData>
    <row r="1" spans="1:3" ht="15" thickBot="1">
      <c r="A1" s="12" t="s">
        <v>385</v>
      </c>
      <c r="B1" s="13" t="s">
        <v>386</v>
      </c>
      <c r="C1" s="13" t="s">
        <v>387</v>
      </c>
    </row>
    <row r="2" spans="1:3" ht="15" thickBot="1">
      <c r="A2" s="14" t="s">
        <v>388</v>
      </c>
      <c r="B2" s="15" t="s">
        <v>389</v>
      </c>
      <c r="C2" s="15" t="s">
        <v>390</v>
      </c>
    </row>
    <row r="3" spans="1:3" ht="15" thickBot="1">
      <c r="A3" s="382" t="s">
        <v>390</v>
      </c>
      <c r="B3" s="15" t="s">
        <v>391</v>
      </c>
      <c r="C3" s="15" t="s">
        <v>392</v>
      </c>
    </row>
    <row r="4" spans="1:3" ht="15" thickBot="1">
      <c r="A4" s="383"/>
      <c r="B4" s="15" t="s">
        <v>393</v>
      </c>
      <c r="C4" s="15" t="s">
        <v>394</v>
      </c>
    </row>
    <row r="5" spans="1:3" ht="15" thickBot="1">
      <c r="A5" s="384"/>
      <c r="B5" s="15" t="s">
        <v>395</v>
      </c>
      <c r="C5" s="15" t="s">
        <v>388</v>
      </c>
    </row>
    <row r="6" spans="1:3" ht="15" thickBot="1">
      <c r="A6" s="382" t="s">
        <v>396</v>
      </c>
      <c r="B6" s="15" t="s">
        <v>94</v>
      </c>
      <c r="C6" s="15" t="s">
        <v>397</v>
      </c>
    </row>
    <row r="7" spans="1:3" ht="15" thickBot="1">
      <c r="A7" s="383"/>
      <c r="B7" s="15" t="s">
        <v>398</v>
      </c>
      <c r="C7" s="15" t="s">
        <v>394</v>
      </c>
    </row>
    <row r="8" spans="1:3" ht="15" thickBot="1">
      <c r="A8" s="383"/>
      <c r="B8" s="15" t="s">
        <v>63</v>
      </c>
      <c r="C8" s="15" t="s">
        <v>399</v>
      </c>
    </row>
    <row r="9" spans="1:3" ht="15" thickBot="1">
      <c r="A9" s="384"/>
      <c r="B9" s="15" t="s">
        <v>400</v>
      </c>
      <c r="C9" s="15" t="s">
        <v>401</v>
      </c>
    </row>
    <row r="10" spans="1:3" ht="15" thickBot="1">
      <c r="A10" s="382" t="s">
        <v>402</v>
      </c>
      <c r="B10" s="15" t="s">
        <v>403</v>
      </c>
      <c r="C10" s="15" t="s">
        <v>397</v>
      </c>
    </row>
    <row r="11" spans="1:3" ht="15" thickBot="1">
      <c r="A11" s="383"/>
      <c r="B11" s="15" t="s">
        <v>404</v>
      </c>
      <c r="C11" s="15" t="s">
        <v>405</v>
      </c>
    </row>
    <row r="12" spans="1:3" ht="15" thickBot="1">
      <c r="A12" s="383"/>
      <c r="B12" s="15" t="s">
        <v>406</v>
      </c>
      <c r="C12" s="15" t="s">
        <v>392</v>
      </c>
    </row>
    <row r="13" spans="1:3" ht="15" thickBot="1">
      <c r="A13" s="383"/>
      <c r="B13" s="15" t="s">
        <v>407</v>
      </c>
      <c r="C13" s="15" t="s">
        <v>390</v>
      </c>
    </row>
    <row r="14" spans="1:3" ht="15" thickBot="1">
      <c r="A14" s="384"/>
      <c r="B14" s="15" t="s">
        <v>408</v>
      </c>
      <c r="C14" s="15" t="s">
        <v>399</v>
      </c>
    </row>
    <row r="15" spans="1:3" ht="15" thickBot="1">
      <c r="A15" s="382" t="s">
        <v>394</v>
      </c>
      <c r="B15" s="15" t="s">
        <v>409</v>
      </c>
      <c r="C15" s="15" t="s">
        <v>410</v>
      </c>
    </row>
    <row r="16" spans="1:3" ht="15" thickBot="1">
      <c r="A16" s="383"/>
      <c r="B16" s="15" t="s">
        <v>411</v>
      </c>
      <c r="C16" s="15" t="s">
        <v>405</v>
      </c>
    </row>
    <row r="17" spans="1:3" ht="15" thickBot="1">
      <c r="A17" s="383"/>
      <c r="B17" s="15" t="s">
        <v>412</v>
      </c>
      <c r="C17" s="15" t="s">
        <v>413</v>
      </c>
    </row>
    <row r="18" spans="1:3" ht="15" thickBot="1">
      <c r="A18" s="384"/>
      <c r="B18" s="15" t="s">
        <v>414</v>
      </c>
      <c r="C18" s="15" t="s">
        <v>401</v>
      </c>
    </row>
    <row r="19" spans="1:3" ht="15" thickBot="1">
      <c r="A19" s="382" t="s">
        <v>401</v>
      </c>
      <c r="B19" s="15" t="s">
        <v>415</v>
      </c>
      <c r="C19" s="15" t="s">
        <v>410</v>
      </c>
    </row>
    <row r="20" spans="1:3" ht="15" thickBot="1">
      <c r="A20" s="383"/>
      <c r="B20" s="15" t="s">
        <v>416</v>
      </c>
      <c r="C20" s="15" t="s">
        <v>388</v>
      </c>
    </row>
    <row r="21" spans="1:3" ht="15" thickBot="1">
      <c r="A21" s="384"/>
      <c r="B21" s="15" t="s">
        <v>417</v>
      </c>
      <c r="C21" s="15" t="s">
        <v>399</v>
      </c>
    </row>
    <row r="22" spans="1:3" ht="15" thickBot="1">
      <c r="A22" s="382" t="s">
        <v>418</v>
      </c>
      <c r="B22" s="15" t="s">
        <v>419</v>
      </c>
      <c r="C22" s="15" t="s">
        <v>405</v>
      </c>
    </row>
    <row r="23" spans="1:3" ht="15" thickBot="1">
      <c r="A23" s="384"/>
      <c r="B23" s="15" t="s">
        <v>85</v>
      </c>
      <c r="C23" s="15" t="s">
        <v>394</v>
      </c>
    </row>
    <row r="24" spans="1:3" ht="15" thickBot="1">
      <c r="A24" s="382" t="s">
        <v>399</v>
      </c>
      <c r="B24" s="15" t="s">
        <v>420</v>
      </c>
      <c r="C24" s="15" t="s">
        <v>410</v>
      </c>
    </row>
    <row r="25" spans="1:3" ht="15" thickBot="1">
      <c r="A25" s="383"/>
      <c r="B25" s="15" t="s">
        <v>421</v>
      </c>
      <c r="C25" s="15" t="s">
        <v>401</v>
      </c>
    </row>
    <row r="26" spans="1:3" ht="15" thickBot="1">
      <c r="A26" s="383"/>
      <c r="B26" s="15" t="s">
        <v>422</v>
      </c>
      <c r="C26" s="15" t="s">
        <v>390</v>
      </c>
    </row>
    <row r="27" spans="1:3" ht="15" thickBot="1">
      <c r="A27" s="384"/>
      <c r="B27" s="15" t="s">
        <v>423</v>
      </c>
      <c r="C27" s="15" t="s">
        <v>413</v>
      </c>
    </row>
    <row r="28" spans="1:3" ht="15" thickBot="1">
      <c r="A28" s="382" t="s">
        <v>397</v>
      </c>
      <c r="B28" s="15" t="s">
        <v>89</v>
      </c>
      <c r="C28" s="15" t="s">
        <v>405</v>
      </c>
    </row>
    <row r="29" spans="1:3" ht="15" thickBot="1">
      <c r="A29" s="383"/>
      <c r="B29" s="15" t="s">
        <v>424</v>
      </c>
      <c r="C29" s="15" t="s">
        <v>394</v>
      </c>
    </row>
    <row r="30" spans="1:3" ht="15" thickBot="1">
      <c r="A30" s="383"/>
      <c r="B30" s="15" t="s">
        <v>425</v>
      </c>
      <c r="C30" s="15" t="s">
        <v>410</v>
      </c>
    </row>
    <row r="31" spans="1:3" ht="15" thickBot="1">
      <c r="A31" s="384"/>
      <c r="B31" s="15" t="s">
        <v>426</v>
      </c>
      <c r="C31" s="15" t="s">
        <v>413</v>
      </c>
    </row>
    <row r="32" spans="1:3" ht="15" thickBot="1">
      <c r="A32" s="382" t="s">
        <v>405</v>
      </c>
      <c r="B32" s="15" t="s">
        <v>427</v>
      </c>
      <c r="C32" s="15" t="s">
        <v>413</v>
      </c>
    </row>
    <row r="33" spans="1:8" ht="15" thickBot="1">
      <c r="A33" s="383"/>
      <c r="B33" s="15" t="s">
        <v>428</v>
      </c>
      <c r="C33" s="15" t="s">
        <v>392</v>
      </c>
    </row>
    <row r="34" spans="1:8" ht="15" thickBot="1">
      <c r="A34" s="384"/>
      <c r="B34" s="15" t="s">
        <v>429</v>
      </c>
      <c r="C34" s="15" t="s">
        <v>397</v>
      </c>
    </row>
    <row r="36" spans="1:8" ht="14.25">
      <c r="A36" s="80"/>
      <c r="B36" s="82" t="s">
        <v>50</v>
      </c>
      <c r="C36" s="80"/>
      <c r="D36" s="80"/>
      <c r="E36" s="80"/>
      <c r="F36" s="80"/>
      <c r="G36" s="80"/>
      <c r="H36" s="80"/>
    </row>
    <row r="37" spans="1:8" ht="14.25">
      <c r="A37" s="80">
        <v>1</v>
      </c>
      <c r="B37" s="80" t="s">
        <v>52</v>
      </c>
      <c r="C37" s="80"/>
      <c r="D37" s="80"/>
      <c r="E37" s="80"/>
      <c r="F37" s="80"/>
      <c r="G37" s="80"/>
      <c r="H37" s="80"/>
    </row>
    <row r="38" spans="1:8" ht="14.25">
      <c r="A38" s="80">
        <v>2</v>
      </c>
      <c r="B38" s="80" t="s">
        <v>53</v>
      </c>
      <c r="C38" s="80"/>
      <c r="D38" s="80"/>
      <c r="E38" s="80"/>
      <c r="F38" s="80"/>
      <c r="G38" s="80"/>
      <c r="H38" s="80"/>
    </row>
    <row r="39" spans="1:8" ht="14.25">
      <c r="A39" s="80">
        <v>3</v>
      </c>
      <c r="B39" s="80" t="s">
        <v>54</v>
      </c>
      <c r="C39" s="80"/>
      <c r="D39" s="80"/>
      <c r="E39" s="80"/>
      <c r="F39" s="80"/>
      <c r="G39" s="80"/>
      <c r="H39" s="80"/>
    </row>
    <row r="40" spans="1:8" ht="14.25">
      <c r="A40" s="80">
        <v>4</v>
      </c>
      <c r="B40" s="80" t="s">
        <v>443</v>
      </c>
      <c r="C40" s="80"/>
      <c r="D40" s="80"/>
      <c r="E40" s="80"/>
      <c r="F40" s="80"/>
      <c r="G40" s="80"/>
      <c r="H40" s="80"/>
    </row>
    <row r="41" spans="1:8" ht="14.25">
      <c r="A41" s="80">
        <v>5</v>
      </c>
      <c r="B41" s="80" t="s">
        <v>56</v>
      </c>
      <c r="C41" s="80"/>
      <c r="D41" s="80"/>
      <c r="E41" s="80"/>
      <c r="F41" s="80"/>
      <c r="G41" s="80"/>
      <c r="H41" s="80"/>
    </row>
    <row r="42" spans="1:8" ht="14.25">
      <c r="A42" s="80">
        <v>5</v>
      </c>
      <c r="B42" s="80" t="s">
        <v>51</v>
      </c>
      <c r="C42" s="80"/>
      <c r="D42" s="80"/>
      <c r="E42" s="80"/>
      <c r="F42" s="80"/>
      <c r="G42" s="80"/>
      <c r="H42" s="80"/>
    </row>
    <row r="43" spans="1:8" ht="14.25">
      <c r="A43" s="80">
        <v>6</v>
      </c>
      <c r="B43" s="80" t="s">
        <v>61</v>
      </c>
      <c r="C43" s="80"/>
      <c r="D43" s="80"/>
      <c r="E43" s="80"/>
      <c r="F43" s="80"/>
      <c r="G43" s="80"/>
      <c r="H43" s="80"/>
    </row>
    <row r="44" spans="1:8" ht="14.25">
      <c r="A44" s="80">
        <v>7</v>
      </c>
      <c r="B44" s="80" t="s">
        <v>57</v>
      </c>
      <c r="C44" s="80"/>
      <c r="D44" s="80"/>
      <c r="E44" s="80"/>
      <c r="F44" s="80"/>
      <c r="G44" s="80"/>
      <c r="H44" s="80"/>
    </row>
    <row r="45" spans="1:8" ht="14.25">
      <c r="A45" s="80">
        <v>8</v>
      </c>
      <c r="B45" s="80" t="s">
        <v>58</v>
      </c>
      <c r="C45" s="80"/>
      <c r="D45" s="80"/>
      <c r="E45" s="80"/>
      <c r="F45" s="80"/>
      <c r="G45" s="80"/>
      <c r="H45" s="80"/>
    </row>
    <row r="46" spans="1:8" ht="14.25">
      <c r="A46" s="80">
        <v>9</v>
      </c>
      <c r="B46" s="80" t="s">
        <v>59</v>
      </c>
      <c r="C46" s="80"/>
      <c r="D46" s="80"/>
      <c r="E46" s="80"/>
      <c r="F46" s="80"/>
      <c r="G46" s="80"/>
      <c r="H46" s="80"/>
    </row>
    <row r="47" spans="1:8" ht="14.25">
      <c r="A47" s="80">
        <v>10</v>
      </c>
      <c r="B47" s="80" t="s">
        <v>60</v>
      </c>
      <c r="C47" s="80"/>
      <c r="D47" s="80"/>
      <c r="E47" s="80"/>
      <c r="F47" s="80"/>
      <c r="G47" s="80"/>
      <c r="H47" s="80"/>
    </row>
    <row r="48" spans="1:8" ht="14.25">
      <c r="A48" s="80">
        <v>11</v>
      </c>
      <c r="B48" s="80" t="s">
        <v>62</v>
      </c>
      <c r="C48" s="80"/>
      <c r="D48" s="80"/>
      <c r="E48" s="80"/>
      <c r="F48" s="80"/>
      <c r="G48" s="80"/>
      <c r="H48" s="80"/>
    </row>
  </sheetData>
  <protectedRanges>
    <protectedRange sqref="F36:F47" name="区域1_1"/>
  </protectedRanges>
  <mergeCells count="9">
    <mergeCell ref="A24:A27"/>
    <mergeCell ref="A28:A31"/>
    <mergeCell ref="A32:A34"/>
    <mergeCell ref="A3:A5"/>
    <mergeCell ref="A6:A9"/>
    <mergeCell ref="A10:A14"/>
    <mergeCell ref="A15:A18"/>
    <mergeCell ref="A19:A21"/>
    <mergeCell ref="A22:A23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204"/>
  <sheetViews>
    <sheetView showZeros="0" topLeftCell="A125" zoomScale="115" zoomScaleNormal="115" workbookViewId="0">
      <pane xSplit="1" topLeftCell="B1" activePane="topRight" state="frozen"/>
      <selection pane="topRight" activeCell="K139" sqref="K139"/>
    </sheetView>
  </sheetViews>
  <sheetFormatPr defaultColWidth="9" defaultRowHeight="12.75" customHeight="1"/>
  <cols>
    <col min="1" max="1" width="12.875" style="19" customWidth="1"/>
    <col min="2" max="2" width="11" style="19" customWidth="1"/>
    <col min="3" max="8" width="6.25" style="65" customWidth="1"/>
    <col min="9" max="16" width="6.25" style="80" customWidth="1"/>
    <col min="17" max="18" width="6.25" style="65" customWidth="1"/>
    <col min="19" max="25" width="13.375" style="65" customWidth="1"/>
    <col min="26" max="26" width="10.125" style="65" bestFit="1" customWidth="1"/>
    <col min="27" max="27" width="9" style="61" customWidth="1"/>
    <col min="28" max="29" width="15.125" style="61" customWidth="1"/>
    <col min="30" max="32" width="9" style="61" customWidth="1"/>
    <col min="33" max="34" width="9" style="65" customWidth="1"/>
    <col min="35" max="42" width="9" style="65"/>
    <col min="43" max="16384" width="9" style="19"/>
  </cols>
  <sheetData>
    <row r="1" spans="1:42" s="65" customFormat="1" ht="12.75" customHeight="1">
      <c r="I1" s="80"/>
      <c r="J1" s="80"/>
      <c r="K1" s="80"/>
      <c r="L1" s="80"/>
      <c r="M1" s="80"/>
      <c r="N1" s="80"/>
      <c r="O1" s="80"/>
      <c r="P1" s="80"/>
      <c r="AA1" s="61"/>
      <c r="AB1" s="61"/>
      <c r="AC1" s="61"/>
      <c r="AD1" s="61"/>
      <c r="AE1" s="61"/>
      <c r="AF1" s="61"/>
    </row>
    <row r="2" spans="1:42" s="18" customFormat="1" ht="12.75" hidden="1" customHeight="1">
      <c r="A2" s="16" t="s">
        <v>47</v>
      </c>
      <c r="B2" s="17" t="s">
        <v>444</v>
      </c>
      <c r="C2" s="56"/>
      <c r="D2" s="57"/>
      <c r="E2" s="58" t="s">
        <v>456</v>
      </c>
      <c r="F2" s="57"/>
      <c r="G2" s="59" t="s">
        <v>37</v>
      </c>
      <c r="H2" s="60">
        <v>11</v>
      </c>
      <c r="I2" s="57"/>
      <c r="J2" s="57" t="s">
        <v>55</v>
      </c>
      <c r="K2" s="57"/>
      <c r="L2" s="57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2"/>
      <c r="AA2" s="62"/>
      <c r="AB2" s="62"/>
      <c r="AC2" s="62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</row>
    <row r="3" spans="1:42" ht="12.75" hidden="1" customHeight="1">
      <c r="A3" s="340" t="s">
        <v>0</v>
      </c>
      <c r="B3" s="336" t="s">
        <v>1</v>
      </c>
      <c r="C3" s="331" t="s">
        <v>32</v>
      </c>
      <c r="D3" s="332"/>
      <c r="E3" s="331" t="s">
        <v>21</v>
      </c>
      <c r="F3" s="332"/>
      <c r="G3" s="335" t="s">
        <v>24</v>
      </c>
      <c r="H3" s="335"/>
      <c r="I3" s="328" t="s">
        <v>33</v>
      </c>
      <c r="J3" s="329"/>
      <c r="K3" s="329"/>
      <c r="L3" s="329"/>
      <c r="M3" s="329"/>
      <c r="N3" s="330"/>
      <c r="O3" s="331" t="s">
        <v>22</v>
      </c>
      <c r="P3" s="332"/>
      <c r="Q3" s="335" t="s">
        <v>23</v>
      </c>
      <c r="R3" s="335"/>
      <c r="S3" s="336" t="s">
        <v>34</v>
      </c>
      <c r="T3" s="64"/>
      <c r="U3" s="64"/>
      <c r="V3" s="64"/>
      <c r="W3" s="64"/>
      <c r="X3" s="64"/>
      <c r="Y3" s="64"/>
      <c r="Z3" s="339"/>
    </row>
    <row r="4" spans="1:42" ht="12.75" hidden="1" customHeight="1">
      <c r="A4" s="341"/>
      <c r="B4" s="337"/>
      <c r="C4" s="333"/>
      <c r="D4" s="334"/>
      <c r="E4" s="333"/>
      <c r="F4" s="334"/>
      <c r="G4" s="335"/>
      <c r="H4" s="335"/>
      <c r="I4" s="66" t="s">
        <v>28</v>
      </c>
      <c r="J4" s="67" t="s">
        <v>3</v>
      </c>
      <c r="K4" s="66" t="s">
        <v>29</v>
      </c>
      <c r="L4" s="67" t="s">
        <v>4</v>
      </c>
      <c r="M4" s="328" t="s">
        <v>30</v>
      </c>
      <c r="N4" s="330"/>
      <c r="O4" s="333"/>
      <c r="P4" s="334"/>
      <c r="Q4" s="335"/>
      <c r="R4" s="335"/>
      <c r="S4" s="337"/>
      <c r="T4" s="64"/>
      <c r="U4" s="64"/>
      <c r="V4" s="64"/>
      <c r="W4" s="64"/>
      <c r="X4" s="64"/>
      <c r="Y4" s="64"/>
      <c r="Z4" s="339"/>
    </row>
    <row r="5" spans="1:42" ht="12.75" hidden="1" customHeight="1">
      <c r="A5" s="342"/>
      <c r="B5" s="338"/>
      <c r="C5" s="68" t="s">
        <v>5</v>
      </c>
      <c r="D5" s="68" t="s">
        <v>6</v>
      </c>
      <c r="E5" s="67" t="s">
        <v>5</v>
      </c>
      <c r="F5" s="68" t="s">
        <v>6</v>
      </c>
      <c r="G5" s="68" t="s">
        <v>5</v>
      </c>
      <c r="H5" s="68" t="s">
        <v>6</v>
      </c>
      <c r="I5" s="67" t="s">
        <v>5</v>
      </c>
      <c r="J5" s="68" t="s">
        <v>6</v>
      </c>
      <c r="K5" s="67" t="s">
        <v>5</v>
      </c>
      <c r="L5" s="68" t="s">
        <v>6</v>
      </c>
      <c r="M5" s="68"/>
      <c r="N5" s="68"/>
      <c r="O5" s="67" t="s">
        <v>5</v>
      </c>
      <c r="P5" s="68" t="s">
        <v>6</v>
      </c>
      <c r="Q5" s="68" t="s">
        <v>5</v>
      </c>
      <c r="R5" s="68" t="s">
        <v>6</v>
      </c>
      <c r="S5" s="338"/>
      <c r="T5" s="64"/>
      <c r="U5" s="64"/>
      <c r="V5" s="64"/>
      <c r="W5" s="64"/>
      <c r="X5" s="64"/>
      <c r="Y5" s="64"/>
      <c r="Z5" s="339"/>
      <c r="AA5" s="61" t="s">
        <v>43</v>
      </c>
      <c r="AB5" s="61" t="s">
        <v>45</v>
      </c>
      <c r="AC5" s="61" t="s">
        <v>46</v>
      </c>
      <c r="AD5" s="61" t="s">
        <v>42</v>
      </c>
      <c r="AE5" s="61" t="s">
        <v>41</v>
      </c>
      <c r="AF5" s="61" t="s">
        <v>44</v>
      </c>
    </row>
    <row r="6" spans="1:42" ht="12.75" hidden="1" customHeight="1">
      <c r="A6" s="21" t="s">
        <v>7</v>
      </c>
      <c r="B6" s="1" t="s">
        <v>18</v>
      </c>
      <c r="C6" s="68">
        <v>0</v>
      </c>
      <c r="D6" s="68">
        <v>0</v>
      </c>
      <c r="E6" s="69">
        <f t="shared" ref="E6:F12" si="0">O6+Q6</f>
        <v>4</v>
      </c>
      <c r="F6" s="70">
        <f t="shared" si="0"/>
        <v>51</v>
      </c>
      <c r="G6" s="68">
        <f t="shared" ref="G6:G15" si="1">E6-C6</f>
        <v>4</v>
      </c>
      <c r="H6" s="68">
        <f t="shared" ref="H6:H15" si="2">F6-D6</f>
        <v>51</v>
      </c>
      <c r="I6" s="70"/>
      <c r="J6" s="70"/>
      <c r="K6" s="70"/>
      <c r="L6" s="70"/>
      <c r="M6" s="70">
        <f t="shared" ref="M6:M16" si="3">I6+K6</f>
        <v>0</v>
      </c>
      <c r="N6" s="70">
        <f t="shared" ref="N6:N16" si="4">J6+L6</f>
        <v>0</v>
      </c>
      <c r="O6" s="71"/>
      <c r="P6" s="71"/>
      <c r="Q6" s="70">
        <v>4</v>
      </c>
      <c r="R6" s="70">
        <v>51</v>
      </c>
      <c r="S6" s="72"/>
      <c r="T6" s="73"/>
      <c r="U6" s="73"/>
      <c r="V6" s="73"/>
      <c r="W6" s="73"/>
      <c r="X6" s="73"/>
      <c r="Y6" s="73"/>
      <c r="Z6" s="339"/>
      <c r="AA6" s="61">
        <f>H2</f>
        <v>11</v>
      </c>
      <c r="AB6" s="61" t="str">
        <f>E2</f>
        <v>PMX-SBC-171 W</v>
      </c>
      <c r="AC6" s="74" t="s">
        <v>47</v>
      </c>
      <c r="AD6" s="61" t="str">
        <f t="shared" ref="AD6:AD19" si="5">A6</f>
        <v>KR</v>
      </c>
      <c r="AE6" s="61">
        <f t="shared" ref="AE6:AE19" si="6">C6</f>
        <v>0</v>
      </c>
      <c r="AF6" s="61">
        <f t="shared" ref="AF6:AF19" si="7">E6</f>
        <v>4</v>
      </c>
    </row>
    <row r="7" spans="1:42" ht="12.75" hidden="1" customHeight="1">
      <c r="A7" s="23" t="s">
        <v>13</v>
      </c>
      <c r="B7" s="1">
        <v>43164</v>
      </c>
      <c r="C7" s="68">
        <v>400</v>
      </c>
      <c r="D7" s="68">
        <f t="shared" ref="D7:D8" si="8">C7*13</f>
        <v>5200</v>
      </c>
      <c r="E7" s="69">
        <f t="shared" si="0"/>
        <v>352</v>
      </c>
      <c r="F7" s="70">
        <f t="shared" si="0"/>
        <v>4887</v>
      </c>
      <c r="G7" s="68">
        <f t="shared" si="1"/>
        <v>-48</v>
      </c>
      <c r="H7" s="68">
        <f t="shared" si="2"/>
        <v>-313</v>
      </c>
      <c r="I7" s="75"/>
      <c r="J7" s="75"/>
      <c r="K7" s="70">
        <v>119</v>
      </c>
      <c r="L7" s="70">
        <v>1665</v>
      </c>
      <c r="M7" s="70">
        <f t="shared" si="3"/>
        <v>119</v>
      </c>
      <c r="N7" s="70">
        <f t="shared" si="4"/>
        <v>1665</v>
      </c>
      <c r="O7" s="75">
        <v>352</v>
      </c>
      <c r="P7" s="75">
        <v>4887</v>
      </c>
      <c r="Q7" s="71"/>
      <c r="R7" s="71"/>
      <c r="S7" s="72"/>
      <c r="T7" s="73"/>
      <c r="U7" s="73"/>
      <c r="V7" s="73"/>
      <c r="W7" s="73"/>
      <c r="X7" s="73"/>
      <c r="Y7" s="73"/>
      <c r="AA7" s="61">
        <f>H2</f>
        <v>11</v>
      </c>
      <c r="AB7" s="61" t="str">
        <f>E2</f>
        <v>PMX-SBC-171 W</v>
      </c>
      <c r="AC7" s="74" t="s">
        <v>47</v>
      </c>
      <c r="AD7" s="61" t="str">
        <f t="shared" si="5"/>
        <v>TAO</v>
      </c>
      <c r="AE7" s="61">
        <f t="shared" si="6"/>
        <v>400</v>
      </c>
      <c r="AF7" s="61">
        <f t="shared" si="7"/>
        <v>352</v>
      </c>
    </row>
    <row r="8" spans="1:42" ht="12.75" hidden="1" customHeight="1">
      <c r="A8" s="23" t="s">
        <v>9</v>
      </c>
      <c r="B8" s="1">
        <v>43166</v>
      </c>
      <c r="C8" s="68">
        <v>600</v>
      </c>
      <c r="D8" s="68">
        <f t="shared" si="8"/>
        <v>7800</v>
      </c>
      <c r="E8" s="69">
        <f t="shared" si="0"/>
        <v>387</v>
      </c>
      <c r="F8" s="70">
        <f t="shared" si="0"/>
        <v>5216</v>
      </c>
      <c r="G8" s="68">
        <f t="shared" si="1"/>
        <v>-213</v>
      </c>
      <c r="H8" s="68">
        <f t="shared" si="2"/>
        <v>-2584</v>
      </c>
      <c r="I8" s="75"/>
      <c r="J8" s="75"/>
      <c r="K8" s="71">
        <v>68</v>
      </c>
      <c r="L8" s="71">
        <v>1106</v>
      </c>
      <c r="M8" s="70">
        <f t="shared" si="3"/>
        <v>68</v>
      </c>
      <c r="N8" s="70">
        <f t="shared" si="4"/>
        <v>1106</v>
      </c>
      <c r="O8" s="75">
        <f>359+28</f>
        <v>387</v>
      </c>
      <c r="P8" s="75">
        <v>5216</v>
      </c>
      <c r="Q8" s="71"/>
      <c r="R8" s="71"/>
      <c r="S8" s="72"/>
      <c r="T8" s="73"/>
      <c r="U8" s="73"/>
      <c r="V8" s="73"/>
      <c r="W8" s="73"/>
      <c r="X8" s="73"/>
      <c r="Y8" s="73"/>
      <c r="AA8" s="61">
        <f>H2</f>
        <v>11</v>
      </c>
      <c r="AB8" s="61" t="str">
        <f>E2</f>
        <v>PMX-SBC-171 W</v>
      </c>
      <c r="AC8" s="74" t="s">
        <v>47</v>
      </c>
      <c r="AD8" s="61" t="str">
        <f t="shared" si="5"/>
        <v>SHA</v>
      </c>
      <c r="AE8" s="61">
        <f t="shared" si="6"/>
        <v>600</v>
      </c>
      <c r="AF8" s="61">
        <f t="shared" si="7"/>
        <v>387</v>
      </c>
    </row>
    <row r="9" spans="1:42" ht="12.75" hidden="1" customHeight="1">
      <c r="A9" s="23" t="s">
        <v>8</v>
      </c>
      <c r="B9" s="68">
        <v>43167</v>
      </c>
      <c r="C9" s="68">
        <v>375</v>
      </c>
      <c r="D9" s="68">
        <v>4875</v>
      </c>
      <c r="E9" s="69">
        <f t="shared" si="0"/>
        <v>371</v>
      </c>
      <c r="F9" s="70">
        <f t="shared" si="0"/>
        <v>2754</v>
      </c>
      <c r="G9" s="68">
        <f t="shared" si="1"/>
        <v>-4</v>
      </c>
      <c r="H9" s="68">
        <f t="shared" si="2"/>
        <v>-2121</v>
      </c>
      <c r="I9" s="71"/>
      <c r="J9" s="71"/>
      <c r="K9" s="71">
        <v>31</v>
      </c>
      <c r="L9" s="71">
        <v>299</v>
      </c>
      <c r="M9" s="70">
        <f t="shared" si="3"/>
        <v>31</v>
      </c>
      <c r="N9" s="70">
        <f t="shared" si="4"/>
        <v>299</v>
      </c>
      <c r="O9" s="71"/>
      <c r="P9" s="71"/>
      <c r="Q9" s="71">
        <v>371</v>
      </c>
      <c r="R9" s="71">
        <v>2754</v>
      </c>
      <c r="S9" s="72"/>
      <c r="T9" s="73"/>
      <c r="U9" s="73"/>
      <c r="V9" s="73"/>
      <c r="W9" s="73"/>
      <c r="X9" s="73"/>
      <c r="Y9" s="73"/>
      <c r="AA9" s="61">
        <f>H2</f>
        <v>11</v>
      </c>
      <c r="AB9" s="61" t="str">
        <f>E2</f>
        <v>PMX-SBC-171 W</v>
      </c>
      <c r="AC9" s="74" t="s">
        <v>47</v>
      </c>
      <c r="AD9" s="61" t="str">
        <f t="shared" si="5"/>
        <v>NGB</v>
      </c>
      <c r="AE9" s="61">
        <f t="shared" si="6"/>
        <v>375</v>
      </c>
      <c r="AF9" s="61">
        <f t="shared" si="7"/>
        <v>371</v>
      </c>
    </row>
    <row r="10" spans="1:42" ht="12.75" hidden="1" customHeight="1">
      <c r="A10" s="23" t="s">
        <v>10</v>
      </c>
      <c r="B10" s="1" t="s">
        <v>9</v>
      </c>
      <c r="C10" s="68">
        <v>80</v>
      </c>
      <c r="D10" s="68">
        <v>1040</v>
      </c>
      <c r="E10" s="69">
        <f t="shared" si="0"/>
        <v>199</v>
      </c>
      <c r="F10" s="70">
        <f t="shared" si="0"/>
        <v>3090</v>
      </c>
      <c r="G10" s="68">
        <f t="shared" si="1"/>
        <v>119</v>
      </c>
      <c r="H10" s="68">
        <f t="shared" si="2"/>
        <v>2050</v>
      </c>
      <c r="I10" s="75"/>
      <c r="J10" s="75"/>
      <c r="K10" s="70"/>
      <c r="L10" s="70"/>
      <c r="M10" s="70">
        <f t="shared" si="3"/>
        <v>0</v>
      </c>
      <c r="N10" s="70">
        <f t="shared" si="4"/>
        <v>0</v>
      </c>
      <c r="O10" s="75">
        <v>199</v>
      </c>
      <c r="P10" s="75">
        <v>3090</v>
      </c>
      <c r="Q10" s="70"/>
      <c r="R10" s="70"/>
      <c r="S10" s="72"/>
      <c r="T10" s="73"/>
      <c r="U10" s="73"/>
      <c r="V10" s="73"/>
      <c r="W10" s="73"/>
      <c r="X10" s="73"/>
      <c r="Y10" s="73"/>
      <c r="AA10" s="61">
        <f>H2</f>
        <v>11</v>
      </c>
      <c r="AB10" s="61" t="str">
        <f>E2</f>
        <v>PMX-SBC-171 W</v>
      </c>
      <c r="AC10" s="74" t="s">
        <v>47</v>
      </c>
      <c r="AD10" s="61" t="str">
        <f t="shared" si="5"/>
        <v>WUH</v>
      </c>
      <c r="AE10" s="61">
        <f t="shared" si="6"/>
        <v>80</v>
      </c>
      <c r="AF10" s="61">
        <f t="shared" si="7"/>
        <v>199</v>
      </c>
    </row>
    <row r="11" spans="1:42" ht="12.75" hidden="1" customHeight="1">
      <c r="A11" s="23" t="s">
        <v>11</v>
      </c>
      <c r="B11" s="1" t="s">
        <v>20</v>
      </c>
      <c r="C11" s="68">
        <v>75</v>
      </c>
      <c r="D11" s="68">
        <v>975</v>
      </c>
      <c r="E11" s="69">
        <f t="shared" si="0"/>
        <v>94</v>
      </c>
      <c r="F11" s="70">
        <f t="shared" si="0"/>
        <v>1673</v>
      </c>
      <c r="G11" s="68">
        <f t="shared" si="1"/>
        <v>19</v>
      </c>
      <c r="H11" s="68">
        <f t="shared" si="2"/>
        <v>698</v>
      </c>
      <c r="I11" s="70"/>
      <c r="J11" s="70"/>
      <c r="K11" s="70"/>
      <c r="L11" s="70"/>
      <c r="M11" s="70">
        <f t="shared" si="3"/>
        <v>0</v>
      </c>
      <c r="N11" s="70">
        <f t="shared" si="4"/>
        <v>0</v>
      </c>
      <c r="O11" s="75"/>
      <c r="P11" s="75"/>
      <c r="Q11" s="70">
        <v>94</v>
      </c>
      <c r="R11" s="70">
        <v>1673</v>
      </c>
      <c r="S11" s="72"/>
      <c r="T11" s="73"/>
      <c r="U11" s="73"/>
      <c r="V11" s="73"/>
      <c r="W11" s="73"/>
      <c r="X11" s="73"/>
      <c r="Y11" s="73"/>
      <c r="AA11" s="61">
        <f>H2</f>
        <v>11</v>
      </c>
      <c r="AB11" s="61" t="str">
        <f>E2</f>
        <v>PMX-SBC-171 W</v>
      </c>
      <c r="AC11" s="74" t="s">
        <v>47</v>
      </c>
      <c r="AD11" s="61" t="str">
        <f t="shared" si="5"/>
        <v>DLC</v>
      </c>
      <c r="AE11" s="61">
        <f t="shared" si="6"/>
        <v>75</v>
      </c>
      <c r="AF11" s="61">
        <f t="shared" si="7"/>
        <v>94</v>
      </c>
    </row>
    <row r="12" spans="1:42" ht="12.75" hidden="1" customHeight="1">
      <c r="A12" s="23" t="s">
        <v>12</v>
      </c>
      <c r="B12" s="1" t="s">
        <v>20</v>
      </c>
      <c r="C12" s="68">
        <v>100</v>
      </c>
      <c r="D12" s="68">
        <v>1300</v>
      </c>
      <c r="E12" s="69">
        <f t="shared" si="0"/>
        <v>156</v>
      </c>
      <c r="F12" s="70">
        <f t="shared" si="0"/>
        <v>1720</v>
      </c>
      <c r="G12" s="68">
        <f t="shared" si="1"/>
        <v>56</v>
      </c>
      <c r="H12" s="68">
        <f t="shared" si="2"/>
        <v>420</v>
      </c>
      <c r="I12" s="70"/>
      <c r="J12" s="70"/>
      <c r="K12" s="70"/>
      <c r="L12" s="70"/>
      <c r="M12" s="70">
        <f t="shared" si="3"/>
        <v>0</v>
      </c>
      <c r="N12" s="70">
        <f t="shared" si="4"/>
        <v>0</v>
      </c>
      <c r="O12" s="75">
        <f>31+15</f>
        <v>46</v>
      </c>
      <c r="P12" s="75">
        <v>367</v>
      </c>
      <c r="Q12" s="76">
        <v>110</v>
      </c>
      <c r="R12" s="71">
        <v>1353</v>
      </c>
      <c r="S12" s="72"/>
      <c r="T12" s="73"/>
      <c r="U12" s="73"/>
      <c r="V12" s="73"/>
      <c r="W12" s="73"/>
      <c r="X12" s="73"/>
      <c r="Y12" s="73"/>
      <c r="AA12" s="61">
        <f>H2</f>
        <v>11</v>
      </c>
      <c r="AB12" s="61" t="str">
        <f>E2</f>
        <v>PMX-SBC-171 W</v>
      </c>
      <c r="AC12" s="74" t="s">
        <v>47</v>
      </c>
      <c r="AD12" s="61" t="str">
        <f t="shared" si="5"/>
        <v>TSN</v>
      </c>
      <c r="AE12" s="61">
        <f t="shared" si="6"/>
        <v>100</v>
      </c>
      <c r="AF12" s="61">
        <f t="shared" si="7"/>
        <v>156</v>
      </c>
    </row>
    <row r="13" spans="1:42" ht="12.75" hidden="1" customHeight="1">
      <c r="A13" s="23" t="s">
        <v>14</v>
      </c>
      <c r="B13" s="1" t="s">
        <v>20</v>
      </c>
      <c r="C13" s="68">
        <v>50</v>
      </c>
      <c r="D13" s="68">
        <v>650</v>
      </c>
      <c r="E13" s="69">
        <v>0</v>
      </c>
      <c r="F13" s="70">
        <v>0</v>
      </c>
      <c r="G13" s="68">
        <f t="shared" si="1"/>
        <v>-50</v>
      </c>
      <c r="H13" s="68">
        <f t="shared" si="2"/>
        <v>-650</v>
      </c>
      <c r="I13" s="70"/>
      <c r="J13" s="70"/>
      <c r="K13" s="70"/>
      <c r="L13" s="70"/>
      <c r="M13" s="70">
        <f t="shared" si="3"/>
        <v>0</v>
      </c>
      <c r="N13" s="70">
        <f t="shared" si="4"/>
        <v>0</v>
      </c>
      <c r="O13" s="71"/>
      <c r="P13" s="71"/>
      <c r="Q13" s="70"/>
      <c r="R13" s="70"/>
      <c r="S13" s="72"/>
      <c r="T13" s="73"/>
      <c r="U13" s="73"/>
      <c r="V13" s="73"/>
      <c r="W13" s="73"/>
      <c r="X13" s="73"/>
      <c r="Y13" s="73"/>
      <c r="AA13" s="61">
        <f>H2</f>
        <v>11</v>
      </c>
      <c r="AB13" s="61" t="str">
        <f>E2</f>
        <v>PMX-SBC-171 W</v>
      </c>
      <c r="AC13" s="74" t="s">
        <v>47</v>
      </c>
      <c r="AD13" s="61" t="str">
        <f t="shared" si="5"/>
        <v>XMN</v>
      </c>
      <c r="AE13" s="61">
        <f t="shared" si="6"/>
        <v>50</v>
      </c>
      <c r="AF13" s="61">
        <f t="shared" si="7"/>
        <v>0</v>
      </c>
    </row>
    <row r="14" spans="1:42" ht="12.75" hidden="1" customHeight="1">
      <c r="A14" s="23" t="s">
        <v>19</v>
      </c>
      <c r="B14" s="1" t="s">
        <v>20</v>
      </c>
      <c r="C14" s="68">
        <v>20</v>
      </c>
      <c r="D14" s="68">
        <v>260</v>
      </c>
      <c r="E14" s="69">
        <v>0</v>
      </c>
      <c r="F14" s="70">
        <v>0</v>
      </c>
      <c r="G14" s="68">
        <f t="shared" si="1"/>
        <v>-20</v>
      </c>
      <c r="H14" s="68">
        <f t="shared" si="2"/>
        <v>-260</v>
      </c>
      <c r="I14" s="70"/>
      <c r="J14" s="70"/>
      <c r="K14" s="70"/>
      <c r="L14" s="70"/>
      <c r="M14" s="70">
        <f t="shared" si="3"/>
        <v>0</v>
      </c>
      <c r="N14" s="70">
        <f t="shared" si="4"/>
        <v>0</v>
      </c>
      <c r="O14" s="70"/>
      <c r="P14" s="70"/>
      <c r="Q14" s="70">
        <v>4</v>
      </c>
      <c r="R14" s="70">
        <v>16</v>
      </c>
      <c r="S14" s="72"/>
      <c r="T14" s="73"/>
      <c r="U14" s="73"/>
      <c r="V14" s="73"/>
      <c r="W14" s="73"/>
      <c r="X14" s="73"/>
      <c r="Y14" s="73"/>
      <c r="AA14" s="61">
        <f>H2</f>
        <v>11</v>
      </c>
      <c r="AB14" s="61" t="str">
        <f>E2</f>
        <v>PMX-SBC-171 W</v>
      </c>
      <c r="AC14" s="74" t="s">
        <v>47</v>
      </c>
      <c r="AD14" s="61" t="str">
        <f t="shared" si="5"/>
        <v>TWC</v>
      </c>
      <c r="AE14" s="61">
        <f t="shared" si="6"/>
        <v>20</v>
      </c>
      <c r="AF14" s="61">
        <f t="shared" si="7"/>
        <v>0</v>
      </c>
    </row>
    <row r="15" spans="1:42" ht="12.75" hidden="1" customHeight="1">
      <c r="A15" s="23" t="s">
        <v>16</v>
      </c>
      <c r="B15" s="26"/>
      <c r="C15" s="68"/>
      <c r="D15" s="68"/>
      <c r="E15" s="69">
        <f t="shared" ref="E15:F19" si="9">O15+Q15</f>
        <v>0</v>
      </c>
      <c r="F15" s="70">
        <f t="shared" si="9"/>
        <v>0</v>
      </c>
      <c r="G15" s="68">
        <f t="shared" si="1"/>
        <v>0</v>
      </c>
      <c r="H15" s="68">
        <f t="shared" si="2"/>
        <v>0</v>
      </c>
      <c r="I15" s="70"/>
      <c r="J15" s="70"/>
      <c r="K15" s="70"/>
      <c r="L15" s="70"/>
      <c r="M15" s="70">
        <f t="shared" si="3"/>
        <v>0</v>
      </c>
      <c r="N15" s="70">
        <f t="shared" si="4"/>
        <v>0</v>
      </c>
      <c r="O15" s="70"/>
      <c r="P15" s="70"/>
      <c r="Q15" s="70"/>
      <c r="R15" s="72"/>
      <c r="S15" s="72"/>
      <c r="T15" s="73"/>
      <c r="U15" s="73"/>
      <c r="V15" s="73"/>
      <c r="W15" s="73"/>
      <c r="X15" s="73"/>
      <c r="Y15" s="73"/>
      <c r="AA15" s="61">
        <f>H2</f>
        <v>11</v>
      </c>
      <c r="AB15" s="61" t="str">
        <f>E2</f>
        <v>PMX-SBC-171 W</v>
      </c>
      <c r="AC15" s="74" t="s">
        <v>47</v>
      </c>
      <c r="AD15" s="61" t="str">
        <f t="shared" si="5"/>
        <v>HUA</v>
      </c>
      <c r="AE15" s="61">
        <f t="shared" si="6"/>
        <v>0</v>
      </c>
      <c r="AF15" s="61">
        <f t="shared" si="7"/>
        <v>0</v>
      </c>
    </row>
    <row r="16" spans="1:42" ht="12.75" hidden="1" customHeight="1">
      <c r="A16" s="23" t="s">
        <v>2</v>
      </c>
      <c r="B16" s="26"/>
      <c r="C16" s="68"/>
      <c r="D16" s="68"/>
      <c r="E16" s="69">
        <f t="shared" si="9"/>
        <v>0</v>
      </c>
      <c r="F16" s="70">
        <f t="shared" si="9"/>
        <v>0</v>
      </c>
      <c r="G16" s="68"/>
      <c r="H16" s="68"/>
      <c r="I16" s="70"/>
      <c r="J16" s="70"/>
      <c r="K16" s="70"/>
      <c r="L16" s="70"/>
      <c r="M16" s="70">
        <f t="shared" si="3"/>
        <v>0</v>
      </c>
      <c r="N16" s="70">
        <f t="shared" si="4"/>
        <v>0</v>
      </c>
      <c r="O16" s="70"/>
      <c r="P16" s="70"/>
      <c r="Q16" s="70"/>
      <c r="R16" s="70"/>
      <c r="S16" s="72"/>
      <c r="T16" s="73"/>
      <c r="U16" s="73"/>
      <c r="V16" s="73"/>
      <c r="W16" s="73"/>
      <c r="X16" s="73"/>
      <c r="Y16" s="73"/>
      <c r="AA16" s="61">
        <f>H2</f>
        <v>11</v>
      </c>
      <c r="AB16" s="61" t="str">
        <f>E2</f>
        <v>PMX-SBC-171 W</v>
      </c>
      <c r="AC16" s="74" t="s">
        <v>47</v>
      </c>
      <c r="AD16" s="61" t="str">
        <f t="shared" si="5"/>
        <v>HKG</v>
      </c>
      <c r="AE16" s="61">
        <f t="shared" si="6"/>
        <v>0</v>
      </c>
      <c r="AF16" s="61">
        <f t="shared" si="7"/>
        <v>0</v>
      </c>
    </row>
    <row r="17" spans="1:42" ht="12.75" hidden="1" customHeight="1">
      <c r="A17" s="23" t="s">
        <v>3</v>
      </c>
      <c r="B17" s="1">
        <v>43173</v>
      </c>
      <c r="C17" s="68">
        <v>150</v>
      </c>
      <c r="D17" s="68">
        <v>1950</v>
      </c>
      <c r="E17" s="69">
        <f t="shared" si="9"/>
        <v>0</v>
      </c>
      <c r="F17" s="70">
        <f t="shared" si="9"/>
        <v>0</v>
      </c>
      <c r="G17" s="68">
        <f t="shared" ref="G17:H20" si="10">E17-C17</f>
        <v>-150</v>
      </c>
      <c r="H17" s="68">
        <f t="shared" si="10"/>
        <v>-1950</v>
      </c>
      <c r="I17" s="70"/>
      <c r="J17" s="70"/>
      <c r="K17" s="70"/>
      <c r="L17" s="70"/>
      <c r="M17" s="70"/>
      <c r="N17" s="70"/>
      <c r="O17" s="68"/>
      <c r="P17" s="68"/>
      <c r="Q17" s="70"/>
      <c r="R17" s="70"/>
      <c r="S17" s="77" t="s">
        <v>457</v>
      </c>
      <c r="T17" s="73"/>
      <c r="U17" s="73"/>
      <c r="V17" s="73"/>
      <c r="W17" s="73"/>
      <c r="X17" s="73"/>
      <c r="Y17" s="73"/>
      <c r="AA17" s="61">
        <f>H2</f>
        <v>11</v>
      </c>
      <c r="AB17" s="61" t="str">
        <f>E2</f>
        <v>PMX-SBC-171 W</v>
      </c>
      <c r="AC17" s="74" t="s">
        <v>47</v>
      </c>
      <c r="AD17" s="61" t="str">
        <f t="shared" si="5"/>
        <v>SGP</v>
      </c>
      <c r="AE17" s="61">
        <f t="shared" si="6"/>
        <v>150</v>
      </c>
      <c r="AF17" s="61">
        <f t="shared" si="7"/>
        <v>0</v>
      </c>
    </row>
    <row r="18" spans="1:42" ht="12.75" hidden="1" customHeight="1">
      <c r="A18" s="23" t="s">
        <v>4</v>
      </c>
      <c r="B18" s="1">
        <v>43175</v>
      </c>
      <c r="C18" s="68">
        <v>50</v>
      </c>
      <c r="D18" s="68">
        <v>650</v>
      </c>
      <c r="E18" s="69">
        <f t="shared" si="9"/>
        <v>15</v>
      </c>
      <c r="F18" s="70">
        <f t="shared" si="9"/>
        <v>280</v>
      </c>
      <c r="G18" s="68">
        <f t="shared" si="10"/>
        <v>-35</v>
      </c>
      <c r="H18" s="68">
        <f t="shared" si="10"/>
        <v>-370</v>
      </c>
      <c r="I18" s="70"/>
      <c r="J18" s="70"/>
      <c r="K18" s="70"/>
      <c r="L18" s="70"/>
      <c r="M18" s="70">
        <f t="shared" ref="M18:M19" si="11">I18+K18</f>
        <v>0</v>
      </c>
      <c r="N18" s="70">
        <f t="shared" ref="N18:N19" si="12">J18+L18</f>
        <v>0</v>
      </c>
      <c r="O18" s="70"/>
      <c r="P18" s="70"/>
      <c r="Q18" s="70">
        <v>15</v>
      </c>
      <c r="R18" s="70">
        <v>280</v>
      </c>
      <c r="S18" s="72"/>
      <c r="T18" s="73"/>
      <c r="U18" s="73"/>
      <c r="V18" s="73"/>
      <c r="W18" s="73"/>
      <c r="X18" s="73"/>
      <c r="Y18" s="73"/>
      <c r="AA18" s="61">
        <f>H2</f>
        <v>11</v>
      </c>
      <c r="AB18" s="61" t="str">
        <f>E2</f>
        <v>PMX-SBC-171 W</v>
      </c>
      <c r="AC18" s="74" t="s">
        <v>47</v>
      </c>
      <c r="AD18" s="61" t="str">
        <f t="shared" si="5"/>
        <v>PKL</v>
      </c>
      <c r="AE18" s="61">
        <f t="shared" si="6"/>
        <v>50</v>
      </c>
      <c r="AF18" s="61">
        <f t="shared" si="7"/>
        <v>15</v>
      </c>
    </row>
    <row r="19" spans="1:42" ht="12.75" hidden="1" customHeight="1">
      <c r="A19" s="23" t="s">
        <v>31</v>
      </c>
      <c r="B19" s="1"/>
      <c r="C19" s="68"/>
      <c r="D19" s="68"/>
      <c r="E19" s="69">
        <f t="shared" si="9"/>
        <v>127</v>
      </c>
      <c r="F19" s="70">
        <f t="shared" si="9"/>
        <v>1519</v>
      </c>
      <c r="G19" s="68">
        <f t="shared" si="10"/>
        <v>127</v>
      </c>
      <c r="H19" s="68">
        <f t="shared" si="10"/>
        <v>1519</v>
      </c>
      <c r="I19" s="70"/>
      <c r="J19" s="70"/>
      <c r="K19" s="70"/>
      <c r="L19" s="70"/>
      <c r="M19" s="70">
        <f t="shared" si="11"/>
        <v>0</v>
      </c>
      <c r="N19" s="70">
        <f t="shared" si="12"/>
        <v>0</v>
      </c>
      <c r="O19" s="71"/>
      <c r="P19" s="71"/>
      <c r="Q19" s="71">
        <v>127</v>
      </c>
      <c r="R19" s="71">
        <v>1519</v>
      </c>
      <c r="S19" s="72"/>
      <c r="T19" s="73"/>
      <c r="U19" s="73"/>
      <c r="V19" s="73"/>
      <c r="W19" s="73"/>
      <c r="X19" s="73"/>
      <c r="Y19" s="73"/>
      <c r="AA19" s="61">
        <f>H2</f>
        <v>11</v>
      </c>
      <c r="AB19" s="61" t="str">
        <f>E2</f>
        <v>PMX-SBC-171 W</v>
      </c>
      <c r="AC19" s="74" t="s">
        <v>47</v>
      </c>
      <c r="AD19" s="61" t="str">
        <f t="shared" si="5"/>
        <v>COSCO T/S</v>
      </c>
      <c r="AE19" s="61">
        <f t="shared" si="6"/>
        <v>0</v>
      </c>
      <c r="AF19" s="61">
        <f t="shared" si="7"/>
        <v>127</v>
      </c>
    </row>
    <row r="20" spans="1:42" ht="12.75" hidden="1" customHeight="1">
      <c r="A20" s="23" t="s">
        <v>35</v>
      </c>
      <c r="B20" s="2"/>
      <c r="C20" s="71">
        <v>1949</v>
      </c>
      <c r="D20" s="71">
        <f>C20*13</f>
        <v>25337</v>
      </c>
      <c r="E20" s="78">
        <f>SUM(E6:E19)</f>
        <v>1705</v>
      </c>
      <c r="F20" s="76">
        <f>SUM(F6:F19)</f>
        <v>21190</v>
      </c>
      <c r="G20" s="71">
        <f t="shared" si="10"/>
        <v>-244</v>
      </c>
      <c r="H20" s="71">
        <f t="shared" si="10"/>
        <v>-4147</v>
      </c>
      <c r="I20" s="70">
        <f t="shared" ref="I20:N20" si="13">SUM(I6:I19)</f>
        <v>0</v>
      </c>
      <c r="J20" s="70">
        <f t="shared" si="13"/>
        <v>0</v>
      </c>
      <c r="K20" s="70">
        <f t="shared" si="13"/>
        <v>218</v>
      </c>
      <c r="L20" s="70">
        <f t="shared" si="13"/>
        <v>3070</v>
      </c>
      <c r="M20" s="70">
        <f t="shared" si="13"/>
        <v>218</v>
      </c>
      <c r="N20" s="70">
        <f t="shared" si="13"/>
        <v>3070</v>
      </c>
      <c r="O20" s="70">
        <f>SUM(O6:O19)</f>
        <v>984</v>
      </c>
      <c r="P20" s="70">
        <f t="shared" ref="P20:R20" si="14">SUM(P6:P19)</f>
        <v>13560</v>
      </c>
      <c r="Q20" s="70">
        <f t="shared" si="14"/>
        <v>725</v>
      </c>
      <c r="R20" s="70">
        <f t="shared" si="14"/>
        <v>7646</v>
      </c>
      <c r="S20" s="72"/>
      <c r="T20" s="73"/>
      <c r="U20" s="73"/>
      <c r="V20" s="73"/>
      <c r="W20" s="73"/>
      <c r="X20" s="73"/>
      <c r="Y20" s="73"/>
      <c r="AC20" s="74"/>
    </row>
    <row r="21" spans="1:42" s="65" customFormat="1" ht="12.75" hidden="1" customHeight="1">
      <c r="A21" s="84">
        <f>D20/C20</f>
        <v>13</v>
      </c>
      <c r="C21" s="79">
        <f>F20-E21</f>
        <v>-1613.2999999999993</v>
      </c>
      <c r="E21" s="65">
        <f>D20*0.9</f>
        <v>22803.3</v>
      </c>
      <c r="F21" s="79">
        <f>E20-L21</f>
        <v>-49.100000000000136</v>
      </c>
      <c r="I21" s="80" t="s">
        <v>48</v>
      </c>
      <c r="J21" s="245">
        <f>E20/C20</f>
        <v>0.87480759363776295</v>
      </c>
      <c r="K21" s="80"/>
      <c r="L21" s="80">
        <f>C20*0.9</f>
        <v>1754.1000000000001</v>
      </c>
      <c r="M21" s="80"/>
      <c r="N21" s="80"/>
      <c r="O21" s="80" t="s">
        <v>49</v>
      </c>
      <c r="P21" s="80"/>
      <c r="Q21" s="65">
        <f>P7+P8+P10+P11+P12+J7+J8+L7+L8+J10+R10</f>
        <v>16331</v>
      </c>
      <c r="R21" s="65">
        <v>16856</v>
      </c>
      <c r="AA21" s="61"/>
      <c r="AB21" s="61"/>
      <c r="AC21" s="74"/>
      <c r="AD21" s="61"/>
      <c r="AE21" s="61"/>
      <c r="AF21" s="61"/>
    </row>
    <row r="22" spans="1:42" ht="12.75" hidden="1" customHeight="1">
      <c r="B22" s="27"/>
      <c r="R22" s="65">
        <f>R21-Q21</f>
        <v>525</v>
      </c>
      <c r="AC22" s="74"/>
    </row>
    <row r="23" spans="1:42" s="18" customFormat="1" ht="12.75" hidden="1" customHeight="1">
      <c r="A23" s="16" t="s">
        <v>47</v>
      </c>
      <c r="B23" s="28" t="s">
        <v>445</v>
      </c>
      <c r="C23" s="56"/>
      <c r="D23" s="57"/>
      <c r="E23" s="58" t="s">
        <v>469</v>
      </c>
      <c r="F23" s="57"/>
      <c r="G23" s="59" t="s">
        <v>37</v>
      </c>
      <c r="H23" s="60">
        <f>H2+1</f>
        <v>12</v>
      </c>
      <c r="I23" s="57"/>
      <c r="J23" s="57"/>
      <c r="K23" s="57"/>
      <c r="L23" s="57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2"/>
      <c r="AA23" s="62"/>
      <c r="AB23" s="62"/>
      <c r="AC23" s="62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</row>
    <row r="24" spans="1:42" ht="12.75" hidden="1" customHeight="1">
      <c r="A24" s="340" t="s">
        <v>0</v>
      </c>
      <c r="B24" s="343" t="s">
        <v>1</v>
      </c>
      <c r="C24" s="331" t="s">
        <v>25</v>
      </c>
      <c r="D24" s="332"/>
      <c r="E24" s="331" t="s">
        <v>26</v>
      </c>
      <c r="F24" s="332"/>
      <c r="G24" s="335" t="s">
        <v>24</v>
      </c>
      <c r="H24" s="335"/>
      <c r="I24" s="328" t="s">
        <v>33</v>
      </c>
      <c r="J24" s="329"/>
      <c r="K24" s="329"/>
      <c r="L24" s="329"/>
      <c r="M24" s="329"/>
      <c r="N24" s="330"/>
      <c r="O24" s="331" t="s">
        <v>22</v>
      </c>
      <c r="P24" s="332"/>
      <c r="Q24" s="335" t="s">
        <v>23</v>
      </c>
      <c r="R24" s="335"/>
      <c r="S24" s="336" t="s">
        <v>27</v>
      </c>
      <c r="T24" s="64"/>
      <c r="U24" s="64"/>
      <c r="V24" s="64"/>
      <c r="W24" s="64"/>
      <c r="X24" s="64"/>
      <c r="Y24" s="64"/>
      <c r="Z24" s="339"/>
      <c r="AC24" s="74"/>
    </row>
    <row r="25" spans="1:42" ht="12.75" hidden="1" customHeight="1">
      <c r="A25" s="341"/>
      <c r="B25" s="344"/>
      <c r="C25" s="333"/>
      <c r="D25" s="334"/>
      <c r="E25" s="333"/>
      <c r="F25" s="334"/>
      <c r="G25" s="335"/>
      <c r="H25" s="335"/>
      <c r="I25" s="66" t="s">
        <v>28</v>
      </c>
      <c r="J25" s="67" t="s">
        <v>3</v>
      </c>
      <c r="K25" s="66" t="s">
        <v>29</v>
      </c>
      <c r="L25" s="67" t="s">
        <v>4</v>
      </c>
      <c r="M25" s="328" t="s">
        <v>30</v>
      </c>
      <c r="N25" s="330"/>
      <c r="O25" s="333"/>
      <c r="P25" s="334"/>
      <c r="Q25" s="335"/>
      <c r="R25" s="335"/>
      <c r="S25" s="337"/>
      <c r="T25" s="64"/>
      <c r="U25" s="64"/>
      <c r="V25" s="64"/>
      <c r="W25" s="64"/>
      <c r="X25" s="64"/>
      <c r="Y25" s="64"/>
      <c r="Z25" s="339"/>
      <c r="AC25" s="74"/>
    </row>
    <row r="26" spans="1:42" ht="12.75" hidden="1" customHeight="1">
      <c r="A26" s="342"/>
      <c r="B26" s="345"/>
      <c r="C26" s="68" t="s">
        <v>5</v>
      </c>
      <c r="D26" s="68" t="s">
        <v>6</v>
      </c>
      <c r="E26" s="67" t="s">
        <v>5</v>
      </c>
      <c r="F26" s="68" t="s">
        <v>6</v>
      </c>
      <c r="G26" s="68" t="s">
        <v>5</v>
      </c>
      <c r="H26" s="68" t="s">
        <v>6</v>
      </c>
      <c r="I26" s="67" t="s">
        <v>5</v>
      </c>
      <c r="J26" s="68" t="s">
        <v>6</v>
      </c>
      <c r="K26" s="67" t="s">
        <v>5</v>
      </c>
      <c r="L26" s="68" t="s">
        <v>6</v>
      </c>
      <c r="M26" s="68"/>
      <c r="N26" s="68"/>
      <c r="O26" s="67" t="s">
        <v>5</v>
      </c>
      <c r="P26" s="68" t="s">
        <v>6</v>
      </c>
      <c r="Q26" s="68" t="s">
        <v>5</v>
      </c>
      <c r="R26" s="68" t="s">
        <v>6</v>
      </c>
      <c r="S26" s="338"/>
      <c r="T26" s="64"/>
      <c r="U26" s="64"/>
      <c r="V26" s="64"/>
      <c r="W26" s="64"/>
      <c r="X26" s="64"/>
      <c r="Y26" s="64"/>
      <c r="Z26" s="339"/>
      <c r="AA26" s="61" t="s">
        <v>43</v>
      </c>
      <c r="AB26" s="61" t="s">
        <v>45</v>
      </c>
      <c r="AC26" s="61" t="s">
        <v>46</v>
      </c>
      <c r="AD26" s="61" t="s">
        <v>42</v>
      </c>
      <c r="AE26" s="61" t="s">
        <v>41</v>
      </c>
      <c r="AF26" s="61" t="s">
        <v>44</v>
      </c>
    </row>
    <row r="27" spans="1:42" ht="12.75" hidden="1" customHeight="1">
      <c r="A27" s="21" t="s">
        <v>7</v>
      </c>
      <c r="B27" s="1" t="s">
        <v>18</v>
      </c>
      <c r="C27" s="68">
        <v>0</v>
      </c>
      <c r="D27" s="68">
        <v>0</v>
      </c>
      <c r="E27" s="69">
        <f>O27+Q27</f>
        <v>10</v>
      </c>
      <c r="F27" s="70">
        <f>P27+R27</f>
        <v>110</v>
      </c>
      <c r="G27" s="68">
        <f t="shared" ref="G27:G36" si="15">E27-C27</f>
        <v>10</v>
      </c>
      <c r="H27" s="68">
        <f t="shared" ref="H27:H36" si="16">F27-D27</f>
        <v>110</v>
      </c>
      <c r="I27" s="70"/>
      <c r="J27" s="70"/>
      <c r="K27" s="70"/>
      <c r="L27" s="70"/>
      <c r="M27" s="70">
        <f t="shared" ref="M27" si="17">I27+K27</f>
        <v>0</v>
      </c>
      <c r="N27" s="70">
        <f t="shared" ref="N27" si="18">J27+L27</f>
        <v>0</v>
      </c>
      <c r="O27" s="71"/>
      <c r="P27" s="71"/>
      <c r="Q27" s="70">
        <v>10</v>
      </c>
      <c r="R27" s="70">
        <v>110</v>
      </c>
      <c r="S27" s="72"/>
      <c r="T27" s="73"/>
      <c r="U27" s="73"/>
      <c r="V27" s="73"/>
      <c r="W27" s="73"/>
      <c r="X27" s="73"/>
      <c r="Y27" s="73"/>
      <c r="Z27" s="339"/>
      <c r="AA27" s="61">
        <f>H23</f>
        <v>12</v>
      </c>
      <c r="AB27" s="61" t="str">
        <f>E23</f>
        <v>PMX-QT8-010 W</v>
      </c>
      <c r="AC27" s="74" t="s">
        <v>47</v>
      </c>
      <c r="AD27" s="61" t="str">
        <f t="shared" ref="AD27:AD40" si="19">A27</f>
        <v>KR</v>
      </c>
      <c r="AE27" s="61">
        <f t="shared" ref="AE27:AE40" si="20">C27</f>
        <v>0</v>
      </c>
      <c r="AF27" s="61">
        <f t="shared" ref="AF27:AF40" si="21">E27</f>
        <v>10</v>
      </c>
    </row>
    <row r="28" spans="1:42" ht="12.75" hidden="1" customHeight="1">
      <c r="A28" s="23" t="s">
        <v>13</v>
      </c>
      <c r="B28" s="1">
        <f>B7+7</f>
        <v>43171</v>
      </c>
      <c r="C28" s="68">
        <v>400</v>
      </c>
      <c r="D28" s="68">
        <f t="shared" ref="D28:D29" si="22">C28*13</f>
        <v>5200</v>
      </c>
      <c r="E28" s="69">
        <f t="shared" ref="E28:E39" si="23">O28+Q28</f>
        <v>249</v>
      </c>
      <c r="F28" s="70">
        <f t="shared" ref="F28:F39" si="24">P28+R28</f>
        <v>3258</v>
      </c>
      <c r="G28" s="68">
        <f t="shared" si="15"/>
        <v>-151</v>
      </c>
      <c r="H28" s="68">
        <f t="shared" si="16"/>
        <v>-1942</v>
      </c>
      <c r="I28" s="75">
        <v>48</v>
      </c>
      <c r="J28" s="75">
        <v>765</v>
      </c>
      <c r="K28" s="70">
        <v>56</v>
      </c>
      <c r="L28" s="70">
        <v>782</v>
      </c>
      <c r="M28" s="70">
        <f t="shared" ref="M28:M40" si="25">I28+K28</f>
        <v>104</v>
      </c>
      <c r="N28" s="70">
        <f t="shared" ref="N28:N40" si="26">J28+L28</f>
        <v>1547</v>
      </c>
      <c r="O28" s="75">
        <v>249</v>
      </c>
      <c r="P28" s="75">
        <v>3258</v>
      </c>
      <c r="Q28" s="71"/>
      <c r="R28" s="71"/>
      <c r="S28" s="72"/>
      <c r="T28" s="252">
        <f>E28/C28</f>
        <v>0.62250000000000005</v>
      </c>
      <c r="U28" s="73"/>
      <c r="V28" s="73"/>
      <c r="W28" s="73"/>
      <c r="X28" s="73"/>
      <c r="Y28" s="73"/>
      <c r="AA28" s="61">
        <f>H23</f>
        <v>12</v>
      </c>
      <c r="AB28" s="61" t="str">
        <f>E23</f>
        <v>PMX-QT8-010 W</v>
      </c>
      <c r="AC28" s="74" t="s">
        <v>47</v>
      </c>
      <c r="AD28" s="61" t="str">
        <f t="shared" si="19"/>
        <v>TAO</v>
      </c>
      <c r="AE28" s="61">
        <f t="shared" si="20"/>
        <v>400</v>
      </c>
      <c r="AF28" s="61">
        <f t="shared" si="21"/>
        <v>249</v>
      </c>
    </row>
    <row r="29" spans="1:42" ht="12.75" hidden="1" customHeight="1">
      <c r="A29" s="23" t="s">
        <v>9</v>
      </c>
      <c r="B29" s="1">
        <f>B8+7</f>
        <v>43173</v>
      </c>
      <c r="C29" s="68">
        <v>600</v>
      </c>
      <c r="D29" s="68">
        <f t="shared" si="22"/>
        <v>7800</v>
      </c>
      <c r="E29" s="69">
        <f t="shared" si="23"/>
        <v>375</v>
      </c>
      <c r="F29" s="70">
        <f t="shared" si="24"/>
        <v>4703</v>
      </c>
      <c r="G29" s="68">
        <f t="shared" si="15"/>
        <v>-225</v>
      </c>
      <c r="H29" s="68">
        <f t="shared" si="16"/>
        <v>-3097</v>
      </c>
      <c r="I29" s="75">
        <v>109</v>
      </c>
      <c r="J29" s="75">
        <v>1125</v>
      </c>
      <c r="K29" s="71"/>
      <c r="L29" s="71"/>
      <c r="M29" s="70">
        <f t="shared" si="25"/>
        <v>109</v>
      </c>
      <c r="N29" s="70">
        <f t="shared" si="26"/>
        <v>1125</v>
      </c>
      <c r="O29" s="75">
        <f>371+4</f>
        <v>375</v>
      </c>
      <c r="P29" s="75">
        <v>4703</v>
      </c>
      <c r="Q29" s="71"/>
      <c r="R29" s="71"/>
      <c r="S29" s="72"/>
      <c r="T29" s="252">
        <f t="shared" ref="T29:T39" si="27">E29/C29</f>
        <v>0.625</v>
      </c>
      <c r="U29" s="73"/>
      <c r="V29" s="73"/>
      <c r="W29" s="73"/>
      <c r="X29" s="73"/>
      <c r="Y29" s="73"/>
      <c r="AA29" s="61">
        <f>H23</f>
        <v>12</v>
      </c>
      <c r="AB29" s="61" t="str">
        <f>E23</f>
        <v>PMX-QT8-010 W</v>
      </c>
      <c r="AC29" s="74" t="s">
        <v>47</v>
      </c>
      <c r="AD29" s="61" t="str">
        <f t="shared" si="19"/>
        <v>SHA</v>
      </c>
      <c r="AE29" s="61">
        <f t="shared" si="20"/>
        <v>600</v>
      </c>
      <c r="AF29" s="61">
        <f t="shared" si="21"/>
        <v>375</v>
      </c>
    </row>
    <row r="30" spans="1:42" ht="12.75" hidden="1" customHeight="1">
      <c r="A30" s="23" t="s">
        <v>8</v>
      </c>
      <c r="B30" s="1">
        <f>B9+7</f>
        <v>43174</v>
      </c>
      <c r="C30" s="68">
        <v>375</v>
      </c>
      <c r="D30" s="68">
        <v>4875</v>
      </c>
      <c r="E30" s="69">
        <f t="shared" si="23"/>
        <v>362</v>
      </c>
      <c r="F30" s="70">
        <f t="shared" si="24"/>
        <v>3182</v>
      </c>
      <c r="G30" s="68">
        <f t="shared" si="15"/>
        <v>-13</v>
      </c>
      <c r="H30" s="68">
        <f t="shared" si="16"/>
        <v>-1693</v>
      </c>
      <c r="I30" s="71">
        <v>8</v>
      </c>
      <c r="J30" s="71">
        <v>82</v>
      </c>
      <c r="K30" s="71">
        <v>8</v>
      </c>
      <c r="L30" s="71">
        <v>124</v>
      </c>
      <c r="M30" s="70">
        <f t="shared" si="25"/>
        <v>16</v>
      </c>
      <c r="N30" s="70">
        <f t="shared" si="26"/>
        <v>206</v>
      </c>
      <c r="O30" s="71"/>
      <c r="P30" s="71"/>
      <c r="Q30" s="71">
        <v>362</v>
      </c>
      <c r="R30" s="71">
        <v>3182</v>
      </c>
      <c r="S30" s="72"/>
      <c r="T30" s="252">
        <f t="shared" si="27"/>
        <v>0.96533333333333338</v>
      </c>
      <c r="U30" s="73"/>
      <c r="V30" s="73"/>
      <c r="W30" s="73"/>
      <c r="X30" s="73"/>
      <c r="Y30" s="73"/>
      <c r="AA30" s="61">
        <f>H23</f>
        <v>12</v>
      </c>
      <c r="AB30" s="61" t="str">
        <f>E23</f>
        <v>PMX-QT8-010 W</v>
      </c>
      <c r="AC30" s="74" t="s">
        <v>47</v>
      </c>
      <c r="AD30" s="61" t="str">
        <f t="shared" si="19"/>
        <v>NGB</v>
      </c>
      <c r="AE30" s="61">
        <f t="shared" si="20"/>
        <v>375</v>
      </c>
      <c r="AF30" s="61">
        <f t="shared" si="21"/>
        <v>362</v>
      </c>
    </row>
    <row r="31" spans="1:42" ht="12.75" hidden="1" customHeight="1">
      <c r="A31" s="23" t="s">
        <v>10</v>
      </c>
      <c r="B31" s="1" t="s">
        <v>9</v>
      </c>
      <c r="C31" s="68">
        <v>80</v>
      </c>
      <c r="D31" s="68">
        <v>1040</v>
      </c>
      <c r="E31" s="69">
        <f t="shared" si="23"/>
        <v>71</v>
      </c>
      <c r="F31" s="70">
        <f t="shared" si="24"/>
        <v>1906</v>
      </c>
      <c r="G31" s="68">
        <f t="shared" si="15"/>
        <v>-9</v>
      </c>
      <c r="H31" s="68">
        <f t="shared" si="16"/>
        <v>866</v>
      </c>
      <c r="I31" s="75"/>
      <c r="J31" s="75"/>
      <c r="K31" s="70"/>
      <c r="L31" s="70"/>
      <c r="M31" s="70">
        <f t="shared" si="25"/>
        <v>0</v>
      </c>
      <c r="N31" s="70">
        <f t="shared" si="26"/>
        <v>0</v>
      </c>
      <c r="O31" s="75">
        <v>71</v>
      </c>
      <c r="P31" s="75">
        <v>1906</v>
      </c>
      <c r="Q31" s="70"/>
      <c r="R31" s="70"/>
      <c r="S31" s="72"/>
      <c r="T31" s="252">
        <f t="shared" si="27"/>
        <v>0.88749999999999996</v>
      </c>
      <c r="U31" s="73"/>
      <c r="V31" s="73"/>
      <c r="W31" s="73"/>
      <c r="X31" s="73"/>
      <c r="Y31" s="73"/>
      <c r="AA31" s="61">
        <f>H23</f>
        <v>12</v>
      </c>
      <c r="AB31" s="61" t="str">
        <f>E23</f>
        <v>PMX-QT8-010 W</v>
      </c>
      <c r="AC31" s="74" t="s">
        <v>47</v>
      </c>
      <c r="AD31" s="61" t="str">
        <f t="shared" si="19"/>
        <v>WUH</v>
      </c>
      <c r="AE31" s="61">
        <f t="shared" si="20"/>
        <v>80</v>
      </c>
      <c r="AF31" s="61">
        <f t="shared" si="21"/>
        <v>71</v>
      </c>
    </row>
    <row r="32" spans="1:42" ht="12.75" hidden="1" customHeight="1">
      <c r="A32" s="23" t="s">
        <v>11</v>
      </c>
      <c r="B32" s="1" t="s">
        <v>18</v>
      </c>
      <c r="C32" s="68">
        <v>75</v>
      </c>
      <c r="D32" s="68">
        <v>975</v>
      </c>
      <c r="E32" s="69">
        <f t="shared" si="23"/>
        <v>0</v>
      </c>
      <c r="F32" s="70">
        <f t="shared" si="24"/>
        <v>0</v>
      </c>
      <c r="G32" s="68">
        <f t="shared" si="15"/>
        <v>-75</v>
      </c>
      <c r="H32" s="68">
        <f t="shared" si="16"/>
        <v>-975</v>
      </c>
      <c r="I32" s="70"/>
      <c r="J32" s="70"/>
      <c r="K32" s="70"/>
      <c r="L32" s="70"/>
      <c r="M32" s="70">
        <f t="shared" si="25"/>
        <v>0</v>
      </c>
      <c r="N32" s="70">
        <f t="shared" si="26"/>
        <v>0</v>
      </c>
      <c r="O32" s="75"/>
      <c r="P32" s="75"/>
      <c r="Q32" s="70"/>
      <c r="R32" s="70"/>
      <c r="S32" s="72"/>
      <c r="T32" s="252">
        <f t="shared" si="27"/>
        <v>0</v>
      </c>
      <c r="U32" s="73"/>
      <c r="V32" s="73"/>
      <c r="W32" s="73"/>
      <c r="X32" s="73"/>
      <c r="Y32" s="73"/>
      <c r="AA32" s="61">
        <f>H23</f>
        <v>12</v>
      </c>
      <c r="AB32" s="61" t="str">
        <f>E23</f>
        <v>PMX-QT8-010 W</v>
      </c>
      <c r="AC32" s="74" t="s">
        <v>47</v>
      </c>
      <c r="AD32" s="61" t="str">
        <f t="shared" si="19"/>
        <v>DLC</v>
      </c>
      <c r="AE32" s="61">
        <f t="shared" si="20"/>
        <v>75</v>
      </c>
      <c r="AF32" s="61">
        <f t="shared" si="21"/>
        <v>0</v>
      </c>
    </row>
    <row r="33" spans="1:42" ht="12.75" hidden="1" customHeight="1">
      <c r="A33" s="23" t="s">
        <v>12</v>
      </c>
      <c r="B33" s="1" t="s">
        <v>18</v>
      </c>
      <c r="C33" s="68">
        <v>100</v>
      </c>
      <c r="D33" s="68">
        <v>1300</v>
      </c>
      <c r="E33" s="69">
        <f t="shared" si="23"/>
        <v>171</v>
      </c>
      <c r="F33" s="70">
        <f t="shared" si="24"/>
        <v>1304</v>
      </c>
      <c r="G33" s="68">
        <f t="shared" si="15"/>
        <v>71</v>
      </c>
      <c r="H33" s="68">
        <f t="shared" si="16"/>
        <v>4</v>
      </c>
      <c r="I33" s="70"/>
      <c r="J33" s="70"/>
      <c r="K33" s="70"/>
      <c r="L33" s="70"/>
      <c r="M33" s="70">
        <f t="shared" si="25"/>
        <v>0</v>
      </c>
      <c r="N33" s="70">
        <f t="shared" si="26"/>
        <v>0</v>
      </c>
      <c r="O33" s="75">
        <v>60</v>
      </c>
      <c r="P33" s="75">
        <v>95</v>
      </c>
      <c r="Q33" s="76">
        <v>111</v>
      </c>
      <c r="R33" s="71">
        <v>1209</v>
      </c>
      <c r="S33" s="72"/>
      <c r="T33" s="252">
        <f t="shared" si="27"/>
        <v>1.71</v>
      </c>
      <c r="U33" s="73"/>
      <c r="V33" s="73"/>
      <c r="W33" s="73"/>
      <c r="X33" s="73"/>
      <c r="Y33" s="73"/>
      <c r="AA33" s="61">
        <f>H23</f>
        <v>12</v>
      </c>
      <c r="AB33" s="61" t="str">
        <f>E23</f>
        <v>PMX-QT8-010 W</v>
      </c>
      <c r="AC33" s="74" t="s">
        <v>47</v>
      </c>
      <c r="AD33" s="61" t="str">
        <f t="shared" si="19"/>
        <v>TSN</v>
      </c>
      <c r="AE33" s="61">
        <f t="shared" si="20"/>
        <v>100</v>
      </c>
      <c r="AF33" s="61">
        <f t="shared" si="21"/>
        <v>171</v>
      </c>
    </row>
    <row r="34" spans="1:42" ht="12.75" hidden="1" customHeight="1">
      <c r="A34" s="23" t="s">
        <v>14</v>
      </c>
      <c r="B34" s="1" t="s">
        <v>18</v>
      </c>
      <c r="C34" s="68">
        <v>50</v>
      </c>
      <c r="D34" s="68">
        <v>650</v>
      </c>
      <c r="E34" s="69">
        <f t="shared" si="23"/>
        <v>15</v>
      </c>
      <c r="F34" s="70">
        <f t="shared" si="24"/>
        <v>139</v>
      </c>
      <c r="G34" s="68">
        <f t="shared" si="15"/>
        <v>-35</v>
      </c>
      <c r="H34" s="68">
        <f t="shared" si="16"/>
        <v>-511</v>
      </c>
      <c r="I34" s="70"/>
      <c r="J34" s="70"/>
      <c r="K34" s="70"/>
      <c r="L34" s="70"/>
      <c r="M34" s="70">
        <f t="shared" si="25"/>
        <v>0</v>
      </c>
      <c r="N34" s="70">
        <f t="shared" si="26"/>
        <v>0</v>
      </c>
      <c r="O34" s="71"/>
      <c r="P34" s="71"/>
      <c r="Q34" s="70">
        <v>15</v>
      </c>
      <c r="R34" s="70">
        <v>139</v>
      </c>
      <c r="S34" s="72"/>
      <c r="T34" s="252">
        <f t="shared" si="27"/>
        <v>0.3</v>
      </c>
      <c r="U34" s="73"/>
      <c r="V34" s="73"/>
      <c r="W34" s="73"/>
      <c r="X34" s="73"/>
      <c r="Y34" s="73"/>
      <c r="AA34" s="61">
        <f>H23</f>
        <v>12</v>
      </c>
      <c r="AB34" s="61" t="str">
        <f>E23</f>
        <v>PMX-QT8-010 W</v>
      </c>
      <c r="AC34" s="74" t="s">
        <v>47</v>
      </c>
      <c r="AD34" s="61" t="str">
        <f t="shared" si="19"/>
        <v>XMN</v>
      </c>
      <c r="AE34" s="61">
        <f t="shared" si="20"/>
        <v>50</v>
      </c>
      <c r="AF34" s="61">
        <f t="shared" si="21"/>
        <v>15</v>
      </c>
    </row>
    <row r="35" spans="1:42" ht="12.75" hidden="1" customHeight="1">
      <c r="A35" s="23" t="s">
        <v>19</v>
      </c>
      <c r="B35" s="1" t="s">
        <v>18</v>
      </c>
      <c r="C35" s="68">
        <v>20</v>
      </c>
      <c r="D35" s="68">
        <v>260</v>
      </c>
      <c r="E35" s="69">
        <f t="shared" si="23"/>
        <v>5</v>
      </c>
      <c r="F35" s="70">
        <f t="shared" si="24"/>
        <v>46</v>
      </c>
      <c r="G35" s="68">
        <f t="shared" si="15"/>
        <v>-15</v>
      </c>
      <c r="H35" s="68">
        <f t="shared" si="16"/>
        <v>-214</v>
      </c>
      <c r="I35" s="70"/>
      <c r="J35" s="70"/>
      <c r="K35" s="70"/>
      <c r="L35" s="70"/>
      <c r="M35" s="70">
        <f t="shared" si="25"/>
        <v>0</v>
      </c>
      <c r="N35" s="70">
        <f t="shared" si="26"/>
        <v>0</v>
      </c>
      <c r="O35" s="70"/>
      <c r="P35" s="70"/>
      <c r="Q35" s="70">
        <v>5</v>
      </c>
      <c r="R35" s="70">
        <v>46</v>
      </c>
      <c r="S35" s="72"/>
      <c r="T35" s="252">
        <f t="shared" si="27"/>
        <v>0.25</v>
      </c>
      <c r="U35" s="73"/>
      <c r="V35" s="73"/>
      <c r="W35" s="73"/>
      <c r="X35" s="73"/>
      <c r="Y35" s="73"/>
      <c r="AA35" s="61">
        <f>H23</f>
        <v>12</v>
      </c>
      <c r="AB35" s="61" t="str">
        <f>E23</f>
        <v>PMX-QT8-010 W</v>
      </c>
      <c r="AC35" s="74" t="s">
        <v>47</v>
      </c>
      <c r="AD35" s="61" t="str">
        <f t="shared" si="19"/>
        <v>TWC</v>
      </c>
      <c r="AE35" s="61">
        <f t="shared" si="20"/>
        <v>20</v>
      </c>
      <c r="AF35" s="61">
        <f t="shared" si="21"/>
        <v>5</v>
      </c>
    </row>
    <row r="36" spans="1:42" ht="12.75" hidden="1" customHeight="1">
      <c r="A36" s="23" t="s">
        <v>16</v>
      </c>
      <c r="B36" s="26"/>
      <c r="C36" s="68"/>
      <c r="D36" s="68"/>
      <c r="E36" s="69">
        <f t="shared" si="23"/>
        <v>0</v>
      </c>
      <c r="F36" s="70">
        <f t="shared" si="24"/>
        <v>0</v>
      </c>
      <c r="G36" s="68">
        <f t="shared" si="15"/>
        <v>0</v>
      </c>
      <c r="H36" s="68">
        <f t="shared" si="16"/>
        <v>0</v>
      </c>
      <c r="I36" s="70"/>
      <c r="J36" s="70"/>
      <c r="K36" s="70"/>
      <c r="L36" s="70"/>
      <c r="M36" s="70">
        <f t="shared" si="25"/>
        <v>0</v>
      </c>
      <c r="N36" s="70">
        <f t="shared" si="26"/>
        <v>0</v>
      </c>
      <c r="O36" s="70"/>
      <c r="P36" s="70"/>
      <c r="Q36" s="70"/>
      <c r="S36" s="72"/>
      <c r="T36" s="252" t="e">
        <f t="shared" si="27"/>
        <v>#DIV/0!</v>
      </c>
      <c r="U36" s="73"/>
      <c r="V36" s="73"/>
      <c r="W36" s="73"/>
      <c r="X36" s="73"/>
      <c r="Y36" s="73"/>
      <c r="AA36" s="61">
        <f>H23</f>
        <v>12</v>
      </c>
      <c r="AB36" s="61" t="str">
        <f>E23</f>
        <v>PMX-QT8-010 W</v>
      </c>
      <c r="AC36" s="74" t="s">
        <v>47</v>
      </c>
      <c r="AD36" s="61" t="str">
        <f t="shared" si="19"/>
        <v>HUA</v>
      </c>
      <c r="AE36" s="61">
        <f t="shared" si="20"/>
        <v>0</v>
      </c>
      <c r="AF36" s="61">
        <f t="shared" si="21"/>
        <v>0</v>
      </c>
    </row>
    <row r="37" spans="1:42" ht="12.75" hidden="1" customHeight="1">
      <c r="A37" s="23" t="s">
        <v>2</v>
      </c>
      <c r="B37" s="26"/>
      <c r="C37" s="68"/>
      <c r="D37" s="68"/>
      <c r="E37" s="69">
        <f t="shared" si="23"/>
        <v>0</v>
      </c>
      <c r="F37" s="70">
        <f t="shared" si="24"/>
        <v>0</v>
      </c>
      <c r="G37" s="68"/>
      <c r="H37" s="68"/>
      <c r="I37" s="70"/>
      <c r="J37" s="70"/>
      <c r="K37" s="70"/>
      <c r="L37" s="70"/>
      <c r="M37" s="70">
        <f t="shared" si="25"/>
        <v>0</v>
      </c>
      <c r="N37" s="70">
        <f t="shared" si="26"/>
        <v>0</v>
      </c>
      <c r="O37" s="70"/>
      <c r="P37" s="70"/>
      <c r="Q37" s="70"/>
      <c r="R37" s="70"/>
      <c r="S37" s="72"/>
      <c r="T37" s="252" t="e">
        <f t="shared" si="27"/>
        <v>#DIV/0!</v>
      </c>
      <c r="U37" s="73"/>
      <c r="V37" s="73"/>
      <c r="W37" s="73"/>
      <c r="X37" s="73"/>
      <c r="Y37" s="73"/>
      <c r="AA37" s="61">
        <f>H23</f>
        <v>12</v>
      </c>
      <c r="AB37" s="61" t="str">
        <f>E23</f>
        <v>PMX-QT8-010 W</v>
      </c>
      <c r="AC37" s="74" t="s">
        <v>47</v>
      </c>
      <c r="AD37" s="61" t="str">
        <f t="shared" si="19"/>
        <v>HKG</v>
      </c>
      <c r="AE37" s="61">
        <f t="shared" si="20"/>
        <v>0</v>
      </c>
      <c r="AF37" s="61">
        <f t="shared" si="21"/>
        <v>0</v>
      </c>
    </row>
    <row r="38" spans="1:42" ht="12.75" hidden="1" customHeight="1">
      <c r="A38" s="23" t="s">
        <v>3</v>
      </c>
      <c r="B38" s="1">
        <f>B17+7</f>
        <v>43180</v>
      </c>
      <c r="C38" s="68">
        <v>150</v>
      </c>
      <c r="D38" s="68">
        <v>1950</v>
      </c>
      <c r="E38" s="69">
        <f t="shared" si="23"/>
        <v>433</v>
      </c>
      <c r="F38" s="70">
        <f t="shared" si="24"/>
        <v>7428</v>
      </c>
      <c r="G38" s="68">
        <f t="shared" ref="G38:H41" si="28">E38-C38</f>
        <v>283</v>
      </c>
      <c r="H38" s="68">
        <f t="shared" si="28"/>
        <v>5478</v>
      </c>
      <c r="I38" s="70"/>
      <c r="J38" s="70"/>
      <c r="K38" s="70">
        <v>6</v>
      </c>
      <c r="L38" s="70">
        <v>59</v>
      </c>
      <c r="M38" s="70">
        <f t="shared" si="25"/>
        <v>6</v>
      </c>
      <c r="N38" s="70">
        <f t="shared" si="26"/>
        <v>59</v>
      </c>
      <c r="O38" s="68"/>
      <c r="P38" s="68"/>
      <c r="Q38" s="70">
        <v>433</v>
      </c>
      <c r="R38" s="70">
        <v>7428</v>
      </c>
      <c r="S38" s="72"/>
      <c r="T38" s="252">
        <f t="shared" si="27"/>
        <v>2.8866666666666667</v>
      </c>
      <c r="U38" s="73"/>
      <c r="V38" s="73"/>
      <c r="W38" s="73"/>
      <c r="X38" s="73"/>
      <c r="Y38" s="73"/>
      <c r="AA38" s="61">
        <f>H23</f>
        <v>12</v>
      </c>
      <c r="AB38" s="61" t="str">
        <f>E23</f>
        <v>PMX-QT8-010 W</v>
      </c>
      <c r="AC38" s="74" t="s">
        <v>47</v>
      </c>
      <c r="AD38" s="61" t="str">
        <f t="shared" si="19"/>
        <v>SGP</v>
      </c>
      <c r="AE38" s="61">
        <f t="shared" si="20"/>
        <v>150</v>
      </c>
      <c r="AF38" s="61">
        <f t="shared" si="21"/>
        <v>433</v>
      </c>
    </row>
    <row r="39" spans="1:42" ht="12.75" hidden="1" customHeight="1">
      <c r="A39" s="23" t="s">
        <v>4</v>
      </c>
      <c r="B39" s="1">
        <f>B18+7</f>
        <v>43182</v>
      </c>
      <c r="C39" s="68">
        <v>50</v>
      </c>
      <c r="D39" s="68">
        <v>650</v>
      </c>
      <c r="E39" s="69">
        <f t="shared" si="23"/>
        <v>12</v>
      </c>
      <c r="F39" s="70">
        <f t="shared" si="24"/>
        <v>168</v>
      </c>
      <c r="G39" s="68">
        <f t="shared" si="28"/>
        <v>-38</v>
      </c>
      <c r="H39" s="68">
        <f t="shared" si="28"/>
        <v>-482</v>
      </c>
      <c r="I39" s="70"/>
      <c r="J39" s="70"/>
      <c r="K39" s="70"/>
      <c r="L39" s="70"/>
      <c r="M39" s="70">
        <f t="shared" si="25"/>
        <v>0</v>
      </c>
      <c r="N39" s="70">
        <f t="shared" si="26"/>
        <v>0</v>
      </c>
      <c r="O39" s="70"/>
      <c r="P39" s="70"/>
      <c r="Q39" s="70">
        <v>12</v>
      </c>
      <c r="R39" s="70">
        <v>168</v>
      </c>
      <c r="S39" s="72"/>
      <c r="T39" s="252">
        <f t="shared" si="27"/>
        <v>0.24</v>
      </c>
      <c r="U39" s="73"/>
      <c r="V39" s="73"/>
      <c r="W39" s="73"/>
      <c r="X39" s="73"/>
      <c r="Y39" s="73"/>
      <c r="AA39" s="61">
        <f>H23</f>
        <v>12</v>
      </c>
      <c r="AB39" s="61" t="str">
        <f>E23</f>
        <v>PMX-QT8-010 W</v>
      </c>
      <c r="AC39" s="74" t="s">
        <v>47</v>
      </c>
      <c r="AD39" s="61" t="str">
        <f t="shared" si="19"/>
        <v>PKL</v>
      </c>
      <c r="AE39" s="61">
        <f t="shared" si="20"/>
        <v>50</v>
      </c>
      <c r="AF39" s="61">
        <f t="shared" si="21"/>
        <v>12</v>
      </c>
    </row>
    <row r="40" spans="1:42" ht="12.75" hidden="1" customHeight="1">
      <c r="A40" s="23" t="s">
        <v>15</v>
      </c>
      <c r="B40" s="1"/>
      <c r="C40" s="68"/>
      <c r="D40" s="68"/>
      <c r="E40" s="69">
        <f>O40+Q40</f>
        <v>389</v>
      </c>
      <c r="F40" s="70">
        <f>P40+R40</f>
        <v>4048</v>
      </c>
      <c r="G40" s="68">
        <f t="shared" si="28"/>
        <v>389</v>
      </c>
      <c r="H40" s="68">
        <f t="shared" si="28"/>
        <v>4048</v>
      </c>
      <c r="I40" s="70"/>
      <c r="J40" s="70"/>
      <c r="K40" s="70"/>
      <c r="L40" s="70"/>
      <c r="M40" s="70">
        <f t="shared" si="25"/>
        <v>0</v>
      </c>
      <c r="N40" s="70">
        <f t="shared" si="26"/>
        <v>0</v>
      </c>
      <c r="O40" s="71"/>
      <c r="P40" s="71"/>
      <c r="Q40" s="71">
        <f>193+196</f>
        <v>389</v>
      </c>
      <c r="R40" s="71">
        <f>2510+1538</f>
        <v>4048</v>
      </c>
      <c r="S40" s="72"/>
      <c r="T40" s="73"/>
      <c r="U40" s="73"/>
      <c r="V40" s="73"/>
      <c r="W40" s="73"/>
      <c r="X40" s="73"/>
      <c r="Y40" s="73"/>
      <c r="AA40" s="61">
        <f>H23</f>
        <v>12</v>
      </c>
      <c r="AB40" s="61" t="str">
        <f>E23</f>
        <v>PMX-QT8-010 W</v>
      </c>
      <c r="AC40" s="74" t="s">
        <v>47</v>
      </c>
      <c r="AD40" s="61" t="str">
        <f t="shared" si="19"/>
        <v>T/S</v>
      </c>
      <c r="AE40" s="61">
        <f t="shared" si="20"/>
        <v>0</v>
      </c>
      <c r="AF40" s="61">
        <f t="shared" si="21"/>
        <v>389</v>
      </c>
    </row>
    <row r="41" spans="1:42" ht="12.75" hidden="1" customHeight="1">
      <c r="A41" s="21" t="s">
        <v>36</v>
      </c>
      <c r="B41" s="22"/>
      <c r="C41" s="71">
        <v>1949</v>
      </c>
      <c r="D41" s="71">
        <f>C41*13</f>
        <v>25337</v>
      </c>
      <c r="E41" s="78">
        <f>SUM(E27:E40)</f>
        <v>2092</v>
      </c>
      <c r="F41" s="76">
        <f>SUM(F27:F40)</f>
        <v>26292</v>
      </c>
      <c r="G41" s="71">
        <f t="shared" si="28"/>
        <v>143</v>
      </c>
      <c r="H41" s="71">
        <f t="shared" si="28"/>
        <v>955</v>
      </c>
      <c r="I41" s="70">
        <f t="shared" ref="I41:L41" si="29">SUM(I27:I40)</f>
        <v>165</v>
      </c>
      <c r="J41" s="70">
        <f t="shared" si="29"/>
        <v>1972</v>
      </c>
      <c r="K41" s="70">
        <f t="shared" si="29"/>
        <v>70</v>
      </c>
      <c r="L41" s="70">
        <f t="shared" si="29"/>
        <v>965</v>
      </c>
      <c r="M41" s="70"/>
      <c r="N41" s="70"/>
      <c r="O41" s="70">
        <f t="shared" ref="O41:R41" si="30">SUM(O27:O40)</f>
        <v>755</v>
      </c>
      <c r="P41" s="70">
        <f t="shared" si="30"/>
        <v>9962</v>
      </c>
      <c r="Q41" s="70">
        <f t="shared" si="30"/>
        <v>1337</v>
      </c>
      <c r="R41" s="70">
        <f t="shared" si="30"/>
        <v>16330</v>
      </c>
      <c r="S41" s="72"/>
      <c r="T41" s="73"/>
      <c r="U41" s="73"/>
      <c r="V41" s="73"/>
      <c r="W41" s="73"/>
      <c r="X41" s="73"/>
      <c r="Y41" s="73"/>
    </row>
    <row r="42" spans="1:42" s="65" customFormat="1" ht="12.75" hidden="1" customHeight="1">
      <c r="A42" s="84">
        <f>D41/C41</f>
        <v>13</v>
      </c>
      <c r="C42" s="79">
        <f>F41-E42</f>
        <v>3488.7000000000007</v>
      </c>
      <c r="E42" s="65">
        <f>D41*0.9</f>
        <v>22803.3</v>
      </c>
      <c r="F42" s="79">
        <f>E41-L42</f>
        <v>337.89999999999986</v>
      </c>
      <c r="I42" s="80" t="s">
        <v>48</v>
      </c>
      <c r="J42" s="245">
        <f>E41/C41</f>
        <v>1.0733709594663929</v>
      </c>
      <c r="K42" s="80"/>
      <c r="L42" s="80">
        <f>C41*0.9</f>
        <v>1754.1000000000001</v>
      </c>
      <c r="M42" s="80"/>
      <c r="N42" s="80"/>
      <c r="O42" s="80" t="s">
        <v>49</v>
      </c>
      <c r="P42" s="80"/>
      <c r="Q42" s="65">
        <f>P28+P29+P31+P32+P33+J28+J29+L28+L29+J31+R31+2485</f>
        <v>15119</v>
      </c>
      <c r="R42" s="65">
        <v>16856</v>
      </c>
      <c r="AA42" s="81"/>
      <c r="AB42" s="81"/>
      <c r="AC42" s="81"/>
      <c r="AD42" s="81"/>
      <c r="AE42" s="81"/>
      <c r="AF42" s="81"/>
    </row>
    <row r="43" spans="1:42" s="65" customFormat="1" ht="12.75" hidden="1" customHeight="1">
      <c r="I43" s="80"/>
      <c r="J43" s="80"/>
      <c r="K43" s="80"/>
      <c r="L43" s="80"/>
      <c r="M43" s="80"/>
      <c r="N43" s="80"/>
      <c r="O43" s="80"/>
      <c r="P43" s="80"/>
      <c r="AA43" s="61"/>
      <c r="AB43" s="61"/>
      <c r="AC43" s="61"/>
      <c r="AD43" s="61"/>
      <c r="AE43" s="61"/>
      <c r="AF43" s="61"/>
    </row>
    <row r="44" spans="1:42" s="18" customFormat="1" ht="12.75" hidden="1" customHeight="1">
      <c r="A44" s="16" t="s">
        <v>47</v>
      </c>
      <c r="B44" s="17" t="s">
        <v>534</v>
      </c>
      <c r="C44" s="56"/>
      <c r="D44" s="57"/>
      <c r="E44" s="58" t="s">
        <v>470</v>
      </c>
      <c r="F44" s="57"/>
      <c r="G44" s="59" t="s">
        <v>37</v>
      </c>
      <c r="H44" s="60">
        <f>H23+1</f>
        <v>13</v>
      </c>
      <c r="I44" s="57"/>
      <c r="J44" s="57"/>
      <c r="K44" s="57"/>
      <c r="L44" s="57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2"/>
      <c r="AA44" s="62"/>
      <c r="AB44" s="62"/>
      <c r="AC44" s="62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</row>
    <row r="45" spans="1:42" ht="12.75" hidden="1" customHeight="1">
      <c r="A45" s="340" t="s">
        <v>0</v>
      </c>
      <c r="B45" s="336" t="s">
        <v>1</v>
      </c>
      <c r="C45" s="331" t="s">
        <v>25</v>
      </c>
      <c r="D45" s="332"/>
      <c r="E45" s="331" t="s">
        <v>21</v>
      </c>
      <c r="F45" s="332"/>
      <c r="G45" s="335" t="s">
        <v>24</v>
      </c>
      <c r="H45" s="335"/>
      <c r="I45" s="328" t="s">
        <v>33</v>
      </c>
      <c r="J45" s="329"/>
      <c r="K45" s="329"/>
      <c r="L45" s="329"/>
      <c r="M45" s="329"/>
      <c r="N45" s="330"/>
      <c r="O45" s="331" t="s">
        <v>22</v>
      </c>
      <c r="P45" s="332"/>
      <c r="Q45" s="335" t="s">
        <v>23</v>
      </c>
      <c r="R45" s="335"/>
      <c r="S45" s="336" t="s">
        <v>27</v>
      </c>
      <c r="T45" s="64"/>
      <c r="U45" s="64"/>
      <c r="V45" s="64"/>
      <c r="W45" s="64"/>
      <c r="X45" s="64"/>
      <c r="Y45" s="64"/>
      <c r="Z45" s="339"/>
      <c r="AC45" s="74"/>
    </row>
    <row r="46" spans="1:42" ht="12.75" hidden="1" customHeight="1">
      <c r="A46" s="341"/>
      <c r="B46" s="337"/>
      <c r="C46" s="333"/>
      <c r="D46" s="334"/>
      <c r="E46" s="333"/>
      <c r="F46" s="334"/>
      <c r="G46" s="335"/>
      <c r="H46" s="335"/>
      <c r="I46" s="66" t="s">
        <v>28</v>
      </c>
      <c r="J46" s="67" t="s">
        <v>3</v>
      </c>
      <c r="K46" s="66" t="s">
        <v>29</v>
      </c>
      <c r="L46" s="67" t="s">
        <v>4</v>
      </c>
      <c r="M46" s="328" t="s">
        <v>30</v>
      </c>
      <c r="N46" s="330"/>
      <c r="O46" s="333"/>
      <c r="P46" s="334"/>
      <c r="Q46" s="335"/>
      <c r="R46" s="335"/>
      <c r="S46" s="337"/>
      <c r="T46" s="64"/>
      <c r="U46" s="64"/>
      <c r="V46" s="64"/>
      <c r="W46" s="64"/>
      <c r="X46" s="64"/>
      <c r="Y46" s="64"/>
      <c r="Z46" s="339"/>
      <c r="AC46" s="74"/>
    </row>
    <row r="47" spans="1:42" ht="12.75" hidden="1" customHeight="1">
      <c r="A47" s="342"/>
      <c r="B47" s="338"/>
      <c r="C47" s="68" t="s">
        <v>5</v>
      </c>
      <c r="D47" s="68" t="s">
        <v>6</v>
      </c>
      <c r="E47" s="67" t="s">
        <v>5</v>
      </c>
      <c r="F47" s="68" t="s">
        <v>6</v>
      </c>
      <c r="G47" s="68" t="s">
        <v>5</v>
      </c>
      <c r="H47" s="68" t="s">
        <v>6</v>
      </c>
      <c r="I47" s="67" t="s">
        <v>5</v>
      </c>
      <c r="J47" s="68" t="s">
        <v>6</v>
      </c>
      <c r="K47" s="67" t="s">
        <v>5</v>
      </c>
      <c r="L47" s="68" t="s">
        <v>6</v>
      </c>
      <c r="M47" s="68"/>
      <c r="N47" s="68"/>
      <c r="O47" s="67" t="s">
        <v>5</v>
      </c>
      <c r="P47" s="68" t="s">
        <v>6</v>
      </c>
      <c r="Q47" s="68" t="s">
        <v>5</v>
      </c>
      <c r="R47" s="68" t="s">
        <v>6</v>
      </c>
      <c r="S47" s="338"/>
      <c r="T47" s="64"/>
      <c r="U47" s="64"/>
      <c r="V47" s="64"/>
      <c r="W47" s="64"/>
      <c r="X47" s="64"/>
      <c r="Y47" s="64"/>
      <c r="Z47" s="339"/>
      <c r="AA47" s="61" t="s">
        <v>43</v>
      </c>
      <c r="AB47" s="61" t="s">
        <v>45</v>
      </c>
      <c r="AC47" s="61" t="s">
        <v>46</v>
      </c>
      <c r="AD47" s="61" t="s">
        <v>42</v>
      </c>
      <c r="AE47" s="61" t="s">
        <v>41</v>
      </c>
      <c r="AF47" s="61" t="s">
        <v>44</v>
      </c>
    </row>
    <row r="48" spans="1:42" ht="12.75" hidden="1" customHeight="1">
      <c r="A48" s="21" t="s">
        <v>7</v>
      </c>
      <c r="B48" s="1" t="s">
        <v>18</v>
      </c>
      <c r="C48" s="68">
        <v>0</v>
      </c>
      <c r="D48" s="68">
        <v>0</v>
      </c>
      <c r="E48" s="69">
        <f t="shared" ref="E48:E56" si="31">O48+Q48</f>
        <v>1</v>
      </c>
      <c r="F48" s="70">
        <f t="shared" ref="F48:F56" si="32">P48+R48</f>
        <v>7</v>
      </c>
      <c r="G48" s="68">
        <f t="shared" ref="G48:G57" si="33">E48-C48</f>
        <v>1</v>
      </c>
      <c r="H48" s="68">
        <f t="shared" ref="H48:H57" si="34">F48-D48</f>
        <v>7</v>
      </c>
      <c r="I48" s="70"/>
      <c r="J48" s="70"/>
      <c r="K48" s="70"/>
      <c r="L48" s="70"/>
      <c r="M48" s="70">
        <f t="shared" ref="M48" si="35">I48+K48</f>
        <v>0</v>
      </c>
      <c r="N48" s="70">
        <f t="shared" ref="N48" si="36">J48+L48</f>
        <v>0</v>
      </c>
      <c r="O48" s="71"/>
      <c r="P48" s="71"/>
      <c r="Q48" s="70">
        <v>1</v>
      </c>
      <c r="R48" s="70">
        <v>7</v>
      </c>
      <c r="S48" s="72"/>
      <c r="T48" s="252" t="e">
        <f>E48/C48</f>
        <v>#DIV/0!</v>
      </c>
      <c r="U48" s="73"/>
      <c r="V48" s="73"/>
      <c r="W48" s="73"/>
      <c r="X48" s="73"/>
      <c r="Y48" s="73"/>
      <c r="Z48" s="339"/>
      <c r="AA48" s="61">
        <f>H44</f>
        <v>13</v>
      </c>
      <c r="AB48" s="61" t="str">
        <f>E44</f>
        <v>PMX-N75-007 W</v>
      </c>
      <c r="AC48" s="74" t="s">
        <v>47</v>
      </c>
      <c r="AD48" s="61" t="str">
        <f t="shared" ref="AD48:AD61" si="37">A48</f>
        <v>KR</v>
      </c>
      <c r="AE48" s="61">
        <f t="shared" ref="AE48:AE61" si="38">C48</f>
        <v>0</v>
      </c>
      <c r="AF48" s="61">
        <f t="shared" ref="AF48:AF61" si="39">E48</f>
        <v>1</v>
      </c>
    </row>
    <row r="49" spans="1:32" ht="12.75" hidden="1" customHeight="1">
      <c r="A49" s="23" t="s">
        <v>13</v>
      </c>
      <c r="B49" s="1">
        <f>B28+7</f>
        <v>43178</v>
      </c>
      <c r="C49" s="68">
        <v>400</v>
      </c>
      <c r="D49" s="68">
        <f t="shared" ref="D49:D50" si="40">C49*13</f>
        <v>5200</v>
      </c>
      <c r="E49" s="69">
        <f t="shared" si="31"/>
        <v>235</v>
      </c>
      <c r="F49" s="70">
        <f t="shared" si="32"/>
        <v>3191</v>
      </c>
      <c r="G49" s="68">
        <f t="shared" si="33"/>
        <v>-165</v>
      </c>
      <c r="H49" s="68">
        <f t="shared" si="34"/>
        <v>-2009</v>
      </c>
      <c r="I49" s="75">
        <v>18</v>
      </c>
      <c r="J49" s="75">
        <v>298</v>
      </c>
      <c r="K49" s="70">
        <v>49</v>
      </c>
      <c r="L49" s="70">
        <v>676</v>
      </c>
      <c r="M49" s="70">
        <f t="shared" ref="M49:M62" si="41">I49+K49</f>
        <v>67</v>
      </c>
      <c r="N49" s="70">
        <f t="shared" ref="N49:N62" si="42">J49+L49</f>
        <v>974</v>
      </c>
      <c r="O49" s="75">
        <v>235</v>
      </c>
      <c r="P49" s="75">
        <v>3191</v>
      </c>
      <c r="Q49" s="71"/>
      <c r="R49" s="71"/>
      <c r="S49" s="72"/>
      <c r="T49" s="252">
        <f t="shared" ref="T49:T60" si="43">E49/C49</f>
        <v>0.58750000000000002</v>
      </c>
      <c r="U49" s="73"/>
      <c r="V49" s="73"/>
      <c r="W49" s="73"/>
      <c r="X49" s="73"/>
      <c r="Y49" s="73"/>
      <c r="AA49" s="61">
        <f>H44</f>
        <v>13</v>
      </c>
      <c r="AB49" s="61" t="str">
        <f>E44</f>
        <v>PMX-N75-007 W</v>
      </c>
      <c r="AC49" s="74" t="s">
        <v>47</v>
      </c>
      <c r="AD49" s="61" t="str">
        <f t="shared" si="37"/>
        <v>TAO</v>
      </c>
      <c r="AE49" s="61">
        <f t="shared" si="38"/>
        <v>400</v>
      </c>
      <c r="AF49" s="61">
        <f t="shared" si="39"/>
        <v>235</v>
      </c>
    </row>
    <row r="50" spans="1:32" ht="12.75" hidden="1" customHeight="1">
      <c r="A50" s="23" t="s">
        <v>9</v>
      </c>
      <c r="B50" s="1">
        <f>B29+7</f>
        <v>43180</v>
      </c>
      <c r="C50" s="68">
        <v>600</v>
      </c>
      <c r="D50" s="68">
        <f t="shared" si="40"/>
        <v>7800</v>
      </c>
      <c r="E50" s="69">
        <f t="shared" si="31"/>
        <v>485</v>
      </c>
      <c r="F50" s="70">
        <f t="shared" si="32"/>
        <v>4699</v>
      </c>
      <c r="G50" s="68">
        <f t="shared" si="33"/>
        <v>-115</v>
      </c>
      <c r="H50" s="68">
        <f t="shared" si="34"/>
        <v>-3101</v>
      </c>
      <c r="I50" s="75">
        <v>95</v>
      </c>
      <c r="J50" s="75">
        <v>1075</v>
      </c>
      <c r="K50" s="71">
        <v>2</v>
      </c>
      <c r="L50" s="71">
        <v>15</v>
      </c>
      <c r="M50" s="70">
        <f t="shared" si="41"/>
        <v>97</v>
      </c>
      <c r="N50" s="70">
        <f t="shared" si="42"/>
        <v>1090</v>
      </c>
      <c r="O50" s="75">
        <f>374+111</f>
        <v>485</v>
      </c>
      <c r="P50" s="75">
        <v>4699</v>
      </c>
      <c r="Q50" s="71"/>
      <c r="R50" s="71"/>
      <c r="S50" s="72"/>
      <c r="T50" s="252">
        <f t="shared" si="43"/>
        <v>0.80833333333333335</v>
      </c>
      <c r="U50" s="73"/>
      <c r="V50" s="73"/>
      <c r="W50" s="73"/>
      <c r="X50" s="73"/>
      <c r="Y50" s="73"/>
      <c r="AA50" s="61">
        <f>H44</f>
        <v>13</v>
      </c>
      <c r="AB50" s="61" t="str">
        <f>E44</f>
        <v>PMX-N75-007 W</v>
      </c>
      <c r="AC50" s="74" t="s">
        <v>47</v>
      </c>
      <c r="AD50" s="61" t="str">
        <f t="shared" si="37"/>
        <v>SHA</v>
      </c>
      <c r="AE50" s="61">
        <f t="shared" si="38"/>
        <v>600</v>
      </c>
      <c r="AF50" s="61">
        <f t="shared" si="39"/>
        <v>485</v>
      </c>
    </row>
    <row r="51" spans="1:32" ht="12.75" hidden="1" customHeight="1">
      <c r="A51" s="23" t="s">
        <v>8</v>
      </c>
      <c r="B51" s="1">
        <f>B30+7</f>
        <v>43181</v>
      </c>
      <c r="C51" s="68">
        <v>375</v>
      </c>
      <c r="D51" s="68">
        <v>4875</v>
      </c>
      <c r="E51" s="69">
        <f t="shared" si="31"/>
        <v>183</v>
      </c>
      <c r="F51" s="70">
        <f t="shared" si="32"/>
        <v>2433</v>
      </c>
      <c r="G51" s="68">
        <f t="shared" si="33"/>
        <v>-192</v>
      </c>
      <c r="H51" s="68">
        <f t="shared" si="34"/>
        <v>-2442</v>
      </c>
      <c r="I51" s="71">
        <v>12</v>
      </c>
      <c r="J51" s="71">
        <v>117</v>
      </c>
      <c r="K51" s="71">
        <v>4</v>
      </c>
      <c r="L51" s="71">
        <v>69</v>
      </c>
      <c r="M51" s="70">
        <f t="shared" si="41"/>
        <v>16</v>
      </c>
      <c r="N51" s="70">
        <f t="shared" si="42"/>
        <v>186</v>
      </c>
      <c r="O51" s="71"/>
      <c r="P51" s="71"/>
      <c r="Q51" s="71">
        <v>183</v>
      </c>
      <c r="R51" s="71">
        <v>2433</v>
      </c>
      <c r="S51" s="72"/>
      <c r="T51" s="252">
        <f t="shared" si="43"/>
        <v>0.48799999999999999</v>
      </c>
      <c r="U51" s="73"/>
      <c r="V51" s="73"/>
      <c r="W51" s="73"/>
      <c r="X51" s="73"/>
      <c r="Y51" s="73"/>
      <c r="AA51" s="61">
        <f>H44</f>
        <v>13</v>
      </c>
      <c r="AB51" s="61" t="str">
        <f>E44</f>
        <v>PMX-N75-007 W</v>
      </c>
      <c r="AC51" s="74" t="s">
        <v>47</v>
      </c>
      <c r="AD51" s="61" t="str">
        <f t="shared" si="37"/>
        <v>NGB</v>
      </c>
      <c r="AE51" s="61">
        <f t="shared" si="38"/>
        <v>375</v>
      </c>
      <c r="AF51" s="61">
        <f t="shared" si="39"/>
        <v>183</v>
      </c>
    </row>
    <row r="52" spans="1:32" ht="12.75" hidden="1" customHeight="1">
      <c r="A52" s="23" t="s">
        <v>10</v>
      </c>
      <c r="B52" s="1" t="s">
        <v>9</v>
      </c>
      <c r="C52" s="68">
        <v>80</v>
      </c>
      <c r="D52" s="68">
        <v>1040</v>
      </c>
      <c r="E52" s="69">
        <f t="shared" si="31"/>
        <v>152</v>
      </c>
      <c r="F52" s="70">
        <f t="shared" si="32"/>
        <v>3546</v>
      </c>
      <c r="G52" s="68">
        <f t="shared" si="33"/>
        <v>72</v>
      </c>
      <c r="H52" s="68">
        <f t="shared" si="34"/>
        <v>2506</v>
      </c>
      <c r="I52" s="75"/>
      <c r="J52" s="75"/>
      <c r="K52" s="70"/>
      <c r="L52" s="70"/>
      <c r="M52" s="70">
        <f t="shared" si="41"/>
        <v>0</v>
      </c>
      <c r="N52" s="70">
        <f t="shared" si="42"/>
        <v>0</v>
      </c>
      <c r="O52" s="75">
        <v>152</v>
      </c>
      <c r="P52" s="75">
        <v>3546</v>
      </c>
      <c r="Q52" s="70"/>
      <c r="R52" s="70"/>
      <c r="S52" s="72"/>
      <c r="T52" s="252">
        <f t="shared" si="43"/>
        <v>1.9</v>
      </c>
      <c r="U52" s="73"/>
      <c r="V52" s="73"/>
      <c r="W52" s="73"/>
      <c r="X52" s="73"/>
      <c r="Y52" s="73"/>
      <c r="AA52" s="61">
        <f>H44</f>
        <v>13</v>
      </c>
      <c r="AB52" s="61" t="str">
        <f>E44</f>
        <v>PMX-N75-007 W</v>
      </c>
      <c r="AC52" s="74" t="s">
        <v>47</v>
      </c>
      <c r="AD52" s="61" t="str">
        <f t="shared" si="37"/>
        <v>WUH</v>
      </c>
      <c r="AE52" s="61">
        <f t="shared" si="38"/>
        <v>80</v>
      </c>
      <c r="AF52" s="61">
        <f t="shared" si="39"/>
        <v>152</v>
      </c>
    </row>
    <row r="53" spans="1:32" ht="12.75" hidden="1" customHeight="1">
      <c r="A53" s="23" t="s">
        <v>11</v>
      </c>
      <c r="B53" s="1" t="s">
        <v>18</v>
      </c>
      <c r="C53" s="68">
        <v>75</v>
      </c>
      <c r="D53" s="68">
        <v>975</v>
      </c>
      <c r="E53" s="69">
        <f t="shared" si="31"/>
        <v>85</v>
      </c>
      <c r="F53" s="70">
        <f t="shared" si="32"/>
        <v>1335</v>
      </c>
      <c r="G53" s="68">
        <f t="shared" si="33"/>
        <v>10</v>
      </c>
      <c r="H53" s="68">
        <f t="shared" si="34"/>
        <v>360</v>
      </c>
      <c r="I53" s="70"/>
      <c r="J53" s="70"/>
      <c r="K53" s="70"/>
      <c r="L53" s="70"/>
      <c r="M53" s="70">
        <f t="shared" si="41"/>
        <v>0</v>
      </c>
      <c r="N53" s="70">
        <f t="shared" si="42"/>
        <v>0</v>
      </c>
      <c r="O53" s="75">
        <v>2</v>
      </c>
      <c r="P53" s="75">
        <v>45</v>
      </c>
      <c r="Q53" s="70">
        <v>83</v>
      </c>
      <c r="R53" s="70">
        <v>1290</v>
      </c>
      <c r="S53" s="72"/>
      <c r="T53" s="252">
        <f t="shared" si="43"/>
        <v>1.1333333333333333</v>
      </c>
      <c r="U53" s="73"/>
      <c r="V53" s="73"/>
      <c r="W53" s="73"/>
      <c r="X53" s="73"/>
      <c r="Y53" s="73"/>
      <c r="AA53" s="61">
        <f>H44</f>
        <v>13</v>
      </c>
      <c r="AB53" s="61" t="str">
        <f>E44</f>
        <v>PMX-N75-007 W</v>
      </c>
      <c r="AC53" s="74" t="s">
        <v>47</v>
      </c>
      <c r="AD53" s="61" t="str">
        <f t="shared" si="37"/>
        <v>DLC</v>
      </c>
      <c r="AE53" s="61">
        <f t="shared" si="38"/>
        <v>75</v>
      </c>
      <c r="AF53" s="61">
        <f t="shared" si="39"/>
        <v>85</v>
      </c>
    </row>
    <row r="54" spans="1:32" ht="12.75" hidden="1" customHeight="1">
      <c r="A54" s="23" t="s">
        <v>12</v>
      </c>
      <c r="B54" s="1" t="s">
        <v>18</v>
      </c>
      <c r="C54" s="68">
        <v>100</v>
      </c>
      <c r="D54" s="68">
        <v>1300</v>
      </c>
      <c r="E54" s="69">
        <f t="shared" si="31"/>
        <v>17</v>
      </c>
      <c r="F54" s="70">
        <f t="shared" si="32"/>
        <v>294</v>
      </c>
      <c r="G54" s="68">
        <f t="shared" si="33"/>
        <v>-83</v>
      </c>
      <c r="H54" s="68">
        <f t="shared" si="34"/>
        <v>-1006</v>
      </c>
      <c r="I54" s="70"/>
      <c r="J54" s="70"/>
      <c r="K54" s="70"/>
      <c r="L54" s="70"/>
      <c r="M54" s="70">
        <f t="shared" si="41"/>
        <v>0</v>
      </c>
      <c r="N54" s="70">
        <f t="shared" si="42"/>
        <v>0</v>
      </c>
      <c r="O54" s="75"/>
      <c r="P54" s="75"/>
      <c r="Q54" s="76">
        <v>17</v>
      </c>
      <c r="R54" s="71">
        <v>294</v>
      </c>
      <c r="S54" s="72"/>
      <c r="T54" s="252">
        <f t="shared" si="43"/>
        <v>0.17</v>
      </c>
      <c r="U54" s="73"/>
      <c r="V54" s="73"/>
      <c r="W54" s="73"/>
      <c r="X54" s="73"/>
      <c r="Y54" s="73"/>
      <c r="AA54" s="61">
        <f>H44</f>
        <v>13</v>
      </c>
      <c r="AB54" s="61" t="str">
        <f>E44</f>
        <v>PMX-N75-007 W</v>
      </c>
      <c r="AC54" s="74" t="s">
        <v>47</v>
      </c>
      <c r="AD54" s="61" t="str">
        <f t="shared" si="37"/>
        <v>TSN</v>
      </c>
      <c r="AE54" s="61">
        <f t="shared" si="38"/>
        <v>100</v>
      </c>
      <c r="AF54" s="61">
        <f t="shared" si="39"/>
        <v>17</v>
      </c>
    </row>
    <row r="55" spans="1:32" ht="12.75" hidden="1" customHeight="1">
      <c r="A55" s="23" t="s">
        <v>14</v>
      </c>
      <c r="B55" s="1" t="s">
        <v>18</v>
      </c>
      <c r="C55" s="68">
        <v>50</v>
      </c>
      <c r="D55" s="68">
        <v>650</v>
      </c>
      <c r="E55" s="69">
        <f t="shared" si="31"/>
        <v>14</v>
      </c>
      <c r="F55" s="70">
        <f t="shared" si="32"/>
        <v>138</v>
      </c>
      <c r="G55" s="68">
        <f t="shared" si="33"/>
        <v>-36</v>
      </c>
      <c r="H55" s="68">
        <f t="shared" si="34"/>
        <v>-512</v>
      </c>
      <c r="I55" s="70"/>
      <c r="J55" s="70"/>
      <c r="K55" s="70"/>
      <c r="L55" s="70"/>
      <c r="M55" s="70">
        <f t="shared" si="41"/>
        <v>0</v>
      </c>
      <c r="N55" s="70">
        <f t="shared" si="42"/>
        <v>0</v>
      </c>
      <c r="O55" s="71"/>
      <c r="P55" s="71"/>
      <c r="Q55" s="70">
        <v>14</v>
      </c>
      <c r="R55" s="70">
        <v>138</v>
      </c>
      <c r="S55" s="72"/>
      <c r="T55" s="252">
        <f t="shared" si="43"/>
        <v>0.28000000000000003</v>
      </c>
      <c r="U55" s="73"/>
      <c r="V55" s="73"/>
      <c r="W55" s="73"/>
      <c r="X55" s="73"/>
      <c r="Y55" s="73"/>
      <c r="AA55" s="61">
        <f>H44</f>
        <v>13</v>
      </c>
      <c r="AB55" s="61" t="str">
        <f>E44</f>
        <v>PMX-N75-007 W</v>
      </c>
      <c r="AC55" s="74" t="s">
        <v>47</v>
      </c>
      <c r="AD55" s="61" t="str">
        <f t="shared" si="37"/>
        <v>XMN</v>
      </c>
      <c r="AE55" s="61">
        <f t="shared" si="38"/>
        <v>50</v>
      </c>
      <c r="AF55" s="61">
        <f t="shared" si="39"/>
        <v>14</v>
      </c>
    </row>
    <row r="56" spans="1:32" ht="12.75" hidden="1" customHeight="1">
      <c r="A56" s="23" t="s">
        <v>19</v>
      </c>
      <c r="B56" s="1" t="s">
        <v>18</v>
      </c>
      <c r="C56" s="68">
        <v>20</v>
      </c>
      <c r="D56" s="68">
        <v>260</v>
      </c>
      <c r="E56" s="69">
        <f t="shared" si="31"/>
        <v>0</v>
      </c>
      <c r="F56" s="70">
        <f t="shared" si="32"/>
        <v>0</v>
      </c>
      <c r="G56" s="68">
        <f t="shared" si="33"/>
        <v>-20</v>
      </c>
      <c r="H56" s="68">
        <f t="shared" si="34"/>
        <v>-260</v>
      </c>
      <c r="I56" s="70"/>
      <c r="J56" s="70"/>
      <c r="K56" s="70"/>
      <c r="L56" s="70"/>
      <c r="M56" s="70">
        <f t="shared" si="41"/>
        <v>0</v>
      </c>
      <c r="N56" s="70">
        <f t="shared" si="42"/>
        <v>0</v>
      </c>
      <c r="O56" s="70"/>
      <c r="P56" s="70"/>
      <c r="Q56" s="70"/>
      <c r="R56" s="70"/>
      <c r="S56" s="72"/>
      <c r="T56" s="252">
        <f t="shared" si="43"/>
        <v>0</v>
      </c>
      <c r="U56" s="73"/>
      <c r="V56" s="73"/>
      <c r="W56" s="73"/>
      <c r="X56" s="73"/>
      <c r="Y56" s="73"/>
      <c r="AA56" s="61">
        <f>H44</f>
        <v>13</v>
      </c>
      <c r="AB56" s="61" t="str">
        <f>E44</f>
        <v>PMX-N75-007 W</v>
      </c>
      <c r="AC56" s="74" t="s">
        <v>47</v>
      </c>
      <c r="AD56" s="61" t="str">
        <f t="shared" si="37"/>
        <v>TWC</v>
      </c>
      <c r="AE56" s="61">
        <f t="shared" si="38"/>
        <v>20</v>
      </c>
      <c r="AF56" s="61">
        <f t="shared" si="39"/>
        <v>0</v>
      </c>
    </row>
    <row r="57" spans="1:32" ht="12.75" hidden="1" customHeight="1">
      <c r="A57" s="23" t="s">
        <v>16</v>
      </c>
      <c r="B57" s="26"/>
      <c r="C57" s="68"/>
      <c r="D57" s="68"/>
      <c r="E57" s="69">
        <f>O57+Q57</f>
        <v>0</v>
      </c>
      <c r="F57" s="70">
        <f>P57+R56</f>
        <v>0</v>
      </c>
      <c r="G57" s="68">
        <f t="shared" si="33"/>
        <v>0</v>
      </c>
      <c r="H57" s="68">
        <f t="shared" si="34"/>
        <v>0</v>
      </c>
      <c r="I57" s="70"/>
      <c r="J57" s="70"/>
      <c r="K57" s="70"/>
      <c r="L57" s="70"/>
      <c r="M57" s="70">
        <f t="shared" si="41"/>
        <v>0</v>
      </c>
      <c r="N57" s="70">
        <f t="shared" si="42"/>
        <v>0</v>
      </c>
      <c r="O57" s="70"/>
      <c r="P57" s="70"/>
      <c r="Q57" s="70"/>
      <c r="S57" s="72"/>
      <c r="T57" s="252" t="e">
        <f t="shared" si="43"/>
        <v>#DIV/0!</v>
      </c>
      <c r="U57" s="73"/>
      <c r="V57" s="73"/>
      <c r="W57" s="73"/>
      <c r="X57" s="73"/>
      <c r="Y57" s="73"/>
      <c r="AA57" s="61">
        <f>H44</f>
        <v>13</v>
      </c>
      <c r="AB57" s="61" t="str">
        <f>E44</f>
        <v>PMX-N75-007 W</v>
      </c>
      <c r="AC57" s="74" t="s">
        <v>47</v>
      </c>
      <c r="AD57" s="61" t="str">
        <f t="shared" si="37"/>
        <v>HUA</v>
      </c>
      <c r="AE57" s="61">
        <f t="shared" si="38"/>
        <v>0</v>
      </c>
      <c r="AF57" s="61">
        <f t="shared" si="39"/>
        <v>0</v>
      </c>
    </row>
    <row r="58" spans="1:32" ht="12.75" hidden="1" customHeight="1">
      <c r="A58" s="23" t="s">
        <v>2</v>
      </c>
      <c r="B58" s="26"/>
      <c r="C58" s="68"/>
      <c r="D58" s="68"/>
      <c r="E58" s="69">
        <f>O58+Q58</f>
        <v>0</v>
      </c>
      <c r="F58" s="70">
        <f>P58+R58</f>
        <v>0</v>
      </c>
      <c r="G58" s="68"/>
      <c r="H58" s="68"/>
      <c r="I58" s="70"/>
      <c r="J58" s="70"/>
      <c r="K58" s="70"/>
      <c r="L58" s="70"/>
      <c r="M58" s="70">
        <f t="shared" si="41"/>
        <v>0</v>
      </c>
      <c r="N58" s="70">
        <f t="shared" si="42"/>
        <v>0</v>
      </c>
      <c r="O58" s="70"/>
      <c r="P58" s="70"/>
      <c r="Q58" s="70"/>
      <c r="R58" s="70"/>
      <c r="S58" s="72"/>
      <c r="T58" s="252" t="e">
        <f t="shared" si="43"/>
        <v>#DIV/0!</v>
      </c>
      <c r="U58" s="73"/>
      <c r="V58" s="73"/>
      <c r="W58" s="73"/>
      <c r="X58" s="73"/>
      <c r="Y58" s="73"/>
      <c r="AA58" s="61">
        <f>H44</f>
        <v>13</v>
      </c>
      <c r="AB58" s="61" t="str">
        <f>E44</f>
        <v>PMX-N75-007 W</v>
      </c>
      <c r="AC58" s="74" t="s">
        <v>47</v>
      </c>
      <c r="AD58" s="61" t="str">
        <f t="shared" si="37"/>
        <v>HKG</v>
      </c>
      <c r="AE58" s="61">
        <f t="shared" si="38"/>
        <v>0</v>
      </c>
      <c r="AF58" s="61">
        <f t="shared" si="39"/>
        <v>0</v>
      </c>
    </row>
    <row r="59" spans="1:32" ht="12.75" hidden="1" customHeight="1">
      <c r="A59" s="23" t="s">
        <v>3</v>
      </c>
      <c r="B59" s="1">
        <f>B38+7</f>
        <v>43187</v>
      </c>
      <c r="C59" s="68">
        <v>150</v>
      </c>
      <c r="D59" s="68">
        <v>1950</v>
      </c>
      <c r="E59" s="69">
        <f>O59+Q59</f>
        <v>270</v>
      </c>
      <c r="F59" s="70">
        <f>P59+R59</f>
        <v>3806</v>
      </c>
      <c r="G59" s="68">
        <f t="shared" ref="G59:G62" si="44">E59-C59</f>
        <v>120</v>
      </c>
      <c r="H59" s="68">
        <f t="shared" ref="H59:H62" si="45">F59-D59</f>
        <v>1856</v>
      </c>
      <c r="I59" s="70"/>
      <c r="J59" s="70"/>
      <c r="K59" s="70"/>
      <c r="L59" s="70"/>
      <c r="M59" s="70">
        <f t="shared" si="41"/>
        <v>0</v>
      </c>
      <c r="N59" s="70">
        <f t="shared" si="42"/>
        <v>0</v>
      </c>
      <c r="O59" s="68"/>
      <c r="P59" s="68"/>
      <c r="Q59" s="70">
        <v>270</v>
      </c>
      <c r="R59" s="70">
        <v>3806</v>
      </c>
      <c r="S59" s="72"/>
      <c r="T59" s="252">
        <f t="shared" si="43"/>
        <v>1.8</v>
      </c>
      <c r="U59" s="73"/>
      <c r="V59" s="73"/>
      <c r="W59" s="73"/>
      <c r="X59" s="73"/>
      <c r="Y59" s="73"/>
      <c r="AA59" s="61">
        <f>H44</f>
        <v>13</v>
      </c>
      <c r="AB59" s="61" t="str">
        <f>E44</f>
        <v>PMX-N75-007 W</v>
      </c>
      <c r="AC59" s="74" t="s">
        <v>47</v>
      </c>
      <c r="AD59" s="61" t="str">
        <f t="shared" si="37"/>
        <v>SGP</v>
      </c>
      <c r="AE59" s="61">
        <f t="shared" si="38"/>
        <v>150</v>
      </c>
      <c r="AF59" s="61">
        <f t="shared" si="39"/>
        <v>270</v>
      </c>
    </row>
    <row r="60" spans="1:32" ht="12.75" hidden="1" customHeight="1">
      <c r="A60" s="23" t="s">
        <v>4</v>
      </c>
      <c r="B60" s="1">
        <f>B39+7</f>
        <v>43189</v>
      </c>
      <c r="C60" s="68">
        <v>50</v>
      </c>
      <c r="D60" s="68">
        <v>650</v>
      </c>
      <c r="E60" s="69">
        <f>O60+Q60</f>
        <v>46</v>
      </c>
      <c r="F60" s="70">
        <f>P60+R60</f>
        <v>164</v>
      </c>
      <c r="G60" s="68">
        <f t="shared" si="44"/>
        <v>-4</v>
      </c>
      <c r="H60" s="68">
        <f t="shared" si="45"/>
        <v>-486</v>
      </c>
      <c r="I60" s="70"/>
      <c r="J60" s="70"/>
      <c r="K60" s="70"/>
      <c r="L60" s="70"/>
      <c r="M60" s="70">
        <f t="shared" si="41"/>
        <v>0</v>
      </c>
      <c r="N60" s="70">
        <f t="shared" si="42"/>
        <v>0</v>
      </c>
      <c r="O60" s="70"/>
      <c r="P60" s="70"/>
      <c r="Q60" s="70">
        <v>46</v>
      </c>
      <c r="R60" s="70">
        <v>164</v>
      </c>
      <c r="S60" s="72"/>
      <c r="T60" s="252">
        <f t="shared" si="43"/>
        <v>0.92</v>
      </c>
      <c r="U60" s="73"/>
      <c r="V60" s="73"/>
      <c r="W60" s="73"/>
      <c r="X60" s="73"/>
      <c r="Y60" s="73"/>
      <c r="AA60" s="61">
        <f>H44</f>
        <v>13</v>
      </c>
      <c r="AB60" s="61" t="str">
        <f>E44</f>
        <v>PMX-N75-007 W</v>
      </c>
      <c r="AC60" s="74" t="s">
        <v>47</v>
      </c>
      <c r="AD60" s="61" t="str">
        <f t="shared" si="37"/>
        <v>PKL</v>
      </c>
      <c r="AE60" s="61">
        <f t="shared" si="38"/>
        <v>50</v>
      </c>
      <c r="AF60" s="61">
        <f t="shared" si="39"/>
        <v>46</v>
      </c>
    </row>
    <row r="61" spans="1:32" ht="12.75" hidden="1" customHeight="1">
      <c r="A61" s="23" t="s">
        <v>15</v>
      </c>
      <c r="B61" s="20"/>
      <c r="C61" s="68"/>
      <c r="D61" s="68"/>
      <c r="E61" s="69">
        <f>O61+Q61</f>
        <v>301</v>
      </c>
      <c r="F61" s="70">
        <f>P61+R61</f>
        <v>4018</v>
      </c>
      <c r="G61" s="68">
        <f t="shared" si="44"/>
        <v>301</v>
      </c>
      <c r="H61" s="68">
        <f t="shared" si="45"/>
        <v>4018</v>
      </c>
      <c r="I61" s="70"/>
      <c r="J61" s="70"/>
      <c r="K61" s="70"/>
      <c r="L61" s="70"/>
      <c r="M61" s="70">
        <f t="shared" si="41"/>
        <v>0</v>
      </c>
      <c r="N61" s="70">
        <f t="shared" si="42"/>
        <v>0</v>
      </c>
      <c r="O61" s="71"/>
      <c r="P61" s="71"/>
      <c r="Q61" s="71">
        <f>158+138+5</f>
        <v>301</v>
      </c>
      <c r="R61" s="71">
        <f>2274+1657+87</f>
        <v>4018</v>
      </c>
      <c r="S61" s="72"/>
      <c r="T61" s="73"/>
      <c r="U61" s="73"/>
      <c r="V61" s="73"/>
      <c r="W61" s="73"/>
      <c r="X61" s="73"/>
      <c r="Y61" s="73"/>
      <c r="AA61" s="61">
        <f>H44</f>
        <v>13</v>
      </c>
      <c r="AB61" s="61" t="str">
        <f>E44</f>
        <v>PMX-N75-007 W</v>
      </c>
      <c r="AC61" s="74" t="s">
        <v>47</v>
      </c>
      <c r="AD61" s="61" t="str">
        <f t="shared" si="37"/>
        <v>T/S</v>
      </c>
      <c r="AE61" s="61">
        <f t="shared" si="38"/>
        <v>0</v>
      </c>
      <c r="AF61" s="61">
        <f t="shared" si="39"/>
        <v>301</v>
      </c>
    </row>
    <row r="62" spans="1:32" ht="12.75" hidden="1" customHeight="1">
      <c r="A62" s="21" t="s">
        <v>36</v>
      </c>
      <c r="B62" s="22"/>
      <c r="C62" s="71">
        <v>1949</v>
      </c>
      <c r="D62" s="71">
        <f>C62*13</f>
        <v>25337</v>
      </c>
      <c r="E62" s="78">
        <f>SUM(E48:E61)</f>
        <v>1789</v>
      </c>
      <c r="F62" s="76">
        <f>SUM(F48:F61)</f>
        <v>23631</v>
      </c>
      <c r="G62" s="71">
        <f t="shared" si="44"/>
        <v>-160</v>
      </c>
      <c r="H62" s="71">
        <f t="shared" si="45"/>
        <v>-1706</v>
      </c>
      <c r="I62" s="70">
        <f t="shared" ref="I62:L62" si="46">SUM(I48:I61)</f>
        <v>125</v>
      </c>
      <c r="J62" s="70">
        <f t="shared" si="46"/>
        <v>1490</v>
      </c>
      <c r="K62" s="70">
        <f t="shared" si="46"/>
        <v>55</v>
      </c>
      <c r="L62" s="70">
        <f t="shared" si="46"/>
        <v>760</v>
      </c>
      <c r="M62" s="70">
        <f t="shared" si="41"/>
        <v>180</v>
      </c>
      <c r="N62" s="70">
        <f t="shared" si="42"/>
        <v>2250</v>
      </c>
      <c r="O62" s="70">
        <f t="shared" ref="O62:R62" si="47">SUM(O48:O61)</f>
        <v>874</v>
      </c>
      <c r="P62" s="70">
        <f t="shared" si="47"/>
        <v>11481</v>
      </c>
      <c r="Q62" s="70">
        <f t="shared" si="47"/>
        <v>915</v>
      </c>
      <c r="R62" s="70">
        <f t="shared" si="47"/>
        <v>12150</v>
      </c>
      <c r="S62" s="72"/>
      <c r="T62" s="73"/>
      <c r="U62" s="73"/>
      <c r="V62" s="73"/>
      <c r="W62" s="73"/>
      <c r="X62" s="73"/>
      <c r="Y62" s="73"/>
    </row>
    <row r="63" spans="1:32" s="65" customFormat="1" ht="12.75" hidden="1" customHeight="1">
      <c r="A63" s="84">
        <f>D62/C62</f>
        <v>13</v>
      </c>
      <c r="C63" s="79">
        <f>F62-E63</f>
        <v>827.70000000000073</v>
      </c>
      <c r="E63" s="65">
        <f>D62*0.9</f>
        <v>22803.3</v>
      </c>
      <c r="F63" s="79">
        <f>E62-L63</f>
        <v>34.899999999999864</v>
      </c>
      <c r="I63" s="80" t="s">
        <v>48</v>
      </c>
      <c r="J63" s="245">
        <f>E62/C62</f>
        <v>0.91790661877886093</v>
      </c>
      <c r="K63" s="80"/>
      <c r="L63" s="80">
        <f>C62*0.9</f>
        <v>1754.1000000000001</v>
      </c>
      <c r="M63" s="80"/>
      <c r="N63" s="80"/>
      <c r="O63" s="80" t="s">
        <v>49</v>
      </c>
      <c r="P63" s="80"/>
      <c r="Q63" s="65">
        <f>P49+P50+P52+P53+P54+J49+J50+L49+L50+J52+R52</f>
        <v>13545</v>
      </c>
      <c r="R63" s="65">
        <v>16856</v>
      </c>
      <c r="AA63" s="81"/>
      <c r="AB63" s="81"/>
      <c r="AC63" s="81"/>
      <c r="AD63" s="81"/>
      <c r="AE63" s="81"/>
      <c r="AF63" s="81"/>
    </row>
    <row r="64" spans="1:32" ht="12.75" hidden="1" customHeight="1"/>
    <row r="65" spans="1:32" s="63" customFormat="1" ht="12.75" hidden="1" customHeight="1">
      <c r="A65" s="59" t="s">
        <v>47</v>
      </c>
      <c r="B65" s="58" t="s">
        <v>519</v>
      </c>
      <c r="C65" s="56"/>
      <c r="D65" s="57"/>
      <c r="E65" s="58" t="s">
        <v>520</v>
      </c>
      <c r="F65" s="57"/>
      <c r="G65" s="59" t="s">
        <v>37</v>
      </c>
      <c r="H65" s="60">
        <f>H44+1</f>
        <v>14</v>
      </c>
      <c r="I65" s="57"/>
      <c r="J65" s="57"/>
      <c r="K65" s="57"/>
      <c r="L65" s="57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2"/>
      <c r="AA65" s="62"/>
      <c r="AB65" s="62"/>
      <c r="AC65" s="62"/>
    </row>
    <row r="66" spans="1:32" s="65" customFormat="1" ht="12.75" hidden="1" customHeight="1">
      <c r="A66" s="340" t="s">
        <v>0</v>
      </c>
      <c r="B66" s="336" t="s">
        <v>1</v>
      </c>
      <c r="C66" s="331" t="s">
        <v>25</v>
      </c>
      <c r="D66" s="332"/>
      <c r="E66" s="331" t="s">
        <v>21</v>
      </c>
      <c r="F66" s="332"/>
      <c r="G66" s="335" t="s">
        <v>24</v>
      </c>
      <c r="H66" s="335"/>
      <c r="I66" s="328" t="s">
        <v>33</v>
      </c>
      <c r="J66" s="329"/>
      <c r="K66" s="329"/>
      <c r="L66" s="329"/>
      <c r="M66" s="329"/>
      <c r="N66" s="330"/>
      <c r="O66" s="331" t="s">
        <v>22</v>
      </c>
      <c r="P66" s="332"/>
      <c r="Q66" s="335" t="s">
        <v>23</v>
      </c>
      <c r="R66" s="335"/>
      <c r="S66" s="336" t="s">
        <v>27</v>
      </c>
      <c r="T66" s="64"/>
      <c r="U66" s="64"/>
      <c r="V66" s="64"/>
      <c r="W66" s="64"/>
      <c r="X66" s="64"/>
      <c r="Y66" s="64"/>
      <c r="Z66" s="339"/>
      <c r="AA66" s="61"/>
      <c r="AB66" s="61"/>
      <c r="AC66" s="74"/>
      <c r="AD66" s="61"/>
      <c r="AE66" s="61"/>
      <c r="AF66" s="61"/>
    </row>
    <row r="67" spans="1:32" s="65" customFormat="1" ht="12.75" hidden="1" customHeight="1">
      <c r="A67" s="341"/>
      <c r="B67" s="337"/>
      <c r="C67" s="333"/>
      <c r="D67" s="334"/>
      <c r="E67" s="333"/>
      <c r="F67" s="334"/>
      <c r="G67" s="335"/>
      <c r="H67" s="335"/>
      <c r="I67" s="240" t="s">
        <v>28</v>
      </c>
      <c r="J67" s="241" t="s">
        <v>3</v>
      </c>
      <c r="K67" s="240" t="s">
        <v>29</v>
      </c>
      <c r="L67" s="241" t="s">
        <v>4</v>
      </c>
      <c r="M67" s="328" t="s">
        <v>30</v>
      </c>
      <c r="N67" s="330"/>
      <c r="O67" s="333"/>
      <c r="P67" s="334"/>
      <c r="Q67" s="335"/>
      <c r="R67" s="335"/>
      <c r="S67" s="337"/>
      <c r="T67" s="64"/>
      <c r="U67" s="64"/>
      <c r="V67" s="64"/>
      <c r="W67" s="64"/>
      <c r="X67" s="64"/>
      <c r="Y67" s="64"/>
      <c r="Z67" s="339"/>
      <c r="AA67" s="61"/>
      <c r="AB67" s="61"/>
      <c r="AC67" s="74"/>
      <c r="AD67" s="61"/>
      <c r="AE67" s="61"/>
      <c r="AF67" s="61"/>
    </row>
    <row r="68" spans="1:32" s="65" customFormat="1" ht="12.75" hidden="1" customHeight="1">
      <c r="A68" s="342"/>
      <c r="B68" s="338"/>
      <c r="C68" s="242" t="s">
        <v>5</v>
      </c>
      <c r="D68" s="242" t="s">
        <v>6</v>
      </c>
      <c r="E68" s="241" t="s">
        <v>5</v>
      </c>
      <c r="F68" s="242" t="s">
        <v>6</v>
      </c>
      <c r="G68" s="242" t="s">
        <v>5</v>
      </c>
      <c r="H68" s="242" t="s">
        <v>6</v>
      </c>
      <c r="I68" s="241" t="s">
        <v>5</v>
      </c>
      <c r="J68" s="242" t="s">
        <v>6</v>
      </c>
      <c r="K68" s="241" t="s">
        <v>5</v>
      </c>
      <c r="L68" s="242" t="s">
        <v>6</v>
      </c>
      <c r="M68" s="242"/>
      <c r="N68" s="242"/>
      <c r="O68" s="241" t="s">
        <v>5</v>
      </c>
      <c r="P68" s="242" t="s">
        <v>6</v>
      </c>
      <c r="Q68" s="242" t="s">
        <v>5</v>
      </c>
      <c r="R68" s="242" t="s">
        <v>6</v>
      </c>
      <c r="S68" s="338"/>
      <c r="T68" s="64"/>
      <c r="U68" s="64"/>
      <c r="V68" s="64"/>
      <c r="W68" s="64"/>
      <c r="X68" s="64"/>
      <c r="Y68" s="64"/>
      <c r="Z68" s="339"/>
      <c r="AA68" s="61" t="s">
        <v>43</v>
      </c>
      <c r="AB68" s="61" t="s">
        <v>45</v>
      </c>
      <c r="AC68" s="61" t="s">
        <v>46</v>
      </c>
      <c r="AD68" s="61" t="s">
        <v>42</v>
      </c>
      <c r="AE68" s="61" t="s">
        <v>41</v>
      </c>
      <c r="AF68" s="61" t="s">
        <v>44</v>
      </c>
    </row>
    <row r="69" spans="1:32" s="65" customFormat="1" ht="12.75" hidden="1" customHeight="1">
      <c r="A69" s="51" t="s">
        <v>7</v>
      </c>
      <c r="B69" s="1" t="s">
        <v>18</v>
      </c>
      <c r="C69" s="242">
        <v>0</v>
      </c>
      <c r="D69" s="242">
        <v>0</v>
      </c>
      <c r="E69" s="69">
        <f t="shared" ref="E69:E77" si="48">O69+Q69</f>
        <v>6</v>
      </c>
      <c r="F69" s="70">
        <f t="shared" ref="F69:F77" si="49">P69+R69</f>
        <v>98</v>
      </c>
      <c r="G69" s="242">
        <f t="shared" ref="G69:G78" si="50">E69-C69</f>
        <v>6</v>
      </c>
      <c r="H69" s="242">
        <f t="shared" ref="H69:H78" si="51">F69-D69</f>
        <v>98</v>
      </c>
      <c r="I69" s="70"/>
      <c r="J69" s="70"/>
      <c r="K69" s="70"/>
      <c r="L69" s="70"/>
      <c r="M69" s="70">
        <f t="shared" ref="M69" si="52">I69+K69</f>
        <v>0</v>
      </c>
      <c r="N69" s="70">
        <f t="shared" ref="N69" si="53">J69+L69</f>
        <v>0</v>
      </c>
      <c r="O69" s="71"/>
      <c r="P69" s="71"/>
      <c r="Q69" s="70">
        <v>6</v>
      </c>
      <c r="R69" s="70">
        <v>98</v>
      </c>
      <c r="S69" s="72"/>
      <c r="T69" s="252" t="e">
        <f>E69/C69</f>
        <v>#DIV/0!</v>
      </c>
      <c r="U69" s="73"/>
      <c r="V69" s="73"/>
      <c r="W69" s="73"/>
      <c r="X69" s="73"/>
      <c r="Y69" s="73"/>
      <c r="Z69" s="339"/>
      <c r="AA69" s="61">
        <f>H65</f>
        <v>14</v>
      </c>
      <c r="AB69" s="61" t="str">
        <f>E65</f>
        <v>PMX-QM3-033 W/PMX-RMC-055 W</v>
      </c>
      <c r="AC69" s="74" t="s">
        <v>47</v>
      </c>
      <c r="AD69" s="61" t="str">
        <f t="shared" ref="AD69:AD82" si="54">A69</f>
        <v>KR</v>
      </c>
      <c r="AE69" s="61">
        <f t="shared" ref="AE69:AE82" si="55">C69</f>
        <v>0</v>
      </c>
      <c r="AF69" s="61">
        <f t="shared" ref="AF69:AF82" si="56">E69</f>
        <v>6</v>
      </c>
    </row>
    <row r="70" spans="1:32" s="65" customFormat="1" ht="12.75" hidden="1" customHeight="1">
      <c r="A70" s="52" t="s">
        <v>13</v>
      </c>
      <c r="B70" s="1">
        <f>B49+7</f>
        <v>43185</v>
      </c>
      <c r="C70" s="242">
        <v>400</v>
      </c>
      <c r="D70" s="242">
        <f t="shared" ref="D70:D71" si="57">C70*13</f>
        <v>5200</v>
      </c>
      <c r="E70" s="69">
        <f t="shared" si="48"/>
        <v>418</v>
      </c>
      <c r="F70" s="70">
        <f t="shared" si="49"/>
        <v>5449</v>
      </c>
      <c r="G70" s="242">
        <f t="shared" si="50"/>
        <v>18</v>
      </c>
      <c r="H70" s="242">
        <f t="shared" si="51"/>
        <v>249</v>
      </c>
      <c r="I70" s="75"/>
      <c r="J70" s="75"/>
      <c r="K70" s="70"/>
      <c r="L70" s="70"/>
      <c r="M70" s="70">
        <f t="shared" ref="M70:M83" si="58">I70+K70</f>
        <v>0</v>
      </c>
      <c r="N70" s="70">
        <f t="shared" ref="N70:N83" si="59">J70+L70</f>
        <v>0</v>
      </c>
      <c r="O70" s="75">
        <v>418</v>
      </c>
      <c r="P70" s="75">
        <v>5449</v>
      </c>
      <c r="Q70" s="71"/>
      <c r="R70" s="71"/>
      <c r="S70" s="72" t="s">
        <v>539</v>
      </c>
      <c r="T70" s="252">
        <f t="shared" ref="T70:T80" si="60">E70/C70</f>
        <v>1.0449999999999999</v>
      </c>
      <c r="U70" s="73"/>
      <c r="V70" s="73"/>
      <c r="W70" s="73"/>
      <c r="X70" s="73"/>
      <c r="Y70" s="73"/>
      <c r="AA70" s="61">
        <f>H65</f>
        <v>14</v>
      </c>
      <c r="AB70" s="61" t="str">
        <f>E65</f>
        <v>PMX-QM3-033 W/PMX-RMC-055 W</v>
      </c>
      <c r="AC70" s="74" t="s">
        <v>47</v>
      </c>
      <c r="AD70" s="61" t="str">
        <f t="shared" si="54"/>
        <v>TAO</v>
      </c>
      <c r="AE70" s="61">
        <f t="shared" si="55"/>
        <v>400</v>
      </c>
      <c r="AF70" s="61">
        <f t="shared" si="56"/>
        <v>418</v>
      </c>
    </row>
    <row r="71" spans="1:32" s="65" customFormat="1" ht="12.75" hidden="1" customHeight="1">
      <c r="A71" s="52" t="s">
        <v>9</v>
      </c>
      <c r="B71" s="1">
        <f>B50+7</f>
        <v>43187</v>
      </c>
      <c r="C71" s="242">
        <v>600</v>
      </c>
      <c r="D71" s="242">
        <f t="shared" si="57"/>
        <v>7800</v>
      </c>
      <c r="E71" s="69">
        <f t="shared" si="48"/>
        <v>438</v>
      </c>
      <c r="F71" s="70">
        <f t="shared" si="49"/>
        <v>6061</v>
      </c>
      <c r="G71" s="242">
        <f t="shared" si="50"/>
        <v>-162</v>
      </c>
      <c r="H71" s="242">
        <f t="shared" si="51"/>
        <v>-1739</v>
      </c>
      <c r="I71" s="75"/>
      <c r="J71" s="75"/>
      <c r="K71" s="71"/>
      <c r="L71" s="71"/>
      <c r="M71" s="70">
        <f t="shared" si="58"/>
        <v>0</v>
      </c>
      <c r="N71" s="70">
        <f t="shared" si="59"/>
        <v>0</v>
      </c>
      <c r="O71" s="75">
        <v>438</v>
      </c>
      <c r="P71" s="75">
        <v>6061</v>
      </c>
      <c r="Q71" s="71"/>
      <c r="R71" s="71"/>
      <c r="S71" s="72"/>
      <c r="T71" s="252">
        <f t="shared" si="60"/>
        <v>0.73</v>
      </c>
      <c r="U71" s="73"/>
      <c r="V71" s="73"/>
      <c r="W71" s="73"/>
      <c r="X71" s="73"/>
      <c r="Y71" s="73"/>
      <c r="AA71" s="61">
        <f>H65</f>
        <v>14</v>
      </c>
      <c r="AB71" s="61" t="str">
        <f>E65</f>
        <v>PMX-QM3-033 W/PMX-RMC-055 W</v>
      </c>
      <c r="AC71" s="74" t="s">
        <v>47</v>
      </c>
      <c r="AD71" s="61" t="str">
        <f t="shared" si="54"/>
        <v>SHA</v>
      </c>
      <c r="AE71" s="61">
        <f t="shared" si="55"/>
        <v>600</v>
      </c>
      <c r="AF71" s="61">
        <f t="shared" si="56"/>
        <v>438</v>
      </c>
    </row>
    <row r="72" spans="1:32" s="65" customFormat="1" ht="12.75" hidden="1" customHeight="1">
      <c r="A72" s="52" t="s">
        <v>8</v>
      </c>
      <c r="B72" s="1">
        <f>B51+7</f>
        <v>43188</v>
      </c>
      <c r="C72" s="242">
        <v>375</v>
      </c>
      <c r="D72" s="242">
        <v>4875</v>
      </c>
      <c r="E72" s="69">
        <f t="shared" si="48"/>
        <v>252</v>
      </c>
      <c r="F72" s="70">
        <f t="shared" si="49"/>
        <v>2547</v>
      </c>
      <c r="G72" s="242">
        <f t="shared" si="50"/>
        <v>-123</v>
      </c>
      <c r="H72" s="242">
        <f t="shared" si="51"/>
        <v>-2328</v>
      </c>
      <c r="I72" s="71">
        <v>345</v>
      </c>
      <c r="J72" s="71">
        <v>4615</v>
      </c>
      <c r="K72" s="71">
        <v>69</v>
      </c>
      <c r="L72" s="71">
        <v>838</v>
      </c>
      <c r="M72" s="70">
        <f t="shared" si="58"/>
        <v>414</v>
      </c>
      <c r="N72" s="70">
        <f t="shared" si="59"/>
        <v>5453</v>
      </c>
      <c r="O72" s="71"/>
      <c r="P72" s="71"/>
      <c r="Q72" s="71">
        <f>217+35</f>
        <v>252</v>
      </c>
      <c r="R72" s="71">
        <v>2547</v>
      </c>
      <c r="S72" s="72"/>
      <c r="T72" s="252">
        <f t="shared" si="60"/>
        <v>0.67200000000000004</v>
      </c>
      <c r="U72" s="73"/>
      <c r="V72" s="73"/>
      <c r="W72" s="73"/>
      <c r="X72" s="73"/>
      <c r="Y72" s="73"/>
      <c r="AA72" s="61">
        <f>H65</f>
        <v>14</v>
      </c>
      <c r="AB72" s="61" t="str">
        <f>E65</f>
        <v>PMX-QM3-033 W/PMX-RMC-055 W</v>
      </c>
      <c r="AC72" s="74" t="s">
        <v>47</v>
      </c>
      <c r="AD72" s="61" t="str">
        <f t="shared" si="54"/>
        <v>NGB</v>
      </c>
      <c r="AE72" s="61">
        <f t="shared" si="55"/>
        <v>375</v>
      </c>
      <c r="AF72" s="61">
        <f t="shared" si="56"/>
        <v>252</v>
      </c>
    </row>
    <row r="73" spans="1:32" s="65" customFormat="1" ht="12.75" hidden="1" customHeight="1">
      <c r="A73" s="52" t="s">
        <v>10</v>
      </c>
      <c r="B73" s="1" t="s">
        <v>9</v>
      </c>
      <c r="C73" s="242">
        <v>80</v>
      </c>
      <c r="D73" s="242">
        <v>1040</v>
      </c>
      <c r="E73" s="69">
        <f t="shared" si="48"/>
        <v>51</v>
      </c>
      <c r="F73" s="70">
        <f t="shared" si="49"/>
        <v>979</v>
      </c>
      <c r="G73" s="242">
        <f t="shared" si="50"/>
        <v>-29</v>
      </c>
      <c r="H73" s="242">
        <f t="shared" si="51"/>
        <v>-61</v>
      </c>
      <c r="I73" s="75"/>
      <c r="J73" s="75"/>
      <c r="K73" s="70"/>
      <c r="L73" s="70"/>
      <c r="M73" s="70">
        <f t="shared" si="58"/>
        <v>0</v>
      </c>
      <c r="N73" s="70">
        <f t="shared" si="59"/>
        <v>0</v>
      </c>
      <c r="O73" s="75">
        <v>51</v>
      </c>
      <c r="P73" s="75">
        <v>979</v>
      </c>
      <c r="Q73" s="70"/>
      <c r="R73" s="70"/>
      <c r="S73" s="72"/>
      <c r="T73" s="252">
        <f t="shared" si="60"/>
        <v>0.63749999999999996</v>
      </c>
      <c r="U73" s="73"/>
      <c r="V73" s="73"/>
      <c r="W73" s="73"/>
      <c r="X73" s="73"/>
      <c r="Y73" s="73"/>
      <c r="AA73" s="61">
        <f>H65</f>
        <v>14</v>
      </c>
      <c r="AB73" s="61" t="str">
        <f>E65</f>
        <v>PMX-QM3-033 W/PMX-RMC-055 W</v>
      </c>
      <c r="AC73" s="74" t="s">
        <v>47</v>
      </c>
      <c r="AD73" s="61" t="str">
        <f t="shared" si="54"/>
        <v>WUH</v>
      </c>
      <c r="AE73" s="61">
        <f t="shared" si="55"/>
        <v>80</v>
      </c>
      <c r="AF73" s="61">
        <f t="shared" si="56"/>
        <v>51</v>
      </c>
    </row>
    <row r="74" spans="1:32" s="65" customFormat="1" ht="12.75" hidden="1" customHeight="1">
      <c r="A74" s="52" t="s">
        <v>11</v>
      </c>
      <c r="B74" s="1" t="s">
        <v>18</v>
      </c>
      <c r="C74" s="242">
        <v>75</v>
      </c>
      <c r="D74" s="242">
        <v>975</v>
      </c>
      <c r="E74" s="69">
        <f t="shared" si="48"/>
        <v>63</v>
      </c>
      <c r="F74" s="70">
        <f t="shared" si="49"/>
        <v>1172</v>
      </c>
      <c r="G74" s="242">
        <f t="shared" si="50"/>
        <v>-12</v>
      </c>
      <c r="H74" s="242">
        <f t="shared" si="51"/>
        <v>197</v>
      </c>
      <c r="I74" s="70"/>
      <c r="J74" s="70"/>
      <c r="K74" s="70"/>
      <c r="L74" s="70"/>
      <c r="M74" s="70">
        <f t="shared" si="58"/>
        <v>0</v>
      </c>
      <c r="N74" s="70">
        <f t="shared" si="59"/>
        <v>0</v>
      </c>
      <c r="O74" s="75"/>
      <c r="P74" s="75"/>
      <c r="Q74" s="70">
        <v>63</v>
      </c>
      <c r="R74" s="70">
        <v>1172</v>
      </c>
      <c r="S74" s="72"/>
      <c r="T74" s="252">
        <f t="shared" si="60"/>
        <v>0.84</v>
      </c>
      <c r="U74" s="73"/>
      <c r="V74" s="73"/>
      <c r="W74" s="73"/>
      <c r="X74" s="73"/>
      <c r="Y74" s="73"/>
      <c r="AA74" s="61">
        <f>H65</f>
        <v>14</v>
      </c>
      <c r="AB74" s="61" t="str">
        <f>E65</f>
        <v>PMX-QM3-033 W/PMX-RMC-055 W</v>
      </c>
      <c r="AC74" s="74" t="s">
        <v>47</v>
      </c>
      <c r="AD74" s="61" t="str">
        <f t="shared" si="54"/>
        <v>DLC</v>
      </c>
      <c r="AE74" s="61">
        <f t="shared" si="55"/>
        <v>75</v>
      </c>
      <c r="AF74" s="61">
        <f t="shared" si="56"/>
        <v>63</v>
      </c>
    </row>
    <row r="75" spans="1:32" s="65" customFormat="1" ht="12.75" hidden="1" customHeight="1">
      <c r="A75" s="52" t="s">
        <v>12</v>
      </c>
      <c r="B75" s="1" t="s">
        <v>18</v>
      </c>
      <c r="C75" s="242">
        <v>100</v>
      </c>
      <c r="D75" s="242">
        <v>1300</v>
      </c>
      <c r="E75" s="69">
        <f t="shared" si="48"/>
        <v>23</v>
      </c>
      <c r="F75" s="70">
        <f t="shared" si="49"/>
        <v>398</v>
      </c>
      <c r="G75" s="242">
        <f t="shared" si="50"/>
        <v>-77</v>
      </c>
      <c r="H75" s="242">
        <f t="shared" si="51"/>
        <v>-902</v>
      </c>
      <c r="I75" s="70"/>
      <c r="J75" s="70"/>
      <c r="K75" s="70"/>
      <c r="L75" s="70"/>
      <c r="M75" s="70">
        <f t="shared" si="58"/>
        <v>0</v>
      </c>
      <c r="N75" s="70">
        <f t="shared" si="59"/>
        <v>0</v>
      </c>
      <c r="O75" s="75"/>
      <c r="P75" s="75"/>
      <c r="Q75" s="76">
        <v>23</v>
      </c>
      <c r="R75" s="71">
        <v>398</v>
      </c>
      <c r="S75" s="72"/>
      <c r="T75" s="252">
        <f t="shared" si="60"/>
        <v>0.23</v>
      </c>
      <c r="U75" s="73"/>
      <c r="V75" s="73"/>
      <c r="W75" s="73"/>
      <c r="X75" s="73"/>
      <c r="Y75" s="73"/>
      <c r="AA75" s="61">
        <f>H65</f>
        <v>14</v>
      </c>
      <c r="AB75" s="61" t="str">
        <f>E65</f>
        <v>PMX-QM3-033 W/PMX-RMC-055 W</v>
      </c>
      <c r="AC75" s="74" t="s">
        <v>47</v>
      </c>
      <c r="AD75" s="61" t="str">
        <f t="shared" si="54"/>
        <v>TSN</v>
      </c>
      <c r="AE75" s="61">
        <f t="shared" si="55"/>
        <v>100</v>
      </c>
      <c r="AF75" s="61">
        <f t="shared" si="56"/>
        <v>23</v>
      </c>
    </row>
    <row r="76" spans="1:32" s="65" customFormat="1" ht="12.75" hidden="1" customHeight="1">
      <c r="A76" s="52" t="s">
        <v>14</v>
      </c>
      <c r="B76" s="1" t="s">
        <v>18</v>
      </c>
      <c r="C76" s="242">
        <v>50</v>
      </c>
      <c r="D76" s="242">
        <v>650</v>
      </c>
      <c r="E76" s="69">
        <f t="shared" si="48"/>
        <v>2</v>
      </c>
      <c r="F76" s="70">
        <f t="shared" si="49"/>
        <v>12</v>
      </c>
      <c r="G76" s="242">
        <f t="shared" si="50"/>
        <v>-48</v>
      </c>
      <c r="H76" s="242">
        <f t="shared" si="51"/>
        <v>-638</v>
      </c>
      <c r="I76" s="70"/>
      <c r="J76" s="70"/>
      <c r="K76" s="70"/>
      <c r="L76" s="70"/>
      <c r="M76" s="70">
        <f t="shared" si="58"/>
        <v>0</v>
      </c>
      <c r="N76" s="70">
        <f t="shared" si="59"/>
        <v>0</v>
      </c>
      <c r="O76" s="71"/>
      <c r="P76" s="71"/>
      <c r="Q76" s="70">
        <v>2</v>
      </c>
      <c r="R76" s="70">
        <v>12</v>
      </c>
      <c r="S76" s="72"/>
      <c r="T76" s="252">
        <f t="shared" si="60"/>
        <v>0.04</v>
      </c>
      <c r="U76" s="73"/>
      <c r="V76" s="73"/>
      <c r="W76" s="73"/>
      <c r="X76" s="73"/>
      <c r="Y76" s="73"/>
      <c r="AA76" s="61">
        <f>H65</f>
        <v>14</v>
      </c>
      <c r="AB76" s="61" t="str">
        <f>E65</f>
        <v>PMX-QM3-033 W/PMX-RMC-055 W</v>
      </c>
      <c r="AC76" s="74" t="s">
        <v>47</v>
      </c>
      <c r="AD76" s="61" t="str">
        <f t="shared" si="54"/>
        <v>XMN</v>
      </c>
      <c r="AE76" s="61">
        <f t="shared" si="55"/>
        <v>50</v>
      </c>
      <c r="AF76" s="61">
        <f t="shared" si="56"/>
        <v>2</v>
      </c>
    </row>
    <row r="77" spans="1:32" s="65" customFormat="1" ht="12.75" hidden="1" customHeight="1">
      <c r="A77" s="52" t="s">
        <v>19</v>
      </c>
      <c r="B77" s="1" t="s">
        <v>18</v>
      </c>
      <c r="C77" s="242">
        <v>20</v>
      </c>
      <c r="D77" s="242">
        <v>260</v>
      </c>
      <c r="E77" s="69">
        <f t="shared" si="48"/>
        <v>0</v>
      </c>
      <c r="F77" s="70">
        <f t="shared" si="49"/>
        <v>0</v>
      </c>
      <c r="G77" s="242">
        <f t="shared" si="50"/>
        <v>-20</v>
      </c>
      <c r="H77" s="242">
        <f t="shared" si="51"/>
        <v>-260</v>
      </c>
      <c r="I77" s="70"/>
      <c r="J77" s="70"/>
      <c r="K77" s="70"/>
      <c r="L77" s="70"/>
      <c r="M77" s="70">
        <f t="shared" si="58"/>
        <v>0</v>
      </c>
      <c r="N77" s="70">
        <f t="shared" si="59"/>
        <v>0</v>
      </c>
      <c r="O77" s="70"/>
      <c r="P77" s="70"/>
      <c r="Q77" s="70"/>
      <c r="R77" s="70"/>
      <c r="S77" s="72"/>
      <c r="T77" s="252">
        <f t="shared" si="60"/>
        <v>0</v>
      </c>
      <c r="U77" s="73"/>
      <c r="V77" s="73"/>
      <c r="W77" s="73"/>
      <c r="X77" s="73"/>
      <c r="Y77" s="73"/>
      <c r="AA77" s="61">
        <f>H65</f>
        <v>14</v>
      </c>
      <c r="AB77" s="61" t="str">
        <f>E65</f>
        <v>PMX-QM3-033 W/PMX-RMC-055 W</v>
      </c>
      <c r="AC77" s="74" t="s">
        <v>47</v>
      </c>
      <c r="AD77" s="61" t="str">
        <f t="shared" si="54"/>
        <v>TWC</v>
      </c>
      <c r="AE77" s="61">
        <f t="shared" si="55"/>
        <v>20</v>
      </c>
      <c r="AF77" s="61">
        <f t="shared" si="56"/>
        <v>0</v>
      </c>
    </row>
    <row r="78" spans="1:32" s="65" customFormat="1" ht="12.75" hidden="1" customHeight="1">
      <c r="A78" s="52" t="s">
        <v>16</v>
      </c>
      <c r="B78" s="26"/>
      <c r="C78" s="242"/>
      <c r="D78" s="242"/>
      <c r="E78" s="69">
        <f>O78+Q78</f>
        <v>0</v>
      </c>
      <c r="F78" s="70">
        <f>P78+R77</f>
        <v>0</v>
      </c>
      <c r="G78" s="242">
        <f t="shared" si="50"/>
        <v>0</v>
      </c>
      <c r="H78" s="242">
        <f t="shared" si="51"/>
        <v>0</v>
      </c>
      <c r="I78" s="70"/>
      <c r="J78" s="70"/>
      <c r="K78" s="70"/>
      <c r="L78" s="70"/>
      <c r="M78" s="70">
        <f t="shared" si="58"/>
        <v>0</v>
      </c>
      <c r="N78" s="70">
        <f t="shared" si="59"/>
        <v>0</v>
      </c>
      <c r="O78" s="70"/>
      <c r="P78" s="70"/>
      <c r="Q78" s="70"/>
      <c r="S78" s="72"/>
      <c r="T78" s="252" t="e">
        <f t="shared" si="60"/>
        <v>#DIV/0!</v>
      </c>
      <c r="U78" s="73"/>
      <c r="V78" s="73"/>
      <c r="W78" s="73"/>
      <c r="X78" s="73"/>
      <c r="Y78" s="73"/>
      <c r="AA78" s="61">
        <f>H65</f>
        <v>14</v>
      </c>
      <c r="AB78" s="61" t="str">
        <f>E65</f>
        <v>PMX-QM3-033 W/PMX-RMC-055 W</v>
      </c>
      <c r="AC78" s="74" t="s">
        <v>47</v>
      </c>
      <c r="AD78" s="61" t="str">
        <f t="shared" si="54"/>
        <v>HUA</v>
      </c>
      <c r="AE78" s="61">
        <f t="shared" si="55"/>
        <v>0</v>
      </c>
      <c r="AF78" s="61">
        <f t="shared" si="56"/>
        <v>0</v>
      </c>
    </row>
    <row r="79" spans="1:32" s="65" customFormat="1" ht="12.75" hidden="1" customHeight="1">
      <c r="A79" s="52" t="s">
        <v>2</v>
      </c>
      <c r="B79" s="26"/>
      <c r="C79" s="242"/>
      <c r="D79" s="242"/>
      <c r="E79" s="69">
        <f>O79+Q79</f>
        <v>0</v>
      </c>
      <c r="F79" s="70">
        <f>P79+R79</f>
        <v>0</v>
      </c>
      <c r="G79" s="242"/>
      <c r="H79" s="242"/>
      <c r="I79" s="70"/>
      <c r="J79" s="70"/>
      <c r="K79" s="70"/>
      <c r="L79" s="70"/>
      <c r="M79" s="70">
        <f t="shared" si="58"/>
        <v>0</v>
      </c>
      <c r="N79" s="70">
        <f t="shared" si="59"/>
        <v>0</v>
      </c>
      <c r="O79" s="70"/>
      <c r="P79" s="70"/>
      <c r="Q79" s="70"/>
      <c r="R79" s="70"/>
      <c r="S79" s="72"/>
      <c r="T79" s="252" t="e">
        <f t="shared" si="60"/>
        <v>#DIV/0!</v>
      </c>
      <c r="U79" s="73"/>
      <c r="V79" s="73"/>
      <c r="W79" s="73"/>
      <c r="X79" s="73"/>
      <c r="Y79" s="73"/>
      <c r="AA79" s="61">
        <f>H65</f>
        <v>14</v>
      </c>
      <c r="AB79" s="61" t="str">
        <f>E65</f>
        <v>PMX-QM3-033 W/PMX-RMC-055 W</v>
      </c>
      <c r="AC79" s="74" t="s">
        <v>47</v>
      </c>
      <c r="AD79" s="61" t="str">
        <f t="shared" si="54"/>
        <v>HKG</v>
      </c>
      <c r="AE79" s="61">
        <f t="shared" si="55"/>
        <v>0</v>
      </c>
      <c r="AF79" s="61">
        <f t="shared" si="56"/>
        <v>0</v>
      </c>
    </row>
    <row r="80" spans="1:32" s="65" customFormat="1" ht="12.75" hidden="1" customHeight="1">
      <c r="A80" s="52" t="s">
        <v>3</v>
      </c>
      <c r="B80" s="1">
        <f>B59+7</f>
        <v>43194</v>
      </c>
      <c r="C80" s="242">
        <v>150</v>
      </c>
      <c r="D80" s="242">
        <v>1950</v>
      </c>
      <c r="E80" s="69">
        <f>O80+Q80</f>
        <v>206</v>
      </c>
      <c r="F80" s="70">
        <f>P80+R80</f>
        <v>3232</v>
      </c>
      <c r="G80" s="242">
        <f t="shared" ref="G80:G83" si="61">E80-C80</f>
        <v>56</v>
      </c>
      <c r="H80" s="242">
        <f t="shared" ref="H80:H83" si="62">F80-D80</f>
        <v>1282</v>
      </c>
      <c r="I80" s="70"/>
      <c r="J80" s="70"/>
      <c r="K80" s="70"/>
      <c r="L80" s="70"/>
      <c r="M80" s="70">
        <f t="shared" si="58"/>
        <v>0</v>
      </c>
      <c r="N80" s="70">
        <f t="shared" si="59"/>
        <v>0</v>
      </c>
      <c r="O80" s="242"/>
      <c r="P80" s="242"/>
      <c r="Q80" s="70">
        <v>206</v>
      </c>
      <c r="R80" s="70">
        <v>3232</v>
      </c>
      <c r="S80" s="72"/>
      <c r="T80" s="252">
        <f t="shared" si="60"/>
        <v>1.3733333333333333</v>
      </c>
      <c r="U80" s="73"/>
      <c r="V80" s="73"/>
      <c r="W80" s="73"/>
      <c r="X80" s="73"/>
      <c r="Y80" s="73"/>
      <c r="AA80" s="61">
        <f>H65</f>
        <v>14</v>
      </c>
      <c r="AB80" s="61" t="str">
        <f>E65</f>
        <v>PMX-QM3-033 W/PMX-RMC-055 W</v>
      </c>
      <c r="AC80" s="74" t="s">
        <v>47</v>
      </c>
      <c r="AD80" s="61" t="str">
        <f t="shared" si="54"/>
        <v>SGP</v>
      </c>
      <c r="AE80" s="61">
        <f t="shared" si="55"/>
        <v>150</v>
      </c>
      <c r="AF80" s="61">
        <f t="shared" si="56"/>
        <v>206</v>
      </c>
    </row>
    <row r="81" spans="1:42" s="65" customFormat="1" ht="12.75" hidden="1" customHeight="1">
      <c r="A81" s="52" t="s">
        <v>4</v>
      </c>
      <c r="B81" s="1">
        <f>B60+7</f>
        <v>43196</v>
      </c>
      <c r="C81" s="242">
        <v>50</v>
      </c>
      <c r="D81" s="242">
        <v>650</v>
      </c>
      <c r="E81" s="69">
        <f>O81+Q81</f>
        <v>50</v>
      </c>
      <c r="F81" s="70">
        <f>P81+R81</f>
        <v>650</v>
      </c>
      <c r="G81" s="242">
        <f t="shared" si="61"/>
        <v>0</v>
      </c>
      <c r="H81" s="242">
        <f t="shared" si="62"/>
        <v>0</v>
      </c>
      <c r="I81" s="70"/>
      <c r="J81" s="70"/>
      <c r="K81" s="70"/>
      <c r="L81" s="70"/>
      <c r="M81" s="70">
        <f t="shared" si="58"/>
        <v>0</v>
      </c>
      <c r="N81" s="70">
        <f t="shared" si="59"/>
        <v>0</v>
      </c>
      <c r="O81" s="70"/>
      <c r="P81" s="70"/>
      <c r="Q81" s="70">
        <v>50</v>
      </c>
      <c r="R81" s="70">
        <v>650</v>
      </c>
      <c r="S81" s="72"/>
      <c r="T81" s="73"/>
      <c r="U81" s="73"/>
      <c r="V81" s="73"/>
      <c r="W81" s="73"/>
      <c r="X81" s="73"/>
      <c r="Y81" s="73"/>
      <c r="AA81" s="61">
        <f>H65</f>
        <v>14</v>
      </c>
      <c r="AB81" s="61" t="str">
        <f>E65</f>
        <v>PMX-QM3-033 W/PMX-RMC-055 W</v>
      </c>
      <c r="AC81" s="74" t="s">
        <v>47</v>
      </c>
      <c r="AD81" s="61" t="str">
        <f t="shared" si="54"/>
        <v>PKL</v>
      </c>
      <c r="AE81" s="61">
        <f t="shared" si="55"/>
        <v>50</v>
      </c>
      <c r="AF81" s="61">
        <f t="shared" si="56"/>
        <v>50</v>
      </c>
    </row>
    <row r="82" spans="1:42" s="65" customFormat="1" ht="12.75" hidden="1" customHeight="1">
      <c r="A82" s="52" t="s">
        <v>15</v>
      </c>
      <c r="B82" s="242"/>
      <c r="C82" s="242"/>
      <c r="D82" s="242"/>
      <c r="E82" s="69">
        <f>O82+Q82</f>
        <v>440</v>
      </c>
      <c r="F82" s="70">
        <f>P82+R82</f>
        <v>5061</v>
      </c>
      <c r="G82" s="242">
        <f t="shared" si="61"/>
        <v>440</v>
      </c>
      <c r="H82" s="242">
        <f t="shared" si="62"/>
        <v>5061</v>
      </c>
      <c r="I82" s="70"/>
      <c r="J82" s="70"/>
      <c r="K82" s="70"/>
      <c r="L82" s="70"/>
      <c r="M82" s="70">
        <f t="shared" si="58"/>
        <v>0</v>
      </c>
      <c r="N82" s="70">
        <f t="shared" si="59"/>
        <v>0</v>
      </c>
      <c r="O82" s="71">
        <v>248</v>
      </c>
      <c r="P82" s="71">
        <v>2260</v>
      </c>
      <c r="Q82" s="71">
        <f>155+37</f>
        <v>192</v>
      </c>
      <c r="R82" s="71">
        <f>2260+541</f>
        <v>2801</v>
      </c>
      <c r="S82" s="72"/>
      <c r="T82" s="73"/>
      <c r="U82" s="73"/>
      <c r="V82" s="73"/>
      <c r="W82" s="73"/>
      <c r="X82" s="73"/>
      <c r="Y82" s="73"/>
      <c r="AA82" s="61">
        <f>H65</f>
        <v>14</v>
      </c>
      <c r="AB82" s="61" t="str">
        <f>E65</f>
        <v>PMX-QM3-033 W/PMX-RMC-055 W</v>
      </c>
      <c r="AC82" s="74" t="s">
        <v>47</v>
      </c>
      <c r="AD82" s="61" t="str">
        <f t="shared" si="54"/>
        <v>T/S</v>
      </c>
      <c r="AE82" s="61">
        <f t="shared" si="55"/>
        <v>0</v>
      </c>
      <c r="AF82" s="61">
        <f t="shared" si="56"/>
        <v>440</v>
      </c>
    </row>
    <row r="83" spans="1:42" s="65" customFormat="1" ht="12.75" hidden="1" customHeight="1">
      <c r="A83" s="51" t="s">
        <v>36</v>
      </c>
      <c r="B83" s="72"/>
      <c r="C83" s="71">
        <v>1949</v>
      </c>
      <c r="D83" s="71">
        <f>C83*13</f>
        <v>25337</v>
      </c>
      <c r="E83" s="78">
        <f>SUM(E69:E82)</f>
        <v>1949</v>
      </c>
      <c r="F83" s="76">
        <f>SUM(F69:F82)</f>
        <v>25659</v>
      </c>
      <c r="G83" s="71">
        <f t="shared" si="61"/>
        <v>0</v>
      </c>
      <c r="H83" s="71">
        <f t="shared" si="62"/>
        <v>322</v>
      </c>
      <c r="I83" s="70">
        <f t="shared" ref="I83:L83" si="63">SUM(I69:I82)</f>
        <v>345</v>
      </c>
      <c r="J83" s="70">
        <f t="shared" si="63"/>
        <v>4615</v>
      </c>
      <c r="K83" s="70">
        <f t="shared" si="63"/>
        <v>69</v>
      </c>
      <c r="L83" s="70">
        <f t="shared" si="63"/>
        <v>838</v>
      </c>
      <c r="M83" s="70">
        <f t="shared" si="58"/>
        <v>414</v>
      </c>
      <c r="N83" s="70">
        <f t="shared" si="59"/>
        <v>5453</v>
      </c>
      <c r="O83" s="70">
        <f t="shared" ref="O83:R83" si="64">SUM(O69:O82)</f>
        <v>1155</v>
      </c>
      <c r="P83" s="70">
        <f t="shared" si="64"/>
        <v>14749</v>
      </c>
      <c r="Q83" s="70">
        <f t="shared" si="64"/>
        <v>794</v>
      </c>
      <c r="R83" s="70">
        <f t="shared" si="64"/>
        <v>10910</v>
      </c>
      <c r="S83" s="72"/>
      <c r="T83" s="73"/>
      <c r="U83" s="73"/>
      <c r="V83" s="73"/>
      <c r="W83" s="73"/>
      <c r="X83" s="73"/>
      <c r="Y83" s="73"/>
      <c r="AA83" s="61"/>
      <c r="AB83" s="61"/>
      <c r="AC83" s="61"/>
      <c r="AD83" s="61"/>
      <c r="AE83" s="61"/>
      <c r="AF83" s="61"/>
    </row>
    <row r="84" spans="1:42" s="65" customFormat="1" ht="12.75" hidden="1" customHeight="1">
      <c r="A84" s="84">
        <f>D83/C83</f>
        <v>13</v>
      </c>
      <c r="C84" s="243">
        <f>F83-E84</f>
        <v>2855.7000000000007</v>
      </c>
      <c r="E84" s="65">
        <f>D83*0.9</f>
        <v>22803.3</v>
      </c>
      <c r="F84" s="243">
        <f>E83-L84</f>
        <v>194.89999999999986</v>
      </c>
      <c r="I84" s="80" t="s">
        <v>48</v>
      </c>
      <c r="J84" s="245">
        <f>E83/C83</f>
        <v>1</v>
      </c>
      <c r="K84" s="80"/>
      <c r="L84" s="80">
        <f>C83*0.9</f>
        <v>1754.1000000000001</v>
      </c>
      <c r="M84" s="80"/>
      <c r="N84" s="80"/>
      <c r="O84" s="80" t="s">
        <v>49</v>
      </c>
      <c r="P84" s="80"/>
      <c r="Q84" s="65">
        <f>P70+P71+P73+P74+P75+J70+J71+L70+L71+J73+R73</f>
        <v>12489</v>
      </c>
      <c r="R84" s="65">
        <v>16856</v>
      </c>
      <c r="AA84" s="81"/>
      <c r="AB84" s="81"/>
      <c r="AC84" s="81"/>
      <c r="AD84" s="81"/>
      <c r="AE84" s="81"/>
      <c r="AF84" s="81"/>
    </row>
    <row r="85" spans="1:42" s="24" customFormat="1" ht="12.75" hidden="1" customHeight="1"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3"/>
      <c r="AB85" s="83"/>
      <c r="AC85" s="83"/>
      <c r="AD85" s="83"/>
      <c r="AE85" s="83"/>
      <c r="AF85" s="83"/>
      <c r="AG85" s="80"/>
      <c r="AH85" s="80"/>
      <c r="AI85" s="80"/>
      <c r="AJ85" s="80"/>
      <c r="AK85" s="80"/>
      <c r="AL85" s="80"/>
      <c r="AM85" s="80"/>
      <c r="AN85" s="80"/>
      <c r="AO85" s="80"/>
      <c r="AP85" s="80"/>
    </row>
    <row r="86" spans="1:42" s="63" customFormat="1" ht="12.75" hidden="1" customHeight="1">
      <c r="A86" s="59" t="s">
        <v>47</v>
      </c>
      <c r="B86" s="58" t="s">
        <v>533</v>
      </c>
      <c r="C86" s="56"/>
      <c r="D86" s="57"/>
      <c r="E86" s="58" t="s">
        <v>550</v>
      </c>
      <c r="F86" s="57"/>
      <c r="G86" s="59" t="s">
        <v>37</v>
      </c>
      <c r="H86" s="60">
        <f>H65+1</f>
        <v>15</v>
      </c>
      <c r="I86" s="57"/>
      <c r="J86" s="57"/>
      <c r="K86" s="57"/>
      <c r="L86" s="57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2"/>
      <c r="AA86" s="62"/>
      <c r="AB86" s="62"/>
      <c r="AC86" s="62"/>
    </row>
    <row r="87" spans="1:42" s="65" customFormat="1" ht="12.75" hidden="1" customHeight="1">
      <c r="A87" s="340" t="s">
        <v>0</v>
      </c>
      <c r="B87" s="336" t="s">
        <v>1</v>
      </c>
      <c r="C87" s="331" t="s">
        <v>25</v>
      </c>
      <c r="D87" s="332"/>
      <c r="E87" s="331" t="s">
        <v>21</v>
      </c>
      <c r="F87" s="332"/>
      <c r="G87" s="335" t="s">
        <v>24</v>
      </c>
      <c r="H87" s="335"/>
      <c r="I87" s="328" t="s">
        <v>33</v>
      </c>
      <c r="J87" s="329"/>
      <c r="K87" s="329"/>
      <c r="L87" s="329"/>
      <c r="M87" s="329"/>
      <c r="N87" s="330"/>
      <c r="O87" s="331" t="s">
        <v>22</v>
      </c>
      <c r="P87" s="332"/>
      <c r="Q87" s="335" t="s">
        <v>23</v>
      </c>
      <c r="R87" s="335"/>
      <c r="S87" s="336" t="s">
        <v>27</v>
      </c>
      <c r="T87" s="64"/>
      <c r="U87" s="64"/>
      <c r="V87" s="64"/>
      <c r="W87" s="64"/>
      <c r="X87" s="64"/>
      <c r="Y87" s="64"/>
      <c r="Z87" s="339"/>
      <c r="AA87" s="61"/>
      <c r="AB87" s="61"/>
      <c r="AC87" s="74"/>
      <c r="AD87" s="61"/>
      <c r="AE87" s="61"/>
      <c r="AF87" s="61"/>
    </row>
    <row r="88" spans="1:42" s="65" customFormat="1" ht="12.75" hidden="1" customHeight="1">
      <c r="A88" s="341"/>
      <c r="B88" s="337"/>
      <c r="C88" s="333"/>
      <c r="D88" s="334"/>
      <c r="E88" s="333"/>
      <c r="F88" s="334"/>
      <c r="G88" s="335"/>
      <c r="H88" s="335"/>
      <c r="I88" s="258" t="s">
        <v>28</v>
      </c>
      <c r="J88" s="259" t="s">
        <v>3</v>
      </c>
      <c r="K88" s="258" t="s">
        <v>29</v>
      </c>
      <c r="L88" s="259" t="s">
        <v>4</v>
      </c>
      <c r="M88" s="328" t="s">
        <v>30</v>
      </c>
      <c r="N88" s="330"/>
      <c r="O88" s="333"/>
      <c r="P88" s="334"/>
      <c r="Q88" s="335"/>
      <c r="R88" s="335"/>
      <c r="S88" s="337"/>
      <c r="T88" s="64"/>
      <c r="U88" s="64"/>
      <c r="V88" s="64"/>
      <c r="W88" s="64"/>
      <c r="X88" s="64"/>
      <c r="Y88" s="64"/>
      <c r="Z88" s="339"/>
      <c r="AA88" s="61"/>
      <c r="AB88" s="61"/>
      <c r="AC88" s="74"/>
      <c r="AD88" s="61"/>
      <c r="AE88" s="61"/>
      <c r="AF88" s="61"/>
    </row>
    <row r="89" spans="1:42" s="65" customFormat="1" ht="12.75" hidden="1" customHeight="1">
      <c r="A89" s="342"/>
      <c r="B89" s="338"/>
      <c r="C89" s="260" t="s">
        <v>5</v>
      </c>
      <c r="D89" s="260" t="s">
        <v>6</v>
      </c>
      <c r="E89" s="259" t="s">
        <v>5</v>
      </c>
      <c r="F89" s="260" t="s">
        <v>6</v>
      </c>
      <c r="G89" s="260" t="s">
        <v>5</v>
      </c>
      <c r="H89" s="260" t="s">
        <v>6</v>
      </c>
      <c r="I89" s="259" t="s">
        <v>5</v>
      </c>
      <c r="J89" s="260" t="s">
        <v>6</v>
      </c>
      <c r="K89" s="259" t="s">
        <v>5</v>
      </c>
      <c r="L89" s="260" t="s">
        <v>6</v>
      </c>
      <c r="M89" s="260"/>
      <c r="N89" s="260"/>
      <c r="O89" s="259" t="s">
        <v>5</v>
      </c>
      <c r="P89" s="260" t="s">
        <v>6</v>
      </c>
      <c r="Q89" s="260" t="s">
        <v>5</v>
      </c>
      <c r="R89" s="260" t="s">
        <v>6</v>
      </c>
      <c r="S89" s="338"/>
      <c r="T89" s="64"/>
      <c r="U89" s="64"/>
      <c r="V89" s="64"/>
      <c r="W89" s="64"/>
      <c r="X89" s="64"/>
      <c r="Y89" s="64"/>
      <c r="Z89" s="339"/>
      <c r="AA89" s="61" t="s">
        <v>43</v>
      </c>
      <c r="AB89" s="61" t="s">
        <v>45</v>
      </c>
      <c r="AC89" s="61" t="s">
        <v>46</v>
      </c>
      <c r="AD89" s="61" t="s">
        <v>42</v>
      </c>
      <c r="AE89" s="61" t="s">
        <v>41</v>
      </c>
      <c r="AF89" s="61" t="s">
        <v>44</v>
      </c>
    </row>
    <row r="90" spans="1:42" s="65" customFormat="1" ht="12.75" hidden="1" customHeight="1">
      <c r="A90" s="51" t="s">
        <v>7</v>
      </c>
      <c r="B90" s="1" t="s">
        <v>18</v>
      </c>
      <c r="C90" s="260">
        <v>0</v>
      </c>
      <c r="D90" s="260">
        <v>0</v>
      </c>
      <c r="E90" s="69">
        <f t="shared" ref="E90:E98" si="65">O90+Q90</f>
        <v>0</v>
      </c>
      <c r="F90" s="70">
        <f t="shared" ref="F90:F98" si="66">P90+R90</f>
        <v>0</v>
      </c>
      <c r="G90" s="260">
        <f t="shared" ref="G90:G99" si="67">E90-C90</f>
        <v>0</v>
      </c>
      <c r="H90" s="260">
        <f t="shared" ref="H90:H99" si="68">F90-D90</f>
        <v>0</v>
      </c>
      <c r="I90" s="70"/>
      <c r="J90" s="70"/>
      <c r="K90" s="70"/>
      <c r="L90" s="70"/>
      <c r="M90" s="70">
        <f t="shared" ref="M90:M104" si="69">I90+K90</f>
        <v>0</v>
      </c>
      <c r="N90" s="70">
        <f t="shared" ref="N90:N104" si="70">J90+L90</f>
        <v>0</v>
      </c>
      <c r="O90" s="71"/>
      <c r="P90" s="71"/>
      <c r="Q90" s="70"/>
      <c r="R90" s="70"/>
      <c r="S90" s="72"/>
      <c r="T90" s="252" t="e">
        <f>E90/C90</f>
        <v>#DIV/0!</v>
      </c>
      <c r="U90" s="73"/>
      <c r="V90" s="73"/>
      <c r="W90" s="73"/>
      <c r="X90" s="73"/>
      <c r="Y90" s="73"/>
      <c r="Z90" s="339"/>
      <c r="AA90" s="61">
        <f>H86</f>
        <v>15</v>
      </c>
      <c r="AB90" s="61" t="str">
        <f>E86</f>
        <v>PMX-Q48-008 W</v>
      </c>
      <c r="AC90" s="74" t="s">
        <v>47</v>
      </c>
      <c r="AD90" s="61" t="str">
        <f t="shared" ref="AD90:AD103" si="71">A90</f>
        <v>KR</v>
      </c>
      <c r="AE90" s="61">
        <f t="shared" ref="AE90:AE103" si="72">C90</f>
        <v>0</v>
      </c>
      <c r="AF90" s="61">
        <f t="shared" ref="AF90:AF103" si="73">E90</f>
        <v>0</v>
      </c>
    </row>
    <row r="91" spans="1:42" s="65" customFormat="1" ht="12.75" hidden="1" customHeight="1">
      <c r="A91" s="52" t="s">
        <v>13</v>
      </c>
      <c r="B91" s="1">
        <f>B70+7</f>
        <v>43192</v>
      </c>
      <c r="C91" s="260">
        <v>400</v>
      </c>
      <c r="D91" s="260">
        <f t="shared" ref="D91:D92" si="74">C91*13</f>
        <v>5200</v>
      </c>
      <c r="E91" s="69">
        <f t="shared" si="65"/>
        <v>200</v>
      </c>
      <c r="F91" s="70">
        <f t="shared" si="66"/>
        <v>2279</v>
      </c>
      <c r="G91" s="260">
        <f t="shared" si="67"/>
        <v>-200</v>
      </c>
      <c r="H91" s="260">
        <f t="shared" si="68"/>
        <v>-2921</v>
      </c>
      <c r="I91" s="75">
        <v>27</v>
      </c>
      <c r="J91" s="75">
        <v>430</v>
      </c>
      <c r="K91" s="70">
        <v>86</v>
      </c>
      <c r="L91" s="70">
        <v>755</v>
      </c>
      <c r="M91" s="70">
        <f t="shared" si="69"/>
        <v>113</v>
      </c>
      <c r="N91" s="70">
        <f t="shared" si="70"/>
        <v>1185</v>
      </c>
      <c r="O91" s="75">
        <f>180+20</f>
        <v>200</v>
      </c>
      <c r="P91" s="75">
        <v>2279</v>
      </c>
      <c r="Q91" s="71"/>
      <c r="R91" s="71"/>
      <c r="S91" s="72"/>
      <c r="T91" s="252">
        <f t="shared" ref="T91:T101" si="75">E91/C91</f>
        <v>0.5</v>
      </c>
      <c r="U91" s="73"/>
      <c r="V91" s="73"/>
      <c r="W91" s="73"/>
      <c r="X91" s="73"/>
      <c r="Y91" s="73"/>
      <c r="AA91" s="61">
        <f>H86</f>
        <v>15</v>
      </c>
      <c r="AB91" s="61" t="str">
        <f>E86</f>
        <v>PMX-Q48-008 W</v>
      </c>
      <c r="AC91" s="74" t="s">
        <v>47</v>
      </c>
      <c r="AD91" s="61" t="str">
        <f t="shared" si="71"/>
        <v>TAO</v>
      </c>
      <c r="AE91" s="61">
        <f t="shared" si="72"/>
        <v>400</v>
      </c>
      <c r="AF91" s="61">
        <f t="shared" si="73"/>
        <v>200</v>
      </c>
    </row>
    <row r="92" spans="1:42" s="65" customFormat="1" ht="12.75" hidden="1" customHeight="1">
      <c r="A92" s="52" t="s">
        <v>9</v>
      </c>
      <c r="B92" s="1">
        <f>B71+7</f>
        <v>43194</v>
      </c>
      <c r="C92" s="260">
        <v>600</v>
      </c>
      <c r="D92" s="260">
        <f t="shared" si="74"/>
        <v>7800</v>
      </c>
      <c r="E92" s="69">
        <f t="shared" si="65"/>
        <v>411</v>
      </c>
      <c r="F92" s="70">
        <f t="shared" si="66"/>
        <v>4953</v>
      </c>
      <c r="G92" s="260">
        <f t="shared" si="67"/>
        <v>-189</v>
      </c>
      <c r="H92" s="260">
        <f t="shared" si="68"/>
        <v>-2847</v>
      </c>
      <c r="I92" s="75">
        <v>125</v>
      </c>
      <c r="J92" s="75">
        <v>1050</v>
      </c>
      <c r="K92" s="71">
        <v>3</v>
      </c>
      <c r="L92" s="71">
        <v>23</v>
      </c>
      <c r="M92" s="70">
        <f t="shared" si="69"/>
        <v>128</v>
      </c>
      <c r="N92" s="70">
        <f t="shared" si="70"/>
        <v>1073</v>
      </c>
      <c r="O92" s="75">
        <f>386+25</f>
        <v>411</v>
      </c>
      <c r="P92" s="75">
        <v>4953</v>
      </c>
      <c r="Q92" s="71"/>
      <c r="R92" s="71"/>
      <c r="S92" s="72"/>
      <c r="T92" s="252">
        <f t="shared" si="75"/>
        <v>0.68500000000000005</v>
      </c>
      <c r="U92" s="73"/>
      <c r="V92" s="73"/>
      <c r="W92" s="73"/>
      <c r="X92" s="73"/>
      <c r="Y92" s="73"/>
      <c r="AA92" s="61">
        <f>H86</f>
        <v>15</v>
      </c>
      <c r="AB92" s="61" t="str">
        <f>E86</f>
        <v>PMX-Q48-008 W</v>
      </c>
      <c r="AC92" s="74" t="s">
        <v>47</v>
      </c>
      <c r="AD92" s="61" t="str">
        <f t="shared" si="71"/>
        <v>SHA</v>
      </c>
      <c r="AE92" s="61">
        <f t="shared" si="72"/>
        <v>600</v>
      </c>
      <c r="AF92" s="61">
        <f t="shared" si="73"/>
        <v>411</v>
      </c>
    </row>
    <row r="93" spans="1:42" s="65" customFormat="1" ht="12.75" hidden="1" customHeight="1">
      <c r="A93" s="52" t="s">
        <v>8</v>
      </c>
      <c r="B93" s="1">
        <f>B72+7</f>
        <v>43195</v>
      </c>
      <c r="C93" s="260">
        <v>375</v>
      </c>
      <c r="D93" s="260">
        <v>4875</v>
      </c>
      <c r="E93" s="69">
        <f t="shared" si="65"/>
        <v>377</v>
      </c>
      <c r="F93" s="70">
        <f t="shared" si="66"/>
        <v>4341</v>
      </c>
      <c r="G93" s="260">
        <f t="shared" si="67"/>
        <v>2</v>
      </c>
      <c r="H93" s="260">
        <f t="shared" si="68"/>
        <v>-534</v>
      </c>
      <c r="I93" s="71">
        <v>51</v>
      </c>
      <c r="J93" s="71">
        <v>477</v>
      </c>
      <c r="K93" s="71">
        <v>15</v>
      </c>
      <c r="L93" s="71">
        <v>146</v>
      </c>
      <c r="M93" s="70">
        <f t="shared" si="69"/>
        <v>66</v>
      </c>
      <c r="N93" s="70">
        <f t="shared" si="70"/>
        <v>623</v>
      </c>
      <c r="O93" s="71"/>
      <c r="P93" s="71"/>
      <c r="Q93" s="71">
        <v>377</v>
      </c>
      <c r="R93" s="71">
        <v>4341</v>
      </c>
      <c r="S93" s="72"/>
      <c r="T93" s="252">
        <f t="shared" si="75"/>
        <v>1.0053333333333334</v>
      </c>
      <c r="U93" s="73"/>
      <c r="V93" s="73"/>
      <c r="W93" s="73"/>
      <c r="X93" s="73"/>
      <c r="Y93" s="73"/>
      <c r="AA93" s="61">
        <f>H86</f>
        <v>15</v>
      </c>
      <c r="AB93" s="61" t="str">
        <f>E86</f>
        <v>PMX-Q48-008 W</v>
      </c>
      <c r="AC93" s="74" t="s">
        <v>47</v>
      </c>
      <c r="AD93" s="61" t="str">
        <f t="shared" si="71"/>
        <v>NGB</v>
      </c>
      <c r="AE93" s="61">
        <f t="shared" si="72"/>
        <v>375</v>
      </c>
      <c r="AF93" s="61">
        <f t="shared" si="73"/>
        <v>377</v>
      </c>
    </row>
    <row r="94" spans="1:42" s="65" customFormat="1" ht="12.75" hidden="1" customHeight="1">
      <c r="A94" s="52" t="s">
        <v>10</v>
      </c>
      <c r="B94" s="1" t="s">
        <v>9</v>
      </c>
      <c r="C94" s="260">
        <v>80</v>
      </c>
      <c r="D94" s="260">
        <v>1040</v>
      </c>
      <c r="E94" s="69">
        <f t="shared" si="65"/>
        <v>69</v>
      </c>
      <c r="F94" s="70">
        <f t="shared" si="66"/>
        <v>1325</v>
      </c>
      <c r="G94" s="260">
        <f t="shared" si="67"/>
        <v>-11</v>
      </c>
      <c r="H94" s="260">
        <f t="shared" si="68"/>
        <v>285</v>
      </c>
      <c r="I94" s="75"/>
      <c r="J94" s="75"/>
      <c r="K94" s="70"/>
      <c r="L94" s="70"/>
      <c r="M94" s="70">
        <f t="shared" si="69"/>
        <v>0</v>
      </c>
      <c r="N94" s="70">
        <f t="shared" si="70"/>
        <v>0</v>
      </c>
      <c r="O94" s="75">
        <v>69</v>
      </c>
      <c r="P94" s="75">
        <v>1325</v>
      </c>
      <c r="Q94" s="70"/>
      <c r="R94" s="70"/>
      <c r="S94" s="72"/>
      <c r="T94" s="252">
        <f t="shared" si="75"/>
        <v>0.86250000000000004</v>
      </c>
      <c r="U94" s="73"/>
      <c r="V94" s="73"/>
      <c r="W94" s="73"/>
      <c r="X94" s="73"/>
      <c r="Y94" s="73"/>
      <c r="AA94" s="61">
        <f>H86</f>
        <v>15</v>
      </c>
      <c r="AB94" s="61" t="str">
        <f>E86</f>
        <v>PMX-Q48-008 W</v>
      </c>
      <c r="AC94" s="74" t="s">
        <v>47</v>
      </c>
      <c r="AD94" s="61" t="str">
        <f t="shared" si="71"/>
        <v>WUH</v>
      </c>
      <c r="AE94" s="61">
        <f t="shared" si="72"/>
        <v>80</v>
      </c>
      <c r="AF94" s="61">
        <f t="shared" si="73"/>
        <v>69</v>
      </c>
    </row>
    <row r="95" spans="1:42" s="65" customFormat="1" ht="12.75" hidden="1" customHeight="1">
      <c r="A95" s="52" t="s">
        <v>11</v>
      </c>
      <c r="B95" s="1" t="s">
        <v>18</v>
      </c>
      <c r="C95" s="260">
        <v>75</v>
      </c>
      <c r="D95" s="260">
        <v>975</v>
      </c>
      <c r="E95" s="69">
        <f t="shared" si="65"/>
        <v>0</v>
      </c>
      <c r="F95" s="70">
        <f t="shared" si="66"/>
        <v>0</v>
      </c>
      <c r="G95" s="260">
        <f t="shared" si="67"/>
        <v>-75</v>
      </c>
      <c r="H95" s="260">
        <f t="shared" si="68"/>
        <v>-975</v>
      </c>
      <c r="I95" s="70"/>
      <c r="J95" s="70"/>
      <c r="K95" s="70"/>
      <c r="L95" s="70"/>
      <c r="M95" s="70">
        <f t="shared" si="69"/>
        <v>0</v>
      </c>
      <c r="N95" s="70">
        <f t="shared" si="70"/>
        <v>0</v>
      </c>
      <c r="O95" s="75"/>
      <c r="P95" s="75"/>
      <c r="Q95" s="70"/>
      <c r="R95" s="70"/>
      <c r="S95" s="72"/>
      <c r="T95" s="252">
        <f t="shared" si="75"/>
        <v>0</v>
      </c>
      <c r="U95" s="73"/>
      <c r="V95" s="73"/>
      <c r="W95" s="73"/>
      <c r="X95" s="73"/>
      <c r="Y95" s="73"/>
      <c r="AA95" s="61">
        <f>H86</f>
        <v>15</v>
      </c>
      <c r="AB95" s="61" t="str">
        <f>E86</f>
        <v>PMX-Q48-008 W</v>
      </c>
      <c r="AC95" s="74" t="s">
        <v>47</v>
      </c>
      <c r="AD95" s="61" t="str">
        <f t="shared" si="71"/>
        <v>DLC</v>
      </c>
      <c r="AE95" s="61">
        <f t="shared" si="72"/>
        <v>75</v>
      </c>
      <c r="AF95" s="61">
        <f t="shared" si="73"/>
        <v>0</v>
      </c>
    </row>
    <row r="96" spans="1:42" s="65" customFormat="1" ht="12.75" hidden="1" customHeight="1">
      <c r="A96" s="52" t="s">
        <v>12</v>
      </c>
      <c r="B96" s="1" t="s">
        <v>18</v>
      </c>
      <c r="C96" s="260">
        <v>100</v>
      </c>
      <c r="D96" s="260">
        <v>1300</v>
      </c>
      <c r="E96" s="69">
        <f t="shared" si="65"/>
        <v>144</v>
      </c>
      <c r="F96" s="70">
        <f t="shared" si="66"/>
        <v>1241</v>
      </c>
      <c r="G96" s="260">
        <f t="shared" si="67"/>
        <v>44</v>
      </c>
      <c r="H96" s="260">
        <f t="shared" si="68"/>
        <v>-59</v>
      </c>
      <c r="I96" s="70"/>
      <c r="J96" s="70"/>
      <c r="K96" s="70"/>
      <c r="L96" s="70"/>
      <c r="M96" s="70">
        <f t="shared" si="69"/>
        <v>0</v>
      </c>
      <c r="N96" s="70">
        <f t="shared" si="70"/>
        <v>0</v>
      </c>
      <c r="O96" s="75">
        <f>106+38</f>
        <v>144</v>
      </c>
      <c r="P96" s="75">
        <v>1241</v>
      </c>
      <c r="Q96" s="76"/>
      <c r="R96" s="71"/>
      <c r="S96" s="72"/>
      <c r="T96" s="252">
        <f t="shared" si="75"/>
        <v>1.44</v>
      </c>
      <c r="U96" s="73"/>
      <c r="V96" s="73"/>
      <c r="W96" s="73"/>
      <c r="X96" s="73"/>
      <c r="Y96" s="73"/>
      <c r="AA96" s="61">
        <f>H86</f>
        <v>15</v>
      </c>
      <c r="AB96" s="61" t="str">
        <f>E86</f>
        <v>PMX-Q48-008 W</v>
      </c>
      <c r="AC96" s="74" t="s">
        <v>47</v>
      </c>
      <c r="AD96" s="61" t="str">
        <f t="shared" si="71"/>
        <v>TSN</v>
      </c>
      <c r="AE96" s="61">
        <f t="shared" si="72"/>
        <v>100</v>
      </c>
      <c r="AF96" s="61">
        <f t="shared" si="73"/>
        <v>144</v>
      </c>
    </row>
    <row r="97" spans="1:42" s="65" customFormat="1" ht="12.75" hidden="1" customHeight="1">
      <c r="A97" s="52" t="s">
        <v>14</v>
      </c>
      <c r="B97" s="1" t="s">
        <v>18</v>
      </c>
      <c r="C97" s="260">
        <v>50</v>
      </c>
      <c r="D97" s="260">
        <v>650</v>
      </c>
      <c r="E97" s="69">
        <f t="shared" si="65"/>
        <v>1</v>
      </c>
      <c r="F97" s="70">
        <f t="shared" si="66"/>
        <v>302</v>
      </c>
      <c r="G97" s="260">
        <f t="shared" si="67"/>
        <v>-49</v>
      </c>
      <c r="H97" s="260">
        <f t="shared" si="68"/>
        <v>-348</v>
      </c>
      <c r="I97" s="70"/>
      <c r="J97" s="70"/>
      <c r="K97" s="70"/>
      <c r="L97" s="70"/>
      <c r="M97" s="70">
        <f t="shared" si="69"/>
        <v>0</v>
      </c>
      <c r="N97" s="70">
        <f t="shared" si="70"/>
        <v>0</v>
      </c>
      <c r="O97" s="71"/>
      <c r="P97" s="71"/>
      <c r="Q97" s="70">
        <v>1</v>
      </c>
      <c r="R97" s="70">
        <v>302</v>
      </c>
      <c r="S97" s="72"/>
      <c r="T97" s="252">
        <f t="shared" si="75"/>
        <v>0.02</v>
      </c>
      <c r="U97" s="73"/>
      <c r="V97" s="73"/>
      <c r="W97" s="73"/>
      <c r="X97" s="73"/>
      <c r="Y97" s="73"/>
      <c r="AA97" s="61">
        <f>H86</f>
        <v>15</v>
      </c>
      <c r="AB97" s="61" t="str">
        <f>E86</f>
        <v>PMX-Q48-008 W</v>
      </c>
      <c r="AC97" s="74" t="s">
        <v>47</v>
      </c>
      <c r="AD97" s="61" t="str">
        <f t="shared" si="71"/>
        <v>XMN</v>
      </c>
      <c r="AE97" s="61">
        <f t="shared" si="72"/>
        <v>50</v>
      </c>
      <c r="AF97" s="61">
        <f t="shared" si="73"/>
        <v>1</v>
      </c>
    </row>
    <row r="98" spans="1:42" s="65" customFormat="1" ht="12.75" hidden="1" customHeight="1">
      <c r="A98" s="52" t="s">
        <v>19</v>
      </c>
      <c r="B98" s="1" t="s">
        <v>18</v>
      </c>
      <c r="C98" s="260">
        <v>20</v>
      </c>
      <c r="D98" s="260">
        <v>260</v>
      </c>
      <c r="E98" s="69">
        <f t="shared" si="65"/>
        <v>0</v>
      </c>
      <c r="F98" s="70">
        <f t="shared" si="66"/>
        <v>0</v>
      </c>
      <c r="G98" s="260">
        <f t="shared" si="67"/>
        <v>-20</v>
      </c>
      <c r="H98" s="260">
        <f t="shared" si="68"/>
        <v>-260</v>
      </c>
      <c r="I98" s="70"/>
      <c r="J98" s="70"/>
      <c r="K98" s="70"/>
      <c r="L98" s="70"/>
      <c r="M98" s="70">
        <f t="shared" si="69"/>
        <v>0</v>
      </c>
      <c r="N98" s="70">
        <f t="shared" si="70"/>
        <v>0</v>
      </c>
      <c r="O98" s="70"/>
      <c r="P98" s="70"/>
      <c r="Q98" s="70"/>
      <c r="R98" s="70"/>
      <c r="S98" s="72"/>
      <c r="T98" s="252">
        <f t="shared" si="75"/>
        <v>0</v>
      </c>
      <c r="U98" s="73"/>
      <c r="V98" s="73"/>
      <c r="W98" s="73"/>
      <c r="X98" s="73"/>
      <c r="Y98" s="73"/>
      <c r="AA98" s="61">
        <f>H86</f>
        <v>15</v>
      </c>
      <c r="AB98" s="61" t="str">
        <f>E86</f>
        <v>PMX-Q48-008 W</v>
      </c>
      <c r="AC98" s="74" t="s">
        <v>47</v>
      </c>
      <c r="AD98" s="61" t="str">
        <f t="shared" si="71"/>
        <v>TWC</v>
      </c>
      <c r="AE98" s="61">
        <f t="shared" si="72"/>
        <v>20</v>
      </c>
      <c r="AF98" s="61">
        <f t="shared" si="73"/>
        <v>0</v>
      </c>
    </row>
    <row r="99" spans="1:42" s="65" customFormat="1" ht="12.75" hidden="1" customHeight="1">
      <c r="A99" s="52" t="s">
        <v>16</v>
      </c>
      <c r="B99" s="26"/>
      <c r="C99" s="260"/>
      <c r="D99" s="260"/>
      <c r="E99" s="69">
        <f>O99+Q99</f>
        <v>0</v>
      </c>
      <c r="F99" s="70">
        <f>P99+R98</f>
        <v>0</v>
      </c>
      <c r="G99" s="260">
        <f t="shared" si="67"/>
        <v>0</v>
      </c>
      <c r="H99" s="260">
        <f t="shared" si="68"/>
        <v>0</v>
      </c>
      <c r="I99" s="70"/>
      <c r="J99" s="70"/>
      <c r="K99" s="70"/>
      <c r="L99" s="70"/>
      <c r="M99" s="70">
        <f t="shared" si="69"/>
        <v>0</v>
      </c>
      <c r="N99" s="70">
        <f t="shared" si="70"/>
        <v>0</v>
      </c>
      <c r="O99" s="70"/>
      <c r="P99" s="70"/>
      <c r="Q99" s="70"/>
      <c r="S99" s="72"/>
      <c r="T99" s="252" t="e">
        <f t="shared" si="75"/>
        <v>#DIV/0!</v>
      </c>
      <c r="U99" s="73"/>
      <c r="V99" s="73"/>
      <c r="W99" s="73"/>
      <c r="X99" s="73"/>
      <c r="Y99" s="73"/>
      <c r="AA99" s="61">
        <f>H86</f>
        <v>15</v>
      </c>
      <c r="AB99" s="61" t="str">
        <f>E86</f>
        <v>PMX-Q48-008 W</v>
      </c>
      <c r="AC99" s="74" t="s">
        <v>47</v>
      </c>
      <c r="AD99" s="61" t="str">
        <f t="shared" si="71"/>
        <v>HUA</v>
      </c>
      <c r="AE99" s="61">
        <f t="shared" si="72"/>
        <v>0</v>
      </c>
      <c r="AF99" s="61">
        <f t="shared" si="73"/>
        <v>0</v>
      </c>
    </row>
    <row r="100" spans="1:42" s="65" customFormat="1" ht="12.75" hidden="1" customHeight="1">
      <c r="A100" s="52" t="s">
        <v>2</v>
      </c>
      <c r="B100" s="26"/>
      <c r="C100" s="260"/>
      <c r="D100" s="260"/>
      <c r="E100" s="69">
        <f>O100+Q100</f>
        <v>0</v>
      </c>
      <c r="F100" s="70">
        <f>P100+R100</f>
        <v>0</v>
      </c>
      <c r="G100" s="260"/>
      <c r="H100" s="260"/>
      <c r="I100" s="70"/>
      <c r="J100" s="70"/>
      <c r="K100" s="70"/>
      <c r="L100" s="70"/>
      <c r="M100" s="70">
        <f t="shared" si="69"/>
        <v>0</v>
      </c>
      <c r="N100" s="70">
        <f t="shared" si="70"/>
        <v>0</v>
      </c>
      <c r="O100" s="70"/>
      <c r="P100" s="70"/>
      <c r="Q100" s="70"/>
      <c r="R100" s="70"/>
      <c r="S100" s="72"/>
      <c r="T100" s="252" t="e">
        <f t="shared" si="75"/>
        <v>#DIV/0!</v>
      </c>
      <c r="U100" s="73"/>
      <c r="V100" s="73"/>
      <c r="W100" s="73"/>
      <c r="X100" s="73"/>
      <c r="Y100" s="73"/>
      <c r="AA100" s="61">
        <f>H86</f>
        <v>15</v>
      </c>
      <c r="AB100" s="61" t="str">
        <f>E86</f>
        <v>PMX-Q48-008 W</v>
      </c>
      <c r="AC100" s="74" t="s">
        <v>47</v>
      </c>
      <c r="AD100" s="61" t="str">
        <f t="shared" si="71"/>
        <v>HKG</v>
      </c>
      <c r="AE100" s="61">
        <f t="shared" si="72"/>
        <v>0</v>
      </c>
      <c r="AF100" s="61">
        <f t="shared" si="73"/>
        <v>0</v>
      </c>
    </row>
    <row r="101" spans="1:42" s="65" customFormat="1" ht="12.75" hidden="1" customHeight="1">
      <c r="A101" s="52" t="s">
        <v>3</v>
      </c>
      <c r="B101" s="1">
        <f>B80+7</f>
        <v>43201</v>
      </c>
      <c r="C101" s="260">
        <v>150</v>
      </c>
      <c r="D101" s="260">
        <v>1950</v>
      </c>
      <c r="E101" s="69">
        <f>O101+Q101</f>
        <v>163</v>
      </c>
      <c r="F101" s="70">
        <f>P101+R101</f>
        <v>2802</v>
      </c>
      <c r="G101" s="260">
        <f t="shared" ref="G101:G104" si="76">E101-C101</f>
        <v>13</v>
      </c>
      <c r="H101" s="260">
        <f t="shared" ref="H101:H104" si="77">F101-D101</f>
        <v>852</v>
      </c>
      <c r="I101" s="70"/>
      <c r="J101" s="70"/>
      <c r="K101" s="70"/>
      <c r="L101" s="70"/>
      <c r="M101" s="70">
        <f t="shared" si="69"/>
        <v>0</v>
      </c>
      <c r="N101" s="70">
        <f t="shared" si="70"/>
        <v>0</v>
      </c>
      <c r="O101" s="260"/>
      <c r="P101" s="260"/>
      <c r="Q101" s="70">
        <v>163</v>
      </c>
      <c r="R101" s="70">
        <v>2802</v>
      </c>
      <c r="S101" s="72"/>
      <c r="T101" s="252">
        <f t="shared" si="75"/>
        <v>1.0866666666666667</v>
      </c>
      <c r="U101" s="73"/>
      <c r="V101" s="73"/>
      <c r="W101" s="73"/>
      <c r="X101" s="73"/>
      <c r="Y101" s="73"/>
      <c r="AA101" s="61">
        <f>H86</f>
        <v>15</v>
      </c>
      <c r="AB101" s="61" t="str">
        <f>E86</f>
        <v>PMX-Q48-008 W</v>
      </c>
      <c r="AC101" s="74" t="s">
        <v>47</v>
      </c>
      <c r="AD101" s="61" t="str">
        <f t="shared" si="71"/>
        <v>SGP</v>
      </c>
      <c r="AE101" s="61">
        <f t="shared" si="72"/>
        <v>150</v>
      </c>
      <c r="AF101" s="61">
        <f t="shared" si="73"/>
        <v>163</v>
      </c>
    </row>
    <row r="102" spans="1:42" s="65" customFormat="1" ht="12.75" hidden="1" customHeight="1">
      <c r="A102" s="52" t="s">
        <v>4</v>
      </c>
      <c r="B102" s="1">
        <f>B81+7</f>
        <v>43203</v>
      </c>
      <c r="C102" s="260">
        <v>50</v>
      </c>
      <c r="D102" s="260">
        <v>650</v>
      </c>
      <c r="E102" s="69">
        <f>O102+Q102</f>
        <v>126</v>
      </c>
      <c r="F102" s="70">
        <f>P102+R102</f>
        <v>620</v>
      </c>
      <c r="G102" s="260">
        <f t="shared" si="76"/>
        <v>76</v>
      </c>
      <c r="H102" s="260">
        <f t="shared" si="77"/>
        <v>-30</v>
      </c>
      <c r="I102" s="70"/>
      <c r="J102" s="70"/>
      <c r="K102" s="70"/>
      <c r="L102" s="70"/>
      <c r="M102" s="70">
        <f t="shared" si="69"/>
        <v>0</v>
      </c>
      <c r="N102" s="70">
        <f t="shared" si="70"/>
        <v>0</v>
      </c>
      <c r="O102" s="70"/>
      <c r="P102" s="70"/>
      <c r="Q102" s="70">
        <v>126</v>
      </c>
      <c r="R102" s="70">
        <v>620</v>
      </c>
      <c r="S102" s="72"/>
      <c r="T102" s="73"/>
      <c r="U102" s="73"/>
      <c r="V102" s="73"/>
      <c r="W102" s="73"/>
      <c r="X102" s="73"/>
      <c r="Y102" s="73"/>
      <c r="AA102" s="61">
        <f>H86</f>
        <v>15</v>
      </c>
      <c r="AB102" s="61" t="str">
        <f>E86</f>
        <v>PMX-Q48-008 W</v>
      </c>
      <c r="AC102" s="74" t="s">
        <v>47</v>
      </c>
      <c r="AD102" s="61" t="str">
        <f t="shared" si="71"/>
        <v>PKL</v>
      </c>
      <c r="AE102" s="61">
        <f t="shared" si="72"/>
        <v>50</v>
      </c>
      <c r="AF102" s="61">
        <f t="shared" si="73"/>
        <v>126</v>
      </c>
    </row>
    <row r="103" spans="1:42" s="65" customFormat="1" ht="12.75" hidden="1" customHeight="1">
      <c r="A103" s="52" t="s">
        <v>15</v>
      </c>
      <c r="B103" s="260"/>
      <c r="C103" s="260"/>
      <c r="D103" s="260"/>
      <c r="E103" s="69">
        <f>O103+Q103</f>
        <v>218</v>
      </c>
      <c r="F103" s="70">
        <f>P103+R103</f>
        <v>3016</v>
      </c>
      <c r="G103" s="260">
        <f t="shared" si="76"/>
        <v>218</v>
      </c>
      <c r="H103" s="260">
        <f t="shared" si="77"/>
        <v>3016</v>
      </c>
      <c r="I103" s="70"/>
      <c r="J103" s="70"/>
      <c r="K103" s="70"/>
      <c r="L103" s="70"/>
      <c r="M103" s="70">
        <f t="shared" si="69"/>
        <v>0</v>
      </c>
      <c r="N103" s="70">
        <f t="shared" si="70"/>
        <v>0</v>
      </c>
      <c r="O103" s="71"/>
      <c r="P103" s="71"/>
      <c r="Q103" s="71">
        <f>77+63+78</f>
        <v>218</v>
      </c>
      <c r="R103" s="71">
        <f>992+825+1199</f>
        <v>3016</v>
      </c>
      <c r="S103" s="72"/>
      <c r="T103" s="73"/>
      <c r="U103" s="73"/>
      <c r="V103" s="73"/>
      <c r="W103" s="73"/>
      <c r="X103" s="73"/>
      <c r="Y103" s="73"/>
      <c r="AA103" s="61">
        <f>H86</f>
        <v>15</v>
      </c>
      <c r="AB103" s="61" t="str">
        <f>E86</f>
        <v>PMX-Q48-008 W</v>
      </c>
      <c r="AC103" s="74" t="s">
        <v>47</v>
      </c>
      <c r="AD103" s="61" t="str">
        <f t="shared" si="71"/>
        <v>T/S</v>
      </c>
      <c r="AE103" s="61">
        <f t="shared" si="72"/>
        <v>0</v>
      </c>
      <c r="AF103" s="61">
        <f t="shared" si="73"/>
        <v>218</v>
      </c>
    </row>
    <row r="104" spans="1:42" s="65" customFormat="1" ht="12.75" hidden="1" customHeight="1">
      <c r="A104" s="51" t="s">
        <v>36</v>
      </c>
      <c r="B104" s="72"/>
      <c r="C104" s="71">
        <v>1949</v>
      </c>
      <c r="D104" s="71">
        <f>C104*13</f>
        <v>25337</v>
      </c>
      <c r="E104" s="78">
        <f>SUM(E90:E103)</f>
        <v>1709</v>
      </c>
      <c r="F104" s="76">
        <f>SUM(F90:F103)</f>
        <v>20879</v>
      </c>
      <c r="G104" s="71">
        <f t="shared" si="76"/>
        <v>-240</v>
      </c>
      <c r="H104" s="71">
        <f t="shared" si="77"/>
        <v>-4458</v>
      </c>
      <c r="I104" s="70">
        <f t="shared" ref="I104:L104" si="78">SUM(I90:I103)</f>
        <v>203</v>
      </c>
      <c r="J104" s="70">
        <f t="shared" si="78"/>
        <v>1957</v>
      </c>
      <c r="K104" s="70">
        <f t="shared" si="78"/>
        <v>104</v>
      </c>
      <c r="L104" s="70">
        <f t="shared" si="78"/>
        <v>924</v>
      </c>
      <c r="M104" s="70">
        <f t="shared" si="69"/>
        <v>307</v>
      </c>
      <c r="N104" s="70">
        <f t="shared" si="70"/>
        <v>2881</v>
      </c>
      <c r="O104" s="70">
        <f t="shared" ref="O104:R104" si="79">SUM(O90:O103)</f>
        <v>824</v>
      </c>
      <c r="P104" s="70">
        <f t="shared" si="79"/>
        <v>9798</v>
      </c>
      <c r="Q104" s="70">
        <f t="shared" si="79"/>
        <v>885</v>
      </c>
      <c r="R104" s="70">
        <f t="shared" si="79"/>
        <v>11081</v>
      </c>
      <c r="S104" s="72"/>
      <c r="T104" s="73"/>
      <c r="U104" s="73"/>
      <c r="V104" s="73"/>
      <c r="W104" s="73"/>
      <c r="X104" s="73"/>
      <c r="Y104" s="73"/>
      <c r="AA104" s="61"/>
      <c r="AB104" s="61"/>
      <c r="AC104" s="61"/>
      <c r="AD104" s="61"/>
      <c r="AE104" s="61"/>
      <c r="AF104" s="61"/>
    </row>
    <row r="105" spans="1:42" s="65" customFormat="1" ht="12.75" hidden="1" customHeight="1">
      <c r="A105" s="84">
        <f>D104/C104</f>
        <v>13</v>
      </c>
      <c r="C105" s="261">
        <f>F104-E105</f>
        <v>-1924.2999999999993</v>
      </c>
      <c r="E105" s="65">
        <f>D104*0.9</f>
        <v>22803.3</v>
      </c>
      <c r="F105" s="261">
        <f>E104-L105</f>
        <v>-45.100000000000136</v>
      </c>
      <c r="I105" s="80" t="s">
        <v>48</v>
      </c>
      <c r="J105" s="245">
        <f>E104/C104</f>
        <v>0.87685992816829139</v>
      </c>
      <c r="K105" s="80"/>
      <c r="L105" s="80">
        <f>C104*0.9</f>
        <v>1754.1000000000001</v>
      </c>
      <c r="M105" s="80"/>
      <c r="N105" s="80"/>
      <c r="O105" s="80" t="s">
        <v>49</v>
      </c>
      <c r="P105" s="80"/>
      <c r="Q105" s="65">
        <f>P91+P92+P94+P95+P96+J91+J92+L91+L92+J94+R94</f>
        <v>12056</v>
      </c>
      <c r="R105" s="65">
        <v>16856</v>
      </c>
      <c r="S105" s="65">
        <f>R105-Q105</f>
        <v>4800</v>
      </c>
      <c r="AA105" s="81"/>
      <c r="AB105" s="81"/>
      <c r="AC105" s="81"/>
      <c r="AD105" s="81"/>
      <c r="AE105" s="81"/>
      <c r="AF105" s="81"/>
    </row>
    <row r="106" spans="1:42" s="24" customFormat="1" ht="12.75" hidden="1" customHeight="1"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3"/>
      <c r="AB106" s="83"/>
      <c r="AC106" s="83"/>
      <c r="AD106" s="83"/>
      <c r="AE106" s="83"/>
      <c r="AF106" s="83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</row>
    <row r="107" spans="1:42" s="63" customFormat="1" ht="12.75" customHeight="1">
      <c r="A107" s="59" t="s">
        <v>47</v>
      </c>
      <c r="B107" s="58" t="s">
        <v>565</v>
      </c>
      <c r="C107" s="56"/>
      <c r="D107" s="57"/>
      <c r="E107" s="58" t="s">
        <v>582</v>
      </c>
      <c r="F107" s="57"/>
      <c r="G107" s="59" t="s">
        <v>37</v>
      </c>
      <c r="H107" s="60">
        <f>H86+1</f>
        <v>16</v>
      </c>
      <c r="I107" s="57"/>
      <c r="J107" s="57"/>
      <c r="K107" s="57"/>
      <c r="L107" s="57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2"/>
      <c r="AA107" s="62"/>
      <c r="AB107" s="62"/>
      <c r="AC107" s="62"/>
    </row>
    <row r="108" spans="1:42" s="65" customFormat="1" ht="12.75" customHeight="1">
      <c r="A108" s="340" t="s">
        <v>0</v>
      </c>
      <c r="B108" s="336" t="s">
        <v>1</v>
      </c>
      <c r="C108" s="331" t="s">
        <v>25</v>
      </c>
      <c r="D108" s="332"/>
      <c r="E108" s="331" t="s">
        <v>21</v>
      </c>
      <c r="F108" s="332"/>
      <c r="G108" s="335" t="s">
        <v>24</v>
      </c>
      <c r="H108" s="335"/>
      <c r="I108" s="328" t="s">
        <v>33</v>
      </c>
      <c r="J108" s="329"/>
      <c r="K108" s="329"/>
      <c r="L108" s="329"/>
      <c r="M108" s="329"/>
      <c r="N108" s="330"/>
      <c r="O108" s="331" t="s">
        <v>22</v>
      </c>
      <c r="P108" s="332"/>
      <c r="Q108" s="335" t="s">
        <v>23</v>
      </c>
      <c r="R108" s="335"/>
      <c r="S108" s="336" t="s">
        <v>27</v>
      </c>
      <c r="T108" s="64"/>
      <c r="U108" s="64"/>
      <c r="V108" s="64"/>
      <c r="W108" s="64"/>
      <c r="X108" s="64"/>
      <c r="Y108" s="64"/>
      <c r="Z108" s="339"/>
      <c r="AA108" s="61"/>
      <c r="AB108" s="61"/>
      <c r="AC108" s="74"/>
      <c r="AD108" s="61"/>
      <c r="AE108" s="61"/>
      <c r="AF108" s="61"/>
    </row>
    <row r="109" spans="1:42" s="65" customFormat="1" ht="12.75" customHeight="1">
      <c r="A109" s="341"/>
      <c r="B109" s="337"/>
      <c r="C109" s="333"/>
      <c r="D109" s="334"/>
      <c r="E109" s="333"/>
      <c r="F109" s="334"/>
      <c r="G109" s="335"/>
      <c r="H109" s="335"/>
      <c r="I109" s="283" t="s">
        <v>28</v>
      </c>
      <c r="J109" s="284" t="s">
        <v>3</v>
      </c>
      <c r="K109" s="283" t="s">
        <v>29</v>
      </c>
      <c r="L109" s="284" t="s">
        <v>4</v>
      </c>
      <c r="M109" s="328" t="s">
        <v>30</v>
      </c>
      <c r="N109" s="330"/>
      <c r="O109" s="333"/>
      <c r="P109" s="334"/>
      <c r="Q109" s="335"/>
      <c r="R109" s="335"/>
      <c r="S109" s="337"/>
      <c r="T109" s="64"/>
      <c r="U109" s="64"/>
      <c r="V109" s="64"/>
      <c r="W109" s="64"/>
      <c r="X109" s="64"/>
      <c r="Y109" s="64"/>
      <c r="Z109" s="339"/>
      <c r="AA109" s="61"/>
      <c r="AB109" s="61"/>
      <c r="AC109" s="74"/>
      <c r="AD109" s="61"/>
      <c r="AE109" s="61"/>
      <c r="AF109" s="61"/>
    </row>
    <row r="110" spans="1:42" s="65" customFormat="1" ht="12.75" customHeight="1">
      <c r="A110" s="342"/>
      <c r="B110" s="338"/>
      <c r="C110" s="285" t="s">
        <v>5</v>
      </c>
      <c r="D110" s="285" t="s">
        <v>6</v>
      </c>
      <c r="E110" s="284" t="s">
        <v>5</v>
      </c>
      <c r="F110" s="285" t="s">
        <v>6</v>
      </c>
      <c r="G110" s="285" t="s">
        <v>5</v>
      </c>
      <c r="H110" s="285" t="s">
        <v>6</v>
      </c>
      <c r="I110" s="284" t="s">
        <v>5</v>
      </c>
      <c r="J110" s="285" t="s">
        <v>6</v>
      </c>
      <c r="K110" s="284" t="s">
        <v>5</v>
      </c>
      <c r="L110" s="285" t="s">
        <v>6</v>
      </c>
      <c r="M110" s="285"/>
      <c r="N110" s="285"/>
      <c r="O110" s="284" t="s">
        <v>5</v>
      </c>
      <c r="P110" s="285" t="s">
        <v>6</v>
      </c>
      <c r="Q110" s="285" t="s">
        <v>5</v>
      </c>
      <c r="R110" s="285" t="s">
        <v>6</v>
      </c>
      <c r="S110" s="338"/>
      <c r="T110" s="64"/>
      <c r="U110" s="64"/>
      <c r="V110" s="64"/>
      <c r="W110" s="64"/>
      <c r="X110" s="64"/>
      <c r="Y110" s="64"/>
      <c r="Z110" s="339"/>
      <c r="AA110" s="61" t="s">
        <v>43</v>
      </c>
      <c r="AB110" s="61" t="s">
        <v>45</v>
      </c>
      <c r="AC110" s="61" t="s">
        <v>46</v>
      </c>
      <c r="AD110" s="61" t="s">
        <v>42</v>
      </c>
      <c r="AE110" s="61" t="s">
        <v>41</v>
      </c>
      <c r="AF110" s="61" t="s">
        <v>44</v>
      </c>
    </row>
    <row r="111" spans="1:42" s="65" customFormat="1" ht="12.75" customHeight="1">
      <c r="A111" s="51" t="s">
        <v>7</v>
      </c>
      <c r="B111" s="1" t="s">
        <v>18</v>
      </c>
      <c r="C111" s="285">
        <v>0</v>
      </c>
      <c r="D111" s="285">
        <v>0</v>
      </c>
      <c r="E111" s="69">
        <f t="shared" ref="E111:E119" si="80">O111+Q111</f>
        <v>0</v>
      </c>
      <c r="F111" s="70">
        <f t="shared" ref="F111:F119" si="81">P111+R111</f>
        <v>0</v>
      </c>
      <c r="G111" s="285">
        <f t="shared" ref="G111:G120" si="82">E111-C111</f>
        <v>0</v>
      </c>
      <c r="H111" s="285">
        <f t="shared" ref="H111:H120" si="83">F111-D111</f>
        <v>0</v>
      </c>
      <c r="I111" s="70"/>
      <c r="J111" s="70"/>
      <c r="K111" s="70"/>
      <c r="L111" s="70"/>
      <c r="M111" s="70">
        <f t="shared" ref="M111:M125" si="84">I111+K111</f>
        <v>0</v>
      </c>
      <c r="N111" s="70">
        <f t="shared" ref="N111:N125" si="85">J111+L111</f>
        <v>0</v>
      </c>
      <c r="O111" s="71"/>
      <c r="P111" s="71"/>
      <c r="Q111" s="70"/>
      <c r="R111" s="70"/>
      <c r="S111" s="72"/>
      <c r="T111" s="252" t="e">
        <f>E111/C111</f>
        <v>#DIV/0!</v>
      </c>
      <c r="U111" s="73"/>
      <c r="V111" s="73"/>
      <c r="W111" s="73"/>
      <c r="X111" s="73"/>
      <c r="Y111" s="73"/>
      <c r="Z111" s="339"/>
      <c r="AA111" s="61">
        <f>H107</f>
        <v>16</v>
      </c>
      <c r="AB111" s="61" t="str">
        <f>E107</f>
        <v>PMX-CFI-063 W</v>
      </c>
      <c r="AC111" s="74" t="s">
        <v>47</v>
      </c>
      <c r="AD111" s="61" t="str">
        <f t="shared" ref="AD111:AD124" si="86">A111</f>
        <v>KR</v>
      </c>
      <c r="AE111" s="61">
        <f t="shared" ref="AE111:AE124" si="87">C111</f>
        <v>0</v>
      </c>
      <c r="AF111" s="61">
        <f t="shared" ref="AF111:AF124" si="88">E111</f>
        <v>0</v>
      </c>
    </row>
    <row r="112" spans="1:42" s="65" customFormat="1" ht="12.75" customHeight="1">
      <c r="A112" s="52" t="s">
        <v>13</v>
      </c>
      <c r="B112" s="1">
        <f>B91+7</f>
        <v>43199</v>
      </c>
      <c r="C112" s="285">
        <v>210</v>
      </c>
      <c r="D112" s="285">
        <f t="shared" ref="D112:D119" si="89">C112*13</f>
        <v>2730</v>
      </c>
      <c r="E112" s="69">
        <f t="shared" si="80"/>
        <v>200</v>
      </c>
      <c r="F112" s="70">
        <f t="shared" si="81"/>
        <v>2280</v>
      </c>
      <c r="G112" s="285">
        <f t="shared" si="82"/>
        <v>-10</v>
      </c>
      <c r="H112" s="285">
        <f t="shared" si="83"/>
        <v>-450</v>
      </c>
      <c r="I112" s="75">
        <v>27</v>
      </c>
      <c r="J112" s="75">
        <v>361</v>
      </c>
      <c r="K112" s="70">
        <v>50</v>
      </c>
      <c r="L112" s="70">
        <v>591</v>
      </c>
      <c r="M112" s="70">
        <f t="shared" si="84"/>
        <v>77</v>
      </c>
      <c r="N112" s="70">
        <f t="shared" si="85"/>
        <v>952</v>
      </c>
      <c r="O112" s="75">
        <f>180+20</f>
        <v>200</v>
      </c>
      <c r="P112" s="75">
        <v>2280</v>
      </c>
      <c r="Q112" s="71"/>
      <c r="R112" s="71"/>
      <c r="S112" s="72"/>
      <c r="T112" s="252">
        <f t="shared" ref="T112:T122" si="90">E112/C112</f>
        <v>0.95238095238095233</v>
      </c>
      <c r="U112" s="73"/>
      <c r="V112" s="73"/>
      <c r="W112" s="73"/>
      <c r="X112" s="73"/>
      <c r="Y112" s="73"/>
      <c r="AA112" s="61">
        <f>H107</f>
        <v>16</v>
      </c>
      <c r="AB112" s="61" t="str">
        <f>E107</f>
        <v>PMX-CFI-063 W</v>
      </c>
      <c r="AC112" s="74" t="s">
        <v>47</v>
      </c>
      <c r="AD112" s="61" t="str">
        <f t="shared" si="86"/>
        <v>TAO</v>
      </c>
      <c r="AE112" s="61">
        <f t="shared" si="87"/>
        <v>210</v>
      </c>
      <c r="AF112" s="61">
        <f t="shared" si="88"/>
        <v>200</v>
      </c>
    </row>
    <row r="113" spans="1:42" s="65" customFormat="1" ht="12.75" customHeight="1">
      <c r="A113" s="52" t="s">
        <v>9</v>
      </c>
      <c r="B113" s="1">
        <f>B92+7</f>
        <v>43201</v>
      </c>
      <c r="C113" s="285">
        <v>320</v>
      </c>
      <c r="D113" s="285">
        <f t="shared" si="89"/>
        <v>4160</v>
      </c>
      <c r="E113" s="69">
        <f t="shared" si="80"/>
        <v>418</v>
      </c>
      <c r="F113" s="70">
        <f t="shared" si="81"/>
        <v>4857</v>
      </c>
      <c r="G113" s="285">
        <f t="shared" si="82"/>
        <v>98</v>
      </c>
      <c r="H113" s="285">
        <f t="shared" si="83"/>
        <v>697</v>
      </c>
      <c r="I113" s="75">
        <v>181</v>
      </c>
      <c r="J113" s="75">
        <v>2024</v>
      </c>
      <c r="K113" s="71">
        <v>1</v>
      </c>
      <c r="L113" s="71">
        <v>4</v>
      </c>
      <c r="M113" s="70">
        <f t="shared" si="84"/>
        <v>182</v>
      </c>
      <c r="N113" s="70">
        <f t="shared" si="85"/>
        <v>2028</v>
      </c>
      <c r="O113" s="75">
        <f>393+25</f>
        <v>418</v>
      </c>
      <c r="P113" s="75">
        <v>4857</v>
      </c>
      <c r="Q113" s="71"/>
      <c r="R113" s="71"/>
      <c r="S113" s="72"/>
      <c r="T113" s="252">
        <f t="shared" si="90"/>
        <v>1.3062499999999999</v>
      </c>
      <c r="U113" s="73"/>
      <c r="V113" s="73"/>
      <c r="W113" s="73"/>
      <c r="X113" s="73"/>
      <c r="Y113" s="73"/>
      <c r="AA113" s="61">
        <f>H107</f>
        <v>16</v>
      </c>
      <c r="AB113" s="61" t="str">
        <f>E107</f>
        <v>PMX-CFI-063 W</v>
      </c>
      <c r="AC113" s="74" t="s">
        <v>47</v>
      </c>
      <c r="AD113" s="61" t="str">
        <f t="shared" si="86"/>
        <v>SHA</v>
      </c>
      <c r="AE113" s="61">
        <f t="shared" si="87"/>
        <v>320</v>
      </c>
      <c r="AF113" s="61">
        <f t="shared" si="88"/>
        <v>418</v>
      </c>
    </row>
    <row r="114" spans="1:42" s="65" customFormat="1" ht="12.75" customHeight="1">
      <c r="A114" s="52" t="s">
        <v>8</v>
      </c>
      <c r="B114" s="1">
        <f>B93+7</f>
        <v>43202</v>
      </c>
      <c r="C114" s="285">
        <v>210</v>
      </c>
      <c r="D114" s="285">
        <f t="shared" si="89"/>
        <v>2730</v>
      </c>
      <c r="E114" s="69">
        <f t="shared" si="80"/>
        <v>241</v>
      </c>
      <c r="F114" s="70">
        <f t="shared" si="81"/>
        <v>2791</v>
      </c>
      <c r="G114" s="285">
        <f t="shared" si="82"/>
        <v>31</v>
      </c>
      <c r="H114" s="285">
        <f t="shared" si="83"/>
        <v>61</v>
      </c>
      <c r="I114" s="71"/>
      <c r="J114" s="71"/>
      <c r="K114" s="71">
        <v>6</v>
      </c>
      <c r="L114" s="71">
        <v>105</v>
      </c>
      <c r="M114" s="70">
        <f t="shared" si="84"/>
        <v>6</v>
      </c>
      <c r="N114" s="70">
        <f t="shared" si="85"/>
        <v>105</v>
      </c>
      <c r="O114" s="71"/>
      <c r="P114" s="71"/>
      <c r="Q114" s="71">
        <v>241</v>
      </c>
      <c r="R114" s="71">
        <v>2791</v>
      </c>
      <c r="S114" s="72"/>
      <c r="T114" s="252">
        <f t="shared" si="90"/>
        <v>1.1476190476190475</v>
      </c>
      <c r="U114" s="73"/>
      <c r="V114" s="73"/>
      <c r="W114" s="73"/>
      <c r="X114" s="73"/>
      <c r="Y114" s="73"/>
      <c r="AA114" s="61">
        <f>H107</f>
        <v>16</v>
      </c>
      <c r="AB114" s="61" t="str">
        <f>E107</f>
        <v>PMX-CFI-063 W</v>
      </c>
      <c r="AC114" s="74" t="s">
        <v>47</v>
      </c>
      <c r="AD114" s="61" t="str">
        <f t="shared" si="86"/>
        <v>NGB</v>
      </c>
      <c r="AE114" s="61">
        <f t="shared" si="87"/>
        <v>210</v>
      </c>
      <c r="AF114" s="61">
        <f t="shared" si="88"/>
        <v>241</v>
      </c>
    </row>
    <row r="115" spans="1:42" s="65" customFormat="1" ht="12.75" customHeight="1">
      <c r="A115" s="52" t="s">
        <v>10</v>
      </c>
      <c r="B115" s="1" t="s">
        <v>9</v>
      </c>
      <c r="C115" s="285">
        <v>45</v>
      </c>
      <c r="D115" s="285">
        <f t="shared" si="89"/>
        <v>585</v>
      </c>
      <c r="E115" s="69">
        <f t="shared" si="80"/>
        <v>49</v>
      </c>
      <c r="F115" s="70">
        <f t="shared" si="81"/>
        <v>1044</v>
      </c>
      <c r="G115" s="285">
        <f t="shared" si="82"/>
        <v>4</v>
      </c>
      <c r="H115" s="285">
        <f t="shared" si="83"/>
        <v>459</v>
      </c>
      <c r="I115" s="75"/>
      <c r="J115" s="75"/>
      <c r="K115" s="70"/>
      <c r="L115" s="70"/>
      <c r="M115" s="70">
        <f t="shared" si="84"/>
        <v>0</v>
      </c>
      <c r="N115" s="70">
        <f t="shared" si="85"/>
        <v>0</v>
      </c>
      <c r="O115" s="75">
        <v>49</v>
      </c>
      <c r="P115" s="75">
        <v>1044</v>
      </c>
      <c r="Q115" s="70"/>
      <c r="R115" s="70"/>
      <c r="S115" s="72"/>
      <c r="T115" s="252">
        <f t="shared" si="90"/>
        <v>1.0888888888888888</v>
      </c>
      <c r="U115" s="73"/>
      <c r="V115" s="73"/>
      <c r="W115" s="73"/>
      <c r="X115" s="73"/>
      <c r="Y115" s="73"/>
      <c r="AA115" s="61">
        <f>H107</f>
        <v>16</v>
      </c>
      <c r="AB115" s="61" t="str">
        <f>E107</f>
        <v>PMX-CFI-063 W</v>
      </c>
      <c r="AC115" s="74" t="s">
        <v>47</v>
      </c>
      <c r="AD115" s="61" t="str">
        <f t="shared" si="86"/>
        <v>WUH</v>
      </c>
      <c r="AE115" s="61">
        <f t="shared" si="87"/>
        <v>45</v>
      </c>
      <c r="AF115" s="61">
        <f t="shared" si="88"/>
        <v>49</v>
      </c>
    </row>
    <row r="116" spans="1:42" s="65" customFormat="1" ht="12.75" customHeight="1">
      <c r="A116" s="52" t="s">
        <v>11</v>
      </c>
      <c r="B116" s="1" t="s">
        <v>18</v>
      </c>
      <c r="C116" s="285">
        <v>40</v>
      </c>
      <c r="D116" s="285">
        <f t="shared" si="89"/>
        <v>520</v>
      </c>
      <c r="E116" s="69">
        <f t="shared" si="80"/>
        <v>2</v>
      </c>
      <c r="F116" s="70">
        <f t="shared" si="81"/>
        <v>55</v>
      </c>
      <c r="G116" s="285">
        <f t="shared" si="82"/>
        <v>-38</v>
      </c>
      <c r="H116" s="285">
        <f t="shared" si="83"/>
        <v>-465</v>
      </c>
      <c r="I116" s="70"/>
      <c r="J116" s="70"/>
      <c r="K116" s="70"/>
      <c r="L116" s="70"/>
      <c r="M116" s="70">
        <f t="shared" si="84"/>
        <v>0</v>
      </c>
      <c r="N116" s="70">
        <f t="shared" si="85"/>
        <v>0</v>
      </c>
      <c r="O116" s="75">
        <v>2</v>
      </c>
      <c r="P116" s="75">
        <v>55</v>
      </c>
      <c r="Q116" s="70"/>
      <c r="R116" s="70"/>
      <c r="S116" s="72"/>
      <c r="T116" s="252">
        <f t="shared" si="90"/>
        <v>0.05</v>
      </c>
      <c r="U116" s="73"/>
      <c r="V116" s="73"/>
      <c r="W116" s="73"/>
      <c r="X116" s="73"/>
      <c r="Y116" s="73"/>
      <c r="AA116" s="61">
        <f>H107</f>
        <v>16</v>
      </c>
      <c r="AB116" s="61" t="str">
        <f>E107</f>
        <v>PMX-CFI-063 W</v>
      </c>
      <c r="AC116" s="74" t="s">
        <v>47</v>
      </c>
      <c r="AD116" s="61" t="str">
        <f t="shared" si="86"/>
        <v>DLC</v>
      </c>
      <c r="AE116" s="61">
        <f t="shared" si="87"/>
        <v>40</v>
      </c>
      <c r="AF116" s="61">
        <f t="shared" si="88"/>
        <v>2</v>
      </c>
    </row>
    <row r="117" spans="1:42" s="65" customFormat="1" ht="12.75" customHeight="1">
      <c r="A117" s="52" t="s">
        <v>12</v>
      </c>
      <c r="B117" s="1" t="s">
        <v>18</v>
      </c>
      <c r="C117" s="285">
        <v>55</v>
      </c>
      <c r="D117" s="285">
        <f t="shared" si="89"/>
        <v>715</v>
      </c>
      <c r="E117" s="69">
        <f t="shared" si="80"/>
        <v>7</v>
      </c>
      <c r="F117" s="70">
        <f t="shared" si="81"/>
        <v>198</v>
      </c>
      <c r="G117" s="285">
        <f t="shared" si="82"/>
        <v>-48</v>
      </c>
      <c r="H117" s="285">
        <f t="shared" si="83"/>
        <v>-517</v>
      </c>
      <c r="I117" s="70"/>
      <c r="J117" s="70"/>
      <c r="K117" s="70"/>
      <c r="L117" s="70"/>
      <c r="M117" s="70">
        <f t="shared" si="84"/>
        <v>0</v>
      </c>
      <c r="N117" s="70">
        <f t="shared" si="85"/>
        <v>0</v>
      </c>
      <c r="O117" s="75">
        <v>7</v>
      </c>
      <c r="P117" s="75">
        <v>198</v>
      </c>
      <c r="Q117" s="76"/>
      <c r="R117" s="71"/>
      <c r="S117" s="72"/>
      <c r="T117" s="252">
        <f t="shared" si="90"/>
        <v>0.12727272727272726</v>
      </c>
      <c r="U117" s="73"/>
      <c r="V117" s="73"/>
      <c r="W117" s="73"/>
      <c r="X117" s="73"/>
      <c r="Y117" s="73"/>
      <c r="AA117" s="61">
        <f>H107</f>
        <v>16</v>
      </c>
      <c r="AB117" s="61" t="str">
        <f>E107</f>
        <v>PMX-CFI-063 W</v>
      </c>
      <c r="AC117" s="74" t="s">
        <v>47</v>
      </c>
      <c r="AD117" s="61" t="str">
        <f t="shared" si="86"/>
        <v>TSN</v>
      </c>
      <c r="AE117" s="61">
        <f t="shared" si="87"/>
        <v>55</v>
      </c>
      <c r="AF117" s="61">
        <f t="shared" si="88"/>
        <v>7</v>
      </c>
    </row>
    <row r="118" spans="1:42" s="65" customFormat="1" ht="12.75" customHeight="1">
      <c r="A118" s="52" t="s">
        <v>14</v>
      </c>
      <c r="B118" s="1" t="s">
        <v>18</v>
      </c>
      <c r="C118" s="285">
        <v>30</v>
      </c>
      <c r="D118" s="285">
        <f t="shared" si="89"/>
        <v>390</v>
      </c>
      <c r="E118" s="69">
        <f t="shared" si="80"/>
        <v>19</v>
      </c>
      <c r="F118" s="70">
        <f t="shared" si="81"/>
        <v>169</v>
      </c>
      <c r="G118" s="285">
        <f t="shared" si="82"/>
        <v>-11</v>
      </c>
      <c r="H118" s="285">
        <f t="shared" si="83"/>
        <v>-221</v>
      </c>
      <c r="I118" s="70"/>
      <c r="J118" s="70"/>
      <c r="K118" s="70"/>
      <c r="L118" s="70"/>
      <c r="M118" s="70">
        <f t="shared" si="84"/>
        <v>0</v>
      </c>
      <c r="N118" s="70">
        <f t="shared" si="85"/>
        <v>0</v>
      </c>
      <c r="O118" s="71"/>
      <c r="P118" s="71"/>
      <c r="Q118" s="70">
        <f>17+2</f>
        <v>19</v>
      </c>
      <c r="R118" s="70">
        <v>169</v>
      </c>
      <c r="S118" s="72"/>
      <c r="T118" s="252">
        <f t="shared" si="90"/>
        <v>0.6333333333333333</v>
      </c>
      <c r="U118" s="73"/>
      <c r="V118" s="73"/>
      <c r="W118" s="73"/>
      <c r="X118" s="73"/>
      <c r="Y118" s="73"/>
      <c r="AA118" s="61">
        <f>H107</f>
        <v>16</v>
      </c>
      <c r="AB118" s="61" t="str">
        <f>E107</f>
        <v>PMX-CFI-063 W</v>
      </c>
      <c r="AC118" s="74" t="s">
        <v>47</v>
      </c>
      <c r="AD118" s="61" t="str">
        <f t="shared" si="86"/>
        <v>XMN</v>
      </c>
      <c r="AE118" s="61">
        <f t="shared" si="87"/>
        <v>30</v>
      </c>
      <c r="AF118" s="61">
        <f t="shared" si="88"/>
        <v>19</v>
      </c>
    </row>
    <row r="119" spans="1:42" s="65" customFormat="1" ht="12.75" customHeight="1">
      <c r="A119" s="52" t="s">
        <v>19</v>
      </c>
      <c r="B119" s="1" t="s">
        <v>18</v>
      </c>
      <c r="C119" s="285">
        <v>20</v>
      </c>
      <c r="D119" s="285">
        <f t="shared" si="89"/>
        <v>260</v>
      </c>
      <c r="E119" s="69">
        <f t="shared" si="80"/>
        <v>3</v>
      </c>
      <c r="F119" s="70">
        <f t="shared" si="81"/>
        <v>33</v>
      </c>
      <c r="G119" s="285">
        <f t="shared" si="82"/>
        <v>-17</v>
      </c>
      <c r="H119" s="285">
        <f t="shared" si="83"/>
        <v>-227</v>
      </c>
      <c r="I119" s="70"/>
      <c r="J119" s="70"/>
      <c r="K119" s="70"/>
      <c r="L119" s="70"/>
      <c r="M119" s="70">
        <f t="shared" si="84"/>
        <v>0</v>
      </c>
      <c r="N119" s="70">
        <f t="shared" si="85"/>
        <v>0</v>
      </c>
      <c r="O119" s="70"/>
      <c r="P119" s="70"/>
      <c r="Q119" s="70">
        <v>3</v>
      </c>
      <c r="R119" s="70">
        <v>33</v>
      </c>
      <c r="S119" s="72"/>
      <c r="T119" s="252">
        <f t="shared" si="90"/>
        <v>0.15</v>
      </c>
      <c r="U119" s="73"/>
      <c r="V119" s="73"/>
      <c r="W119" s="73"/>
      <c r="X119" s="73"/>
      <c r="Y119" s="73"/>
      <c r="AA119" s="61">
        <f>H107</f>
        <v>16</v>
      </c>
      <c r="AB119" s="61" t="str">
        <f>E107</f>
        <v>PMX-CFI-063 W</v>
      </c>
      <c r="AC119" s="74" t="s">
        <v>47</v>
      </c>
      <c r="AD119" s="61" t="str">
        <f t="shared" si="86"/>
        <v>TWC</v>
      </c>
      <c r="AE119" s="61">
        <f t="shared" si="87"/>
        <v>20</v>
      </c>
      <c r="AF119" s="61">
        <f t="shared" si="88"/>
        <v>3</v>
      </c>
    </row>
    <row r="120" spans="1:42" s="65" customFormat="1" ht="12.75" customHeight="1">
      <c r="A120" s="52" t="s">
        <v>16</v>
      </c>
      <c r="B120" s="26"/>
      <c r="C120" s="285"/>
      <c r="D120" s="285"/>
      <c r="E120" s="69">
        <f t="shared" ref="E120:E121" si="91">O120+Q120</f>
        <v>0</v>
      </c>
      <c r="F120" s="70">
        <f t="shared" ref="F120:F121" si="92">P120+R120</f>
        <v>0</v>
      </c>
      <c r="G120" s="285">
        <f t="shared" si="82"/>
        <v>0</v>
      </c>
      <c r="H120" s="285">
        <f t="shared" si="83"/>
        <v>0</v>
      </c>
      <c r="I120" s="70"/>
      <c r="J120" s="70"/>
      <c r="K120" s="70"/>
      <c r="L120" s="70"/>
      <c r="M120" s="70">
        <f t="shared" si="84"/>
        <v>0</v>
      </c>
      <c r="N120" s="70">
        <f t="shared" si="85"/>
        <v>0</v>
      </c>
      <c r="O120" s="70"/>
      <c r="P120" s="70"/>
      <c r="Q120" s="70"/>
      <c r="S120" s="72"/>
      <c r="T120" s="252" t="e">
        <f t="shared" si="90"/>
        <v>#DIV/0!</v>
      </c>
      <c r="U120" s="73"/>
      <c r="V120" s="73"/>
      <c r="W120" s="73"/>
      <c r="X120" s="73"/>
      <c r="Y120" s="73"/>
      <c r="AA120" s="61">
        <f>H107</f>
        <v>16</v>
      </c>
      <c r="AB120" s="61" t="str">
        <f>E107</f>
        <v>PMX-CFI-063 W</v>
      </c>
      <c r="AC120" s="74" t="s">
        <v>47</v>
      </c>
      <c r="AD120" s="61" t="str">
        <f t="shared" si="86"/>
        <v>HUA</v>
      </c>
      <c r="AE120" s="61">
        <f t="shared" si="87"/>
        <v>0</v>
      </c>
      <c r="AF120" s="61">
        <f t="shared" si="88"/>
        <v>0</v>
      </c>
    </row>
    <row r="121" spans="1:42" s="65" customFormat="1" ht="12.75" customHeight="1">
      <c r="A121" s="52" t="s">
        <v>2</v>
      </c>
      <c r="B121" s="26"/>
      <c r="C121" s="285"/>
      <c r="D121" s="285"/>
      <c r="E121" s="69">
        <f t="shared" si="91"/>
        <v>0</v>
      </c>
      <c r="F121" s="70">
        <f t="shared" si="92"/>
        <v>0</v>
      </c>
      <c r="G121" s="285"/>
      <c r="H121" s="285"/>
      <c r="I121" s="70"/>
      <c r="J121" s="70"/>
      <c r="K121" s="70"/>
      <c r="L121" s="70"/>
      <c r="M121" s="70">
        <f t="shared" si="84"/>
        <v>0</v>
      </c>
      <c r="N121" s="70">
        <f t="shared" si="85"/>
        <v>0</v>
      </c>
      <c r="O121" s="70"/>
      <c r="P121" s="70"/>
      <c r="Q121" s="70"/>
      <c r="R121" s="70"/>
      <c r="S121" s="72"/>
      <c r="T121" s="252" t="e">
        <f t="shared" si="90"/>
        <v>#DIV/0!</v>
      </c>
      <c r="U121" s="73"/>
      <c r="V121" s="73"/>
      <c r="W121" s="73"/>
      <c r="X121" s="73"/>
      <c r="Y121" s="73"/>
      <c r="AA121" s="61">
        <f>H107</f>
        <v>16</v>
      </c>
      <c r="AB121" s="61" t="str">
        <f>E107</f>
        <v>PMX-CFI-063 W</v>
      </c>
      <c r="AC121" s="74" t="s">
        <v>47</v>
      </c>
      <c r="AD121" s="61" t="str">
        <f t="shared" si="86"/>
        <v>HKG</v>
      </c>
      <c r="AE121" s="61">
        <f t="shared" si="87"/>
        <v>0</v>
      </c>
      <c r="AF121" s="61">
        <f t="shared" si="88"/>
        <v>0</v>
      </c>
    </row>
    <row r="122" spans="1:42" s="65" customFormat="1" ht="12.75" customHeight="1">
      <c r="A122" s="52" t="s">
        <v>3</v>
      </c>
      <c r="B122" s="1">
        <f>B101+7</f>
        <v>43208</v>
      </c>
      <c r="C122" s="285">
        <v>85</v>
      </c>
      <c r="D122" s="285">
        <f t="shared" ref="D122:D123" si="93">C122*13</f>
        <v>1105</v>
      </c>
      <c r="E122" s="69">
        <f t="shared" ref="E122:F124" si="94">O122+Q122</f>
        <v>48</v>
      </c>
      <c r="F122" s="70">
        <f t="shared" si="94"/>
        <v>1077</v>
      </c>
      <c r="G122" s="285">
        <f t="shared" ref="G122:G125" si="95">E122-C122</f>
        <v>-37</v>
      </c>
      <c r="H122" s="285">
        <f t="shared" ref="H122:H125" si="96">F122-D122</f>
        <v>-28</v>
      </c>
      <c r="I122" s="70"/>
      <c r="J122" s="70"/>
      <c r="K122" s="70"/>
      <c r="L122" s="70"/>
      <c r="M122" s="70">
        <f t="shared" si="84"/>
        <v>0</v>
      </c>
      <c r="N122" s="70">
        <f t="shared" si="85"/>
        <v>0</v>
      </c>
      <c r="O122" s="285"/>
      <c r="P122" s="285"/>
      <c r="Q122" s="70">
        <v>48</v>
      </c>
      <c r="R122" s="70">
        <v>1077</v>
      </c>
      <c r="S122" s="72"/>
      <c r="T122" s="252">
        <f t="shared" si="90"/>
        <v>0.56470588235294117</v>
      </c>
      <c r="U122" s="73"/>
      <c r="V122" s="73"/>
      <c r="W122" s="73"/>
      <c r="X122" s="73"/>
      <c r="Y122" s="73"/>
      <c r="AA122" s="61">
        <f>H107</f>
        <v>16</v>
      </c>
      <c r="AB122" s="61" t="str">
        <f>E107</f>
        <v>PMX-CFI-063 W</v>
      </c>
      <c r="AC122" s="74" t="s">
        <v>47</v>
      </c>
      <c r="AD122" s="61" t="str">
        <f t="shared" si="86"/>
        <v>SGP</v>
      </c>
      <c r="AE122" s="61">
        <f t="shared" si="87"/>
        <v>85</v>
      </c>
      <c r="AF122" s="61">
        <f t="shared" si="88"/>
        <v>48</v>
      </c>
    </row>
    <row r="123" spans="1:42" s="65" customFormat="1" ht="12.75" customHeight="1">
      <c r="A123" s="52" t="s">
        <v>4</v>
      </c>
      <c r="B123" s="1">
        <f>B102+7</f>
        <v>43210</v>
      </c>
      <c r="C123" s="285">
        <v>40</v>
      </c>
      <c r="D123" s="285">
        <f t="shared" si="93"/>
        <v>520</v>
      </c>
      <c r="E123" s="69">
        <f t="shared" si="94"/>
        <v>50</v>
      </c>
      <c r="F123" s="70">
        <f t="shared" si="94"/>
        <v>784</v>
      </c>
      <c r="G123" s="285">
        <f t="shared" si="95"/>
        <v>10</v>
      </c>
      <c r="H123" s="285">
        <f t="shared" si="96"/>
        <v>264</v>
      </c>
      <c r="I123" s="70"/>
      <c r="J123" s="70"/>
      <c r="K123" s="70"/>
      <c r="L123" s="70"/>
      <c r="M123" s="70">
        <f t="shared" si="84"/>
        <v>0</v>
      </c>
      <c r="N123" s="70">
        <f t="shared" si="85"/>
        <v>0</v>
      </c>
      <c r="O123" s="70"/>
      <c r="P123" s="70"/>
      <c r="Q123" s="70">
        <v>50</v>
      </c>
      <c r="R123" s="70">
        <v>784</v>
      </c>
      <c r="S123" s="72"/>
      <c r="T123" s="73"/>
      <c r="U123" s="73"/>
      <c r="V123" s="73"/>
      <c r="W123" s="73"/>
      <c r="X123" s="73"/>
      <c r="Y123" s="73"/>
      <c r="AA123" s="61">
        <f>H107</f>
        <v>16</v>
      </c>
      <c r="AB123" s="61" t="str">
        <f>E107</f>
        <v>PMX-CFI-063 W</v>
      </c>
      <c r="AC123" s="74" t="s">
        <v>47</v>
      </c>
      <c r="AD123" s="61" t="str">
        <f t="shared" si="86"/>
        <v>PKL</v>
      </c>
      <c r="AE123" s="61">
        <f t="shared" si="87"/>
        <v>40</v>
      </c>
      <c r="AF123" s="61">
        <f t="shared" si="88"/>
        <v>50</v>
      </c>
    </row>
    <row r="124" spans="1:42" s="65" customFormat="1" ht="12.75" customHeight="1">
      <c r="A124" s="52" t="s">
        <v>15</v>
      </c>
      <c r="B124" s="285"/>
      <c r="C124" s="285"/>
      <c r="D124" s="285"/>
      <c r="E124" s="69">
        <f t="shared" si="94"/>
        <v>30</v>
      </c>
      <c r="F124" s="70">
        <f t="shared" si="94"/>
        <v>396</v>
      </c>
      <c r="G124" s="285">
        <f t="shared" si="95"/>
        <v>30</v>
      </c>
      <c r="H124" s="285">
        <f t="shared" si="96"/>
        <v>396</v>
      </c>
      <c r="I124" s="70"/>
      <c r="J124" s="70"/>
      <c r="K124" s="70"/>
      <c r="L124" s="70"/>
      <c r="M124" s="70">
        <f t="shared" si="84"/>
        <v>0</v>
      </c>
      <c r="N124" s="70">
        <f t="shared" si="85"/>
        <v>0</v>
      </c>
      <c r="O124" s="71"/>
      <c r="P124" s="71"/>
      <c r="Q124" s="71">
        <v>30</v>
      </c>
      <c r="R124" s="71">
        <v>396</v>
      </c>
      <c r="S124" s="72"/>
      <c r="T124" s="73"/>
      <c r="U124" s="73"/>
      <c r="V124" s="73"/>
      <c r="W124" s="73"/>
      <c r="X124" s="73"/>
      <c r="Y124" s="73"/>
      <c r="AA124" s="61">
        <f>H107</f>
        <v>16</v>
      </c>
      <c r="AB124" s="61" t="str">
        <f>E107</f>
        <v>PMX-CFI-063 W</v>
      </c>
      <c r="AC124" s="74" t="s">
        <v>47</v>
      </c>
      <c r="AD124" s="61" t="str">
        <f t="shared" si="86"/>
        <v>T/S</v>
      </c>
      <c r="AE124" s="61">
        <f t="shared" si="87"/>
        <v>0</v>
      </c>
      <c r="AF124" s="61">
        <f t="shared" si="88"/>
        <v>30</v>
      </c>
    </row>
    <row r="125" spans="1:42" s="65" customFormat="1" ht="12.75" customHeight="1">
      <c r="A125" s="51" t="s">
        <v>36</v>
      </c>
      <c r="B125" s="72"/>
      <c r="C125" s="71">
        <v>1055</v>
      </c>
      <c r="D125" s="71">
        <f>C125*13</f>
        <v>13715</v>
      </c>
      <c r="E125" s="78">
        <f>SUM(E111:E124)</f>
        <v>1067</v>
      </c>
      <c r="F125" s="76">
        <f>SUM(F111:F124)</f>
        <v>13684</v>
      </c>
      <c r="G125" s="71">
        <f t="shared" si="95"/>
        <v>12</v>
      </c>
      <c r="H125" s="71">
        <f t="shared" si="96"/>
        <v>-31</v>
      </c>
      <c r="I125" s="70">
        <f t="shared" ref="I125:L125" si="97">SUM(I111:I124)</f>
        <v>208</v>
      </c>
      <c r="J125" s="70">
        <f t="shared" si="97"/>
        <v>2385</v>
      </c>
      <c r="K125" s="70">
        <f t="shared" si="97"/>
        <v>57</v>
      </c>
      <c r="L125" s="70">
        <f t="shared" si="97"/>
        <v>700</v>
      </c>
      <c r="M125" s="70">
        <f t="shared" si="84"/>
        <v>265</v>
      </c>
      <c r="N125" s="70">
        <f t="shared" si="85"/>
        <v>3085</v>
      </c>
      <c r="O125" s="70">
        <f t="shared" ref="O125:R125" si="98">SUM(O111:O124)</f>
        <v>676</v>
      </c>
      <c r="P125" s="70">
        <f t="shared" si="98"/>
        <v>8434</v>
      </c>
      <c r="Q125" s="70">
        <f t="shared" si="98"/>
        <v>391</v>
      </c>
      <c r="R125" s="70">
        <f t="shared" si="98"/>
        <v>5250</v>
      </c>
      <c r="S125" s="72"/>
      <c r="T125" s="73"/>
      <c r="U125" s="73"/>
      <c r="V125" s="73"/>
      <c r="W125" s="73"/>
      <c r="X125" s="73"/>
      <c r="Y125" s="73"/>
      <c r="AA125" s="61"/>
      <c r="AB125" s="61"/>
      <c r="AC125" s="61"/>
      <c r="AD125" s="61"/>
      <c r="AE125" s="61"/>
      <c r="AF125" s="61"/>
    </row>
    <row r="126" spans="1:42" s="65" customFormat="1" ht="12.75" customHeight="1">
      <c r="A126" s="84">
        <f>D125/C125</f>
        <v>13</v>
      </c>
      <c r="C126" s="281">
        <f>F125-E126</f>
        <v>1340.5</v>
      </c>
      <c r="E126" s="65">
        <f>D125*0.9</f>
        <v>12343.5</v>
      </c>
      <c r="F126" s="281">
        <f>E125-L126</f>
        <v>117.5</v>
      </c>
      <c r="I126" s="80" t="s">
        <v>48</v>
      </c>
      <c r="J126" s="245">
        <f>E125/C125</f>
        <v>1.0113744075829383</v>
      </c>
      <c r="K126" s="80"/>
      <c r="L126" s="80">
        <f>C125*0.9</f>
        <v>949.5</v>
      </c>
      <c r="M126" s="80"/>
      <c r="N126" s="80"/>
      <c r="O126" s="80" t="s">
        <v>49</v>
      </c>
      <c r="P126" s="80"/>
      <c r="Q126" s="65">
        <f>P112+P113+P115+P116+P117+J112+J113+L112+L113+J115+R115</f>
        <v>11414</v>
      </c>
      <c r="R126" s="65">
        <v>16856</v>
      </c>
      <c r="AA126" s="81"/>
      <c r="AB126" s="81"/>
      <c r="AC126" s="81"/>
      <c r="AD126" s="81"/>
      <c r="AE126" s="81"/>
      <c r="AF126" s="81"/>
    </row>
    <row r="127" spans="1:42" s="24" customFormat="1" ht="12.75" customHeight="1"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3"/>
      <c r="AB127" s="83"/>
      <c r="AC127" s="83"/>
      <c r="AD127" s="83"/>
      <c r="AE127" s="83"/>
      <c r="AF127" s="83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</row>
    <row r="128" spans="1:42" s="63" customFormat="1" ht="12.75" customHeight="1">
      <c r="A128" s="59" t="s">
        <v>47</v>
      </c>
      <c r="B128" s="58" t="s">
        <v>583</v>
      </c>
      <c r="C128" s="56"/>
      <c r="D128" s="57"/>
      <c r="E128" s="58" t="s">
        <v>584</v>
      </c>
      <c r="F128" s="57"/>
      <c r="G128" s="59" t="s">
        <v>37</v>
      </c>
      <c r="H128" s="60">
        <f>H107+1</f>
        <v>17</v>
      </c>
      <c r="I128" s="57"/>
      <c r="J128" s="57"/>
      <c r="K128" s="57"/>
      <c r="L128" s="57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2"/>
      <c r="AA128" s="62"/>
      <c r="AB128" s="62"/>
      <c r="AC128" s="62"/>
    </row>
    <row r="129" spans="1:32" s="65" customFormat="1" ht="12.75" customHeight="1">
      <c r="A129" s="340" t="s">
        <v>0</v>
      </c>
      <c r="B129" s="336" t="s">
        <v>1</v>
      </c>
      <c r="C129" s="331" t="s">
        <v>25</v>
      </c>
      <c r="D129" s="332"/>
      <c r="E129" s="331" t="s">
        <v>21</v>
      </c>
      <c r="F129" s="332"/>
      <c r="G129" s="335" t="s">
        <v>24</v>
      </c>
      <c r="H129" s="335"/>
      <c r="I129" s="328" t="s">
        <v>33</v>
      </c>
      <c r="J129" s="329"/>
      <c r="K129" s="329"/>
      <c r="L129" s="329"/>
      <c r="M129" s="329"/>
      <c r="N129" s="330"/>
      <c r="O129" s="331" t="s">
        <v>22</v>
      </c>
      <c r="P129" s="332"/>
      <c r="Q129" s="335" t="s">
        <v>23</v>
      </c>
      <c r="R129" s="335"/>
      <c r="S129" s="336" t="s">
        <v>27</v>
      </c>
      <c r="T129" s="64"/>
      <c r="U129" s="64"/>
      <c r="V129" s="64"/>
      <c r="W129" s="64"/>
      <c r="X129" s="64"/>
      <c r="Y129" s="64"/>
      <c r="Z129" s="339"/>
      <c r="AA129" s="61"/>
      <c r="AB129" s="61"/>
      <c r="AC129" s="74"/>
      <c r="AD129" s="61"/>
      <c r="AE129" s="61"/>
      <c r="AF129" s="61"/>
    </row>
    <row r="130" spans="1:32" s="65" customFormat="1" ht="12.75" customHeight="1">
      <c r="A130" s="341"/>
      <c r="B130" s="337"/>
      <c r="C130" s="333"/>
      <c r="D130" s="334"/>
      <c r="E130" s="333"/>
      <c r="F130" s="334"/>
      <c r="G130" s="335"/>
      <c r="H130" s="335"/>
      <c r="I130" s="293" t="s">
        <v>28</v>
      </c>
      <c r="J130" s="294" t="s">
        <v>3</v>
      </c>
      <c r="K130" s="293" t="s">
        <v>29</v>
      </c>
      <c r="L130" s="294" t="s">
        <v>4</v>
      </c>
      <c r="M130" s="328" t="s">
        <v>30</v>
      </c>
      <c r="N130" s="330"/>
      <c r="O130" s="333"/>
      <c r="P130" s="334"/>
      <c r="Q130" s="335"/>
      <c r="R130" s="335"/>
      <c r="S130" s="337"/>
      <c r="T130" s="64"/>
      <c r="U130" s="64"/>
      <c r="V130" s="64"/>
      <c r="W130" s="64"/>
      <c r="X130" s="64"/>
      <c r="Y130" s="64"/>
      <c r="Z130" s="339"/>
      <c r="AA130" s="61"/>
      <c r="AB130" s="61"/>
      <c r="AC130" s="74"/>
      <c r="AD130" s="61"/>
      <c r="AE130" s="61"/>
      <c r="AF130" s="61"/>
    </row>
    <row r="131" spans="1:32" s="65" customFormat="1" ht="12.75" customHeight="1">
      <c r="A131" s="342"/>
      <c r="B131" s="338"/>
      <c r="C131" s="295" t="s">
        <v>5</v>
      </c>
      <c r="D131" s="295" t="s">
        <v>6</v>
      </c>
      <c r="E131" s="294" t="s">
        <v>5</v>
      </c>
      <c r="F131" s="295" t="s">
        <v>6</v>
      </c>
      <c r="G131" s="295" t="s">
        <v>5</v>
      </c>
      <c r="H131" s="295" t="s">
        <v>6</v>
      </c>
      <c r="I131" s="294" t="s">
        <v>5</v>
      </c>
      <c r="J131" s="295" t="s">
        <v>6</v>
      </c>
      <c r="K131" s="294" t="s">
        <v>5</v>
      </c>
      <c r="L131" s="295" t="s">
        <v>6</v>
      </c>
      <c r="M131" s="295"/>
      <c r="N131" s="295"/>
      <c r="O131" s="294" t="s">
        <v>5</v>
      </c>
      <c r="P131" s="295" t="s">
        <v>6</v>
      </c>
      <c r="Q131" s="295" t="s">
        <v>5</v>
      </c>
      <c r="R131" s="295" t="s">
        <v>6</v>
      </c>
      <c r="S131" s="338"/>
      <c r="T131" s="64"/>
      <c r="U131" s="64"/>
      <c r="V131" s="64"/>
      <c r="W131" s="64"/>
      <c r="X131" s="64"/>
      <c r="Y131" s="64"/>
      <c r="Z131" s="339"/>
      <c r="AA131" s="61" t="s">
        <v>43</v>
      </c>
      <c r="AB131" s="61" t="s">
        <v>45</v>
      </c>
      <c r="AC131" s="61" t="s">
        <v>46</v>
      </c>
      <c r="AD131" s="61" t="s">
        <v>42</v>
      </c>
      <c r="AE131" s="61" t="s">
        <v>41</v>
      </c>
      <c r="AF131" s="61" t="s">
        <v>44</v>
      </c>
    </row>
    <row r="132" spans="1:32" s="65" customFormat="1" ht="12.75" customHeight="1">
      <c r="A132" s="51" t="s">
        <v>7</v>
      </c>
      <c r="B132" s="1" t="s">
        <v>18</v>
      </c>
      <c r="C132" s="295">
        <v>0</v>
      </c>
      <c r="D132" s="295">
        <v>0</v>
      </c>
      <c r="E132" s="69">
        <f t="shared" ref="E132:E142" si="99">O132+Q132</f>
        <v>5</v>
      </c>
      <c r="F132" s="70">
        <f t="shared" ref="F132:F142" si="100">P132+R132</f>
        <v>63</v>
      </c>
      <c r="G132" s="295">
        <f t="shared" ref="G132:G141" si="101">E132-C132</f>
        <v>5</v>
      </c>
      <c r="H132" s="295">
        <f t="shared" ref="H132:H141" si="102">F132-D132</f>
        <v>63</v>
      </c>
      <c r="I132" s="70"/>
      <c r="J132" s="70"/>
      <c r="K132" s="70"/>
      <c r="L132" s="70"/>
      <c r="M132" s="70">
        <f t="shared" ref="M132:M146" si="103">I132+K132</f>
        <v>0</v>
      </c>
      <c r="N132" s="70">
        <f t="shared" ref="N132:N146" si="104">J132+L132</f>
        <v>0</v>
      </c>
      <c r="O132" s="71"/>
      <c r="P132" s="71"/>
      <c r="Q132" s="70">
        <v>5</v>
      </c>
      <c r="R132" s="70">
        <v>63</v>
      </c>
      <c r="S132" s="72"/>
      <c r="T132" s="252" t="e">
        <f>E132/C132</f>
        <v>#DIV/0!</v>
      </c>
      <c r="U132" s="73"/>
      <c r="V132" s="73"/>
      <c r="W132" s="73"/>
      <c r="X132" s="73"/>
      <c r="Y132" s="73"/>
      <c r="Z132" s="339"/>
      <c r="AA132" s="61">
        <f>H128</f>
        <v>17</v>
      </c>
      <c r="AB132" s="61" t="str">
        <f>E128</f>
        <v>PMX-SBC-172 W</v>
      </c>
      <c r="AC132" s="74" t="s">
        <v>47</v>
      </c>
      <c r="AD132" s="61" t="str">
        <f t="shared" ref="AD132:AD145" si="105">A132</f>
        <v>KR</v>
      </c>
      <c r="AE132" s="61">
        <f t="shared" ref="AE132:AE145" si="106">C132</f>
        <v>0</v>
      </c>
      <c r="AF132" s="61">
        <f t="shared" ref="AF132:AF145" si="107">E132</f>
        <v>5</v>
      </c>
    </row>
    <row r="133" spans="1:32" s="65" customFormat="1" ht="12.75" customHeight="1">
      <c r="A133" s="52" t="s">
        <v>13</v>
      </c>
      <c r="B133" s="1">
        <f>B112+7</f>
        <v>43206</v>
      </c>
      <c r="C133" s="306">
        <v>400</v>
      </c>
      <c r="D133" s="306">
        <f t="shared" ref="D133:D134" si="108">C133*13</f>
        <v>5200</v>
      </c>
      <c r="E133" s="69">
        <f t="shared" si="99"/>
        <v>415</v>
      </c>
      <c r="F133" s="70">
        <f t="shared" si="100"/>
        <v>6228</v>
      </c>
      <c r="G133" s="295">
        <f t="shared" si="101"/>
        <v>15</v>
      </c>
      <c r="H133" s="295">
        <f t="shared" si="102"/>
        <v>1028</v>
      </c>
      <c r="I133" s="75">
        <v>13</v>
      </c>
      <c r="J133" s="75">
        <v>192</v>
      </c>
      <c r="K133" s="70">
        <v>18</v>
      </c>
      <c r="L133" s="70">
        <v>253</v>
      </c>
      <c r="M133" s="70">
        <f t="shared" si="103"/>
        <v>31</v>
      </c>
      <c r="N133" s="70">
        <f t="shared" si="104"/>
        <v>445</v>
      </c>
      <c r="O133" s="75">
        <f>405+10-Q133</f>
        <v>325</v>
      </c>
      <c r="P133" s="75">
        <f>6228-R133</f>
        <v>5065</v>
      </c>
      <c r="Q133" s="71">
        <v>90</v>
      </c>
      <c r="R133" s="71">
        <v>1163</v>
      </c>
      <c r="S133" s="72"/>
      <c r="T133" s="252">
        <f t="shared" ref="T133:T143" si="109">E133/C133</f>
        <v>1.0375000000000001</v>
      </c>
      <c r="U133" s="73"/>
      <c r="V133" s="73"/>
      <c r="W133" s="73"/>
      <c r="X133" s="73"/>
      <c r="Y133" s="73"/>
      <c r="AA133" s="61">
        <f>H128</f>
        <v>17</v>
      </c>
      <c r="AB133" s="61" t="str">
        <f>E128</f>
        <v>PMX-SBC-172 W</v>
      </c>
      <c r="AC133" s="74" t="s">
        <v>47</v>
      </c>
      <c r="AD133" s="61" t="str">
        <f t="shared" si="105"/>
        <v>TAO</v>
      </c>
      <c r="AE133" s="61">
        <f t="shared" si="106"/>
        <v>400</v>
      </c>
      <c r="AF133" s="61">
        <f t="shared" si="107"/>
        <v>415</v>
      </c>
    </row>
    <row r="134" spans="1:32" s="65" customFormat="1" ht="12.75" customHeight="1">
      <c r="A134" s="52" t="s">
        <v>9</v>
      </c>
      <c r="B134" s="1">
        <f>B113+7</f>
        <v>43208</v>
      </c>
      <c r="C134" s="306">
        <v>600</v>
      </c>
      <c r="D134" s="306">
        <f t="shared" si="108"/>
        <v>7800</v>
      </c>
      <c r="E134" s="69">
        <f t="shared" si="99"/>
        <v>710</v>
      </c>
      <c r="F134" s="70">
        <f t="shared" si="100"/>
        <v>8665</v>
      </c>
      <c r="G134" s="295">
        <f t="shared" si="101"/>
        <v>110</v>
      </c>
      <c r="H134" s="295">
        <f t="shared" si="102"/>
        <v>865</v>
      </c>
      <c r="I134" s="75">
        <v>110</v>
      </c>
      <c r="J134" s="75">
        <v>1337</v>
      </c>
      <c r="K134" s="71">
        <v>11</v>
      </c>
      <c r="L134" s="71">
        <v>82</v>
      </c>
      <c r="M134" s="70">
        <f t="shared" si="103"/>
        <v>121</v>
      </c>
      <c r="N134" s="70">
        <f t="shared" si="104"/>
        <v>1419</v>
      </c>
      <c r="O134" s="75">
        <f>690+20</f>
        <v>710</v>
      </c>
      <c r="P134" s="75">
        <f>9761-1096</f>
        <v>8665</v>
      </c>
      <c r="Q134" s="71"/>
      <c r="R134" s="71"/>
      <c r="S134" s="72"/>
      <c r="T134" s="252">
        <f t="shared" si="109"/>
        <v>1.1833333333333333</v>
      </c>
      <c r="U134" s="73"/>
      <c r="V134" s="73"/>
      <c r="W134" s="73"/>
      <c r="X134" s="73"/>
      <c r="Y134" s="73"/>
      <c r="AA134" s="61">
        <f>H128</f>
        <v>17</v>
      </c>
      <c r="AB134" s="61" t="str">
        <f>E128</f>
        <v>PMX-SBC-172 W</v>
      </c>
      <c r="AC134" s="74" t="s">
        <v>47</v>
      </c>
      <c r="AD134" s="61" t="str">
        <f t="shared" si="105"/>
        <v>SHA</v>
      </c>
      <c r="AE134" s="61">
        <f t="shared" si="106"/>
        <v>600</v>
      </c>
      <c r="AF134" s="61">
        <f t="shared" si="107"/>
        <v>710</v>
      </c>
    </row>
    <row r="135" spans="1:32" s="65" customFormat="1" ht="12.75" customHeight="1">
      <c r="A135" s="52" t="s">
        <v>8</v>
      </c>
      <c r="B135" s="1">
        <f>B114+7</f>
        <v>43209</v>
      </c>
      <c r="C135" s="306">
        <v>375</v>
      </c>
      <c r="D135" s="306">
        <v>4875</v>
      </c>
      <c r="E135" s="69">
        <f t="shared" si="99"/>
        <v>375</v>
      </c>
      <c r="F135" s="70">
        <f t="shared" si="100"/>
        <v>4400</v>
      </c>
      <c r="G135" s="295">
        <f t="shared" si="101"/>
        <v>0</v>
      </c>
      <c r="H135" s="295">
        <f t="shared" si="102"/>
        <v>-475</v>
      </c>
      <c r="I135" s="71">
        <v>38</v>
      </c>
      <c r="J135" s="71">
        <v>418</v>
      </c>
      <c r="K135" s="71">
        <v>18</v>
      </c>
      <c r="L135" s="71">
        <v>236</v>
      </c>
      <c r="M135" s="70">
        <f t="shared" si="103"/>
        <v>56</v>
      </c>
      <c r="N135" s="70">
        <f t="shared" si="104"/>
        <v>654</v>
      </c>
      <c r="O135" s="71"/>
      <c r="P135" s="71"/>
      <c r="Q135" s="71">
        <v>375</v>
      </c>
      <c r="R135" s="71">
        <v>4400</v>
      </c>
      <c r="S135" s="72"/>
      <c r="T135" s="252">
        <f t="shared" si="109"/>
        <v>1</v>
      </c>
      <c r="U135" s="73"/>
      <c r="V135" s="73"/>
      <c r="W135" s="73"/>
      <c r="X135" s="73"/>
      <c r="Y135" s="73"/>
      <c r="AA135" s="61">
        <f>H128</f>
        <v>17</v>
      </c>
      <c r="AB135" s="61" t="str">
        <f>E128</f>
        <v>PMX-SBC-172 W</v>
      </c>
      <c r="AC135" s="74" t="s">
        <v>47</v>
      </c>
      <c r="AD135" s="61" t="str">
        <f t="shared" si="105"/>
        <v>NGB</v>
      </c>
      <c r="AE135" s="61">
        <f t="shared" si="106"/>
        <v>375</v>
      </c>
      <c r="AF135" s="61">
        <f t="shared" si="107"/>
        <v>375</v>
      </c>
    </row>
    <row r="136" spans="1:32" s="65" customFormat="1" ht="12.75" customHeight="1">
      <c r="A136" s="52" t="s">
        <v>10</v>
      </c>
      <c r="B136" s="1" t="s">
        <v>9</v>
      </c>
      <c r="C136" s="306">
        <v>80</v>
      </c>
      <c r="D136" s="306">
        <v>1040</v>
      </c>
      <c r="E136" s="69">
        <f t="shared" si="99"/>
        <v>73</v>
      </c>
      <c r="F136" s="70">
        <f t="shared" si="100"/>
        <v>1092</v>
      </c>
      <c r="G136" s="295">
        <f t="shared" si="101"/>
        <v>-7</v>
      </c>
      <c r="H136" s="295">
        <f t="shared" si="102"/>
        <v>52</v>
      </c>
      <c r="I136" s="75"/>
      <c r="J136" s="75"/>
      <c r="K136" s="70"/>
      <c r="L136" s="70"/>
      <c r="M136" s="70">
        <f t="shared" si="103"/>
        <v>0</v>
      </c>
      <c r="N136" s="70">
        <f t="shared" si="104"/>
        <v>0</v>
      </c>
      <c r="O136" s="75">
        <v>73</v>
      </c>
      <c r="P136" s="75">
        <v>1092</v>
      </c>
      <c r="Q136" s="70"/>
      <c r="R136" s="70"/>
      <c r="S136" s="72"/>
      <c r="T136" s="252">
        <f t="shared" si="109"/>
        <v>0.91249999999999998</v>
      </c>
      <c r="U136" s="73"/>
      <c r="V136" s="73"/>
      <c r="W136" s="73"/>
      <c r="X136" s="73"/>
      <c r="Y136" s="73"/>
      <c r="AA136" s="61">
        <f>H128</f>
        <v>17</v>
      </c>
      <c r="AB136" s="61" t="str">
        <f>E128</f>
        <v>PMX-SBC-172 W</v>
      </c>
      <c r="AC136" s="74" t="s">
        <v>47</v>
      </c>
      <c r="AD136" s="61" t="str">
        <f t="shared" si="105"/>
        <v>WUH</v>
      </c>
      <c r="AE136" s="61">
        <f t="shared" si="106"/>
        <v>80</v>
      </c>
      <c r="AF136" s="61">
        <f t="shared" si="107"/>
        <v>73</v>
      </c>
    </row>
    <row r="137" spans="1:32" s="65" customFormat="1" ht="12.75" customHeight="1">
      <c r="A137" s="52" t="s">
        <v>11</v>
      </c>
      <c r="B137" s="1" t="s">
        <v>18</v>
      </c>
      <c r="C137" s="306">
        <v>75</v>
      </c>
      <c r="D137" s="306">
        <v>975</v>
      </c>
      <c r="E137" s="69">
        <f t="shared" si="99"/>
        <v>0</v>
      </c>
      <c r="F137" s="70">
        <f t="shared" si="100"/>
        <v>0</v>
      </c>
      <c r="G137" s="295">
        <f t="shared" si="101"/>
        <v>-75</v>
      </c>
      <c r="H137" s="295">
        <f t="shared" si="102"/>
        <v>-975</v>
      </c>
      <c r="I137" s="70"/>
      <c r="J137" s="70"/>
      <c r="K137" s="70"/>
      <c r="L137" s="70"/>
      <c r="M137" s="70">
        <f t="shared" si="103"/>
        <v>0</v>
      </c>
      <c r="N137" s="70">
        <f t="shared" si="104"/>
        <v>0</v>
      </c>
      <c r="O137" s="75"/>
      <c r="P137" s="75"/>
      <c r="Q137" s="70"/>
      <c r="R137" s="70"/>
      <c r="S137" s="72"/>
      <c r="T137" s="252">
        <f t="shared" si="109"/>
        <v>0</v>
      </c>
      <c r="U137" s="73"/>
      <c r="V137" s="73"/>
      <c r="W137" s="73"/>
      <c r="X137" s="73"/>
      <c r="Y137" s="73"/>
      <c r="AA137" s="61">
        <f>H128</f>
        <v>17</v>
      </c>
      <c r="AB137" s="61" t="str">
        <f>E128</f>
        <v>PMX-SBC-172 W</v>
      </c>
      <c r="AC137" s="74" t="s">
        <v>47</v>
      </c>
      <c r="AD137" s="61" t="str">
        <f t="shared" si="105"/>
        <v>DLC</v>
      </c>
      <c r="AE137" s="61">
        <f t="shared" si="106"/>
        <v>75</v>
      </c>
      <c r="AF137" s="61">
        <f t="shared" si="107"/>
        <v>0</v>
      </c>
    </row>
    <row r="138" spans="1:32" s="65" customFormat="1" ht="12.75" customHeight="1">
      <c r="A138" s="52" t="s">
        <v>12</v>
      </c>
      <c r="B138" s="1" t="s">
        <v>18</v>
      </c>
      <c r="C138" s="306">
        <v>100</v>
      </c>
      <c r="D138" s="306">
        <v>1300</v>
      </c>
      <c r="E138" s="69">
        <f t="shared" si="99"/>
        <v>6</v>
      </c>
      <c r="F138" s="70">
        <f t="shared" si="100"/>
        <v>170</v>
      </c>
      <c r="G138" s="295">
        <f t="shared" si="101"/>
        <v>-94</v>
      </c>
      <c r="H138" s="295">
        <f t="shared" si="102"/>
        <v>-1130</v>
      </c>
      <c r="I138" s="70"/>
      <c r="J138" s="70"/>
      <c r="K138" s="70"/>
      <c r="L138" s="70"/>
      <c r="M138" s="70">
        <f t="shared" si="103"/>
        <v>0</v>
      </c>
      <c r="N138" s="70">
        <f t="shared" si="104"/>
        <v>0</v>
      </c>
      <c r="O138" s="75">
        <v>6</v>
      </c>
      <c r="P138" s="75">
        <v>170</v>
      </c>
      <c r="Q138" s="76"/>
      <c r="R138" s="71"/>
      <c r="S138" s="72"/>
      <c r="T138" s="252">
        <f t="shared" si="109"/>
        <v>0.06</v>
      </c>
      <c r="U138" s="73"/>
      <c r="V138" s="73"/>
      <c r="W138" s="73"/>
      <c r="X138" s="73"/>
      <c r="Y138" s="73"/>
      <c r="AA138" s="61">
        <f>H128</f>
        <v>17</v>
      </c>
      <c r="AB138" s="61" t="str">
        <f>E128</f>
        <v>PMX-SBC-172 W</v>
      </c>
      <c r="AC138" s="74" t="s">
        <v>47</v>
      </c>
      <c r="AD138" s="61" t="str">
        <f t="shared" si="105"/>
        <v>TSN</v>
      </c>
      <c r="AE138" s="61">
        <f t="shared" si="106"/>
        <v>100</v>
      </c>
      <c r="AF138" s="61">
        <f t="shared" si="107"/>
        <v>6</v>
      </c>
    </row>
    <row r="139" spans="1:32" s="65" customFormat="1" ht="12.75" customHeight="1">
      <c r="A139" s="52" t="s">
        <v>14</v>
      </c>
      <c r="B139" s="1" t="s">
        <v>18</v>
      </c>
      <c r="C139" s="306">
        <v>50</v>
      </c>
      <c r="D139" s="306">
        <v>650</v>
      </c>
      <c r="E139" s="69">
        <f t="shared" si="99"/>
        <v>16</v>
      </c>
      <c r="F139" s="70">
        <f t="shared" si="100"/>
        <v>133</v>
      </c>
      <c r="G139" s="295">
        <f t="shared" si="101"/>
        <v>-34</v>
      </c>
      <c r="H139" s="295">
        <f t="shared" si="102"/>
        <v>-517</v>
      </c>
      <c r="I139" s="70"/>
      <c r="J139" s="70"/>
      <c r="K139" s="70"/>
      <c r="L139" s="70"/>
      <c r="M139" s="70">
        <f t="shared" si="103"/>
        <v>0</v>
      </c>
      <c r="N139" s="70">
        <f t="shared" si="104"/>
        <v>0</v>
      </c>
      <c r="O139" s="71"/>
      <c r="P139" s="71"/>
      <c r="Q139" s="70">
        <v>16</v>
      </c>
      <c r="R139" s="70">
        <v>133</v>
      </c>
      <c r="S139" s="72"/>
      <c r="T139" s="252">
        <f t="shared" si="109"/>
        <v>0.32</v>
      </c>
      <c r="U139" s="73"/>
      <c r="V139" s="73"/>
      <c r="W139" s="73"/>
      <c r="X139" s="73"/>
      <c r="Y139" s="73"/>
      <c r="AA139" s="61">
        <f>H128</f>
        <v>17</v>
      </c>
      <c r="AB139" s="61" t="str">
        <f>E128</f>
        <v>PMX-SBC-172 W</v>
      </c>
      <c r="AC139" s="74" t="s">
        <v>47</v>
      </c>
      <c r="AD139" s="61" t="str">
        <f t="shared" si="105"/>
        <v>XMN</v>
      </c>
      <c r="AE139" s="61">
        <f t="shared" si="106"/>
        <v>50</v>
      </c>
      <c r="AF139" s="61">
        <f t="shared" si="107"/>
        <v>16</v>
      </c>
    </row>
    <row r="140" spans="1:32" s="65" customFormat="1" ht="12.75" customHeight="1">
      <c r="A140" s="52" t="s">
        <v>19</v>
      </c>
      <c r="B140" s="1" t="s">
        <v>18</v>
      </c>
      <c r="C140" s="306">
        <v>20</v>
      </c>
      <c r="D140" s="306">
        <v>260</v>
      </c>
      <c r="E140" s="69">
        <f t="shared" si="99"/>
        <v>14</v>
      </c>
      <c r="F140" s="70">
        <f t="shared" si="100"/>
        <v>71</v>
      </c>
      <c r="G140" s="295">
        <f t="shared" si="101"/>
        <v>-6</v>
      </c>
      <c r="H140" s="295">
        <f t="shared" si="102"/>
        <v>-189</v>
      </c>
      <c r="I140" s="70"/>
      <c r="J140" s="70"/>
      <c r="K140" s="70"/>
      <c r="L140" s="70"/>
      <c r="M140" s="70">
        <f t="shared" si="103"/>
        <v>0</v>
      </c>
      <c r="N140" s="70">
        <f t="shared" si="104"/>
        <v>0</v>
      </c>
      <c r="O140" s="70"/>
      <c r="P140" s="70"/>
      <c r="Q140" s="70">
        <v>14</v>
      </c>
      <c r="R140" s="70">
        <v>71</v>
      </c>
      <c r="S140" s="72"/>
      <c r="T140" s="252">
        <f t="shared" si="109"/>
        <v>0.7</v>
      </c>
      <c r="U140" s="73"/>
      <c r="V140" s="73"/>
      <c r="W140" s="73"/>
      <c r="X140" s="73"/>
      <c r="Y140" s="73"/>
      <c r="AA140" s="61">
        <f>H128</f>
        <v>17</v>
      </c>
      <c r="AB140" s="61" t="str">
        <f>E128</f>
        <v>PMX-SBC-172 W</v>
      </c>
      <c r="AC140" s="74" t="s">
        <v>47</v>
      </c>
      <c r="AD140" s="61" t="str">
        <f t="shared" si="105"/>
        <v>TWC</v>
      </c>
      <c r="AE140" s="61">
        <f t="shared" si="106"/>
        <v>20</v>
      </c>
      <c r="AF140" s="61">
        <f t="shared" si="107"/>
        <v>14</v>
      </c>
    </row>
    <row r="141" spans="1:32" s="65" customFormat="1" ht="12.75" customHeight="1">
      <c r="A141" s="52" t="s">
        <v>16</v>
      </c>
      <c r="B141" s="26"/>
      <c r="C141" s="306"/>
      <c r="D141" s="306"/>
      <c r="E141" s="69">
        <f t="shared" si="99"/>
        <v>0</v>
      </c>
      <c r="F141" s="70">
        <f t="shared" si="100"/>
        <v>0</v>
      </c>
      <c r="G141" s="295">
        <f t="shared" si="101"/>
        <v>0</v>
      </c>
      <c r="H141" s="295">
        <f t="shared" si="102"/>
        <v>0</v>
      </c>
      <c r="I141" s="70"/>
      <c r="J141" s="70"/>
      <c r="K141" s="70"/>
      <c r="L141" s="70"/>
      <c r="M141" s="70">
        <f t="shared" si="103"/>
        <v>0</v>
      </c>
      <c r="N141" s="70">
        <f t="shared" si="104"/>
        <v>0</v>
      </c>
      <c r="O141" s="70"/>
      <c r="P141" s="70"/>
      <c r="Q141" s="70"/>
      <c r="S141" s="72"/>
      <c r="T141" s="252" t="e">
        <f t="shared" si="109"/>
        <v>#DIV/0!</v>
      </c>
      <c r="U141" s="73"/>
      <c r="V141" s="73"/>
      <c r="W141" s="73"/>
      <c r="X141" s="73"/>
      <c r="Y141" s="73"/>
      <c r="AA141" s="61">
        <f>H128</f>
        <v>17</v>
      </c>
      <c r="AB141" s="61" t="str">
        <f>E128</f>
        <v>PMX-SBC-172 W</v>
      </c>
      <c r="AC141" s="74" t="s">
        <v>47</v>
      </c>
      <c r="AD141" s="61" t="str">
        <f t="shared" si="105"/>
        <v>HUA</v>
      </c>
      <c r="AE141" s="61">
        <f t="shared" si="106"/>
        <v>0</v>
      </c>
      <c r="AF141" s="61">
        <f t="shared" si="107"/>
        <v>0</v>
      </c>
    </row>
    <row r="142" spans="1:32" s="65" customFormat="1" ht="12.75" customHeight="1">
      <c r="A142" s="52" t="s">
        <v>2</v>
      </c>
      <c r="B142" s="26"/>
      <c r="C142" s="306"/>
      <c r="D142" s="306"/>
      <c r="E142" s="69">
        <f t="shared" si="99"/>
        <v>0</v>
      </c>
      <c r="F142" s="70">
        <f t="shared" si="100"/>
        <v>0</v>
      </c>
      <c r="G142" s="295"/>
      <c r="H142" s="295"/>
      <c r="I142" s="70"/>
      <c r="J142" s="70"/>
      <c r="K142" s="70"/>
      <c r="L142" s="70"/>
      <c r="M142" s="70">
        <f t="shared" si="103"/>
        <v>0</v>
      </c>
      <c r="N142" s="70">
        <f t="shared" si="104"/>
        <v>0</v>
      </c>
      <c r="O142" s="70"/>
      <c r="P142" s="70"/>
      <c r="Q142" s="70"/>
      <c r="R142" s="70"/>
      <c r="S142" s="72"/>
      <c r="T142" s="252" t="e">
        <f t="shared" si="109"/>
        <v>#DIV/0!</v>
      </c>
      <c r="U142" s="73"/>
      <c r="V142" s="73"/>
      <c r="W142" s="73"/>
      <c r="X142" s="73"/>
      <c r="Y142" s="73"/>
      <c r="AA142" s="61">
        <f>H128</f>
        <v>17</v>
      </c>
      <c r="AB142" s="61" t="str">
        <f>E128</f>
        <v>PMX-SBC-172 W</v>
      </c>
      <c r="AC142" s="74" t="s">
        <v>47</v>
      </c>
      <c r="AD142" s="61" t="str">
        <f t="shared" si="105"/>
        <v>HKG</v>
      </c>
      <c r="AE142" s="61">
        <f t="shared" si="106"/>
        <v>0</v>
      </c>
      <c r="AF142" s="61">
        <f t="shared" si="107"/>
        <v>0</v>
      </c>
    </row>
    <row r="143" spans="1:32" s="65" customFormat="1" ht="12.75" customHeight="1">
      <c r="A143" s="52" t="s">
        <v>3</v>
      </c>
      <c r="B143" s="1">
        <f>B122+7</f>
        <v>43215</v>
      </c>
      <c r="C143" s="306">
        <v>150</v>
      </c>
      <c r="D143" s="306">
        <v>1950</v>
      </c>
      <c r="E143" s="69">
        <f t="shared" ref="E143:F145" si="110">O143+Q143</f>
        <v>150</v>
      </c>
      <c r="F143" s="70">
        <f t="shared" si="110"/>
        <v>1950</v>
      </c>
      <c r="G143" s="295">
        <f t="shared" ref="G143:G146" si="111">E143-C143</f>
        <v>0</v>
      </c>
      <c r="H143" s="295">
        <f t="shared" ref="H143:H146" si="112">F143-D143</f>
        <v>0</v>
      </c>
      <c r="I143" s="70"/>
      <c r="J143" s="70"/>
      <c r="K143" s="70"/>
      <c r="L143" s="70"/>
      <c r="M143" s="70">
        <f t="shared" si="103"/>
        <v>0</v>
      </c>
      <c r="N143" s="70">
        <f t="shared" si="104"/>
        <v>0</v>
      </c>
      <c r="O143" s="295"/>
      <c r="P143" s="295"/>
      <c r="Q143" s="70">
        <v>150</v>
      </c>
      <c r="R143" s="70">
        <v>1950</v>
      </c>
      <c r="S143" s="72"/>
      <c r="T143" s="252">
        <f t="shared" si="109"/>
        <v>1</v>
      </c>
      <c r="U143" s="73"/>
      <c r="V143" s="73"/>
      <c r="W143" s="73"/>
      <c r="X143" s="73"/>
      <c r="Y143" s="73"/>
      <c r="AA143" s="61">
        <f>H128</f>
        <v>17</v>
      </c>
      <c r="AB143" s="61" t="str">
        <f>E128</f>
        <v>PMX-SBC-172 W</v>
      </c>
      <c r="AC143" s="74" t="s">
        <v>47</v>
      </c>
      <c r="AD143" s="61" t="str">
        <f t="shared" si="105"/>
        <v>SGP</v>
      </c>
      <c r="AE143" s="61">
        <f t="shared" si="106"/>
        <v>150</v>
      </c>
      <c r="AF143" s="61">
        <f t="shared" si="107"/>
        <v>150</v>
      </c>
    </row>
    <row r="144" spans="1:32" s="65" customFormat="1" ht="12.75" customHeight="1">
      <c r="A144" s="52" t="s">
        <v>4</v>
      </c>
      <c r="B144" s="1">
        <f>B123+7</f>
        <v>43217</v>
      </c>
      <c r="C144" s="306">
        <v>50</v>
      </c>
      <c r="D144" s="306">
        <v>650</v>
      </c>
      <c r="E144" s="69">
        <f t="shared" si="110"/>
        <v>50</v>
      </c>
      <c r="F144" s="70">
        <f t="shared" si="110"/>
        <v>650</v>
      </c>
      <c r="G144" s="295">
        <f t="shared" si="111"/>
        <v>0</v>
      </c>
      <c r="H144" s="295">
        <f t="shared" si="112"/>
        <v>0</v>
      </c>
      <c r="I144" s="70"/>
      <c r="J144" s="70"/>
      <c r="K144" s="70"/>
      <c r="L144" s="70"/>
      <c r="M144" s="70">
        <f t="shared" si="103"/>
        <v>0</v>
      </c>
      <c r="N144" s="70">
        <f t="shared" si="104"/>
        <v>0</v>
      </c>
      <c r="O144" s="70"/>
      <c r="P144" s="70"/>
      <c r="Q144" s="70">
        <v>50</v>
      </c>
      <c r="R144" s="70">
        <v>650</v>
      </c>
      <c r="S144" s="72"/>
      <c r="T144" s="73"/>
      <c r="U144" s="73"/>
      <c r="V144" s="73"/>
      <c r="W144" s="73"/>
      <c r="X144" s="73"/>
      <c r="Y144" s="73"/>
      <c r="AA144" s="61">
        <f>H128</f>
        <v>17</v>
      </c>
      <c r="AB144" s="61" t="str">
        <f>E128</f>
        <v>PMX-SBC-172 W</v>
      </c>
      <c r="AC144" s="74" t="s">
        <v>47</v>
      </c>
      <c r="AD144" s="61" t="str">
        <f t="shared" si="105"/>
        <v>PKL</v>
      </c>
      <c r="AE144" s="61">
        <f t="shared" si="106"/>
        <v>50</v>
      </c>
      <c r="AF144" s="61">
        <f t="shared" si="107"/>
        <v>50</v>
      </c>
    </row>
    <row r="145" spans="1:42" s="65" customFormat="1" ht="12.75" customHeight="1">
      <c r="A145" s="52" t="s">
        <v>15</v>
      </c>
      <c r="B145" s="295"/>
      <c r="C145" s="306"/>
      <c r="D145" s="306"/>
      <c r="E145" s="69">
        <f t="shared" si="110"/>
        <v>125</v>
      </c>
      <c r="F145" s="70">
        <f t="shared" si="110"/>
        <v>1809</v>
      </c>
      <c r="G145" s="295">
        <f t="shared" si="111"/>
        <v>125</v>
      </c>
      <c r="H145" s="295">
        <f t="shared" si="112"/>
        <v>1809</v>
      </c>
      <c r="I145" s="70"/>
      <c r="J145" s="70"/>
      <c r="K145" s="70"/>
      <c r="L145" s="70"/>
      <c r="M145" s="70">
        <f t="shared" si="103"/>
        <v>0</v>
      </c>
      <c r="N145" s="70">
        <f t="shared" si="104"/>
        <v>0</v>
      </c>
      <c r="O145" s="71"/>
      <c r="P145" s="71"/>
      <c r="Q145" s="71">
        <f>7+13*2+92</f>
        <v>125</v>
      </c>
      <c r="R145" s="71">
        <f>1339+470</f>
        <v>1809</v>
      </c>
      <c r="S145" s="72"/>
      <c r="T145" s="73"/>
      <c r="U145" s="73"/>
      <c r="V145" s="73"/>
      <c r="W145" s="73"/>
      <c r="X145" s="73"/>
      <c r="Y145" s="73"/>
      <c r="AA145" s="61">
        <f>H128</f>
        <v>17</v>
      </c>
      <c r="AB145" s="61" t="str">
        <f>E128</f>
        <v>PMX-SBC-172 W</v>
      </c>
      <c r="AC145" s="74" t="s">
        <v>47</v>
      </c>
      <c r="AD145" s="61" t="str">
        <f t="shared" si="105"/>
        <v>T/S</v>
      </c>
      <c r="AE145" s="61">
        <f t="shared" si="106"/>
        <v>0</v>
      </c>
      <c r="AF145" s="61">
        <f t="shared" si="107"/>
        <v>125</v>
      </c>
    </row>
    <row r="146" spans="1:42" s="65" customFormat="1" ht="12.75" customHeight="1">
      <c r="A146" s="51" t="s">
        <v>36</v>
      </c>
      <c r="B146" s="72"/>
      <c r="C146" s="71">
        <v>1949</v>
      </c>
      <c r="D146" s="71">
        <f>C146*13</f>
        <v>25337</v>
      </c>
      <c r="E146" s="78">
        <f>SUM(E132:E145)</f>
        <v>1939</v>
      </c>
      <c r="F146" s="76">
        <f>SUM(F132:F145)</f>
        <v>25231</v>
      </c>
      <c r="G146" s="71">
        <f t="shared" si="111"/>
        <v>-10</v>
      </c>
      <c r="H146" s="71">
        <f t="shared" si="112"/>
        <v>-106</v>
      </c>
      <c r="I146" s="70">
        <f t="shared" ref="I146:L146" si="113">SUM(I132:I145)</f>
        <v>161</v>
      </c>
      <c r="J146" s="70">
        <f t="shared" si="113"/>
        <v>1947</v>
      </c>
      <c r="K146" s="70">
        <f t="shared" si="113"/>
        <v>47</v>
      </c>
      <c r="L146" s="70">
        <f t="shared" si="113"/>
        <v>571</v>
      </c>
      <c r="M146" s="70">
        <f t="shared" si="103"/>
        <v>208</v>
      </c>
      <c r="N146" s="70">
        <f t="shared" si="104"/>
        <v>2518</v>
      </c>
      <c r="O146" s="70">
        <f t="shared" ref="O146:R146" si="114">SUM(O132:O145)</f>
        <v>1114</v>
      </c>
      <c r="P146" s="70">
        <f t="shared" si="114"/>
        <v>14992</v>
      </c>
      <c r="Q146" s="70">
        <f t="shared" si="114"/>
        <v>825</v>
      </c>
      <c r="R146" s="70">
        <f t="shared" si="114"/>
        <v>10239</v>
      </c>
      <c r="S146" s="72"/>
      <c r="T146" s="73"/>
      <c r="U146" s="73"/>
      <c r="V146" s="73"/>
      <c r="W146" s="73"/>
      <c r="X146" s="73"/>
      <c r="Y146" s="73"/>
      <c r="AA146" s="61"/>
      <c r="AB146" s="61"/>
      <c r="AC146" s="61"/>
      <c r="AD146" s="61"/>
      <c r="AE146" s="61"/>
      <c r="AF146" s="61"/>
    </row>
    <row r="147" spans="1:42" s="65" customFormat="1" ht="12.75" customHeight="1">
      <c r="A147" s="84">
        <f>D146/C146</f>
        <v>13</v>
      </c>
      <c r="C147" s="296">
        <f>F146-E147</f>
        <v>2427.7000000000007</v>
      </c>
      <c r="E147" s="65">
        <f>D146*0.9</f>
        <v>22803.3</v>
      </c>
      <c r="F147" s="296">
        <f>E146-L147</f>
        <v>184.89999999999986</v>
      </c>
      <c r="I147" s="80" t="s">
        <v>48</v>
      </c>
      <c r="J147" s="245">
        <f>E146/C146</f>
        <v>0.99486916367367884</v>
      </c>
      <c r="K147" s="80"/>
      <c r="L147" s="80">
        <f>C146*0.9</f>
        <v>1754.1000000000001</v>
      </c>
      <c r="M147" s="80"/>
      <c r="N147" s="80"/>
      <c r="O147" s="80" t="s">
        <v>49</v>
      </c>
      <c r="P147" s="80"/>
      <c r="Q147" s="65">
        <f>P133+P134+P136+P137+P138+J133+J134+L133+L134+J136+R136</f>
        <v>16856</v>
      </c>
      <c r="R147" s="65">
        <v>16856</v>
      </c>
      <c r="S147" s="65">
        <f>Q147-R147</f>
        <v>0</v>
      </c>
      <c r="AA147" s="81"/>
      <c r="AB147" s="81"/>
      <c r="AC147" s="81"/>
      <c r="AD147" s="81"/>
      <c r="AE147" s="81"/>
      <c r="AF147" s="81"/>
    </row>
    <row r="148" spans="1:42" s="24" customFormat="1" ht="12.75" customHeight="1"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3"/>
      <c r="AB148" s="83"/>
      <c r="AC148" s="83"/>
      <c r="AD148" s="83"/>
      <c r="AE148" s="83"/>
      <c r="AF148" s="83"/>
      <c r="AG148" s="80"/>
      <c r="AH148" s="80"/>
      <c r="AI148" s="80"/>
      <c r="AJ148" s="80"/>
      <c r="AK148" s="80"/>
      <c r="AL148" s="80"/>
      <c r="AM148" s="80"/>
      <c r="AN148" s="80"/>
      <c r="AO148" s="80"/>
      <c r="AP148" s="80"/>
    </row>
    <row r="149" spans="1:42" s="63" customFormat="1" ht="12.75" customHeight="1">
      <c r="A149" s="59" t="s">
        <v>47</v>
      </c>
      <c r="B149" s="58" t="s">
        <v>601</v>
      </c>
      <c r="C149" s="56"/>
      <c r="D149" s="57"/>
      <c r="E149" s="58" t="s">
        <v>602</v>
      </c>
      <c r="F149" s="57"/>
      <c r="G149" s="59" t="s">
        <v>37</v>
      </c>
      <c r="H149" s="60">
        <f>H128+1</f>
        <v>18</v>
      </c>
      <c r="I149" s="57"/>
      <c r="J149" s="57"/>
      <c r="K149" s="57"/>
      <c r="L149" s="57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2"/>
      <c r="AA149" s="62"/>
      <c r="AB149" s="62"/>
      <c r="AC149" s="62"/>
    </row>
    <row r="150" spans="1:42" s="65" customFormat="1" ht="12.75" customHeight="1">
      <c r="A150" s="340" t="s">
        <v>0</v>
      </c>
      <c r="B150" s="336" t="s">
        <v>1</v>
      </c>
      <c r="C150" s="331" t="s">
        <v>25</v>
      </c>
      <c r="D150" s="332"/>
      <c r="E150" s="331" t="s">
        <v>21</v>
      </c>
      <c r="F150" s="332"/>
      <c r="G150" s="335" t="s">
        <v>24</v>
      </c>
      <c r="H150" s="335"/>
      <c r="I150" s="328" t="s">
        <v>33</v>
      </c>
      <c r="J150" s="329"/>
      <c r="K150" s="329"/>
      <c r="L150" s="329"/>
      <c r="M150" s="329"/>
      <c r="N150" s="330"/>
      <c r="O150" s="331" t="s">
        <v>22</v>
      </c>
      <c r="P150" s="332"/>
      <c r="Q150" s="335" t="s">
        <v>23</v>
      </c>
      <c r="R150" s="335"/>
      <c r="S150" s="336" t="s">
        <v>27</v>
      </c>
      <c r="T150" s="64"/>
      <c r="U150" s="64"/>
      <c r="V150" s="64"/>
      <c r="W150" s="64"/>
      <c r="X150" s="64"/>
      <c r="Y150" s="64"/>
      <c r="Z150" s="339"/>
      <c r="AA150" s="61"/>
      <c r="AB150" s="61"/>
      <c r="AC150" s="74"/>
      <c r="AD150" s="61"/>
      <c r="AE150" s="61"/>
      <c r="AF150" s="61"/>
    </row>
    <row r="151" spans="1:42" s="65" customFormat="1" ht="12.75" customHeight="1">
      <c r="A151" s="341"/>
      <c r="B151" s="337"/>
      <c r="C151" s="333"/>
      <c r="D151" s="334"/>
      <c r="E151" s="333"/>
      <c r="F151" s="334"/>
      <c r="G151" s="335"/>
      <c r="H151" s="335"/>
      <c r="I151" s="304" t="s">
        <v>28</v>
      </c>
      <c r="J151" s="305" t="s">
        <v>3</v>
      </c>
      <c r="K151" s="304" t="s">
        <v>29</v>
      </c>
      <c r="L151" s="305" t="s">
        <v>4</v>
      </c>
      <c r="M151" s="328" t="s">
        <v>30</v>
      </c>
      <c r="N151" s="330"/>
      <c r="O151" s="333"/>
      <c r="P151" s="334"/>
      <c r="Q151" s="335"/>
      <c r="R151" s="335"/>
      <c r="S151" s="337"/>
      <c r="T151" s="64"/>
      <c r="U151" s="64"/>
      <c r="V151" s="64"/>
      <c r="W151" s="64"/>
      <c r="X151" s="64"/>
      <c r="Y151" s="64"/>
      <c r="Z151" s="339"/>
      <c r="AA151" s="61"/>
      <c r="AB151" s="61"/>
      <c r="AC151" s="74"/>
      <c r="AD151" s="61"/>
      <c r="AE151" s="61"/>
      <c r="AF151" s="61"/>
    </row>
    <row r="152" spans="1:42" s="65" customFormat="1" ht="12.75" customHeight="1">
      <c r="A152" s="342"/>
      <c r="B152" s="338"/>
      <c r="C152" s="306" t="s">
        <v>5</v>
      </c>
      <c r="D152" s="306" t="s">
        <v>6</v>
      </c>
      <c r="E152" s="305" t="s">
        <v>5</v>
      </c>
      <c r="F152" s="306" t="s">
        <v>6</v>
      </c>
      <c r="G152" s="306" t="s">
        <v>5</v>
      </c>
      <c r="H152" s="306" t="s">
        <v>6</v>
      </c>
      <c r="I152" s="305" t="s">
        <v>5</v>
      </c>
      <c r="J152" s="306" t="s">
        <v>6</v>
      </c>
      <c r="K152" s="305" t="s">
        <v>5</v>
      </c>
      <c r="L152" s="306" t="s">
        <v>6</v>
      </c>
      <c r="M152" s="306"/>
      <c r="N152" s="306"/>
      <c r="O152" s="305" t="s">
        <v>5</v>
      </c>
      <c r="P152" s="306" t="s">
        <v>6</v>
      </c>
      <c r="Q152" s="306" t="s">
        <v>5</v>
      </c>
      <c r="R152" s="306" t="s">
        <v>6</v>
      </c>
      <c r="S152" s="338"/>
      <c r="T152" s="64"/>
      <c r="U152" s="64"/>
      <c r="V152" s="64"/>
      <c r="W152" s="64"/>
      <c r="X152" s="64"/>
      <c r="Y152" s="64"/>
      <c r="Z152" s="339"/>
      <c r="AA152" s="61" t="s">
        <v>43</v>
      </c>
      <c r="AB152" s="61" t="s">
        <v>45</v>
      </c>
      <c r="AC152" s="61" t="s">
        <v>46</v>
      </c>
      <c r="AD152" s="61" t="s">
        <v>42</v>
      </c>
      <c r="AE152" s="61" t="s">
        <v>41</v>
      </c>
      <c r="AF152" s="61" t="s">
        <v>44</v>
      </c>
    </row>
    <row r="153" spans="1:42" s="65" customFormat="1" ht="12.75" customHeight="1">
      <c r="A153" s="51" t="s">
        <v>7</v>
      </c>
      <c r="B153" s="1" t="s">
        <v>18</v>
      </c>
      <c r="C153" s="306">
        <v>0</v>
      </c>
      <c r="D153" s="306">
        <v>0</v>
      </c>
      <c r="E153" s="69">
        <f t="shared" ref="E153:E166" si="115">O153+Q153</f>
        <v>2</v>
      </c>
      <c r="F153" s="70">
        <f t="shared" ref="F153:F166" si="116">P153+R153</f>
        <v>55</v>
      </c>
      <c r="G153" s="306">
        <f t="shared" ref="G153:G162" si="117">E153-C153</f>
        <v>2</v>
      </c>
      <c r="H153" s="306">
        <f t="shared" ref="H153:H162" si="118">F153-D153</f>
        <v>55</v>
      </c>
      <c r="I153" s="70"/>
      <c r="J153" s="70"/>
      <c r="K153" s="70"/>
      <c r="L153" s="70"/>
      <c r="M153" s="70">
        <f t="shared" ref="M153:M167" si="119">I153+K153</f>
        <v>0</v>
      </c>
      <c r="N153" s="70">
        <f t="shared" ref="N153:N167" si="120">J153+L153</f>
        <v>0</v>
      </c>
      <c r="O153" s="71"/>
      <c r="P153" s="71"/>
      <c r="Q153" s="70">
        <v>2</v>
      </c>
      <c r="R153" s="70">
        <v>55</v>
      </c>
      <c r="S153" s="72"/>
      <c r="T153" s="252" t="e">
        <f>E153/C153</f>
        <v>#DIV/0!</v>
      </c>
      <c r="U153" s="73"/>
      <c r="V153" s="73"/>
      <c r="W153" s="73"/>
      <c r="X153" s="73"/>
      <c r="Y153" s="73"/>
      <c r="Z153" s="339"/>
      <c r="AA153" s="61">
        <f>H149</f>
        <v>18</v>
      </c>
      <c r="AB153" s="61" t="str">
        <f>E149</f>
        <v>PMX-CBK-131 W</v>
      </c>
      <c r="AC153" s="74" t="s">
        <v>47</v>
      </c>
      <c r="AD153" s="61" t="str">
        <f t="shared" ref="AD153:AD166" si="121">A153</f>
        <v>KR</v>
      </c>
      <c r="AE153" s="61">
        <f t="shared" ref="AE153:AE166" si="122">C153</f>
        <v>0</v>
      </c>
      <c r="AF153" s="61">
        <f t="shared" ref="AF153:AF166" si="123">E153</f>
        <v>2</v>
      </c>
    </row>
    <row r="154" spans="1:42" s="65" customFormat="1" ht="12.75" customHeight="1">
      <c r="A154" s="52" t="s">
        <v>13</v>
      </c>
      <c r="B154" s="1">
        <f>B133+7</f>
        <v>43213</v>
      </c>
      <c r="C154" s="306">
        <v>400</v>
      </c>
      <c r="D154" s="306">
        <f t="shared" ref="D154:D155" si="124">C154*13</f>
        <v>5200</v>
      </c>
      <c r="E154" s="69">
        <f t="shared" si="115"/>
        <v>445</v>
      </c>
      <c r="F154" s="70">
        <f t="shared" si="116"/>
        <v>5615</v>
      </c>
      <c r="G154" s="306">
        <f t="shared" si="117"/>
        <v>45</v>
      </c>
      <c r="H154" s="306">
        <f t="shared" si="118"/>
        <v>415</v>
      </c>
      <c r="I154" s="75">
        <v>41</v>
      </c>
      <c r="J154" s="75">
        <v>594</v>
      </c>
      <c r="K154" s="70">
        <v>47</v>
      </c>
      <c r="L154" s="70">
        <v>573</v>
      </c>
      <c r="M154" s="70">
        <f t="shared" si="119"/>
        <v>88</v>
      </c>
      <c r="N154" s="70">
        <f t="shared" si="120"/>
        <v>1167</v>
      </c>
      <c r="O154" s="75">
        <f>443+2</f>
        <v>445</v>
      </c>
      <c r="P154" s="75">
        <v>5615</v>
      </c>
      <c r="Q154" s="71"/>
      <c r="R154" s="71"/>
      <c r="S154" s="72"/>
      <c r="T154" s="252">
        <f t="shared" ref="T154:T164" si="125">E154/C154</f>
        <v>1.1125</v>
      </c>
      <c r="U154" s="73"/>
      <c r="V154" s="73"/>
      <c r="W154" s="73"/>
      <c r="X154" s="73"/>
      <c r="Y154" s="73"/>
      <c r="AA154" s="61">
        <f>H149</f>
        <v>18</v>
      </c>
      <c r="AB154" s="61" t="str">
        <f>E149</f>
        <v>PMX-CBK-131 W</v>
      </c>
      <c r="AC154" s="74" t="s">
        <v>47</v>
      </c>
      <c r="AD154" s="61" t="str">
        <f t="shared" si="121"/>
        <v>TAO</v>
      </c>
      <c r="AE154" s="61">
        <f t="shared" si="122"/>
        <v>400</v>
      </c>
      <c r="AF154" s="61">
        <f t="shared" si="123"/>
        <v>445</v>
      </c>
    </row>
    <row r="155" spans="1:42" s="65" customFormat="1" ht="12.75" customHeight="1">
      <c r="A155" s="52" t="s">
        <v>9</v>
      </c>
      <c r="B155" s="1">
        <f>B134+7</f>
        <v>43215</v>
      </c>
      <c r="C155" s="306">
        <v>600</v>
      </c>
      <c r="D155" s="306">
        <f t="shared" si="124"/>
        <v>7800</v>
      </c>
      <c r="E155" s="69">
        <f t="shared" si="115"/>
        <v>171</v>
      </c>
      <c r="F155" s="70">
        <f t="shared" si="116"/>
        <v>4808</v>
      </c>
      <c r="G155" s="306">
        <f t="shared" si="117"/>
        <v>-429</v>
      </c>
      <c r="H155" s="306">
        <f t="shared" si="118"/>
        <v>-2992</v>
      </c>
      <c r="I155" s="75">
        <v>216</v>
      </c>
      <c r="J155" s="75">
        <v>1597</v>
      </c>
      <c r="K155" s="71">
        <v>3</v>
      </c>
      <c r="L155" s="71">
        <v>53</v>
      </c>
      <c r="M155" s="70">
        <f t="shared" si="119"/>
        <v>219</v>
      </c>
      <c r="N155" s="70">
        <f t="shared" si="120"/>
        <v>1650</v>
      </c>
      <c r="O155" s="75">
        <v>171</v>
      </c>
      <c r="P155" s="75">
        <v>4808</v>
      </c>
      <c r="Q155" s="71"/>
      <c r="R155" s="71"/>
      <c r="S155" s="72"/>
      <c r="T155" s="252">
        <f t="shared" si="125"/>
        <v>0.28499999999999998</v>
      </c>
      <c r="U155" s="73"/>
      <c r="V155" s="73"/>
      <c r="W155" s="73"/>
      <c r="X155" s="73"/>
      <c r="Y155" s="73"/>
      <c r="AA155" s="61">
        <f>H149</f>
        <v>18</v>
      </c>
      <c r="AB155" s="61" t="str">
        <f>E149</f>
        <v>PMX-CBK-131 W</v>
      </c>
      <c r="AC155" s="74" t="s">
        <v>47</v>
      </c>
      <c r="AD155" s="61" t="str">
        <f t="shared" si="121"/>
        <v>SHA</v>
      </c>
      <c r="AE155" s="61">
        <f t="shared" si="122"/>
        <v>600</v>
      </c>
      <c r="AF155" s="61">
        <f t="shared" si="123"/>
        <v>171</v>
      </c>
    </row>
    <row r="156" spans="1:42" s="65" customFormat="1" ht="12.75" customHeight="1">
      <c r="A156" s="52" t="s">
        <v>8</v>
      </c>
      <c r="B156" s="1">
        <f>B135+7</f>
        <v>43216</v>
      </c>
      <c r="C156" s="306">
        <v>375</v>
      </c>
      <c r="D156" s="306">
        <v>4875</v>
      </c>
      <c r="E156" s="69">
        <f t="shared" si="115"/>
        <v>47</v>
      </c>
      <c r="F156" s="70">
        <f t="shared" si="116"/>
        <v>694</v>
      </c>
      <c r="G156" s="306">
        <f t="shared" si="117"/>
        <v>-328</v>
      </c>
      <c r="H156" s="306">
        <f t="shared" si="118"/>
        <v>-4181</v>
      </c>
      <c r="I156" s="71">
        <v>18</v>
      </c>
      <c r="J156" s="71">
        <v>168</v>
      </c>
      <c r="K156" s="71">
        <v>9</v>
      </c>
      <c r="L156" s="71">
        <v>81</v>
      </c>
      <c r="M156" s="70">
        <f t="shared" si="119"/>
        <v>27</v>
      </c>
      <c r="N156" s="70">
        <f t="shared" si="120"/>
        <v>249</v>
      </c>
      <c r="O156" s="71"/>
      <c r="P156" s="71"/>
      <c r="Q156" s="71">
        <v>47</v>
      </c>
      <c r="R156" s="71">
        <v>694</v>
      </c>
      <c r="S156" s="72"/>
      <c r="T156" s="252">
        <f t="shared" si="125"/>
        <v>0.12533333333333332</v>
      </c>
      <c r="U156" s="73"/>
      <c r="V156" s="73"/>
      <c r="W156" s="73"/>
      <c r="X156" s="73"/>
      <c r="Y156" s="73"/>
      <c r="AA156" s="61">
        <f>H149</f>
        <v>18</v>
      </c>
      <c r="AB156" s="61" t="str">
        <f>E149</f>
        <v>PMX-CBK-131 W</v>
      </c>
      <c r="AC156" s="74" t="s">
        <v>47</v>
      </c>
      <c r="AD156" s="61" t="str">
        <f t="shared" si="121"/>
        <v>NGB</v>
      </c>
      <c r="AE156" s="61">
        <f t="shared" si="122"/>
        <v>375</v>
      </c>
      <c r="AF156" s="61">
        <f t="shared" si="123"/>
        <v>47</v>
      </c>
    </row>
    <row r="157" spans="1:42" s="65" customFormat="1" ht="12.75" customHeight="1">
      <c r="A157" s="52" t="s">
        <v>10</v>
      </c>
      <c r="B157" s="1" t="s">
        <v>9</v>
      </c>
      <c r="C157" s="306">
        <v>80</v>
      </c>
      <c r="D157" s="306">
        <v>1040</v>
      </c>
      <c r="E157" s="69">
        <f t="shared" si="115"/>
        <v>77</v>
      </c>
      <c r="F157" s="70">
        <f t="shared" si="116"/>
        <v>1610</v>
      </c>
      <c r="G157" s="306">
        <f t="shared" si="117"/>
        <v>-3</v>
      </c>
      <c r="H157" s="306">
        <f t="shared" si="118"/>
        <v>570</v>
      </c>
      <c r="I157" s="75"/>
      <c r="J157" s="75"/>
      <c r="K157" s="70"/>
      <c r="L157" s="70"/>
      <c r="M157" s="70">
        <f t="shared" si="119"/>
        <v>0</v>
      </c>
      <c r="N157" s="70">
        <f t="shared" si="120"/>
        <v>0</v>
      </c>
      <c r="O157" s="75">
        <v>77</v>
      </c>
      <c r="P157" s="75">
        <v>1610</v>
      </c>
      <c r="Q157" s="70"/>
      <c r="R157" s="70"/>
      <c r="S157" s="72"/>
      <c r="T157" s="252">
        <f t="shared" si="125"/>
        <v>0.96250000000000002</v>
      </c>
      <c r="U157" s="73"/>
      <c r="V157" s="73"/>
      <c r="W157" s="73"/>
      <c r="X157" s="73"/>
      <c r="Y157" s="73"/>
      <c r="AA157" s="61">
        <f>H149</f>
        <v>18</v>
      </c>
      <c r="AB157" s="61" t="str">
        <f>E149</f>
        <v>PMX-CBK-131 W</v>
      </c>
      <c r="AC157" s="74" t="s">
        <v>47</v>
      </c>
      <c r="AD157" s="61" t="str">
        <f t="shared" si="121"/>
        <v>WUH</v>
      </c>
      <c r="AE157" s="61">
        <f t="shared" si="122"/>
        <v>80</v>
      </c>
      <c r="AF157" s="61">
        <f t="shared" si="123"/>
        <v>77</v>
      </c>
    </row>
    <row r="158" spans="1:42" s="65" customFormat="1" ht="12.75" customHeight="1">
      <c r="A158" s="52" t="s">
        <v>11</v>
      </c>
      <c r="B158" s="1" t="s">
        <v>18</v>
      </c>
      <c r="C158" s="306">
        <v>75</v>
      </c>
      <c r="D158" s="306">
        <v>975</v>
      </c>
      <c r="E158" s="69">
        <f t="shared" si="115"/>
        <v>10</v>
      </c>
      <c r="F158" s="70">
        <f t="shared" si="116"/>
        <v>242</v>
      </c>
      <c r="G158" s="306">
        <f t="shared" si="117"/>
        <v>-65</v>
      </c>
      <c r="H158" s="306">
        <f t="shared" si="118"/>
        <v>-733</v>
      </c>
      <c r="I158" s="70"/>
      <c r="J158" s="70"/>
      <c r="K158" s="70"/>
      <c r="L158" s="70"/>
      <c r="M158" s="70">
        <f t="shared" si="119"/>
        <v>0</v>
      </c>
      <c r="N158" s="70">
        <f t="shared" si="120"/>
        <v>0</v>
      </c>
      <c r="O158" s="75">
        <v>6</v>
      </c>
      <c r="P158" s="75">
        <v>129</v>
      </c>
      <c r="Q158" s="70">
        <v>4</v>
      </c>
      <c r="R158" s="70">
        <v>113</v>
      </c>
      <c r="S158" s="72"/>
      <c r="T158" s="252">
        <f t="shared" si="125"/>
        <v>0.13333333333333333</v>
      </c>
      <c r="U158" s="73"/>
      <c r="V158" s="73"/>
      <c r="W158" s="73"/>
      <c r="X158" s="73"/>
      <c r="Y158" s="73"/>
      <c r="AA158" s="61">
        <f>H149</f>
        <v>18</v>
      </c>
      <c r="AB158" s="61" t="str">
        <f>E149</f>
        <v>PMX-CBK-131 W</v>
      </c>
      <c r="AC158" s="74" t="s">
        <v>47</v>
      </c>
      <c r="AD158" s="61" t="str">
        <f t="shared" si="121"/>
        <v>DLC</v>
      </c>
      <c r="AE158" s="61">
        <f t="shared" si="122"/>
        <v>75</v>
      </c>
      <c r="AF158" s="61">
        <f t="shared" si="123"/>
        <v>10</v>
      </c>
    </row>
    <row r="159" spans="1:42" s="65" customFormat="1" ht="12.75" customHeight="1">
      <c r="A159" s="52" t="s">
        <v>12</v>
      </c>
      <c r="B159" s="1" t="s">
        <v>18</v>
      </c>
      <c r="C159" s="306">
        <v>100</v>
      </c>
      <c r="D159" s="306">
        <v>1300</v>
      </c>
      <c r="E159" s="69">
        <f t="shared" si="115"/>
        <v>83</v>
      </c>
      <c r="F159" s="70">
        <f t="shared" si="116"/>
        <v>1268</v>
      </c>
      <c r="G159" s="306">
        <f t="shared" si="117"/>
        <v>-17</v>
      </c>
      <c r="H159" s="306">
        <f t="shared" si="118"/>
        <v>-32</v>
      </c>
      <c r="I159" s="70"/>
      <c r="J159" s="70"/>
      <c r="K159" s="70"/>
      <c r="L159" s="70"/>
      <c r="M159" s="70">
        <f t="shared" si="119"/>
        <v>0</v>
      </c>
      <c r="N159" s="70">
        <f t="shared" si="120"/>
        <v>0</v>
      </c>
      <c r="O159" s="75">
        <v>1</v>
      </c>
      <c r="P159" s="75">
        <v>27</v>
      </c>
      <c r="Q159" s="76">
        <v>82</v>
      </c>
      <c r="R159" s="71">
        <v>1241</v>
      </c>
      <c r="S159" s="72"/>
      <c r="T159" s="252">
        <f t="shared" si="125"/>
        <v>0.83</v>
      </c>
      <c r="U159" s="73"/>
      <c r="V159" s="73"/>
      <c r="W159" s="73"/>
      <c r="X159" s="73"/>
      <c r="Y159" s="73"/>
      <c r="AA159" s="61">
        <f>H149</f>
        <v>18</v>
      </c>
      <c r="AB159" s="61" t="str">
        <f>E149</f>
        <v>PMX-CBK-131 W</v>
      </c>
      <c r="AC159" s="74" t="s">
        <v>47</v>
      </c>
      <c r="AD159" s="61" t="str">
        <f t="shared" si="121"/>
        <v>TSN</v>
      </c>
      <c r="AE159" s="61">
        <f t="shared" si="122"/>
        <v>100</v>
      </c>
      <c r="AF159" s="61">
        <f t="shared" si="123"/>
        <v>83</v>
      </c>
    </row>
    <row r="160" spans="1:42" s="65" customFormat="1" ht="12.75" customHeight="1">
      <c r="A160" s="52" t="s">
        <v>14</v>
      </c>
      <c r="B160" s="1" t="s">
        <v>18</v>
      </c>
      <c r="C160" s="306">
        <v>50</v>
      </c>
      <c r="D160" s="306">
        <v>650</v>
      </c>
      <c r="E160" s="69">
        <f t="shared" si="115"/>
        <v>1</v>
      </c>
      <c r="F160" s="70">
        <f t="shared" si="116"/>
        <v>24</v>
      </c>
      <c r="G160" s="306">
        <f t="shared" si="117"/>
        <v>-49</v>
      </c>
      <c r="H160" s="306">
        <f t="shared" si="118"/>
        <v>-626</v>
      </c>
      <c r="I160" s="70"/>
      <c r="J160" s="70"/>
      <c r="K160" s="70"/>
      <c r="L160" s="70"/>
      <c r="M160" s="70">
        <f t="shared" si="119"/>
        <v>0</v>
      </c>
      <c r="N160" s="70">
        <f t="shared" si="120"/>
        <v>0</v>
      </c>
      <c r="O160" s="71"/>
      <c r="P160" s="71"/>
      <c r="Q160" s="70">
        <v>1</v>
      </c>
      <c r="R160" s="70">
        <v>24</v>
      </c>
      <c r="S160" s="72"/>
      <c r="T160" s="252">
        <f t="shared" si="125"/>
        <v>0.02</v>
      </c>
      <c r="U160" s="73"/>
      <c r="V160" s="73"/>
      <c r="W160" s="73"/>
      <c r="X160" s="73"/>
      <c r="Y160" s="73"/>
      <c r="AA160" s="61">
        <f>H149</f>
        <v>18</v>
      </c>
      <c r="AB160" s="61" t="str">
        <f>E149</f>
        <v>PMX-CBK-131 W</v>
      </c>
      <c r="AC160" s="74" t="s">
        <v>47</v>
      </c>
      <c r="AD160" s="61" t="str">
        <f t="shared" si="121"/>
        <v>XMN</v>
      </c>
      <c r="AE160" s="61">
        <f t="shared" si="122"/>
        <v>50</v>
      </c>
      <c r="AF160" s="61">
        <f t="shared" si="123"/>
        <v>1</v>
      </c>
    </row>
    <row r="161" spans="1:42" s="65" customFormat="1" ht="12.75" customHeight="1">
      <c r="A161" s="52" t="s">
        <v>19</v>
      </c>
      <c r="B161" s="1" t="s">
        <v>18</v>
      </c>
      <c r="C161" s="306">
        <v>20</v>
      </c>
      <c r="D161" s="306">
        <v>260</v>
      </c>
      <c r="E161" s="69">
        <f t="shared" si="115"/>
        <v>0</v>
      </c>
      <c r="F161" s="70">
        <f t="shared" si="116"/>
        <v>0</v>
      </c>
      <c r="G161" s="306">
        <f t="shared" si="117"/>
        <v>-20</v>
      </c>
      <c r="H161" s="306">
        <f t="shared" si="118"/>
        <v>-260</v>
      </c>
      <c r="I161" s="70"/>
      <c r="J161" s="70"/>
      <c r="K161" s="70"/>
      <c r="L161" s="70"/>
      <c r="M161" s="70">
        <f t="shared" si="119"/>
        <v>0</v>
      </c>
      <c r="N161" s="70">
        <f t="shared" si="120"/>
        <v>0</v>
      </c>
      <c r="O161" s="70"/>
      <c r="P161" s="70"/>
      <c r="Q161" s="70"/>
      <c r="R161" s="70"/>
      <c r="S161" s="72"/>
      <c r="T161" s="252">
        <f t="shared" si="125"/>
        <v>0</v>
      </c>
      <c r="U161" s="73"/>
      <c r="V161" s="73"/>
      <c r="W161" s="73"/>
      <c r="X161" s="73"/>
      <c r="Y161" s="73"/>
      <c r="AA161" s="61">
        <f>H149</f>
        <v>18</v>
      </c>
      <c r="AB161" s="61" t="str">
        <f>E149</f>
        <v>PMX-CBK-131 W</v>
      </c>
      <c r="AC161" s="74" t="s">
        <v>47</v>
      </c>
      <c r="AD161" s="61" t="str">
        <f t="shared" si="121"/>
        <v>TWC</v>
      </c>
      <c r="AE161" s="61">
        <f t="shared" si="122"/>
        <v>20</v>
      </c>
      <c r="AF161" s="61">
        <f t="shared" si="123"/>
        <v>0</v>
      </c>
    </row>
    <row r="162" spans="1:42" s="65" customFormat="1" ht="12.75" customHeight="1">
      <c r="A162" s="52" t="s">
        <v>16</v>
      </c>
      <c r="B162" s="26"/>
      <c r="C162" s="306"/>
      <c r="D162" s="306"/>
      <c r="E162" s="69">
        <f t="shared" si="115"/>
        <v>0</v>
      </c>
      <c r="F162" s="70">
        <f t="shared" si="116"/>
        <v>0</v>
      </c>
      <c r="G162" s="306">
        <f t="shared" si="117"/>
        <v>0</v>
      </c>
      <c r="H162" s="306">
        <f t="shared" si="118"/>
        <v>0</v>
      </c>
      <c r="I162" s="70"/>
      <c r="J162" s="70"/>
      <c r="K162" s="70"/>
      <c r="L162" s="70"/>
      <c r="M162" s="70">
        <f t="shared" si="119"/>
        <v>0</v>
      </c>
      <c r="N162" s="70">
        <f t="shared" si="120"/>
        <v>0</v>
      </c>
      <c r="O162" s="70"/>
      <c r="P162" s="70"/>
      <c r="Q162" s="70"/>
      <c r="S162" s="72"/>
      <c r="T162" s="252" t="e">
        <f t="shared" si="125"/>
        <v>#DIV/0!</v>
      </c>
      <c r="U162" s="73"/>
      <c r="V162" s="73"/>
      <c r="W162" s="73"/>
      <c r="X162" s="73"/>
      <c r="Y162" s="73"/>
      <c r="AA162" s="61">
        <f>H149</f>
        <v>18</v>
      </c>
      <c r="AB162" s="61" t="str">
        <f>E149</f>
        <v>PMX-CBK-131 W</v>
      </c>
      <c r="AC162" s="74" t="s">
        <v>47</v>
      </c>
      <c r="AD162" s="61" t="str">
        <f t="shared" si="121"/>
        <v>HUA</v>
      </c>
      <c r="AE162" s="61">
        <f t="shared" si="122"/>
        <v>0</v>
      </c>
      <c r="AF162" s="61">
        <f t="shared" si="123"/>
        <v>0</v>
      </c>
    </row>
    <row r="163" spans="1:42" s="65" customFormat="1" ht="12.75" customHeight="1">
      <c r="A163" s="52" t="s">
        <v>2</v>
      </c>
      <c r="B163" s="26"/>
      <c r="C163" s="306"/>
      <c r="D163" s="306"/>
      <c r="E163" s="69">
        <f t="shared" si="115"/>
        <v>0</v>
      </c>
      <c r="F163" s="70">
        <f t="shared" si="116"/>
        <v>0</v>
      </c>
      <c r="G163" s="306"/>
      <c r="H163" s="306"/>
      <c r="I163" s="70"/>
      <c r="J163" s="70"/>
      <c r="K163" s="70"/>
      <c r="L163" s="70"/>
      <c r="M163" s="70">
        <f t="shared" si="119"/>
        <v>0</v>
      </c>
      <c r="N163" s="70">
        <f t="shared" si="120"/>
        <v>0</v>
      </c>
      <c r="O163" s="70"/>
      <c r="P163" s="70"/>
      <c r="Q163" s="70"/>
      <c r="R163" s="70"/>
      <c r="S163" s="72"/>
      <c r="T163" s="252" t="e">
        <f t="shared" si="125"/>
        <v>#DIV/0!</v>
      </c>
      <c r="U163" s="73"/>
      <c r="V163" s="73"/>
      <c r="W163" s="73"/>
      <c r="X163" s="73"/>
      <c r="Y163" s="73"/>
      <c r="AA163" s="61">
        <f>H149</f>
        <v>18</v>
      </c>
      <c r="AB163" s="61" t="str">
        <f>E149</f>
        <v>PMX-CBK-131 W</v>
      </c>
      <c r="AC163" s="74" t="s">
        <v>47</v>
      </c>
      <c r="AD163" s="61" t="str">
        <f t="shared" si="121"/>
        <v>HKG</v>
      </c>
      <c r="AE163" s="61">
        <f t="shared" si="122"/>
        <v>0</v>
      </c>
      <c r="AF163" s="61">
        <f t="shared" si="123"/>
        <v>0</v>
      </c>
    </row>
    <row r="164" spans="1:42" s="65" customFormat="1" ht="12.75" customHeight="1">
      <c r="A164" s="52" t="s">
        <v>3</v>
      </c>
      <c r="B164" s="1">
        <f>B143+7</f>
        <v>43222</v>
      </c>
      <c r="C164" s="306">
        <v>150</v>
      </c>
      <c r="D164" s="306">
        <v>1950</v>
      </c>
      <c r="E164" s="69">
        <f t="shared" si="115"/>
        <v>150</v>
      </c>
      <c r="F164" s="70">
        <f t="shared" si="116"/>
        <v>1950</v>
      </c>
      <c r="G164" s="306">
        <f t="shared" ref="G164:G167" si="126">E164-C164</f>
        <v>0</v>
      </c>
      <c r="H164" s="306">
        <f t="shared" ref="H164:H167" si="127">F164-D164</f>
        <v>0</v>
      </c>
      <c r="I164" s="70"/>
      <c r="J164" s="70"/>
      <c r="K164" s="70"/>
      <c r="L164" s="70"/>
      <c r="M164" s="70">
        <f t="shared" si="119"/>
        <v>0</v>
      </c>
      <c r="N164" s="70">
        <f t="shared" si="120"/>
        <v>0</v>
      </c>
      <c r="O164" s="306"/>
      <c r="P164" s="306"/>
      <c r="Q164" s="70">
        <v>150</v>
      </c>
      <c r="R164" s="70">
        <v>1950</v>
      </c>
      <c r="S164" s="72"/>
      <c r="T164" s="252">
        <f t="shared" si="125"/>
        <v>1</v>
      </c>
      <c r="U164" s="73"/>
      <c r="V164" s="73"/>
      <c r="W164" s="73"/>
      <c r="X164" s="73"/>
      <c r="Y164" s="73"/>
      <c r="AA164" s="61">
        <f>H149</f>
        <v>18</v>
      </c>
      <c r="AB164" s="61" t="str">
        <f>E149</f>
        <v>PMX-CBK-131 W</v>
      </c>
      <c r="AC164" s="74" t="s">
        <v>47</v>
      </c>
      <c r="AD164" s="61" t="str">
        <f t="shared" si="121"/>
        <v>SGP</v>
      </c>
      <c r="AE164" s="61">
        <f t="shared" si="122"/>
        <v>150</v>
      </c>
      <c r="AF164" s="61">
        <f t="shared" si="123"/>
        <v>150</v>
      </c>
    </row>
    <row r="165" spans="1:42" s="65" customFormat="1" ht="12.75" customHeight="1">
      <c r="A165" s="52" t="s">
        <v>4</v>
      </c>
      <c r="B165" s="1">
        <f>B144+7</f>
        <v>43224</v>
      </c>
      <c r="C165" s="306">
        <v>50</v>
      </c>
      <c r="D165" s="306">
        <v>650</v>
      </c>
      <c r="E165" s="69">
        <f t="shared" si="115"/>
        <v>50</v>
      </c>
      <c r="F165" s="70">
        <f t="shared" si="116"/>
        <v>650</v>
      </c>
      <c r="G165" s="306">
        <f t="shared" si="126"/>
        <v>0</v>
      </c>
      <c r="H165" s="306">
        <f t="shared" si="127"/>
        <v>0</v>
      </c>
      <c r="I165" s="70"/>
      <c r="J165" s="70"/>
      <c r="K165" s="70"/>
      <c r="L165" s="70"/>
      <c r="M165" s="70">
        <f t="shared" si="119"/>
        <v>0</v>
      </c>
      <c r="N165" s="70">
        <f t="shared" si="120"/>
        <v>0</v>
      </c>
      <c r="O165" s="70"/>
      <c r="P165" s="70"/>
      <c r="Q165" s="70">
        <v>50</v>
      </c>
      <c r="R165" s="70">
        <v>650</v>
      </c>
      <c r="S165" s="72"/>
      <c r="T165" s="73"/>
      <c r="U165" s="73"/>
      <c r="V165" s="73"/>
      <c r="W165" s="73"/>
      <c r="X165" s="73"/>
      <c r="Y165" s="73"/>
      <c r="AA165" s="61">
        <f>H149</f>
        <v>18</v>
      </c>
      <c r="AB165" s="61" t="str">
        <f>E149</f>
        <v>PMX-CBK-131 W</v>
      </c>
      <c r="AC165" s="74" t="s">
        <v>47</v>
      </c>
      <c r="AD165" s="61" t="str">
        <f t="shared" si="121"/>
        <v>PKL</v>
      </c>
      <c r="AE165" s="61">
        <f t="shared" si="122"/>
        <v>50</v>
      </c>
      <c r="AF165" s="61">
        <f t="shared" si="123"/>
        <v>50</v>
      </c>
    </row>
    <row r="166" spans="1:42" s="65" customFormat="1" ht="12.75" customHeight="1">
      <c r="A166" s="52" t="s">
        <v>15</v>
      </c>
      <c r="B166" s="306"/>
      <c r="C166" s="306"/>
      <c r="D166" s="306"/>
      <c r="E166" s="69">
        <f t="shared" si="115"/>
        <v>0</v>
      </c>
      <c r="F166" s="70">
        <f t="shared" si="116"/>
        <v>0</v>
      </c>
      <c r="G166" s="306">
        <f t="shared" si="126"/>
        <v>0</v>
      </c>
      <c r="H166" s="306">
        <f t="shared" si="127"/>
        <v>0</v>
      </c>
      <c r="I166" s="70"/>
      <c r="J166" s="70"/>
      <c r="K166" s="70"/>
      <c r="L166" s="70"/>
      <c r="M166" s="70">
        <f t="shared" si="119"/>
        <v>0</v>
      </c>
      <c r="N166" s="70">
        <f t="shared" si="120"/>
        <v>0</v>
      </c>
      <c r="O166" s="71"/>
      <c r="P166" s="71"/>
      <c r="Q166" s="71"/>
      <c r="R166" s="71"/>
      <c r="S166" s="72"/>
      <c r="T166" s="73"/>
      <c r="U166" s="73"/>
      <c r="V166" s="73"/>
      <c r="W166" s="73"/>
      <c r="X166" s="73"/>
      <c r="Y166" s="73"/>
      <c r="AA166" s="61">
        <f>H149</f>
        <v>18</v>
      </c>
      <c r="AB166" s="61" t="str">
        <f>E149</f>
        <v>PMX-CBK-131 W</v>
      </c>
      <c r="AC166" s="74" t="s">
        <v>47</v>
      </c>
      <c r="AD166" s="61" t="str">
        <f t="shared" si="121"/>
        <v>T/S</v>
      </c>
      <c r="AE166" s="61">
        <f t="shared" si="122"/>
        <v>0</v>
      </c>
      <c r="AF166" s="61">
        <f t="shared" si="123"/>
        <v>0</v>
      </c>
    </row>
    <row r="167" spans="1:42" s="65" customFormat="1" ht="12.75" customHeight="1">
      <c r="A167" s="51" t="s">
        <v>36</v>
      </c>
      <c r="B167" s="72"/>
      <c r="C167" s="71">
        <v>1949</v>
      </c>
      <c r="D167" s="71">
        <f>C167*13</f>
        <v>25337</v>
      </c>
      <c r="E167" s="78">
        <f>SUM(E153:E166)</f>
        <v>1036</v>
      </c>
      <c r="F167" s="76">
        <f>SUM(F153:F166)</f>
        <v>16916</v>
      </c>
      <c r="G167" s="71">
        <f t="shared" si="126"/>
        <v>-913</v>
      </c>
      <c r="H167" s="71">
        <f t="shared" si="127"/>
        <v>-8421</v>
      </c>
      <c r="I167" s="70">
        <f t="shared" ref="I167:L167" si="128">SUM(I153:I166)</f>
        <v>275</v>
      </c>
      <c r="J167" s="70">
        <f t="shared" si="128"/>
        <v>2359</v>
      </c>
      <c r="K167" s="70">
        <f t="shared" si="128"/>
        <v>59</v>
      </c>
      <c r="L167" s="70">
        <f t="shared" si="128"/>
        <v>707</v>
      </c>
      <c r="M167" s="70">
        <f t="shared" si="119"/>
        <v>334</v>
      </c>
      <c r="N167" s="70">
        <f t="shared" si="120"/>
        <v>3066</v>
      </c>
      <c r="O167" s="70">
        <f t="shared" ref="O167:R167" si="129">SUM(O153:O166)</f>
        <v>700</v>
      </c>
      <c r="P167" s="70">
        <f t="shared" si="129"/>
        <v>12189</v>
      </c>
      <c r="Q167" s="70">
        <f t="shared" si="129"/>
        <v>336</v>
      </c>
      <c r="R167" s="70">
        <f t="shared" si="129"/>
        <v>4727</v>
      </c>
      <c r="S167" s="72"/>
      <c r="T167" s="73"/>
      <c r="U167" s="73"/>
      <c r="V167" s="73"/>
      <c r="W167" s="73"/>
      <c r="X167" s="73"/>
      <c r="Y167" s="73"/>
      <c r="AA167" s="61"/>
      <c r="AB167" s="61"/>
      <c r="AC167" s="61"/>
      <c r="AD167" s="61"/>
      <c r="AE167" s="61"/>
      <c r="AF167" s="61"/>
    </row>
    <row r="168" spans="1:42" s="65" customFormat="1" ht="12.75" customHeight="1">
      <c r="A168" s="84">
        <f>D167/C167</f>
        <v>13</v>
      </c>
      <c r="C168" s="307">
        <f>F167-E168</f>
        <v>-5887.2999999999993</v>
      </c>
      <c r="E168" s="65">
        <f>D167*0.9</f>
        <v>22803.3</v>
      </c>
      <c r="F168" s="307">
        <f>E167-L168</f>
        <v>-718.10000000000014</v>
      </c>
      <c r="I168" s="80" t="s">
        <v>48</v>
      </c>
      <c r="J168" s="245">
        <f>E167/C167</f>
        <v>0.5315546434068753</v>
      </c>
      <c r="K168" s="80"/>
      <c r="L168" s="80">
        <f>C167*0.9</f>
        <v>1754.1000000000001</v>
      </c>
      <c r="M168" s="80"/>
      <c r="N168" s="80"/>
      <c r="O168" s="80" t="s">
        <v>49</v>
      </c>
      <c r="P168" s="80"/>
      <c r="Q168" s="65">
        <f>P154+P155+P157+P158+P159+J154+J155+L154+L155+J157+R157</f>
        <v>15006</v>
      </c>
      <c r="R168" s="65">
        <v>16856</v>
      </c>
      <c r="AA168" s="81"/>
      <c r="AB168" s="81"/>
      <c r="AC168" s="81"/>
      <c r="AD168" s="81"/>
      <c r="AE168" s="81"/>
      <c r="AF168" s="81"/>
    </row>
    <row r="169" spans="1:42" s="24" customFormat="1" ht="12.75" customHeight="1"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3"/>
      <c r="AB169" s="83"/>
      <c r="AC169" s="83"/>
      <c r="AD169" s="83"/>
      <c r="AE169" s="83"/>
      <c r="AF169" s="83"/>
      <c r="AG169" s="80"/>
      <c r="AH169" s="80"/>
      <c r="AI169" s="80"/>
      <c r="AJ169" s="80"/>
      <c r="AK169" s="80"/>
      <c r="AL169" s="80"/>
      <c r="AM169" s="80"/>
      <c r="AN169" s="80"/>
      <c r="AO169" s="80"/>
      <c r="AP169" s="80"/>
    </row>
    <row r="170" spans="1:42" s="63" customFormat="1" ht="12.75" customHeight="1">
      <c r="A170" s="59" t="s">
        <v>47</v>
      </c>
      <c r="B170" s="58" t="s">
        <v>624</v>
      </c>
      <c r="C170" s="56"/>
      <c r="D170" s="57"/>
      <c r="E170" s="58" t="s">
        <v>625</v>
      </c>
      <c r="F170" s="57"/>
      <c r="G170" s="59" t="s">
        <v>37</v>
      </c>
      <c r="H170" s="60">
        <f>H149+1</f>
        <v>19</v>
      </c>
      <c r="I170" s="57"/>
      <c r="J170" s="57"/>
      <c r="K170" s="57"/>
      <c r="L170" s="57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2"/>
      <c r="AA170" s="62"/>
      <c r="AB170" s="62"/>
      <c r="AC170" s="62"/>
    </row>
    <row r="171" spans="1:42" s="65" customFormat="1" ht="12.75" customHeight="1">
      <c r="A171" s="340" t="s">
        <v>0</v>
      </c>
      <c r="B171" s="336" t="s">
        <v>1</v>
      </c>
      <c r="C171" s="331" t="s">
        <v>25</v>
      </c>
      <c r="D171" s="332"/>
      <c r="E171" s="331" t="s">
        <v>21</v>
      </c>
      <c r="F171" s="332"/>
      <c r="G171" s="335" t="s">
        <v>24</v>
      </c>
      <c r="H171" s="335"/>
      <c r="I171" s="328" t="s">
        <v>33</v>
      </c>
      <c r="J171" s="329"/>
      <c r="K171" s="329"/>
      <c r="L171" s="329"/>
      <c r="M171" s="329"/>
      <c r="N171" s="330"/>
      <c r="O171" s="331" t="s">
        <v>22</v>
      </c>
      <c r="P171" s="332"/>
      <c r="Q171" s="335" t="s">
        <v>23</v>
      </c>
      <c r="R171" s="335"/>
      <c r="S171" s="336" t="s">
        <v>27</v>
      </c>
      <c r="T171" s="64"/>
      <c r="U171" s="64"/>
      <c r="V171" s="64"/>
      <c r="W171" s="64"/>
      <c r="X171" s="64"/>
      <c r="Y171" s="64"/>
      <c r="Z171" s="339"/>
      <c r="AA171" s="61"/>
      <c r="AB171" s="61"/>
      <c r="AC171" s="74"/>
      <c r="AD171" s="61"/>
      <c r="AE171" s="61"/>
      <c r="AF171" s="61"/>
    </row>
    <row r="172" spans="1:42" s="65" customFormat="1" ht="12.75" customHeight="1">
      <c r="A172" s="341"/>
      <c r="B172" s="337"/>
      <c r="C172" s="333"/>
      <c r="D172" s="334"/>
      <c r="E172" s="333"/>
      <c r="F172" s="334"/>
      <c r="G172" s="335"/>
      <c r="H172" s="335"/>
      <c r="I172" s="323" t="s">
        <v>28</v>
      </c>
      <c r="J172" s="324" t="s">
        <v>3</v>
      </c>
      <c r="K172" s="323" t="s">
        <v>29</v>
      </c>
      <c r="L172" s="324" t="s">
        <v>4</v>
      </c>
      <c r="M172" s="328" t="s">
        <v>30</v>
      </c>
      <c r="N172" s="330"/>
      <c r="O172" s="333"/>
      <c r="P172" s="334"/>
      <c r="Q172" s="335"/>
      <c r="R172" s="335"/>
      <c r="S172" s="337"/>
      <c r="T172" s="64"/>
      <c r="U172" s="64"/>
      <c r="V172" s="64"/>
      <c r="W172" s="64"/>
      <c r="X172" s="64"/>
      <c r="Y172" s="64"/>
      <c r="Z172" s="339"/>
      <c r="AA172" s="61"/>
      <c r="AB172" s="61"/>
      <c r="AC172" s="74"/>
      <c r="AD172" s="61"/>
      <c r="AE172" s="61"/>
      <c r="AF172" s="61"/>
    </row>
    <row r="173" spans="1:42" s="65" customFormat="1" ht="12.75" customHeight="1">
      <c r="A173" s="342"/>
      <c r="B173" s="338"/>
      <c r="C173" s="325" t="s">
        <v>5</v>
      </c>
      <c r="D173" s="325" t="s">
        <v>6</v>
      </c>
      <c r="E173" s="324" t="s">
        <v>5</v>
      </c>
      <c r="F173" s="325" t="s">
        <v>6</v>
      </c>
      <c r="G173" s="325" t="s">
        <v>5</v>
      </c>
      <c r="H173" s="325" t="s">
        <v>6</v>
      </c>
      <c r="I173" s="324" t="s">
        <v>5</v>
      </c>
      <c r="J173" s="325" t="s">
        <v>6</v>
      </c>
      <c r="K173" s="324" t="s">
        <v>5</v>
      </c>
      <c r="L173" s="325" t="s">
        <v>6</v>
      </c>
      <c r="M173" s="325"/>
      <c r="N173" s="325"/>
      <c r="O173" s="324" t="s">
        <v>5</v>
      </c>
      <c r="P173" s="325" t="s">
        <v>6</v>
      </c>
      <c r="Q173" s="325" t="s">
        <v>5</v>
      </c>
      <c r="R173" s="325" t="s">
        <v>6</v>
      </c>
      <c r="S173" s="338"/>
      <c r="T173" s="64"/>
      <c r="U173" s="64"/>
      <c r="V173" s="64"/>
      <c r="W173" s="64"/>
      <c r="X173" s="64"/>
      <c r="Y173" s="64"/>
      <c r="Z173" s="339"/>
      <c r="AA173" s="61" t="s">
        <v>43</v>
      </c>
      <c r="AB173" s="61" t="s">
        <v>45</v>
      </c>
      <c r="AC173" s="61" t="s">
        <v>46</v>
      </c>
      <c r="AD173" s="61" t="s">
        <v>42</v>
      </c>
      <c r="AE173" s="61" t="s">
        <v>41</v>
      </c>
      <c r="AF173" s="61" t="s">
        <v>44</v>
      </c>
    </row>
    <row r="174" spans="1:42" s="65" customFormat="1" ht="12.75" customHeight="1">
      <c r="A174" s="51" t="s">
        <v>7</v>
      </c>
      <c r="B174" s="1" t="s">
        <v>18</v>
      </c>
      <c r="C174" s="325">
        <v>0</v>
      </c>
      <c r="D174" s="325">
        <v>0</v>
      </c>
      <c r="E174" s="69">
        <f t="shared" ref="E174:E187" si="130">O174+Q174</f>
        <v>0</v>
      </c>
      <c r="F174" s="70">
        <f t="shared" ref="F174:F187" si="131">P174+R174</f>
        <v>0</v>
      </c>
      <c r="G174" s="325">
        <f t="shared" ref="G174:G183" si="132">E174-C174</f>
        <v>0</v>
      </c>
      <c r="H174" s="325">
        <f t="shared" ref="H174:H183" si="133">F174-D174</f>
        <v>0</v>
      </c>
      <c r="I174" s="70"/>
      <c r="J174" s="70"/>
      <c r="K174" s="70"/>
      <c r="L174" s="70"/>
      <c r="M174" s="70">
        <f t="shared" ref="M174:M188" si="134">I174+K174</f>
        <v>0</v>
      </c>
      <c r="N174" s="70">
        <f t="shared" ref="N174:N188" si="135">J174+L174</f>
        <v>0</v>
      </c>
      <c r="O174" s="71"/>
      <c r="P174" s="71"/>
      <c r="Q174" s="70"/>
      <c r="R174" s="70"/>
      <c r="S174" s="72"/>
      <c r="T174" s="252" t="e">
        <f>E174/C174</f>
        <v>#DIV/0!</v>
      </c>
      <c r="U174" s="73"/>
      <c r="V174" s="73"/>
      <c r="W174" s="73"/>
      <c r="X174" s="73"/>
      <c r="Y174" s="73"/>
      <c r="Z174" s="339"/>
      <c r="AA174" s="61">
        <f>H170</f>
        <v>19</v>
      </c>
      <c r="AB174" s="61" t="str">
        <f>E170</f>
        <v>PMX-QAJ-045 W</v>
      </c>
      <c r="AC174" s="74" t="s">
        <v>47</v>
      </c>
      <c r="AD174" s="61" t="str">
        <f t="shared" ref="AD174:AD187" si="136">A174</f>
        <v>KR</v>
      </c>
      <c r="AE174" s="61">
        <f t="shared" ref="AE174:AE187" si="137">C174</f>
        <v>0</v>
      </c>
      <c r="AF174" s="61">
        <f t="shared" ref="AF174:AF187" si="138">E174</f>
        <v>0</v>
      </c>
    </row>
    <row r="175" spans="1:42" s="65" customFormat="1" ht="12.75" customHeight="1">
      <c r="A175" s="52" t="s">
        <v>13</v>
      </c>
      <c r="B175" s="1">
        <f>B154+7</f>
        <v>43220</v>
      </c>
      <c r="C175" s="325">
        <v>400</v>
      </c>
      <c r="D175" s="325">
        <f t="shared" ref="D175:D176" si="139">C175*13</f>
        <v>5200</v>
      </c>
      <c r="E175" s="69">
        <f t="shared" si="130"/>
        <v>100</v>
      </c>
      <c r="F175" s="70">
        <f t="shared" si="131"/>
        <v>1137</v>
      </c>
      <c r="G175" s="325">
        <f t="shared" si="132"/>
        <v>-300</v>
      </c>
      <c r="H175" s="325">
        <f t="shared" si="133"/>
        <v>-4063</v>
      </c>
      <c r="I175" s="75">
        <v>4</v>
      </c>
      <c r="J175" s="75">
        <v>17</v>
      </c>
      <c r="K175" s="70">
        <v>13</v>
      </c>
      <c r="L175" s="70">
        <v>119</v>
      </c>
      <c r="M175" s="70">
        <f t="shared" si="134"/>
        <v>17</v>
      </c>
      <c r="N175" s="70">
        <f t="shared" si="135"/>
        <v>136</v>
      </c>
      <c r="O175" s="75">
        <v>100</v>
      </c>
      <c r="P175" s="75">
        <v>1137</v>
      </c>
      <c r="Q175" s="71"/>
      <c r="R175" s="71"/>
      <c r="S175" s="72"/>
      <c r="T175" s="252">
        <f t="shared" ref="T175:T185" si="140">E175/C175</f>
        <v>0.25</v>
      </c>
      <c r="U175" s="73"/>
      <c r="V175" s="73"/>
      <c r="W175" s="73"/>
      <c r="X175" s="73"/>
      <c r="Y175" s="73"/>
      <c r="AA175" s="61">
        <f>H170</f>
        <v>19</v>
      </c>
      <c r="AB175" s="61" t="str">
        <f>E170</f>
        <v>PMX-QAJ-045 W</v>
      </c>
      <c r="AC175" s="74" t="s">
        <v>47</v>
      </c>
      <c r="AD175" s="61" t="str">
        <f t="shared" si="136"/>
        <v>TAO</v>
      </c>
      <c r="AE175" s="61">
        <f t="shared" si="137"/>
        <v>400</v>
      </c>
      <c r="AF175" s="61">
        <f t="shared" si="138"/>
        <v>100</v>
      </c>
    </row>
    <row r="176" spans="1:42" s="65" customFormat="1" ht="12.75" customHeight="1">
      <c r="A176" s="52" t="s">
        <v>9</v>
      </c>
      <c r="B176" s="1">
        <f>B155+7</f>
        <v>43222</v>
      </c>
      <c r="C176" s="325">
        <v>600</v>
      </c>
      <c r="D176" s="325">
        <f t="shared" si="139"/>
        <v>7800</v>
      </c>
      <c r="E176" s="69">
        <f t="shared" si="130"/>
        <v>22</v>
      </c>
      <c r="F176" s="70">
        <f t="shared" si="131"/>
        <v>597</v>
      </c>
      <c r="G176" s="325">
        <f t="shared" si="132"/>
        <v>-578</v>
      </c>
      <c r="H176" s="325">
        <f t="shared" si="133"/>
        <v>-7203</v>
      </c>
      <c r="I176" s="75">
        <v>16</v>
      </c>
      <c r="J176" s="75">
        <v>101</v>
      </c>
      <c r="K176" s="71"/>
      <c r="L176" s="71"/>
      <c r="M176" s="70">
        <f t="shared" si="134"/>
        <v>16</v>
      </c>
      <c r="N176" s="70">
        <f t="shared" si="135"/>
        <v>101</v>
      </c>
      <c r="O176" s="75">
        <v>22</v>
      </c>
      <c r="P176" s="75">
        <v>597</v>
      </c>
      <c r="Q176" s="71"/>
      <c r="R176" s="71"/>
      <c r="S176" s="72"/>
      <c r="T176" s="252">
        <f t="shared" si="140"/>
        <v>3.6666666666666667E-2</v>
      </c>
      <c r="U176" s="73"/>
      <c r="V176" s="73"/>
      <c r="W176" s="73"/>
      <c r="X176" s="73"/>
      <c r="Y176" s="73"/>
      <c r="AA176" s="61">
        <f>H170</f>
        <v>19</v>
      </c>
      <c r="AB176" s="61" t="str">
        <f>E170</f>
        <v>PMX-QAJ-045 W</v>
      </c>
      <c r="AC176" s="74" t="s">
        <v>47</v>
      </c>
      <c r="AD176" s="61" t="str">
        <f t="shared" si="136"/>
        <v>SHA</v>
      </c>
      <c r="AE176" s="61">
        <f t="shared" si="137"/>
        <v>600</v>
      </c>
      <c r="AF176" s="61">
        <f t="shared" si="138"/>
        <v>22</v>
      </c>
    </row>
    <row r="177" spans="1:42" s="65" customFormat="1" ht="12.75" customHeight="1">
      <c r="A177" s="52" t="s">
        <v>8</v>
      </c>
      <c r="B177" s="1">
        <f>B156+7</f>
        <v>43223</v>
      </c>
      <c r="C177" s="325">
        <v>375</v>
      </c>
      <c r="D177" s="325">
        <v>4875</v>
      </c>
      <c r="E177" s="69">
        <f t="shared" si="130"/>
        <v>0</v>
      </c>
      <c r="F177" s="70">
        <f t="shared" si="131"/>
        <v>0</v>
      </c>
      <c r="G177" s="325">
        <f t="shared" si="132"/>
        <v>-375</v>
      </c>
      <c r="H177" s="325">
        <f t="shared" si="133"/>
        <v>-4875</v>
      </c>
      <c r="I177" s="71"/>
      <c r="J177" s="71"/>
      <c r="K177" s="71"/>
      <c r="L177" s="71"/>
      <c r="M177" s="70">
        <f t="shared" si="134"/>
        <v>0</v>
      </c>
      <c r="N177" s="70">
        <f t="shared" si="135"/>
        <v>0</v>
      </c>
      <c r="O177" s="71"/>
      <c r="P177" s="71"/>
      <c r="Q177" s="71"/>
      <c r="R177" s="71"/>
      <c r="S177" s="72"/>
      <c r="T177" s="252">
        <f t="shared" si="140"/>
        <v>0</v>
      </c>
      <c r="U177" s="73"/>
      <c r="V177" s="73"/>
      <c r="W177" s="73"/>
      <c r="X177" s="73"/>
      <c r="Y177" s="73"/>
      <c r="AA177" s="61">
        <f>H170</f>
        <v>19</v>
      </c>
      <c r="AB177" s="61" t="str">
        <f>E170</f>
        <v>PMX-QAJ-045 W</v>
      </c>
      <c r="AC177" s="74" t="s">
        <v>47</v>
      </c>
      <c r="AD177" s="61" t="str">
        <f t="shared" si="136"/>
        <v>NGB</v>
      </c>
      <c r="AE177" s="61">
        <f t="shared" si="137"/>
        <v>375</v>
      </c>
      <c r="AF177" s="61">
        <f t="shared" si="138"/>
        <v>0</v>
      </c>
    </row>
    <row r="178" spans="1:42" s="65" customFormat="1" ht="12.75" customHeight="1">
      <c r="A178" s="52" t="s">
        <v>10</v>
      </c>
      <c r="B178" s="1" t="s">
        <v>9</v>
      </c>
      <c r="C178" s="325">
        <v>80</v>
      </c>
      <c r="D178" s="325">
        <v>1040</v>
      </c>
      <c r="E178" s="69">
        <f t="shared" si="130"/>
        <v>114</v>
      </c>
      <c r="F178" s="70">
        <f t="shared" si="131"/>
        <v>2713</v>
      </c>
      <c r="G178" s="325">
        <f t="shared" si="132"/>
        <v>34</v>
      </c>
      <c r="H178" s="325">
        <f t="shared" si="133"/>
        <v>1673</v>
      </c>
      <c r="I178" s="75"/>
      <c r="J178" s="75"/>
      <c r="K178" s="70"/>
      <c r="L178" s="70"/>
      <c r="M178" s="70">
        <f t="shared" si="134"/>
        <v>0</v>
      </c>
      <c r="N178" s="70">
        <f t="shared" si="135"/>
        <v>0</v>
      </c>
      <c r="O178" s="75">
        <v>114</v>
      </c>
      <c r="P178" s="75">
        <v>2713</v>
      </c>
      <c r="Q178" s="70"/>
      <c r="R178" s="70"/>
      <c r="S178" s="72"/>
      <c r="T178" s="252">
        <f t="shared" si="140"/>
        <v>1.425</v>
      </c>
      <c r="U178" s="73"/>
      <c r="V178" s="73"/>
      <c r="W178" s="73"/>
      <c r="X178" s="73"/>
      <c r="Y178" s="73"/>
      <c r="AA178" s="61">
        <f>H170</f>
        <v>19</v>
      </c>
      <c r="AB178" s="61" t="str">
        <f>E170</f>
        <v>PMX-QAJ-045 W</v>
      </c>
      <c r="AC178" s="74" t="s">
        <v>47</v>
      </c>
      <c r="AD178" s="61" t="str">
        <f t="shared" si="136"/>
        <v>WUH</v>
      </c>
      <c r="AE178" s="61">
        <f t="shared" si="137"/>
        <v>80</v>
      </c>
      <c r="AF178" s="61">
        <f t="shared" si="138"/>
        <v>114</v>
      </c>
    </row>
    <row r="179" spans="1:42" s="65" customFormat="1" ht="12.75" customHeight="1">
      <c r="A179" s="52" t="s">
        <v>11</v>
      </c>
      <c r="B179" s="1" t="s">
        <v>18</v>
      </c>
      <c r="C179" s="325">
        <v>75</v>
      </c>
      <c r="D179" s="325">
        <v>975</v>
      </c>
      <c r="E179" s="69">
        <f t="shared" si="130"/>
        <v>24</v>
      </c>
      <c r="F179" s="70">
        <f t="shared" si="131"/>
        <v>392</v>
      </c>
      <c r="G179" s="325">
        <f t="shared" si="132"/>
        <v>-51</v>
      </c>
      <c r="H179" s="325">
        <f t="shared" si="133"/>
        <v>-583</v>
      </c>
      <c r="I179" s="70"/>
      <c r="J179" s="70"/>
      <c r="K179" s="70"/>
      <c r="L179" s="70"/>
      <c r="M179" s="70">
        <f t="shared" si="134"/>
        <v>0</v>
      </c>
      <c r="N179" s="70">
        <f t="shared" si="135"/>
        <v>0</v>
      </c>
      <c r="O179" s="75">
        <v>10</v>
      </c>
      <c r="P179" s="75">
        <v>151</v>
      </c>
      <c r="Q179" s="70">
        <v>14</v>
      </c>
      <c r="R179" s="70">
        <v>241</v>
      </c>
      <c r="S179" s="72"/>
      <c r="T179" s="252">
        <f t="shared" si="140"/>
        <v>0.32</v>
      </c>
      <c r="U179" s="73"/>
      <c r="V179" s="73"/>
      <c r="W179" s="73"/>
      <c r="X179" s="73"/>
      <c r="Y179" s="73"/>
      <c r="AA179" s="61">
        <f>H170</f>
        <v>19</v>
      </c>
      <c r="AB179" s="61" t="str">
        <f>E170</f>
        <v>PMX-QAJ-045 W</v>
      </c>
      <c r="AC179" s="74" t="s">
        <v>47</v>
      </c>
      <c r="AD179" s="61" t="str">
        <f t="shared" si="136"/>
        <v>DLC</v>
      </c>
      <c r="AE179" s="61">
        <f t="shared" si="137"/>
        <v>75</v>
      </c>
      <c r="AF179" s="61">
        <f t="shared" si="138"/>
        <v>24</v>
      </c>
    </row>
    <row r="180" spans="1:42" s="65" customFormat="1" ht="12.75" customHeight="1">
      <c r="A180" s="52" t="s">
        <v>12</v>
      </c>
      <c r="B180" s="1" t="s">
        <v>18</v>
      </c>
      <c r="C180" s="325">
        <v>100</v>
      </c>
      <c r="D180" s="325">
        <v>1300</v>
      </c>
      <c r="E180" s="69">
        <f t="shared" si="130"/>
        <v>39</v>
      </c>
      <c r="F180" s="70">
        <f t="shared" si="131"/>
        <v>863</v>
      </c>
      <c r="G180" s="325">
        <f t="shared" si="132"/>
        <v>-61</v>
      </c>
      <c r="H180" s="325">
        <f t="shared" si="133"/>
        <v>-437</v>
      </c>
      <c r="I180" s="70"/>
      <c r="J180" s="70"/>
      <c r="K180" s="70"/>
      <c r="L180" s="70"/>
      <c r="M180" s="70">
        <f t="shared" si="134"/>
        <v>0</v>
      </c>
      <c r="N180" s="70">
        <f t="shared" si="135"/>
        <v>0</v>
      </c>
      <c r="O180" s="75">
        <v>11</v>
      </c>
      <c r="P180" s="75">
        <v>202</v>
      </c>
      <c r="Q180" s="76">
        <v>28</v>
      </c>
      <c r="R180" s="71">
        <v>661</v>
      </c>
      <c r="S180" s="72"/>
      <c r="T180" s="252">
        <f t="shared" si="140"/>
        <v>0.39</v>
      </c>
      <c r="U180" s="73"/>
      <c r="V180" s="73"/>
      <c r="W180" s="73"/>
      <c r="X180" s="73"/>
      <c r="Y180" s="73"/>
      <c r="AA180" s="61">
        <f>H170</f>
        <v>19</v>
      </c>
      <c r="AB180" s="61" t="str">
        <f>E170</f>
        <v>PMX-QAJ-045 W</v>
      </c>
      <c r="AC180" s="74" t="s">
        <v>47</v>
      </c>
      <c r="AD180" s="61" t="str">
        <f t="shared" si="136"/>
        <v>TSN</v>
      </c>
      <c r="AE180" s="61">
        <f t="shared" si="137"/>
        <v>100</v>
      </c>
      <c r="AF180" s="61">
        <f t="shared" si="138"/>
        <v>39</v>
      </c>
    </row>
    <row r="181" spans="1:42" s="65" customFormat="1" ht="12.75" customHeight="1">
      <c r="A181" s="52" t="s">
        <v>14</v>
      </c>
      <c r="B181" s="1" t="s">
        <v>18</v>
      </c>
      <c r="C181" s="325">
        <v>50</v>
      </c>
      <c r="D181" s="325">
        <v>650</v>
      </c>
      <c r="E181" s="69">
        <f t="shared" si="130"/>
        <v>0</v>
      </c>
      <c r="F181" s="70">
        <f t="shared" si="131"/>
        <v>0</v>
      </c>
      <c r="G181" s="325">
        <f t="shared" si="132"/>
        <v>-50</v>
      </c>
      <c r="H181" s="325">
        <f t="shared" si="133"/>
        <v>-650</v>
      </c>
      <c r="I181" s="70"/>
      <c r="J181" s="70"/>
      <c r="K181" s="70"/>
      <c r="L181" s="70"/>
      <c r="M181" s="70">
        <f t="shared" si="134"/>
        <v>0</v>
      </c>
      <c r="N181" s="70">
        <f t="shared" si="135"/>
        <v>0</v>
      </c>
      <c r="O181" s="71"/>
      <c r="P181" s="71"/>
      <c r="Q181" s="70"/>
      <c r="R181" s="70"/>
      <c r="S181" s="72"/>
      <c r="T181" s="252">
        <f t="shared" si="140"/>
        <v>0</v>
      </c>
      <c r="U181" s="73"/>
      <c r="V181" s="73"/>
      <c r="W181" s="73"/>
      <c r="X181" s="73"/>
      <c r="Y181" s="73"/>
      <c r="AA181" s="61">
        <f>H170</f>
        <v>19</v>
      </c>
      <c r="AB181" s="61" t="str">
        <f>E170</f>
        <v>PMX-QAJ-045 W</v>
      </c>
      <c r="AC181" s="74" t="s">
        <v>47</v>
      </c>
      <c r="AD181" s="61" t="str">
        <f t="shared" si="136"/>
        <v>XMN</v>
      </c>
      <c r="AE181" s="61">
        <f t="shared" si="137"/>
        <v>50</v>
      </c>
      <c r="AF181" s="61">
        <f t="shared" si="138"/>
        <v>0</v>
      </c>
    </row>
    <row r="182" spans="1:42" s="65" customFormat="1" ht="12.75" customHeight="1">
      <c r="A182" s="52" t="s">
        <v>19</v>
      </c>
      <c r="B182" s="1" t="s">
        <v>18</v>
      </c>
      <c r="C182" s="325">
        <v>20</v>
      </c>
      <c r="D182" s="325">
        <v>260</v>
      </c>
      <c r="E182" s="69">
        <f t="shared" si="130"/>
        <v>0</v>
      </c>
      <c r="F182" s="70">
        <f t="shared" si="131"/>
        <v>0</v>
      </c>
      <c r="G182" s="325">
        <f t="shared" si="132"/>
        <v>-20</v>
      </c>
      <c r="H182" s="325">
        <f t="shared" si="133"/>
        <v>-260</v>
      </c>
      <c r="I182" s="70"/>
      <c r="J182" s="70"/>
      <c r="K182" s="70"/>
      <c r="L182" s="70"/>
      <c r="M182" s="70">
        <f t="shared" si="134"/>
        <v>0</v>
      </c>
      <c r="N182" s="70">
        <f t="shared" si="135"/>
        <v>0</v>
      </c>
      <c r="O182" s="70"/>
      <c r="P182" s="70"/>
      <c r="Q182" s="70"/>
      <c r="R182" s="70"/>
      <c r="S182" s="72"/>
      <c r="T182" s="252">
        <f t="shared" si="140"/>
        <v>0</v>
      </c>
      <c r="U182" s="73"/>
      <c r="V182" s="73"/>
      <c r="W182" s="73"/>
      <c r="X182" s="73"/>
      <c r="Y182" s="73"/>
      <c r="AA182" s="61">
        <f>H170</f>
        <v>19</v>
      </c>
      <c r="AB182" s="61" t="str">
        <f>E170</f>
        <v>PMX-QAJ-045 W</v>
      </c>
      <c r="AC182" s="74" t="s">
        <v>47</v>
      </c>
      <c r="AD182" s="61" t="str">
        <f t="shared" si="136"/>
        <v>TWC</v>
      </c>
      <c r="AE182" s="61">
        <f t="shared" si="137"/>
        <v>20</v>
      </c>
      <c r="AF182" s="61">
        <f t="shared" si="138"/>
        <v>0</v>
      </c>
    </row>
    <row r="183" spans="1:42" s="65" customFormat="1" ht="12.75" customHeight="1">
      <c r="A183" s="52" t="s">
        <v>16</v>
      </c>
      <c r="B183" s="26"/>
      <c r="C183" s="325"/>
      <c r="D183" s="325"/>
      <c r="E183" s="69">
        <f t="shared" si="130"/>
        <v>0</v>
      </c>
      <c r="F183" s="70">
        <f t="shared" si="131"/>
        <v>0</v>
      </c>
      <c r="G183" s="325">
        <f t="shared" si="132"/>
        <v>0</v>
      </c>
      <c r="H183" s="325">
        <f t="shared" si="133"/>
        <v>0</v>
      </c>
      <c r="I183" s="70"/>
      <c r="J183" s="70"/>
      <c r="K183" s="70"/>
      <c r="L183" s="70"/>
      <c r="M183" s="70">
        <f t="shared" si="134"/>
        <v>0</v>
      </c>
      <c r="N183" s="70">
        <f t="shared" si="135"/>
        <v>0</v>
      </c>
      <c r="O183" s="70"/>
      <c r="P183" s="70"/>
      <c r="Q183" s="70"/>
      <c r="S183" s="72"/>
      <c r="T183" s="252" t="e">
        <f t="shared" si="140"/>
        <v>#DIV/0!</v>
      </c>
      <c r="U183" s="73"/>
      <c r="V183" s="73"/>
      <c r="W183" s="73"/>
      <c r="X183" s="73"/>
      <c r="Y183" s="73"/>
      <c r="AA183" s="61">
        <f>H170</f>
        <v>19</v>
      </c>
      <c r="AB183" s="61" t="str">
        <f>E170</f>
        <v>PMX-QAJ-045 W</v>
      </c>
      <c r="AC183" s="74" t="s">
        <v>47</v>
      </c>
      <c r="AD183" s="61" t="str">
        <f t="shared" si="136"/>
        <v>HUA</v>
      </c>
      <c r="AE183" s="61">
        <f t="shared" si="137"/>
        <v>0</v>
      </c>
      <c r="AF183" s="61">
        <f t="shared" si="138"/>
        <v>0</v>
      </c>
    </row>
    <row r="184" spans="1:42" s="65" customFormat="1" ht="12.75" customHeight="1">
      <c r="A184" s="52" t="s">
        <v>2</v>
      </c>
      <c r="B184" s="26"/>
      <c r="C184" s="325"/>
      <c r="D184" s="325"/>
      <c r="E184" s="69">
        <f t="shared" si="130"/>
        <v>0</v>
      </c>
      <c r="F184" s="70">
        <f t="shared" si="131"/>
        <v>0</v>
      </c>
      <c r="G184" s="325"/>
      <c r="H184" s="325"/>
      <c r="I184" s="70"/>
      <c r="J184" s="70"/>
      <c r="K184" s="70"/>
      <c r="L184" s="70"/>
      <c r="M184" s="70">
        <f t="shared" si="134"/>
        <v>0</v>
      </c>
      <c r="N184" s="70">
        <f t="shared" si="135"/>
        <v>0</v>
      </c>
      <c r="O184" s="70"/>
      <c r="P184" s="70"/>
      <c r="Q184" s="70"/>
      <c r="R184" s="70"/>
      <c r="S184" s="72"/>
      <c r="T184" s="252" t="e">
        <f t="shared" si="140"/>
        <v>#DIV/0!</v>
      </c>
      <c r="U184" s="73"/>
      <c r="V184" s="73"/>
      <c r="W184" s="73"/>
      <c r="X184" s="73"/>
      <c r="Y184" s="73"/>
      <c r="AA184" s="61">
        <f>H170</f>
        <v>19</v>
      </c>
      <c r="AB184" s="61" t="str">
        <f>E170</f>
        <v>PMX-QAJ-045 W</v>
      </c>
      <c r="AC184" s="74" t="s">
        <v>47</v>
      </c>
      <c r="AD184" s="61" t="str">
        <f t="shared" si="136"/>
        <v>HKG</v>
      </c>
      <c r="AE184" s="61">
        <f t="shared" si="137"/>
        <v>0</v>
      </c>
      <c r="AF184" s="61">
        <f t="shared" si="138"/>
        <v>0</v>
      </c>
    </row>
    <row r="185" spans="1:42" s="65" customFormat="1" ht="12.75" customHeight="1">
      <c r="A185" s="52" t="s">
        <v>3</v>
      </c>
      <c r="B185" s="1">
        <f>B164+7</f>
        <v>43229</v>
      </c>
      <c r="C185" s="325">
        <v>150</v>
      </c>
      <c r="D185" s="325">
        <v>1950</v>
      </c>
      <c r="E185" s="69">
        <f t="shared" si="130"/>
        <v>150</v>
      </c>
      <c r="F185" s="70">
        <f t="shared" si="131"/>
        <v>1950</v>
      </c>
      <c r="G185" s="325">
        <f t="shared" ref="G185:G188" si="141">E185-C185</f>
        <v>0</v>
      </c>
      <c r="H185" s="325">
        <f t="shared" ref="H185:H188" si="142">F185-D185</f>
        <v>0</v>
      </c>
      <c r="I185" s="70"/>
      <c r="J185" s="70"/>
      <c r="K185" s="70"/>
      <c r="L185" s="70"/>
      <c r="M185" s="70">
        <f t="shared" si="134"/>
        <v>0</v>
      </c>
      <c r="N185" s="70">
        <f t="shared" si="135"/>
        <v>0</v>
      </c>
      <c r="O185" s="325"/>
      <c r="P185" s="325"/>
      <c r="Q185" s="70">
        <v>150</v>
      </c>
      <c r="R185" s="70">
        <v>1950</v>
      </c>
      <c r="S185" s="72"/>
      <c r="T185" s="252">
        <f t="shared" si="140"/>
        <v>1</v>
      </c>
      <c r="U185" s="73"/>
      <c r="V185" s="73"/>
      <c r="W185" s="73"/>
      <c r="X185" s="73"/>
      <c r="Y185" s="73"/>
      <c r="AA185" s="61">
        <f>H170</f>
        <v>19</v>
      </c>
      <c r="AB185" s="61" t="str">
        <f>E170</f>
        <v>PMX-QAJ-045 W</v>
      </c>
      <c r="AC185" s="74" t="s">
        <v>47</v>
      </c>
      <c r="AD185" s="61" t="str">
        <f t="shared" si="136"/>
        <v>SGP</v>
      </c>
      <c r="AE185" s="61">
        <f t="shared" si="137"/>
        <v>150</v>
      </c>
      <c r="AF185" s="61">
        <f t="shared" si="138"/>
        <v>150</v>
      </c>
    </row>
    <row r="186" spans="1:42" s="65" customFormat="1" ht="12.75" customHeight="1">
      <c r="A186" s="52" t="s">
        <v>4</v>
      </c>
      <c r="B186" s="1">
        <f>B165+7</f>
        <v>43231</v>
      </c>
      <c r="C186" s="325">
        <v>50</v>
      </c>
      <c r="D186" s="325">
        <v>650</v>
      </c>
      <c r="E186" s="69">
        <f t="shared" si="130"/>
        <v>50</v>
      </c>
      <c r="F186" s="70">
        <f t="shared" si="131"/>
        <v>650</v>
      </c>
      <c r="G186" s="325">
        <f t="shared" si="141"/>
        <v>0</v>
      </c>
      <c r="H186" s="325">
        <f t="shared" si="142"/>
        <v>0</v>
      </c>
      <c r="I186" s="70"/>
      <c r="J186" s="70"/>
      <c r="K186" s="70"/>
      <c r="L186" s="70"/>
      <c r="M186" s="70">
        <f t="shared" si="134"/>
        <v>0</v>
      </c>
      <c r="N186" s="70">
        <f t="shared" si="135"/>
        <v>0</v>
      </c>
      <c r="O186" s="70"/>
      <c r="P186" s="70"/>
      <c r="Q186" s="70">
        <v>50</v>
      </c>
      <c r="R186" s="70">
        <v>650</v>
      </c>
      <c r="S186" s="72"/>
      <c r="T186" s="73"/>
      <c r="U186" s="73"/>
      <c r="V186" s="73"/>
      <c r="W186" s="73"/>
      <c r="X186" s="73"/>
      <c r="Y186" s="73"/>
      <c r="AA186" s="61">
        <f>H170</f>
        <v>19</v>
      </c>
      <c r="AB186" s="61" t="str">
        <f>E170</f>
        <v>PMX-QAJ-045 W</v>
      </c>
      <c r="AC186" s="74" t="s">
        <v>47</v>
      </c>
      <c r="AD186" s="61" t="str">
        <f t="shared" si="136"/>
        <v>PKL</v>
      </c>
      <c r="AE186" s="61">
        <f t="shared" si="137"/>
        <v>50</v>
      </c>
      <c r="AF186" s="61">
        <f t="shared" si="138"/>
        <v>50</v>
      </c>
    </row>
    <row r="187" spans="1:42" s="65" customFormat="1" ht="12.75" customHeight="1">
      <c r="A187" s="52" t="s">
        <v>15</v>
      </c>
      <c r="B187" s="325"/>
      <c r="C187" s="325"/>
      <c r="D187" s="325"/>
      <c r="E187" s="69">
        <f t="shared" si="130"/>
        <v>0</v>
      </c>
      <c r="F187" s="70">
        <f t="shared" si="131"/>
        <v>0</v>
      </c>
      <c r="G187" s="325">
        <f t="shared" si="141"/>
        <v>0</v>
      </c>
      <c r="H187" s="325">
        <f t="shared" si="142"/>
        <v>0</v>
      </c>
      <c r="I187" s="70"/>
      <c r="J187" s="70"/>
      <c r="K187" s="70"/>
      <c r="L187" s="70"/>
      <c r="M187" s="70">
        <f t="shared" si="134"/>
        <v>0</v>
      </c>
      <c r="N187" s="70">
        <f t="shared" si="135"/>
        <v>0</v>
      </c>
      <c r="O187" s="71"/>
      <c r="P187" s="71"/>
      <c r="Q187" s="71"/>
      <c r="R187" s="71"/>
      <c r="S187" s="72"/>
      <c r="T187" s="73"/>
      <c r="U187" s="73"/>
      <c r="V187" s="73"/>
      <c r="W187" s="73"/>
      <c r="X187" s="73"/>
      <c r="Y187" s="73"/>
      <c r="AA187" s="61">
        <f>H170</f>
        <v>19</v>
      </c>
      <c r="AB187" s="61" t="str">
        <f>E170</f>
        <v>PMX-QAJ-045 W</v>
      </c>
      <c r="AC187" s="74" t="s">
        <v>47</v>
      </c>
      <c r="AD187" s="61" t="str">
        <f t="shared" si="136"/>
        <v>T/S</v>
      </c>
      <c r="AE187" s="61">
        <f t="shared" si="137"/>
        <v>0</v>
      </c>
      <c r="AF187" s="61">
        <f t="shared" si="138"/>
        <v>0</v>
      </c>
    </row>
    <row r="188" spans="1:42" s="65" customFormat="1" ht="12.75" customHeight="1">
      <c r="A188" s="51" t="s">
        <v>36</v>
      </c>
      <c r="B188" s="72"/>
      <c r="C188" s="71">
        <v>1949</v>
      </c>
      <c r="D188" s="71">
        <f>C188*13</f>
        <v>25337</v>
      </c>
      <c r="E188" s="78">
        <f>SUM(E174:E187)</f>
        <v>499</v>
      </c>
      <c r="F188" s="76">
        <f>SUM(F174:F187)</f>
        <v>8302</v>
      </c>
      <c r="G188" s="71">
        <f t="shared" si="141"/>
        <v>-1450</v>
      </c>
      <c r="H188" s="71">
        <f t="shared" si="142"/>
        <v>-17035</v>
      </c>
      <c r="I188" s="70">
        <f t="shared" ref="I188:L188" si="143">SUM(I174:I187)</f>
        <v>20</v>
      </c>
      <c r="J188" s="70">
        <f t="shared" si="143"/>
        <v>118</v>
      </c>
      <c r="K188" s="70">
        <f t="shared" si="143"/>
        <v>13</v>
      </c>
      <c r="L188" s="70">
        <f t="shared" si="143"/>
        <v>119</v>
      </c>
      <c r="M188" s="70">
        <f t="shared" si="134"/>
        <v>33</v>
      </c>
      <c r="N188" s="70">
        <f t="shared" si="135"/>
        <v>237</v>
      </c>
      <c r="O188" s="70">
        <f t="shared" ref="O188:R188" si="144">SUM(O174:O187)</f>
        <v>257</v>
      </c>
      <c r="P188" s="70">
        <f t="shared" si="144"/>
        <v>4800</v>
      </c>
      <c r="Q188" s="70">
        <f t="shared" si="144"/>
        <v>242</v>
      </c>
      <c r="R188" s="70">
        <f t="shared" si="144"/>
        <v>3502</v>
      </c>
      <c r="S188" s="72"/>
      <c r="T188" s="73"/>
      <c r="U188" s="73"/>
      <c r="V188" s="73"/>
      <c r="W188" s="73"/>
      <c r="X188" s="73"/>
      <c r="Y188" s="73"/>
      <c r="AA188" s="61"/>
      <c r="AB188" s="61"/>
      <c r="AC188" s="61"/>
      <c r="AD188" s="61"/>
      <c r="AE188" s="61"/>
      <c r="AF188" s="61"/>
    </row>
    <row r="189" spans="1:42" s="65" customFormat="1" ht="12.75" customHeight="1">
      <c r="A189" s="84">
        <f>D188/C188</f>
        <v>13</v>
      </c>
      <c r="C189" s="326">
        <f>F188-E189</f>
        <v>-14501.3</v>
      </c>
      <c r="E189" s="65">
        <f>D188*0.9</f>
        <v>22803.3</v>
      </c>
      <c r="F189" s="326">
        <f>E188-L189</f>
        <v>-1255.1000000000001</v>
      </c>
      <c r="I189" s="80" t="s">
        <v>48</v>
      </c>
      <c r="J189" s="245">
        <f>E188/C188</f>
        <v>0.25602873268342741</v>
      </c>
      <c r="K189" s="80"/>
      <c r="L189" s="80">
        <f>C188*0.9</f>
        <v>1754.1000000000001</v>
      </c>
      <c r="M189" s="80"/>
      <c r="N189" s="80"/>
      <c r="O189" s="80" t="s">
        <v>49</v>
      </c>
      <c r="P189" s="80"/>
      <c r="Q189" s="65">
        <f>P175+P176+P178+P179+P180+J175+J176+L175+L176+J178+R178</f>
        <v>5037</v>
      </c>
      <c r="R189" s="65">
        <v>16856</v>
      </c>
      <c r="AA189" s="81"/>
      <c r="AB189" s="81"/>
      <c r="AC189" s="81"/>
      <c r="AD189" s="81"/>
      <c r="AE189" s="81"/>
      <c r="AF189" s="81"/>
    </row>
    <row r="190" spans="1:42" s="24" customFormat="1" ht="12.75" customHeight="1"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3"/>
      <c r="AB190" s="83"/>
      <c r="AC190" s="83"/>
      <c r="AD190" s="83"/>
      <c r="AE190" s="83"/>
      <c r="AF190" s="83"/>
      <c r="AG190" s="80"/>
      <c r="AH190" s="80"/>
      <c r="AI190" s="80"/>
      <c r="AJ190" s="80"/>
      <c r="AK190" s="80"/>
      <c r="AL190" s="80"/>
      <c r="AM190" s="80"/>
      <c r="AN190" s="80"/>
      <c r="AO190" s="80"/>
      <c r="AP190" s="80"/>
    </row>
    <row r="191" spans="1:42" s="24" customFormat="1" ht="12.75" customHeight="1"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3"/>
      <c r="AB191" s="83"/>
      <c r="AC191" s="83"/>
      <c r="AD191" s="83"/>
      <c r="AE191" s="83"/>
      <c r="AF191" s="83"/>
      <c r="AG191" s="80"/>
      <c r="AH191" s="80"/>
      <c r="AI191" s="80"/>
      <c r="AJ191" s="80"/>
      <c r="AK191" s="80"/>
      <c r="AL191" s="80"/>
      <c r="AM191" s="80"/>
      <c r="AN191" s="80"/>
      <c r="AO191" s="80"/>
      <c r="AP191" s="80"/>
    </row>
    <row r="192" spans="1:42" s="24" customFormat="1" ht="12.75" customHeight="1"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3"/>
      <c r="AB192" s="83"/>
      <c r="AC192" s="83"/>
      <c r="AD192" s="83"/>
      <c r="AE192" s="83"/>
      <c r="AF192" s="83"/>
      <c r="AG192" s="80"/>
      <c r="AH192" s="80"/>
      <c r="AI192" s="80"/>
      <c r="AJ192" s="80"/>
      <c r="AK192" s="80"/>
      <c r="AL192" s="80"/>
      <c r="AM192" s="80"/>
      <c r="AN192" s="80"/>
      <c r="AO192" s="80"/>
      <c r="AP192" s="80"/>
    </row>
    <row r="193" spans="3:42" s="24" customFormat="1" ht="12.75" customHeight="1"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3"/>
      <c r="AB193" s="83"/>
      <c r="AC193" s="83"/>
      <c r="AD193" s="83"/>
      <c r="AE193" s="83"/>
      <c r="AF193" s="83"/>
      <c r="AG193" s="80"/>
      <c r="AH193" s="80"/>
      <c r="AI193" s="80"/>
      <c r="AJ193" s="80"/>
      <c r="AK193" s="80"/>
      <c r="AL193" s="80"/>
      <c r="AM193" s="80"/>
      <c r="AN193" s="80"/>
      <c r="AO193" s="80"/>
      <c r="AP193" s="80"/>
    </row>
    <row r="194" spans="3:42" s="24" customFormat="1" ht="12.75" customHeight="1"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3"/>
      <c r="AB194" s="83"/>
      <c r="AC194" s="83"/>
      <c r="AD194" s="83"/>
      <c r="AE194" s="83"/>
      <c r="AF194" s="83"/>
      <c r="AG194" s="80"/>
      <c r="AH194" s="80"/>
      <c r="AI194" s="80"/>
      <c r="AJ194" s="80"/>
      <c r="AK194" s="80"/>
      <c r="AL194" s="80"/>
      <c r="AM194" s="80"/>
      <c r="AN194" s="80"/>
      <c r="AO194" s="80"/>
      <c r="AP194" s="80"/>
    </row>
    <row r="195" spans="3:42" s="24" customFormat="1" ht="12.75" customHeight="1"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3"/>
      <c r="AB195" s="83"/>
      <c r="AC195" s="83"/>
      <c r="AD195" s="83"/>
      <c r="AE195" s="83"/>
      <c r="AF195" s="83"/>
      <c r="AG195" s="80"/>
      <c r="AH195" s="80"/>
      <c r="AI195" s="80"/>
      <c r="AJ195" s="80"/>
      <c r="AK195" s="80"/>
      <c r="AL195" s="80"/>
      <c r="AM195" s="80"/>
      <c r="AN195" s="80"/>
      <c r="AO195" s="80"/>
      <c r="AP195" s="80"/>
    </row>
    <row r="196" spans="3:42" s="24" customFormat="1" ht="12.75" customHeight="1"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3"/>
      <c r="AB196" s="83"/>
      <c r="AC196" s="83"/>
      <c r="AD196" s="83"/>
      <c r="AE196" s="83"/>
      <c r="AF196" s="83"/>
      <c r="AG196" s="80"/>
      <c r="AH196" s="80"/>
      <c r="AI196" s="80"/>
      <c r="AJ196" s="80"/>
      <c r="AK196" s="80"/>
      <c r="AL196" s="80"/>
      <c r="AM196" s="80"/>
      <c r="AN196" s="80"/>
      <c r="AO196" s="80"/>
      <c r="AP196" s="80"/>
    </row>
    <row r="197" spans="3:42" s="24" customFormat="1" ht="12.75" customHeight="1"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3"/>
      <c r="AB197" s="83"/>
      <c r="AC197" s="83"/>
      <c r="AD197" s="83"/>
      <c r="AE197" s="83"/>
      <c r="AF197" s="83"/>
      <c r="AG197" s="80"/>
      <c r="AH197" s="80"/>
      <c r="AI197" s="80"/>
      <c r="AJ197" s="80"/>
      <c r="AK197" s="80"/>
      <c r="AL197" s="80"/>
      <c r="AM197" s="80"/>
      <c r="AN197" s="80"/>
      <c r="AO197" s="80"/>
      <c r="AP197" s="80"/>
    </row>
    <row r="198" spans="3:42" s="24" customFormat="1" ht="12.75" customHeight="1"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3"/>
      <c r="AB198" s="83"/>
      <c r="AC198" s="83"/>
      <c r="AD198" s="83"/>
      <c r="AE198" s="83"/>
      <c r="AF198" s="83"/>
      <c r="AG198" s="80"/>
      <c r="AH198" s="80"/>
      <c r="AI198" s="80"/>
      <c r="AJ198" s="80"/>
      <c r="AK198" s="80"/>
      <c r="AL198" s="80"/>
      <c r="AM198" s="80"/>
      <c r="AN198" s="80"/>
      <c r="AO198" s="80"/>
      <c r="AP198" s="80"/>
    </row>
    <row r="199" spans="3:42" s="24" customFormat="1" ht="12.75" customHeight="1"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3"/>
      <c r="AB199" s="83"/>
      <c r="AC199" s="83"/>
      <c r="AD199" s="83"/>
      <c r="AE199" s="83"/>
      <c r="AF199" s="83"/>
      <c r="AG199" s="80"/>
      <c r="AH199" s="80"/>
      <c r="AI199" s="80"/>
      <c r="AJ199" s="80"/>
      <c r="AK199" s="80"/>
      <c r="AL199" s="80"/>
      <c r="AM199" s="80"/>
      <c r="AN199" s="80"/>
      <c r="AO199" s="80"/>
      <c r="AP199" s="80"/>
    </row>
    <row r="200" spans="3:42" s="24" customFormat="1" ht="12.75" customHeight="1"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3"/>
      <c r="AB200" s="83"/>
      <c r="AC200" s="83"/>
      <c r="AD200" s="83"/>
      <c r="AE200" s="83"/>
      <c r="AF200" s="83"/>
      <c r="AG200" s="80"/>
      <c r="AH200" s="80"/>
      <c r="AI200" s="80"/>
      <c r="AJ200" s="80"/>
      <c r="AK200" s="80"/>
      <c r="AL200" s="80"/>
      <c r="AM200" s="80"/>
      <c r="AN200" s="80"/>
      <c r="AO200" s="80"/>
      <c r="AP200" s="80"/>
    </row>
    <row r="201" spans="3:42" s="24" customFormat="1" ht="12.75" customHeight="1"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3"/>
      <c r="AB201" s="83"/>
      <c r="AC201" s="83"/>
      <c r="AD201" s="83"/>
      <c r="AE201" s="83"/>
      <c r="AF201" s="83"/>
      <c r="AG201" s="80"/>
      <c r="AH201" s="80"/>
      <c r="AI201" s="80"/>
      <c r="AJ201" s="80"/>
      <c r="AK201" s="80"/>
      <c r="AL201" s="80"/>
      <c r="AM201" s="80"/>
      <c r="AN201" s="80"/>
      <c r="AO201" s="80"/>
      <c r="AP201" s="80"/>
    </row>
    <row r="202" spans="3:42" s="24" customFormat="1" ht="12.75" customHeight="1"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3"/>
      <c r="AB202" s="83"/>
      <c r="AC202" s="83"/>
      <c r="AD202" s="83"/>
      <c r="AE202" s="83"/>
      <c r="AF202" s="83"/>
      <c r="AG202" s="80"/>
      <c r="AH202" s="80"/>
      <c r="AI202" s="80"/>
      <c r="AJ202" s="80"/>
      <c r="AK202" s="80"/>
      <c r="AL202" s="80"/>
      <c r="AM202" s="80"/>
      <c r="AN202" s="80"/>
      <c r="AO202" s="80"/>
      <c r="AP202" s="80"/>
    </row>
    <row r="203" spans="3:42" s="24" customFormat="1" ht="12.75" customHeight="1"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3"/>
      <c r="AB203" s="83"/>
      <c r="AC203" s="83"/>
      <c r="AD203" s="83"/>
      <c r="AE203" s="83"/>
      <c r="AF203" s="83"/>
      <c r="AG203" s="80"/>
      <c r="AH203" s="80"/>
      <c r="AI203" s="80"/>
      <c r="AJ203" s="80"/>
      <c r="AK203" s="80"/>
      <c r="AL203" s="80"/>
      <c r="AM203" s="80"/>
      <c r="AN203" s="80"/>
      <c r="AO203" s="80"/>
      <c r="AP203" s="80"/>
    </row>
    <row r="204" spans="3:42" s="24" customFormat="1" ht="12.75" customHeight="1"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3"/>
      <c r="AB204" s="83"/>
      <c r="AC204" s="83"/>
      <c r="AD204" s="83"/>
      <c r="AE204" s="83"/>
      <c r="AF204" s="83"/>
      <c r="AG204" s="80"/>
      <c r="AH204" s="80"/>
      <c r="AI204" s="80"/>
      <c r="AJ204" s="80"/>
      <c r="AK204" s="80"/>
      <c r="AL204" s="80"/>
      <c r="AM204" s="80"/>
      <c r="AN204" s="80"/>
      <c r="AO204" s="80"/>
      <c r="AP204" s="80"/>
    </row>
  </sheetData>
  <mergeCells count="108">
    <mergeCell ref="Z150:Z151"/>
    <mergeCell ref="M151:N151"/>
    <mergeCell ref="Z152:Z153"/>
    <mergeCell ref="A150:A152"/>
    <mergeCell ref="B150:B152"/>
    <mergeCell ref="C150:D151"/>
    <mergeCell ref="E150:F151"/>
    <mergeCell ref="G150:H151"/>
    <mergeCell ref="I150:N150"/>
    <mergeCell ref="O150:P151"/>
    <mergeCell ref="Q150:R151"/>
    <mergeCell ref="S150:S152"/>
    <mergeCell ref="Z66:Z67"/>
    <mergeCell ref="M67:N67"/>
    <mergeCell ref="Z68:Z69"/>
    <mergeCell ref="A87:A89"/>
    <mergeCell ref="B87:B89"/>
    <mergeCell ref="C87:D88"/>
    <mergeCell ref="E87:F88"/>
    <mergeCell ref="G87:H88"/>
    <mergeCell ref="I87:N87"/>
    <mergeCell ref="O87:P88"/>
    <mergeCell ref="Q87:R88"/>
    <mergeCell ref="S87:S89"/>
    <mergeCell ref="Z87:Z88"/>
    <mergeCell ref="M88:N88"/>
    <mergeCell ref="Z89:Z90"/>
    <mergeCell ref="A66:A68"/>
    <mergeCell ref="B66:B68"/>
    <mergeCell ref="C66:D67"/>
    <mergeCell ref="E66:F67"/>
    <mergeCell ref="G66:H67"/>
    <mergeCell ref="I66:N66"/>
    <mergeCell ref="O66:P67"/>
    <mergeCell ref="Q66:R67"/>
    <mergeCell ref="S66:S68"/>
    <mergeCell ref="S24:S26"/>
    <mergeCell ref="Z24:Z25"/>
    <mergeCell ref="Z26:Z27"/>
    <mergeCell ref="A45:A47"/>
    <mergeCell ref="B45:B47"/>
    <mergeCell ref="C45:D46"/>
    <mergeCell ref="E45:F46"/>
    <mergeCell ref="G45:H46"/>
    <mergeCell ref="I45:N45"/>
    <mergeCell ref="O45:P46"/>
    <mergeCell ref="Q45:R46"/>
    <mergeCell ref="S45:S47"/>
    <mergeCell ref="Z45:Z46"/>
    <mergeCell ref="M46:N46"/>
    <mergeCell ref="Z47:Z48"/>
    <mergeCell ref="A24:A26"/>
    <mergeCell ref="B24:B26"/>
    <mergeCell ref="C24:D25"/>
    <mergeCell ref="E24:F25"/>
    <mergeCell ref="I24:N24"/>
    <mergeCell ref="M25:N25"/>
    <mergeCell ref="O24:P25"/>
    <mergeCell ref="Q24:R25"/>
    <mergeCell ref="G24:H25"/>
    <mergeCell ref="S3:S5"/>
    <mergeCell ref="A3:A5"/>
    <mergeCell ref="B3:B5"/>
    <mergeCell ref="Z3:Z4"/>
    <mergeCell ref="Z5:Z6"/>
    <mergeCell ref="I3:N3"/>
    <mergeCell ref="M4:N4"/>
    <mergeCell ref="C3:D4"/>
    <mergeCell ref="E3:F4"/>
    <mergeCell ref="O3:P4"/>
    <mergeCell ref="Q3:R4"/>
    <mergeCell ref="G3:H4"/>
    <mergeCell ref="I108:N108"/>
    <mergeCell ref="O108:P109"/>
    <mergeCell ref="Q108:R109"/>
    <mergeCell ref="S108:S110"/>
    <mergeCell ref="Z108:Z109"/>
    <mergeCell ref="M109:N109"/>
    <mergeCell ref="Z110:Z111"/>
    <mergeCell ref="A108:A110"/>
    <mergeCell ref="B108:B110"/>
    <mergeCell ref="C108:D109"/>
    <mergeCell ref="E108:F109"/>
    <mergeCell ref="G108:H109"/>
    <mergeCell ref="I129:N129"/>
    <mergeCell ref="O129:P130"/>
    <mergeCell ref="Q129:R130"/>
    <mergeCell ref="S129:S131"/>
    <mergeCell ref="Z129:Z130"/>
    <mergeCell ref="M130:N130"/>
    <mergeCell ref="Z131:Z132"/>
    <mergeCell ref="A129:A131"/>
    <mergeCell ref="B129:B131"/>
    <mergeCell ref="C129:D130"/>
    <mergeCell ref="E129:F130"/>
    <mergeCell ref="G129:H130"/>
    <mergeCell ref="I171:N171"/>
    <mergeCell ref="O171:P172"/>
    <mergeCell ref="Q171:R172"/>
    <mergeCell ref="S171:S173"/>
    <mergeCell ref="Z171:Z172"/>
    <mergeCell ref="M172:N172"/>
    <mergeCell ref="Z173:Z174"/>
    <mergeCell ref="A171:A173"/>
    <mergeCell ref="B171:B173"/>
    <mergeCell ref="C171:D172"/>
    <mergeCell ref="E171:F172"/>
    <mergeCell ref="G171:H172"/>
  </mergeCells>
  <phoneticPr fontId="8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8"/>
  <sheetViews>
    <sheetView showZeros="0" topLeftCell="A101" zoomScaleNormal="100" workbookViewId="0">
      <selection activeCell="I144" sqref="I144"/>
    </sheetView>
  </sheetViews>
  <sheetFormatPr defaultRowHeight="13.5"/>
  <cols>
    <col min="1" max="1" width="9" style="25"/>
    <col min="2" max="2" width="10.25" style="25" customWidth="1"/>
    <col min="3" max="18" width="6.375" style="87" customWidth="1"/>
    <col min="19" max="27" width="9" style="87"/>
    <col min="28" max="28" width="12.125" style="87" customWidth="1"/>
    <col min="29" max="29" width="5.5" style="87" customWidth="1"/>
    <col min="30" max="33" width="9" style="87"/>
    <col min="34" max="16384" width="9" style="25"/>
  </cols>
  <sheetData>
    <row r="1" spans="1:33" s="87" customFormat="1" hidden="1"/>
    <row r="2" spans="1:33" s="18" customFormat="1" ht="12.75" hidden="1" customHeight="1">
      <c r="A2" s="16" t="s">
        <v>64</v>
      </c>
      <c r="B2" s="17" t="s">
        <v>66</v>
      </c>
      <c r="C2" s="56"/>
      <c r="D2" s="57"/>
      <c r="E2" s="58" t="s">
        <v>458</v>
      </c>
      <c r="F2" s="57"/>
      <c r="G2" s="59" t="s">
        <v>37</v>
      </c>
      <c r="H2" s="60">
        <v>12</v>
      </c>
      <c r="I2" s="57"/>
      <c r="J2" s="57" t="s">
        <v>55</v>
      </c>
      <c r="K2" s="57"/>
      <c r="L2" s="57"/>
      <c r="M2" s="61"/>
      <c r="N2" s="61"/>
      <c r="O2" s="61"/>
      <c r="P2" s="61"/>
      <c r="Q2" s="61"/>
      <c r="R2" s="61"/>
      <c r="S2" s="61"/>
      <c r="T2" s="61"/>
      <c r="U2" s="61"/>
      <c r="V2" s="61"/>
      <c r="W2" s="62"/>
      <c r="X2" s="62"/>
      <c r="Y2" s="62"/>
      <c r="Z2" s="62"/>
      <c r="AA2" s="62"/>
      <c r="AB2" s="62"/>
      <c r="AC2" s="62"/>
      <c r="AD2" s="63"/>
      <c r="AE2" s="63"/>
      <c r="AF2" s="63"/>
      <c r="AG2" s="63"/>
    </row>
    <row r="3" spans="1:33" s="19" customFormat="1" ht="12.75" hidden="1" customHeight="1">
      <c r="A3" s="340" t="s">
        <v>0</v>
      </c>
      <c r="B3" s="336" t="s">
        <v>1</v>
      </c>
      <c r="C3" s="331" t="s">
        <v>25</v>
      </c>
      <c r="D3" s="332"/>
      <c r="E3" s="331" t="s">
        <v>21</v>
      </c>
      <c r="F3" s="332"/>
      <c r="G3" s="335" t="s">
        <v>24</v>
      </c>
      <c r="H3" s="335"/>
      <c r="I3" s="328" t="s">
        <v>33</v>
      </c>
      <c r="J3" s="329"/>
      <c r="K3" s="329"/>
      <c r="L3" s="329"/>
      <c r="M3" s="329"/>
      <c r="N3" s="330"/>
      <c r="O3" s="331" t="s">
        <v>22</v>
      </c>
      <c r="P3" s="332"/>
      <c r="Q3" s="335" t="s">
        <v>23</v>
      </c>
      <c r="R3" s="335"/>
      <c r="S3" s="336" t="s">
        <v>27</v>
      </c>
      <c r="T3" s="64"/>
      <c r="U3" s="64"/>
      <c r="V3" s="64"/>
      <c r="W3" s="339"/>
      <c r="X3" s="85"/>
      <c r="Y3" s="85"/>
      <c r="Z3" s="85"/>
      <c r="AA3" s="61"/>
      <c r="AB3" s="61"/>
      <c r="AC3" s="61"/>
      <c r="AD3" s="61"/>
      <c r="AE3" s="61"/>
      <c r="AF3" s="61"/>
      <c r="AG3" s="65"/>
    </row>
    <row r="4" spans="1:33" s="19" customFormat="1" ht="12.75" hidden="1" customHeight="1">
      <c r="A4" s="341"/>
      <c r="B4" s="337"/>
      <c r="C4" s="333"/>
      <c r="D4" s="334"/>
      <c r="E4" s="333"/>
      <c r="F4" s="334"/>
      <c r="G4" s="335"/>
      <c r="H4" s="335"/>
      <c r="I4" s="66" t="s">
        <v>28</v>
      </c>
      <c r="J4" s="67" t="s">
        <v>3</v>
      </c>
      <c r="K4" s="66" t="s">
        <v>29</v>
      </c>
      <c r="L4" s="67" t="s">
        <v>4</v>
      </c>
      <c r="M4" s="328" t="s">
        <v>30</v>
      </c>
      <c r="N4" s="330"/>
      <c r="O4" s="333"/>
      <c r="P4" s="334"/>
      <c r="Q4" s="335"/>
      <c r="R4" s="335"/>
      <c r="S4" s="337"/>
      <c r="T4" s="64"/>
      <c r="U4" s="64"/>
      <c r="V4" s="64"/>
      <c r="W4" s="339"/>
      <c r="X4" s="85"/>
      <c r="Y4" s="85"/>
      <c r="Z4" s="85"/>
      <c r="AA4" s="61"/>
      <c r="AB4" s="61"/>
      <c r="AC4" s="61"/>
      <c r="AD4" s="61"/>
      <c r="AE4" s="61"/>
      <c r="AF4" s="61"/>
      <c r="AG4" s="65"/>
    </row>
    <row r="5" spans="1:33" s="19" customFormat="1" ht="12.75" hidden="1" customHeight="1">
      <c r="A5" s="342"/>
      <c r="B5" s="338"/>
      <c r="C5" s="68" t="s">
        <v>5</v>
      </c>
      <c r="D5" s="68" t="s">
        <v>6</v>
      </c>
      <c r="E5" s="67" t="s">
        <v>5</v>
      </c>
      <c r="F5" s="68" t="s">
        <v>6</v>
      </c>
      <c r="G5" s="68" t="s">
        <v>5</v>
      </c>
      <c r="H5" s="68" t="s">
        <v>6</v>
      </c>
      <c r="I5" s="67" t="s">
        <v>5</v>
      </c>
      <c r="J5" s="68" t="s">
        <v>6</v>
      </c>
      <c r="K5" s="67" t="s">
        <v>5</v>
      </c>
      <c r="L5" s="68" t="s">
        <v>6</v>
      </c>
      <c r="M5" s="68"/>
      <c r="N5" s="68"/>
      <c r="O5" s="67" t="s">
        <v>5</v>
      </c>
      <c r="P5" s="68" t="s">
        <v>6</v>
      </c>
      <c r="Q5" s="68" t="s">
        <v>5</v>
      </c>
      <c r="R5" s="68" t="s">
        <v>6</v>
      </c>
      <c r="S5" s="338"/>
      <c r="T5" s="64"/>
      <c r="U5" s="64"/>
      <c r="V5" s="64"/>
      <c r="W5" s="339"/>
      <c r="X5" s="85"/>
      <c r="Y5" s="85"/>
      <c r="Z5" s="85"/>
      <c r="AA5" s="61" t="s">
        <v>43</v>
      </c>
      <c r="AB5" s="61" t="s">
        <v>45</v>
      </c>
      <c r="AC5" s="61" t="s">
        <v>46</v>
      </c>
      <c r="AD5" s="61" t="s">
        <v>42</v>
      </c>
      <c r="AE5" s="61" t="s">
        <v>41</v>
      </c>
      <c r="AF5" s="61" t="s">
        <v>44</v>
      </c>
      <c r="AG5" s="65"/>
    </row>
    <row r="6" spans="1:33" s="19" customFormat="1" ht="12.75" hidden="1" customHeight="1">
      <c r="A6" s="21" t="s">
        <v>71</v>
      </c>
      <c r="B6" s="1" t="s">
        <v>18</v>
      </c>
      <c r="C6" s="68">
        <v>0</v>
      </c>
      <c r="D6" s="68">
        <v>0</v>
      </c>
      <c r="E6" s="69">
        <f t="shared" ref="E6:F12" si="0">O6+Q6</f>
        <v>23</v>
      </c>
      <c r="F6" s="70">
        <f t="shared" si="0"/>
        <v>172</v>
      </c>
      <c r="G6" s="68">
        <f t="shared" ref="G6:H15" si="1">E6-C6</f>
        <v>23</v>
      </c>
      <c r="H6" s="68">
        <f t="shared" si="1"/>
        <v>172</v>
      </c>
      <c r="I6" s="70"/>
      <c r="J6" s="70"/>
      <c r="K6" s="70"/>
      <c r="L6" s="70"/>
      <c r="M6" s="70">
        <f t="shared" ref="M6:M11" si="2">I6+K6</f>
        <v>0</v>
      </c>
      <c r="N6" s="70">
        <f t="shared" ref="N6:N11" si="3">J6+L6</f>
        <v>0</v>
      </c>
      <c r="O6" s="71"/>
      <c r="P6" s="71"/>
      <c r="Q6" s="70">
        <v>23</v>
      </c>
      <c r="R6" s="70">
        <v>172</v>
      </c>
      <c r="S6" s="72"/>
      <c r="T6" s="252" t="e">
        <f>E6/C6</f>
        <v>#DIV/0!</v>
      </c>
      <c r="U6" s="73"/>
      <c r="V6" s="73"/>
      <c r="W6" s="339"/>
      <c r="X6" s="85"/>
      <c r="Y6" s="85"/>
      <c r="Z6" s="85"/>
      <c r="AA6" s="61">
        <f>H2</f>
        <v>12</v>
      </c>
      <c r="AB6" s="61" t="str">
        <f>E2</f>
        <v>PIX-RQ5-151 W</v>
      </c>
      <c r="AC6" s="74" t="s">
        <v>81</v>
      </c>
      <c r="AD6" s="61" t="str">
        <f t="shared" ref="AD6:AD12" si="4">A6</f>
        <v>TAO</v>
      </c>
      <c r="AE6" s="61">
        <f t="shared" ref="AE6:AE19" si="5">C6</f>
        <v>0</v>
      </c>
      <c r="AF6" s="61">
        <f t="shared" ref="AF6:AF19" si="6">E6</f>
        <v>23</v>
      </c>
      <c r="AG6" s="65"/>
    </row>
    <row r="7" spans="1:33" s="19" customFormat="1" ht="12.75" hidden="1" customHeight="1">
      <c r="A7" s="23" t="s">
        <v>72</v>
      </c>
      <c r="B7" s="1" t="s">
        <v>67</v>
      </c>
      <c r="C7" s="68">
        <v>0</v>
      </c>
      <c r="D7" s="68">
        <f t="shared" ref="D7:D8" si="7">C7*13</f>
        <v>0</v>
      </c>
      <c r="E7" s="69">
        <f t="shared" si="0"/>
        <v>2</v>
      </c>
      <c r="F7" s="70">
        <f t="shared" si="0"/>
        <v>20</v>
      </c>
      <c r="G7" s="68">
        <f t="shared" si="1"/>
        <v>2</v>
      </c>
      <c r="H7" s="68">
        <f t="shared" si="1"/>
        <v>20</v>
      </c>
      <c r="I7" s="75"/>
      <c r="J7" s="75"/>
      <c r="K7" s="70"/>
      <c r="L7" s="70"/>
      <c r="M7" s="70">
        <f t="shared" si="2"/>
        <v>0</v>
      </c>
      <c r="N7" s="70">
        <f t="shared" si="3"/>
        <v>0</v>
      </c>
      <c r="O7" s="75"/>
      <c r="P7" s="75"/>
      <c r="Q7" s="71">
        <v>2</v>
      </c>
      <c r="R7" s="71">
        <v>20</v>
      </c>
      <c r="S7" s="72"/>
      <c r="T7" s="252" t="e">
        <f t="shared" ref="T7:T17" si="8">E7/C7</f>
        <v>#DIV/0!</v>
      </c>
      <c r="U7" s="73"/>
      <c r="V7" s="73"/>
      <c r="W7" s="65"/>
      <c r="X7" s="65"/>
      <c r="Y7" s="65"/>
      <c r="Z7" s="65"/>
      <c r="AA7" s="61">
        <f>H2</f>
        <v>12</v>
      </c>
      <c r="AB7" s="61" t="str">
        <f>E2</f>
        <v>PIX-RQ5-151 W</v>
      </c>
      <c r="AC7" s="74" t="s">
        <v>81</v>
      </c>
      <c r="AD7" s="61" t="str">
        <f t="shared" si="4"/>
        <v>SHA</v>
      </c>
      <c r="AE7" s="61">
        <f t="shared" si="5"/>
        <v>0</v>
      </c>
      <c r="AF7" s="61">
        <f t="shared" si="6"/>
        <v>2</v>
      </c>
      <c r="AG7" s="65"/>
    </row>
    <row r="8" spans="1:33" s="19" customFormat="1" ht="12.75" hidden="1" customHeight="1">
      <c r="A8" s="23" t="s">
        <v>73</v>
      </c>
      <c r="B8" s="1" t="s">
        <v>67</v>
      </c>
      <c r="C8" s="68">
        <v>0</v>
      </c>
      <c r="D8" s="68">
        <f t="shared" si="7"/>
        <v>0</v>
      </c>
      <c r="E8" s="69">
        <f t="shared" si="0"/>
        <v>0</v>
      </c>
      <c r="F8" s="70">
        <f t="shared" si="0"/>
        <v>0</v>
      </c>
      <c r="G8" s="68">
        <f t="shared" si="1"/>
        <v>0</v>
      </c>
      <c r="H8" s="68">
        <f t="shared" si="1"/>
        <v>0</v>
      </c>
      <c r="I8" s="75"/>
      <c r="J8" s="75"/>
      <c r="K8" s="71"/>
      <c r="L8" s="71"/>
      <c r="M8" s="70">
        <f t="shared" si="2"/>
        <v>0</v>
      </c>
      <c r="N8" s="70">
        <f t="shared" si="3"/>
        <v>0</v>
      </c>
      <c r="O8" s="75"/>
      <c r="P8" s="75"/>
      <c r="Q8" s="71"/>
      <c r="R8" s="71"/>
      <c r="S8" s="72"/>
      <c r="T8" s="252" t="e">
        <f t="shared" si="8"/>
        <v>#DIV/0!</v>
      </c>
      <c r="U8" s="73"/>
      <c r="V8" s="73"/>
      <c r="W8" s="65"/>
      <c r="X8" s="65"/>
      <c r="Y8" s="65"/>
      <c r="Z8" s="65"/>
      <c r="AA8" s="61">
        <f>H2</f>
        <v>12</v>
      </c>
      <c r="AB8" s="61" t="str">
        <f>E2</f>
        <v>PIX-RQ5-151 W</v>
      </c>
      <c r="AC8" s="74" t="s">
        <v>81</v>
      </c>
      <c r="AD8" s="61" t="str">
        <f t="shared" si="4"/>
        <v>NGB</v>
      </c>
      <c r="AE8" s="61">
        <f t="shared" si="5"/>
        <v>0</v>
      </c>
      <c r="AF8" s="61">
        <f t="shared" si="6"/>
        <v>0</v>
      </c>
      <c r="AG8" s="65"/>
    </row>
    <row r="9" spans="1:33" s="19" customFormat="1" ht="12.75" hidden="1" customHeight="1">
      <c r="A9" s="23" t="s">
        <v>74</v>
      </c>
      <c r="B9" s="1" t="s">
        <v>67</v>
      </c>
      <c r="C9" s="68">
        <v>0</v>
      </c>
      <c r="D9" s="68">
        <v>0</v>
      </c>
      <c r="E9" s="69">
        <f t="shared" si="0"/>
        <v>0</v>
      </c>
      <c r="F9" s="70">
        <f t="shared" si="0"/>
        <v>0</v>
      </c>
      <c r="G9" s="68">
        <f t="shared" si="1"/>
        <v>0</v>
      </c>
      <c r="H9" s="68">
        <f t="shared" si="1"/>
        <v>0</v>
      </c>
      <c r="I9" s="71"/>
      <c r="J9" s="71"/>
      <c r="K9" s="71"/>
      <c r="L9" s="71"/>
      <c r="M9" s="70">
        <f t="shared" si="2"/>
        <v>0</v>
      </c>
      <c r="N9" s="70">
        <f t="shared" si="3"/>
        <v>0</v>
      </c>
      <c r="O9" s="71"/>
      <c r="P9" s="71"/>
      <c r="Q9" s="71"/>
      <c r="R9" s="71"/>
      <c r="S9" s="72"/>
      <c r="T9" s="252" t="e">
        <f t="shared" si="8"/>
        <v>#DIV/0!</v>
      </c>
      <c r="U9" s="73"/>
      <c r="V9" s="73"/>
      <c r="W9" s="65"/>
      <c r="X9" s="65"/>
      <c r="Y9" s="65"/>
      <c r="Z9" s="65"/>
      <c r="AA9" s="61">
        <f>H2</f>
        <v>12</v>
      </c>
      <c r="AB9" s="61" t="str">
        <f>E2</f>
        <v>PIX-RQ5-151 W</v>
      </c>
      <c r="AC9" s="74" t="s">
        <v>81</v>
      </c>
      <c r="AD9" s="61" t="str">
        <f t="shared" si="4"/>
        <v>WUH</v>
      </c>
      <c r="AE9" s="61">
        <f t="shared" si="5"/>
        <v>0</v>
      </c>
      <c r="AF9" s="61">
        <f t="shared" si="6"/>
        <v>0</v>
      </c>
      <c r="AG9" s="65"/>
    </row>
    <row r="10" spans="1:33" s="19" customFormat="1" ht="12.75" hidden="1" customHeight="1">
      <c r="A10" s="23" t="s">
        <v>75</v>
      </c>
      <c r="B10" s="1" t="s">
        <v>67</v>
      </c>
      <c r="C10" s="68">
        <v>0</v>
      </c>
      <c r="D10" s="68">
        <v>0</v>
      </c>
      <c r="E10" s="69">
        <f t="shared" si="0"/>
        <v>6</v>
      </c>
      <c r="F10" s="70">
        <f t="shared" si="0"/>
        <v>70</v>
      </c>
      <c r="G10" s="68">
        <f t="shared" si="1"/>
        <v>6</v>
      </c>
      <c r="H10" s="68">
        <f t="shared" si="1"/>
        <v>70</v>
      </c>
      <c r="I10" s="75"/>
      <c r="J10" s="75"/>
      <c r="K10" s="70"/>
      <c r="L10" s="70"/>
      <c r="M10" s="70">
        <f t="shared" si="2"/>
        <v>0</v>
      </c>
      <c r="N10" s="70">
        <f t="shared" si="3"/>
        <v>0</v>
      </c>
      <c r="O10" s="75"/>
      <c r="P10" s="75"/>
      <c r="Q10" s="70">
        <v>6</v>
      </c>
      <c r="R10" s="70">
        <v>70</v>
      </c>
      <c r="S10" s="72"/>
      <c r="T10" s="252" t="e">
        <f t="shared" si="8"/>
        <v>#DIV/0!</v>
      </c>
      <c r="U10" s="73"/>
      <c r="V10" s="73"/>
      <c r="W10" s="65"/>
      <c r="X10" s="65"/>
      <c r="Y10" s="65"/>
      <c r="Z10" s="65"/>
      <c r="AA10" s="61">
        <f>H2</f>
        <v>12</v>
      </c>
      <c r="AB10" s="61" t="str">
        <f>E2</f>
        <v>PIX-RQ5-151 W</v>
      </c>
      <c r="AC10" s="74" t="s">
        <v>81</v>
      </c>
      <c r="AD10" s="61" t="str">
        <f t="shared" si="4"/>
        <v>DLC</v>
      </c>
      <c r="AE10" s="61">
        <f t="shared" si="5"/>
        <v>0</v>
      </c>
      <c r="AF10" s="61">
        <f t="shared" si="6"/>
        <v>6</v>
      </c>
      <c r="AG10" s="65"/>
    </row>
    <row r="11" spans="1:33" s="19" customFormat="1" ht="12.75" hidden="1" customHeight="1">
      <c r="A11" s="23" t="s">
        <v>76</v>
      </c>
      <c r="B11" s="1" t="s">
        <v>18</v>
      </c>
      <c r="C11" s="68">
        <v>0</v>
      </c>
      <c r="D11" s="68">
        <v>0</v>
      </c>
      <c r="E11" s="69">
        <f t="shared" si="0"/>
        <v>1</v>
      </c>
      <c r="F11" s="70">
        <f t="shared" si="0"/>
        <v>26</v>
      </c>
      <c r="G11" s="68">
        <f t="shared" si="1"/>
        <v>1</v>
      </c>
      <c r="H11" s="68">
        <f t="shared" si="1"/>
        <v>26</v>
      </c>
      <c r="I11" s="70"/>
      <c r="J11" s="70"/>
      <c r="K11" s="70"/>
      <c r="L11" s="70"/>
      <c r="M11" s="70">
        <f t="shared" si="2"/>
        <v>0</v>
      </c>
      <c r="N11" s="70">
        <f t="shared" si="3"/>
        <v>0</v>
      </c>
      <c r="O11" s="75"/>
      <c r="P11" s="75"/>
      <c r="Q11" s="70">
        <v>1</v>
      </c>
      <c r="R11" s="70">
        <v>26</v>
      </c>
      <c r="S11" s="72"/>
      <c r="T11" s="252" t="e">
        <f t="shared" si="8"/>
        <v>#DIV/0!</v>
      </c>
      <c r="U11" s="73"/>
      <c r="V11" s="73"/>
      <c r="W11" s="65"/>
      <c r="X11" s="65"/>
      <c r="Y11" s="65"/>
      <c r="Z11" s="65"/>
      <c r="AA11" s="61">
        <f>H2</f>
        <v>12</v>
      </c>
      <c r="AB11" s="61" t="str">
        <f>E2</f>
        <v>PIX-RQ5-151 W</v>
      </c>
      <c r="AC11" s="74" t="s">
        <v>81</v>
      </c>
      <c r="AD11" s="61" t="str">
        <f t="shared" si="4"/>
        <v>TSN</v>
      </c>
      <c r="AE11" s="61">
        <f t="shared" si="5"/>
        <v>0</v>
      </c>
      <c r="AF11" s="61">
        <f t="shared" si="6"/>
        <v>1</v>
      </c>
      <c r="AG11" s="65"/>
    </row>
    <row r="12" spans="1:33" s="19" customFormat="1" ht="12.75" hidden="1" customHeight="1">
      <c r="A12" s="23" t="s">
        <v>454</v>
      </c>
      <c r="B12" s="1">
        <v>43167</v>
      </c>
      <c r="C12" s="68">
        <v>220</v>
      </c>
      <c r="D12" s="68">
        <v>2860</v>
      </c>
      <c r="E12" s="69">
        <f t="shared" si="0"/>
        <v>108</v>
      </c>
      <c r="F12" s="70">
        <f t="shared" si="0"/>
        <v>1416</v>
      </c>
      <c r="G12" s="68">
        <f t="shared" si="1"/>
        <v>-112</v>
      </c>
      <c r="H12" s="68">
        <f t="shared" si="1"/>
        <v>-1444</v>
      </c>
      <c r="I12" s="70">
        <v>227</v>
      </c>
      <c r="J12" s="70">
        <v>3016</v>
      </c>
      <c r="K12" s="70">
        <v>31</v>
      </c>
      <c r="L12" s="70">
        <v>509</v>
      </c>
      <c r="M12" s="70">
        <f t="shared" ref="M12:N12" si="9">I12+K12</f>
        <v>258</v>
      </c>
      <c r="N12" s="70">
        <f t="shared" si="9"/>
        <v>3525</v>
      </c>
      <c r="O12" s="75"/>
      <c r="P12" s="75"/>
      <c r="Q12" s="76">
        <v>108</v>
      </c>
      <c r="R12" s="71">
        <v>1416</v>
      </c>
      <c r="S12" s="72"/>
      <c r="T12" s="252">
        <f t="shared" si="8"/>
        <v>0.49090909090909091</v>
      </c>
      <c r="U12" s="73"/>
      <c r="V12" s="73"/>
      <c r="W12" s="65"/>
      <c r="X12" s="65"/>
      <c r="Y12" s="65"/>
      <c r="Z12" s="65"/>
      <c r="AA12" s="61">
        <f>H2</f>
        <v>12</v>
      </c>
      <c r="AB12" s="61" t="str">
        <f>E2</f>
        <v>PIX-RQ5-151 W</v>
      </c>
      <c r="AC12" s="74" t="s">
        <v>81</v>
      </c>
      <c r="AD12" s="61" t="str">
        <f t="shared" si="4"/>
        <v>XMN</v>
      </c>
      <c r="AE12" s="61">
        <f t="shared" si="5"/>
        <v>220</v>
      </c>
      <c r="AF12" s="61">
        <f t="shared" si="6"/>
        <v>108</v>
      </c>
      <c r="AG12" s="65"/>
    </row>
    <row r="13" spans="1:33" s="19" customFormat="1" ht="12.75" hidden="1" customHeight="1">
      <c r="A13" s="23" t="s">
        <v>77</v>
      </c>
      <c r="B13" s="1">
        <v>43169</v>
      </c>
      <c r="C13" s="68">
        <v>0</v>
      </c>
      <c r="D13" s="68">
        <v>0</v>
      </c>
      <c r="E13" s="69">
        <v>0</v>
      </c>
      <c r="F13" s="70">
        <v>0</v>
      </c>
      <c r="G13" s="68">
        <f t="shared" si="1"/>
        <v>0</v>
      </c>
      <c r="H13" s="68">
        <f t="shared" si="1"/>
        <v>0</v>
      </c>
      <c r="I13" s="70">
        <v>1</v>
      </c>
      <c r="J13" s="70">
        <v>24</v>
      </c>
      <c r="K13" s="70">
        <v>2</v>
      </c>
      <c r="L13" s="70">
        <v>18</v>
      </c>
      <c r="M13" s="70">
        <f t="shared" ref="M13:M19" si="10">I13+K13</f>
        <v>3</v>
      </c>
      <c r="N13" s="70">
        <f t="shared" ref="N13:N19" si="11">J13+L13</f>
        <v>42</v>
      </c>
      <c r="O13" s="71"/>
      <c r="P13" s="71"/>
      <c r="Q13" s="70"/>
      <c r="R13" s="70"/>
      <c r="S13" s="72"/>
      <c r="T13" s="252" t="e">
        <f t="shared" si="8"/>
        <v>#DIV/0!</v>
      </c>
      <c r="U13" s="73"/>
      <c r="V13" s="73"/>
      <c r="W13" s="65"/>
      <c r="X13" s="65"/>
      <c r="Y13" s="65"/>
      <c r="Z13" s="65"/>
      <c r="AA13" s="61">
        <f>H2</f>
        <v>12</v>
      </c>
      <c r="AB13" s="61" t="str">
        <f>E2</f>
        <v>PIX-RQ5-151 W</v>
      </c>
      <c r="AC13" s="74" t="s">
        <v>81</v>
      </c>
      <c r="AD13" s="61" t="str">
        <f t="shared" ref="AD13:AD19" si="12">A13</f>
        <v>HKG</v>
      </c>
      <c r="AE13" s="61">
        <f t="shared" si="5"/>
        <v>0</v>
      </c>
      <c r="AF13" s="61">
        <f t="shared" si="6"/>
        <v>0</v>
      </c>
      <c r="AG13" s="65"/>
    </row>
    <row r="14" spans="1:33" s="19" customFormat="1" ht="12.75" hidden="1" customHeight="1">
      <c r="A14" s="23" t="s">
        <v>78</v>
      </c>
      <c r="B14" s="1">
        <v>43170</v>
      </c>
      <c r="C14" s="68">
        <v>0</v>
      </c>
      <c r="D14" s="68">
        <v>0</v>
      </c>
      <c r="E14" s="69">
        <v>0</v>
      </c>
      <c r="F14" s="70">
        <v>0</v>
      </c>
      <c r="G14" s="68">
        <f t="shared" si="1"/>
        <v>0</v>
      </c>
      <c r="H14" s="68">
        <f t="shared" si="1"/>
        <v>0</v>
      </c>
      <c r="I14" s="70">
        <v>49</v>
      </c>
      <c r="J14" s="70">
        <v>364</v>
      </c>
      <c r="K14" s="70">
        <v>52</v>
      </c>
      <c r="L14" s="70">
        <v>454</v>
      </c>
      <c r="M14" s="70">
        <f t="shared" si="10"/>
        <v>101</v>
      </c>
      <c r="N14" s="70">
        <f t="shared" si="11"/>
        <v>818</v>
      </c>
      <c r="O14" s="70"/>
      <c r="P14" s="70"/>
      <c r="Q14" s="70"/>
      <c r="R14" s="70"/>
      <c r="S14" s="72"/>
      <c r="T14" s="252" t="e">
        <f t="shared" si="8"/>
        <v>#DIV/0!</v>
      </c>
      <c r="U14" s="73"/>
      <c r="V14" s="73"/>
      <c r="W14" s="65"/>
      <c r="X14" s="65"/>
      <c r="Y14" s="65"/>
      <c r="Z14" s="65"/>
      <c r="AA14" s="61">
        <f>H2</f>
        <v>12</v>
      </c>
      <c r="AB14" s="61" t="str">
        <f>E2</f>
        <v>PIX-RQ5-151 W</v>
      </c>
      <c r="AC14" s="74" t="s">
        <v>81</v>
      </c>
      <c r="AD14" s="61" t="str">
        <f t="shared" si="12"/>
        <v>GNS</v>
      </c>
      <c r="AE14" s="61">
        <f t="shared" si="5"/>
        <v>0</v>
      </c>
      <c r="AF14" s="61">
        <f t="shared" si="6"/>
        <v>0</v>
      </c>
      <c r="AG14" s="65"/>
    </row>
    <row r="15" spans="1:33" s="19" customFormat="1" ht="12.75" hidden="1" customHeight="1">
      <c r="A15" s="23" t="s">
        <v>16</v>
      </c>
      <c r="B15" s="1">
        <v>43171</v>
      </c>
      <c r="C15" s="68">
        <v>650</v>
      </c>
      <c r="D15" s="68">
        <v>8450</v>
      </c>
      <c r="E15" s="69">
        <f t="shared" ref="E15:F19" si="13">O15+Q15</f>
        <v>455</v>
      </c>
      <c r="F15" s="70">
        <f t="shared" si="13"/>
        <v>3821</v>
      </c>
      <c r="G15" s="68">
        <f t="shared" si="1"/>
        <v>-195</v>
      </c>
      <c r="H15" s="68">
        <f t="shared" si="1"/>
        <v>-4629</v>
      </c>
      <c r="I15" s="70">
        <v>70</v>
      </c>
      <c r="J15" s="70">
        <v>726</v>
      </c>
      <c r="K15" s="70">
        <v>62</v>
      </c>
      <c r="L15" s="70">
        <v>730</v>
      </c>
      <c r="M15" s="70">
        <f t="shared" si="10"/>
        <v>132</v>
      </c>
      <c r="N15" s="70">
        <f t="shared" si="11"/>
        <v>1456</v>
      </c>
      <c r="O15" s="70"/>
      <c r="P15" s="70"/>
      <c r="Q15" s="70">
        <v>455</v>
      </c>
      <c r="R15" s="86">
        <v>3821</v>
      </c>
      <c r="S15" s="72"/>
      <c r="T15" s="252">
        <f t="shared" si="8"/>
        <v>0.7</v>
      </c>
      <c r="U15" s="73"/>
      <c r="V15" s="73"/>
      <c r="W15" s="65"/>
      <c r="X15" s="65"/>
      <c r="Y15" s="65"/>
      <c r="Z15" s="65"/>
      <c r="AA15" s="61">
        <f>H2</f>
        <v>12</v>
      </c>
      <c r="AB15" s="61" t="str">
        <f>E2</f>
        <v>PIX-RQ5-151 W</v>
      </c>
      <c r="AC15" s="74" t="s">
        <v>81</v>
      </c>
      <c r="AD15" s="61" t="str">
        <f t="shared" si="12"/>
        <v>HUA</v>
      </c>
      <c r="AE15" s="61">
        <f t="shared" si="5"/>
        <v>650</v>
      </c>
      <c r="AF15" s="61">
        <f t="shared" si="6"/>
        <v>455</v>
      </c>
      <c r="AG15" s="65"/>
    </row>
    <row r="16" spans="1:33" s="19" customFormat="1" ht="12.75" hidden="1" customHeight="1">
      <c r="A16" s="23" t="s">
        <v>69</v>
      </c>
      <c r="B16" s="26" t="s">
        <v>67</v>
      </c>
      <c r="C16" s="68"/>
      <c r="D16" s="68"/>
      <c r="E16" s="69">
        <f t="shared" si="13"/>
        <v>0</v>
      </c>
      <c r="F16" s="70">
        <f>P16+R16</f>
        <v>0</v>
      </c>
      <c r="G16" s="68"/>
      <c r="H16" s="68"/>
      <c r="I16" s="70"/>
      <c r="J16" s="70"/>
      <c r="K16" s="70"/>
      <c r="L16" s="70"/>
      <c r="M16" s="70">
        <f t="shared" si="10"/>
        <v>0</v>
      </c>
      <c r="N16" s="70">
        <f t="shared" si="11"/>
        <v>0</v>
      </c>
      <c r="O16" s="70"/>
      <c r="P16" s="70"/>
      <c r="Q16" s="70"/>
      <c r="R16" s="70"/>
      <c r="S16" s="72"/>
      <c r="T16" s="252" t="e">
        <f t="shared" si="8"/>
        <v>#DIV/0!</v>
      </c>
      <c r="U16" s="73"/>
      <c r="V16" s="73"/>
      <c r="W16" s="65"/>
      <c r="X16" s="65"/>
      <c r="Y16" s="65"/>
      <c r="Z16" s="65"/>
      <c r="AA16" s="61">
        <f>H2</f>
        <v>12</v>
      </c>
      <c r="AB16" s="61" t="str">
        <f>E2</f>
        <v>PIX-RQ5-151 W</v>
      </c>
      <c r="AC16" s="74" t="s">
        <v>81</v>
      </c>
      <c r="AD16" s="61" t="str">
        <f t="shared" si="12"/>
        <v>HAK</v>
      </c>
      <c r="AE16" s="61">
        <f t="shared" si="5"/>
        <v>0</v>
      </c>
      <c r="AF16" s="61">
        <f t="shared" si="6"/>
        <v>0</v>
      </c>
      <c r="AG16" s="65"/>
    </row>
    <row r="17" spans="1:33" s="19" customFormat="1" ht="12.75" hidden="1" customHeight="1">
      <c r="A17" s="23" t="s">
        <v>3</v>
      </c>
      <c r="B17" s="1">
        <v>43175</v>
      </c>
      <c r="C17" s="68">
        <v>280</v>
      </c>
      <c r="D17" s="68">
        <v>3780</v>
      </c>
      <c r="E17" s="69">
        <f t="shared" si="13"/>
        <v>306</v>
      </c>
      <c r="F17" s="70">
        <f t="shared" si="13"/>
        <v>5246</v>
      </c>
      <c r="G17" s="68">
        <f t="shared" ref="G17:H20" si="14">E17-C17</f>
        <v>26</v>
      </c>
      <c r="H17" s="68">
        <f t="shared" si="14"/>
        <v>1466</v>
      </c>
      <c r="I17" s="70"/>
      <c r="J17" s="70"/>
      <c r="K17" s="70"/>
      <c r="L17" s="70"/>
      <c r="M17" s="70">
        <f t="shared" si="10"/>
        <v>0</v>
      </c>
      <c r="N17" s="70">
        <f t="shared" si="11"/>
        <v>0</v>
      </c>
      <c r="O17" s="68"/>
      <c r="P17" s="68"/>
      <c r="Q17" s="70">
        <f>338-Q6-Q7-Q8-Q9-Q10-Q11</f>
        <v>306</v>
      </c>
      <c r="R17" s="70">
        <f>5534-R6-R7-R8-R9-R10-R11</f>
        <v>5246</v>
      </c>
      <c r="S17" s="72"/>
      <c r="T17" s="252">
        <f t="shared" si="8"/>
        <v>1.0928571428571427</v>
      </c>
      <c r="U17" s="73"/>
      <c r="V17" s="73"/>
      <c r="W17" s="65"/>
      <c r="X17" s="65"/>
      <c r="Y17" s="65"/>
      <c r="Z17" s="65"/>
      <c r="AA17" s="61">
        <f>H2</f>
        <v>12</v>
      </c>
      <c r="AB17" s="61" t="str">
        <f>E2</f>
        <v>PIX-RQ5-151 W</v>
      </c>
      <c r="AC17" s="74" t="s">
        <v>81</v>
      </c>
      <c r="AD17" s="61" t="str">
        <f t="shared" si="12"/>
        <v>SGP</v>
      </c>
      <c r="AE17" s="61">
        <f t="shared" si="5"/>
        <v>280</v>
      </c>
      <c r="AF17" s="61">
        <f t="shared" si="6"/>
        <v>306</v>
      </c>
      <c r="AG17" s="65"/>
    </row>
    <row r="18" spans="1:33" s="19" customFormat="1" ht="12.75" hidden="1" customHeight="1">
      <c r="A18" s="23" t="s">
        <v>4</v>
      </c>
      <c r="B18" s="1">
        <v>43177</v>
      </c>
      <c r="C18" s="68">
        <v>120</v>
      </c>
      <c r="D18" s="68">
        <v>1620</v>
      </c>
      <c r="E18" s="69">
        <f t="shared" si="13"/>
        <v>75</v>
      </c>
      <c r="F18" s="70">
        <f t="shared" si="13"/>
        <v>1064</v>
      </c>
      <c r="G18" s="68">
        <f t="shared" si="14"/>
        <v>-45</v>
      </c>
      <c r="H18" s="68">
        <f t="shared" si="14"/>
        <v>-556</v>
      </c>
      <c r="I18" s="70"/>
      <c r="J18" s="70"/>
      <c r="K18" s="70"/>
      <c r="L18" s="70"/>
      <c r="M18" s="70">
        <f t="shared" si="10"/>
        <v>0</v>
      </c>
      <c r="N18" s="70">
        <f t="shared" si="11"/>
        <v>0</v>
      </c>
      <c r="O18" s="70"/>
      <c r="P18" s="70"/>
      <c r="Q18" s="70">
        <v>75</v>
      </c>
      <c r="R18" s="70">
        <v>1064</v>
      </c>
      <c r="S18" s="72"/>
      <c r="T18" s="252">
        <f>E18/C18</f>
        <v>0.625</v>
      </c>
      <c r="U18" s="73"/>
      <c r="V18" s="73"/>
      <c r="W18" s="65"/>
      <c r="X18" s="65"/>
      <c r="Y18" s="65"/>
      <c r="Z18" s="65"/>
      <c r="AA18" s="61">
        <f>H2</f>
        <v>12</v>
      </c>
      <c r="AB18" s="61" t="str">
        <f>E2</f>
        <v>PIX-RQ5-151 W</v>
      </c>
      <c r="AC18" s="74" t="s">
        <v>81</v>
      </c>
      <c r="AD18" s="61" t="str">
        <f t="shared" si="12"/>
        <v>PKL</v>
      </c>
      <c r="AE18" s="61">
        <f t="shared" si="5"/>
        <v>120</v>
      </c>
      <c r="AF18" s="61">
        <f t="shared" si="6"/>
        <v>75</v>
      </c>
      <c r="AG18" s="65"/>
    </row>
    <row r="19" spans="1:33" s="19" customFormat="1" ht="12.75" hidden="1" customHeight="1">
      <c r="A19" s="23" t="s">
        <v>31</v>
      </c>
      <c r="B19" s="20"/>
      <c r="C19" s="68">
        <v>45</v>
      </c>
      <c r="D19" s="68">
        <v>608</v>
      </c>
      <c r="E19" s="69">
        <f t="shared" si="13"/>
        <v>21</v>
      </c>
      <c r="F19" s="70">
        <f t="shared" si="13"/>
        <v>294</v>
      </c>
      <c r="G19" s="68">
        <f t="shared" si="14"/>
        <v>-24</v>
      </c>
      <c r="H19" s="68">
        <f t="shared" si="14"/>
        <v>-314</v>
      </c>
      <c r="I19" s="70"/>
      <c r="J19" s="70"/>
      <c r="K19" s="70"/>
      <c r="L19" s="70"/>
      <c r="M19" s="70">
        <f t="shared" si="10"/>
        <v>0</v>
      </c>
      <c r="N19" s="70">
        <f t="shared" si="11"/>
        <v>0</v>
      </c>
      <c r="O19" s="71"/>
      <c r="P19" s="71"/>
      <c r="Q19" s="71">
        <v>21</v>
      </c>
      <c r="R19" s="71">
        <v>294</v>
      </c>
      <c r="S19" s="72"/>
      <c r="T19" s="73"/>
      <c r="U19" s="73"/>
      <c r="V19" s="73"/>
      <c r="W19" s="65"/>
      <c r="X19" s="65"/>
      <c r="Y19" s="65"/>
      <c r="Z19" s="65"/>
      <c r="AA19" s="61">
        <f>H2</f>
        <v>12</v>
      </c>
      <c r="AB19" s="61" t="str">
        <f>E2</f>
        <v>PIX-RQ5-151 W</v>
      </c>
      <c r="AC19" s="74" t="s">
        <v>81</v>
      </c>
      <c r="AD19" s="61" t="str">
        <f t="shared" si="12"/>
        <v>COSCO T/S</v>
      </c>
      <c r="AE19" s="61">
        <f t="shared" si="5"/>
        <v>45</v>
      </c>
      <c r="AF19" s="61">
        <f t="shared" si="6"/>
        <v>21</v>
      </c>
      <c r="AG19" s="65"/>
    </row>
    <row r="20" spans="1:33" s="19" customFormat="1" ht="12.75" hidden="1" customHeight="1">
      <c r="A20" s="23" t="s">
        <v>35</v>
      </c>
      <c r="B20" s="22"/>
      <c r="C20" s="71">
        <f>SUM(C6:C19)</f>
        <v>1315</v>
      </c>
      <c r="D20" s="71">
        <v>18018</v>
      </c>
      <c r="E20" s="78">
        <f>SUM(E6:E19)</f>
        <v>997</v>
      </c>
      <c r="F20" s="76">
        <f>SUM(F6:F19)</f>
        <v>12129</v>
      </c>
      <c r="G20" s="71">
        <f t="shared" si="14"/>
        <v>-318</v>
      </c>
      <c r="H20" s="71">
        <f t="shared" si="14"/>
        <v>-5889</v>
      </c>
      <c r="I20" s="70">
        <f t="shared" ref="I20:R20" si="15">SUM(I6:I19)</f>
        <v>347</v>
      </c>
      <c r="J20" s="70">
        <f t="shared" si="15"/>
        <v>4130</v>
      </c>
      <c r="K20" s="70">
        <f t="shared" si="15"/>
        <v>147</v>
      </c>
      <c r="L20" s="70">
        <f t="shared" si="15"/>
        <v>1711</v>
      </c>
      <c r="M20" s="70">
        <f t="shared" si="15"/>
        <v>494</v>
      </c>
      <c r="N20" s="70">
        <f t="shared" si="15"/>
        <v>5841</v>
      </c>
      <c r="O20" s="70">
        <f t="shared" si="15"/>
        <v>0</v>
      </c>
      <c r="P20" s="70">
        <f t="shared" si="15"/>
        <v>0</v>
      </c>
      <c r="Q20" s="70">
        <f t="shared" si="15"/>
        <v>997</v>
      </c>
      <c r="R20" s="70">
        <f t="shared" si="15"/>
        <v>12129</v>
      </c>
      <c r="S20" s="72"/>
      <c r="T20" s="73"/>
      <c r="U20" s="73"/>
      <c r="V20" s="73"/>
      <c r="W20" s="65"/>
      <c r="X20" s="65"/>
      <c r="Y20" s="65"/>
      <c r="Z20" s="65"/>
      <c r="AA20" s="61"/>
      <c r="AB20" s="61"/>
      <c r="AC20" s="74"/>
      <c r="AD20" s="61"/>
      <c r="AE20" s="61"/>
      <c r="AF20" s="61"/>
      <c r="AG20" s="65"/>
    </row>
    <row r="21" spans="1:33" s="65" customFormat="1" ht="12.75" hidden="1" customHeight="1">
      <c r="A21" s="84">
        <f>D20/C20</f>
        <v>13.701901140684411</v>
      </c>
      <c r="C21" s="79">
        <f>F20-E21</f>
        <v>-4087.2000000000007</v>
      </c>
      <c r="E21" s="65">
        <f>D20*0.9</f>
        <v>16216.2</v>
      </c>
      <c r="F21" s="79">
        <f>E20-L21</f>
        <v>-186.5</v>
      </c>
      <c r="I21" s="80" t="s">
        <v>48</v>
      </c>
      <c r="J21" s="245">
        <f>E20/C20</f>
        <v>0.7581749049429658</v>
      </c>
      <c r="K21" s="80"/>
      <c r="L21" s="80">
        <f>C20*0.9</f>
        <v>1183.5</v>
      </c>
      <c r="M21" s="80"/>
      <c r="N21" s="80"/>
      <c r="O21" s="82" t="s">
        <v>70</v>
      </c>
      <c r="P21" s="80"/>
      <c r="Q21" s="65">
        <f>Q12+Q15+I12+I13+I14+I15+K12+K13+K14+K15</f>
        <v>1057</v>
      </c>
      <c r="R21" s="65">
        <f>R12+R15+J12+J13+J14+J15+L12+L13+L14+L15</f>
        <v>11078</v>
      </c>
      <c r="AA21" s="61"/>
      <c r="AB21" s="61"/>
      <c r="AC21" s="74"/>
      <c r="AD21" s="61"/>
      <c r="AE21" s="61"/>
      <c r="AF21" s="61"/>
    </row>
    <row r="22" spans="1:33" s="19" customFormat="1" ht="12.75" hidden="1" customHeight="1">
      <c r="C22" s="65"/>
      <c r="D22" s="65"/>
      <c r="E22" s="65"/>
      <c r="F22" s="65"/>
      <c r="G22" s="65"/>
      <c r="H22" s="65"/>
      <c r="I22" s="80"/>
      <c r="J22" s="80"/>
      <c r="K22" s="80"/>
      <c r="L22" s="80"/>
      <c r="M22" s="80"/>
      <c r="N22" s="80"/>
      <c r="O22" s="80"/>
      <c r="P22" s="80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1"/>
      <c r="AB22" s="61"/>
      <c r="AC22" s="74"/>
      <c r="AD22" s="61"/>
      <c r="AE22" s="61"/>
      <c r="AF22" s="61"/>
      <c r="AG22" s="65"/>
    </row>
    <row r="23" spans="1:33" s="18" customFormat="1" ht="12.75" hidden="1" customHeight="1">
      <c r="A23" s="16" t="s">
        <v>65</v>
      </c>
      <c r="B23" s="17" t="s">
        <v>79</v>
      </c>
      <c r="C23" s="56"/>
      <c r="D23" s="57"/>
      <c r="E23" s="58" t="s">
        <v>459</v>
      </c>
      <c r="F23" s="57"/>
      <c r="G23" s="59" t="s">
        <v>37</v>
      </c>
      <c r="H23" s="60">
        <f>H2+1</f>
        <v>13</v>
      </c>
      <c r="I23" s="57"/>
      <c r="J23" s="57"/>
      <c r="K23" s="57"/>
      <c r="L23" s="57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2"/>
      <c r="X23" s="62"/>
      <c r="Y23" s="62"/>
      <c r="Z23" s="62"/>
      <c r="AA23" s="62"/>
      <c r="AB23" s="62"/>
      <c r="AC23" s="62"/>
      <c r="AD23" s="63"/>
      <c r="AE23" s="63"/>
      <c r="AF23" s="63"/>
      <c r="AG23" s="63"/>
    </row>
    <row r="24" spans="1:33" s="19" customFormat="1" ht="12.75" hidden="1" customHeight="1">
      <c r="A24" s="340" t="s">
        <v>0</v>
      </c>
      <c r="B24" s="336" t="s">
        <v>1</v>
      </c>
      <c r="C24" s="331" t="s">
        <v>25</v>
      </c>
      <c r="D24" s="332"/>
      <c r="E24" s="331" t="s">
        <v>21</v>
      </c>
      <c r="F24" s="332"/>
      <c r="G24" s="335" t="s">
        <v>24</v>
      </c>
      <c r="H24" s="335"/>
      <c r="I24" s="328" t="s">
        <v>33</v>
      </c>
      <c r="J24" s="329"/>
      <c r="K24" s="329"/>
      <c r="L24" s="329"/>
      <c r="M24" s="329"/>
      <c r="N24" s="330"/>
      <c r="O24" s="331" t="s">
        <v>22</v>
      </c>
      <c r="P24" s="332"/>
      <c r="Q24" s="335" t="s">
        <v>23</v>
      </c>
      <c r="R24" s="335"/>
      <c r="S24" s="336" t="s">
        <v>27</v>
      </c>
      <c r="T24" s="64"/>
      <c r="U24" s="64"/>
      <c r="V24" s="64"/>
      <c r="W24" s="339"/>
      <c r="X24" s="85"/>
      <c r="Y24" s="85"/>
      <c r="Z24" s="85"/>
      <c r="AA24" s="61"/>
      <c r="AB24" s="61"/>
      <c r="AC24" s="74"/>
      <c r="AD24" s="61"/>
      <c r="AE24" s="61"/>
      <c r="AF24" s="61"/>
      <c r="AG24" s="65"/>
    </row>
    <row r="25" spans="1:33" s="19" customFormat="1" ht="12.75" hidden="1" customHeight="1">
      <c r="A25" s="341"/>
      <c r="B25" s="337"/>
      <c r="C25" s="333"/>
      <c r="D25" s="334"/>
      <c r="E25" s="333"/>
      <c r="F25" s="334"/>
      <c r="G25" s="335"/>
      <c r="H25" s="335"/>
      <c r="I25" s="66" t="s">
        <v>28</v>
      </c>
      <c r="J25" s="67" t="s">
        <v>3</v>
      </c>
      <c r="K25" s="66" t="s">
        <v>29</v>
      </c>
      <c r="L25" s="67" t="s">
        <v>4</v>
      </c>
      <c r="M25" s="328" t="s">
        <v>30</v>
      </c>
      <c r="N25" s="330"/>
      <c r="O25" s="333"/>
      <c r="P25" s="334"/>
      <c r="Q25" s="335"/>
      <c r="R25" s="335"/>
      <c r="S25" s="337"/>
      <c r="T25" s="64"/>
      <c r="U25" s="64"/>
      <c r="V25" s="64"/>
      <c r="W25" s="339"/>
      <c r="X25" s="85"/>
      <c r="Y25" s="85"/>
      <c r="Z25" s="85"/>
      <c r="AA25" s="61"/>
      <c r="AB25" s="61"/>
      <c r="AC25" s="74"/>
      <c r="AD25" s="61"/>
      <c r="AE25" s="61"/>
      <c r="AF25" s="61"/>
      <c r="AG25" s="65"/>
    </row>
    <row r="26" spans="1:33" s="19" customFormat="1" ht="12.75" hidden="1" customHeight="1">
      <c r="A26" s="342"/>
      <c r="B26" s="338"/>
      <c r="C26" s="68" t="s">
        <v>5</v>
      </c>
      <c r="D26" s="68" t="s">
        <v>6</v>
      </c>
      <c r="E26" s="67" t="s">
        <v>5</v>
      </c>
      <c r="F26" s="68" t="s">
        <v>6</v>
      </c>
      <c r="G26" s="68" t="s">
        <v>5</v>
      </c>
      <c r="H26" s="68" t="s">
        <v>6</v>
      </c>
      <c r="I26" s="67" t="s">
        <v>5</v>
      </c>
      <c r="J26" s="68" t="s">
        <v>6</v>
      </c>
      <c r="K26" s="67" t="s">
        <v>5</v>
      </c>
      <c r="L26" s="68" t="s">
        <v>6</v>
      </c>
      <c r="M26" s="68"/>
      <c r="N26" s="68"/>
      <c r="O26" s="67" t="s">
        <v>5</v>
      </c>
      <c r="P26" s="68" t="s">
        <v>6</v>
      </c>
      <c r="Q26" s="68" t="s">
        <v>5</v>
      </c>
      <c r="R26" s="68" t="s">
        <v>6</v>
      </c>
      <c r="S26" s="338"/>
      <c r="T26" s="64"/>
      <c r="U26" s="64"/>
      <c r="V26" s="64"/>
      <c r="W26" s="339"/>
      <c r="X26" s="85"/>
      <c r="Y26" s="85"/>
      <c r="Z26" s="85"/>
      <c r="AA26" s="61" t="s">
        <v>43</v>
      </c>
      <c r="AB26" s="61" t="s">
        <v>45</v>
      </c>
      <c r="AC26" s="61" t="s">
        <v>46</v>
      </c>
      <c r="AD26" s="61" t="s">
        <v>42</v>
      </c>
      <c r="AE26" s="61" t="s">
        <v>41</v>
      </c>
      <c r="AF26" s="61" t="s">
        <v>44</v>
      </c>
      <c r="AG26" s="65"/>
    </row>
    <row r="27" spans="1:33" s="19" customFormat="1" ht="12.75" hidden="1" customHeight="1">
      <c r="A27" s="21" t="s">
        <v>71</v>
      </c>
      <c r="B27" s="1" t="s">
        <v>18</v>
      </c>
      <c r="C27" s="68">
        <v>0</v>
      </c>
      <c r="D27" s="68">
        <v>0</v>
      </c>
      <c r="E27" s="69">
        <f t="shared" ref="E27:F35" si="16">O27+Q27</f>
        <v>0</v>
      </c>
      <c r="F27" s="70">
        <f t="shared" si="16"/>
        <v>0</v>
      </c>
      <c r="G27" s="68">
        <f t="shared" ref="G27:H36" si="17">E27-C27</f>
        <v>0</v>
      </c>
      <c r="H27" s="68">
        <f t="shared" si="17"/>
        <v>0</v>
      </c>
      <c r="I27" s="70"/>
      <c r="J27" s="70"/>
      <c r="K27" s="70"/>
      <c r="L27" s="70"/>
      <c r="M27" s="70">
        <f t="shared" ref="M27:M40" si="18">I27+K27</f>
        <v>0</v>
      </c>
      <c r="N27" s="70">
        <f t="shared" ref="N27:N40" si="19">J27+L27</f>
        <v>0</v>
      </c>
      <c r="O27" s="71"/>
      <c r="P27" s="71"/>
      <c r="Q27" s="70"/>
      <c r="R27" s="70"/>
      <c r="S27" s="72"/>
      <c r="T27" s="252" t="e">
        <f>E27/C27</f>
        <v>#DIV/0!</v>
      </c>
      <c r="U27" s="73"/>
      <c r="V27" s="73"/>
      <c r="W27" s="339"/>
      <c r="X27" s="85"/>
      <c r="Y27" s="85"/>
      <c r="Z27" s="85"/>
      <c r="AA27" s="61">
        <f>H23</f>
        <v>13</v>
      </c>
      <c r="AB27" s="61" t="str">
        <f>E23</f>
        <v>PIX-CAT-047 W</v>
      </c>
      <c r="AC27" s="74" t="s">
        <v>81</v>
      </c>
      <c r="AD27" s="61" t="str">
        <f t="shared" ref="AD27:AD40" si="20">A27</f>
        <v>TAO</v>
      </c>
      <c r="AE27" s="61">
        <f t="shared" ref="AE27:AE40" si="21">C27</f>
        <v>0</v>
      </c>
      <c r="AF27" s="61">
        <f t="shared" ref="AF27:AF40" si="22">E27</f>
        <v>0</v>
      </c>
      <c r="AG27" s="65"/>
    </row>
    <row r="28" spans="1:33" s="19" customFormat="1" ht="12.75" hidden="1" customHeight="1">
      <c r="A28" s="23" t="s">
        <v>72</v>
      </c>
      <c r="B28" s="1" t="s">
        <v>67</v>
      </c>
      <c r="C28" s="68">
        <v>0</v>
      </c>
      <c r="D28" s="68">
        <f t="shared" ref="D28:D29" si="23">C28*13</f>
        <v>0</v>
      </c>
      <c r="E28" s="69">
        <f t="shared" si="16"/>
        <v>0</v>
      </c>
      <c r="F28" s="70">
        <f t="shared" si="16"/>
        <v>0</v>
      </c>
      <c r="G28" s="68">
        <f t="shared" si="17"/>
        <v>0</v>
      </c>
      <c r="H28" s="68">
        <f t="shared" si="17"/>
        <v>0</v>
      </c>
      <c r="I28" s="75"/>
      <c r="J28" s="75"/>
      <c r="K28" s="70"/>
      <c r="L28" s="70"/>
      <c r="M28" s="70">
        <f t="shared" si="18"/>
        <v>0</v>
      </c>
      <c r="N28" s="70">
        <f t="shared" si="19"/>
        <v>0</v>
      </c>
      <c r="O28" s="75"/>
      <c r="P28" s="75"/>
      <c r="Q28" s="71"/>
      <c r="R28" s="71"/>
      <c r="S28" s="72"/>
      <c r="T28" s="252" t="e">
        <f t="shared" ref="T28:T38" si="24">E28/C28</f>
        <v>#DIV/0!</v>
      </c>
      <c r="U28" s="73"/>
      <c r="V28" s="73"/>
      <c r="W28" s="65"/>
      <c r="X28" s="65"/>
      <c r="Y28" s="65"/>
      <c r="Z28" s="65"/>
      <c r="AA28" s="61">
        <f>H23</f>
        <v>13</v>
      </c>
      <c r="AB28" s="61" t="str">
        <f>E23</f>
        <v>PIX-CAT-047 W</v>
      </c>
      <c r="AC28" s="74" t="s">
        <v>81</v>
      </c>
      <c r="AD28" s="61" t="str">
        <f t="shared" si="20"/>
        <v>SHA</v>
      </c>
      <c r="AE28" s="61">
        <f t="shared" si="21"/>
        <v>0</v>
      </c>
      <c r="AF28" s="61">
        <f t="shared" si="22"/>
        <v>0</v>
      </c>
      <c r="AG28" s="65"/>
    </row>
    <row r="29" spans="1:33" s="19" customFormat="1" ht="12.75" hidden="1" customHeight="1">
      <c r="A29" s="23" t="s">
        <v>73</v>
      </c>
      <c r="B29" s="1" t="s">
        <v>67</v>
      </c>
      <c r="C29" s="68">
        <v>0</v>
      </c>
      <c r="D29" s="68">
        <f t="shared" si="23"/>
        <v>0</v>
      </c>
      <c r="E29" s="69">
        <f t="shared" si="16"/>
        <v>0</v>
      </c>
      <c r="F29" s="70">
        <f t="shared" si="16"/>
        <v>0</v>
      </c>
      <c r="G29" s="68">
        <f t="shared" si="17"/>
        <v>0</v>
      </c>
      <c r="H29" s="68">
        <f t="shared" si="17"/>
        <v>0</v>
      </c>
      <c r="I29" s="75"/>
      <c r="J29" s="75"/>
      <c r="K29" s="71"/>
      <c r="L29" s="71"/>
      <c r="M29" s="70">
        <f t="shared" si="18"/>
        <v>0</v>
      </c>
      <c r="N29" s="70">
        <f t="shared" si="19"/>
        <v>0</v>
      </c>
      <c r="O29" s="75"/>
      <c r="P29" s="75"/>
      <c r="Q29" s="71"/>
      <c r="R29" s="71"/>
      <c r="S29" s="72"/>
      <c r="T29" s="252" t="e">
        <f t="shared" si="24"/>
        <v>#DIV/0!</v>
      </c>
      <c r="U29" s="73"/>
      <c r="V29" s="73"/>
      <c r="W29" s="65"/>
      <c r="X29" s="65"/>
      <c r="Y29" s="65"/>
      <c r="Z29" s="65"/>
      <c r="AA29" s="61">
        <f>H23</f>
        <v>13</v>
      </c>
      <c r="AB29" s="61" t="str">
        <f>E23</f>
        <v>PIX-CAT-047 W</v>
      </c>
      <c r="AC29" s="74" t="s">
        <v>81</v>
      </c>
      <c r="AD29" s="61" t="str">
        <f t="shared" si="20"/>
        <v>NGB</v>
      </c>
      <c r="AE29" s="61">
        <f t="shared" si="21"/>
        <v>0</v>
      </c>
      <c r="AF29" s="61">
        <f t="shared" si="22"/>
        <v>0</v>
      </c>
      <c r="AG29" s="65"/>
    </row>
    <row r="30" spans="1:33" s="19" customFormat="1" ht="12.75" hidden="1" customHeight="1">
      <c r="A30" s="23" t="s">
        <v>74</v>
      </c>
      <c r="B30" s="1" t="s">
        <v>67</v>
      </c>
      <c r="C30" s="68">
        <v>0</v>
      </c>
      <c r="D30" s="68">
        <v>0</v>
      </c>
      <c r="E30" s="69">
        <f t="shared" si="16"/>
        <v>0</v>
      </c>
      <c r="F30" s="70">
        <f t="shared" si="16"/>
        <v>0</v>
      </c>
      <c r="G30" s="68">
        <f t="shared" si="17"/>
        <v>0</v>
      </c>
      <c r="H30" s="68">
        <f t="shared" si="17"/>
        <v>0</v>
      </c>
      <c r="I30" s="71"/>
      <c r="J30" s="71"/>
      <c r="K30" s="71"/>
      <c r="L30" s="71"/>
      <c r="M30" s="70">
        <f t="shared" si="18"/>
        <v>0</v>
      </c>
      <c r="N30" s="70">
        <f t="shared" si="19"/>
        <v>0</v>
      </c>
      <c r="O30" s="71"/>
      <c r="P30" s="71"/>
      <c r="Q30" s="71"/>
      <c r="R30" s="71"/>
      <c r="S30" s="72"/>
      <c r="T30" s="252" t="e">
        <f t="shared" si="24"/>
        <v>#DIV/0!</v>
      </c>
      <c r="U30" s="73"/>
      <c r="V30" s="73"/>
      <c r="W30" s="65"/>
      <c r="X30" s="65"/>
      <c r="Y30" s="65"/>
      <c r="Z30" s="65"/>
      <c r="AA30" s="61">
        <f>H23</f>
        <v>13</v>
      </c>
      <c r="AB30" s="61" t="str">
        <f>E23</f>
        <v>PIX-CAT-047 W</v>
      </c>
      <c r="AC30" s="74" t="s">
        <v>81</v>
      </c>
      <c r="AD30" s="61" t="str">
        <f t="shared" si="20"/>
        <v>WUH</v>
      </c>
      <c r="AE30" s="61">
        <f t="shared" si="21"/>
        <v>0</v>
      </c>
      <c r="AF30" s="61">
        <f t="shared" si="22"/>
        <v>0</v>
      </c>
      <c r="AG30" s="65"/>
    </row>
    <row r="31" spans="1:33" s="19" customFormat="1" ht="12.75" hidden="1" customHeight="1">
      <c r="A31" s="23" t="s">
        <v>75</v>
      </c>
      <c r="B31" s="1" t="s">
        <v>67</v>
      </c>
      <c r="C31" s="68">
        <v>0</v>
      </c>
      <c r="D31" s="68">
        <v>0</v>
      </c>
      <c r="E31" s="69">
        <f t="shared" si="16"/>
        <v>0</v>
      </c>
      <c r="F31" s="70">
        <f t="shared" si="16"/>
        <v>0</v>
      </c>
      <c r="G31" s="68">
        <f t="shared" si="17"/>
        <v>0</v>
      </c>
      <c r="H31" s="68">
        <f t="shared" si="17"/>
        <v>0</v>
      </c>
      <c r="I31" s="75"/>
      <c r="J31" s="75"/>
      <c r="K31" s="70"/>
      <c r="L31" s="70"/>
      <c r="M31" s="70">
        <f t="shared" si="18"/>
        <v>0</v>
      </c>
      <c r="N31" s="70">
        <f t="shared" si="19"/>
        <v>0</v>
      </c>
      <c r="O31" s="75"/>
      <c r="P31" s="75"/>
      <c r="Q31" s="70"/>
      <c r="R31" s="70"/>
      <c r="S31" s="72"/>
      <c r="T31" s="252" t="e">
        <f t="shared" si="24"/>
        <v>#DIV/0!</v>
      </c>
      <c r="U31" s="73"/>
      <c r="V31" s="73"/>
      <c r="W31" s="65"/>
      <c r="X31" s="65"/>
      <c r="Y31" s="65"/>
      <c r="Z31" s="65"/>
      <c r="AA31" s="61">
        <f>H23</f>
        <v>13</v>
      </c>
      <c r="AB31" s="61" t="str">
        <f>E23</f>
        <v>PIX-CAT-047 W</v>
      </c>
      <c r="AC31" s="74" t="s">
        <v>81</v>
      </c>
      <c r="AD31" s="61" t="str">
        <f t="shared" si="20"/>
        <v>DLC</v>
      </c>
      <c r="AE31" s="61">
        <f t="shared" si="21"/>
        <v>0</v>
      </c>
      <c r="AF31" s="61">
        <f t="shared" si="22"/>
        <v>0</v>
      </c>
      <c r="AG31" s="65"/>
    </row>
    <row r="32" spans="1:33" s="19" customFormat="1" ht="12.75" hidden="1" customHeight="1">
      <c r="A32" s="23" t="s">
        <v>76</v>
      </c>
      <c r="B32" s="1" t="s">
        <v>18</v>
      </c>
      <c r="C32" s="68">
        <v>0</v>
      </c>
      <c r="D32" s="68">
        <v>0</v>
      </c>
      <c r="E32" s="69">
        <f t="shared" si="16"/>
        <v>0</v>
      </c>
      <c r="F32" s="70">
        <f t="shared" si="16"/>
        <v>0</v>
      </c>
      <c r="G32" s="68">
        <f t="shared" si="17"/>
        <v>0</v>
      </c>
      <c r="H32" s="68">
        <f t="shared" si="17"/>
        <v>0</v>
      </c>
      <c r="I32" s="70"/>
      <c r="J32" s="70"/>
      <c r="K32" s="70"/>
      <c r="L32" s="70"/>
      <c r="M32" s="70">
        <f t="shared" si="18"/>
        <v>0</v>
      </c>
      <c r="N32" s="70">
        <f t="shared" si="19"/>
        <v>0</v>
      </c>
      <c r="O32" s="75"/>
      <c r="P32" s="75"/>
      <c r="Q32" s="70"/>
      <c r="R32" s="70"/>
      <c r="S32" s="72"/>
      <c r="T32" s="252" t="e">
        <f t="shared" si="24"/>
        <v>#DIV/0!</v>
      </c>
      <c r="U32" s="73"/>
      <c r="V32" s="73"/>
      <c r="W32" s="65"/>
      <c r="X32" s="65"/>
      <c r="Y32" s="65"/>
      <c r="Z32" s="65"/>
      <c r="AA32" s="61">
        <f>H23</f>
        <v>13</v>
      </c>
      <c r="AB32" s="61" t="str">
        <f>E23</f>
        <v>PIX-CAT-047 W</v>
      </c>
      <c r="AC32" s="74" t="s">
        <v>81</v>
      </c>
      <c r="AD32" s="61" t="str">
        <f t="shared" si="20"/>
        <v>TSN</v>
      </c>
      <c r="AE32" s="61">
        <f t="shared" si="21"/>
        <v>0</v>
      </c>
      <c r="AF32" s="61">
        <f t="shared" si="22"/>
        <v>0</v>
      </c>
      <c r="AG32" s="65"/>
    </row>
    <row r="33" spans="1:33" s="19" customFormat="1" ht="12.75" hidden="1" customHeight="1">
      <c r="A33" s="23" t="s">
        <v>454</v>
      </c>
      <c r="B33" s="1">
        <f>B12+7</f>
        <v>43174</v>
      </c>
      <c r="C33" s="68">
        <v>220</v>
      </c>
      <c r="D33" s="68">
        <v>2860</v>
      </c>
      <c r="E33" s="69">
        <f t="shared" si="16"/>
        <v>89</v>
      </c>
      <c r="F33" s="70">
        <f t="shared" si="16"/>
        <v>1434</v>
      </c>
      <c r="G33" s="68">
        <f t="shared" si="17"/>
        <v>-131</v>
      </c>
      <c r="H33" s="68">
        <f t="shared" si="17"/>
        <v>-1426</v>
      </c>
      <c r="I33" s="70">
        <v>111</v>
      </c>
      <c r="J33" s="70">
        <v>1575</v>
      </c>
      <c r="K33" s="70">
        <v>19</v>
      </c>
      <c r="L33" s="70">
        <v>341</v>
      </c>
      <c r="M33" s="70">
        <f t="shared" si="18"/>
        <v>130</v>
      </c>
      <c r="N33" s="70">
        <f t="shared" si="19"/>
        <v>1916</v>
      </c>
      <c r="O33" s="75"/>
      <c r="P33" s="75"/>
      <c r="Q33" s="76">
        <v>89</v>
      </c>
      <c r="R33" s="71">
        <v>1434</v>
      </c>
      <c r="S33" s="72"/>
      <c r="T33" s="252">
        <f t="shared" si="24"/>
        <v>0.40454545454545454</v>
      </c>
      <c r="U33" s="73"/>
      <c r="V33" s="73"/>
      <c r="W33" s="65"/>
      <c r="X33" s="65"/>
      <c r="Y33" s="65"/>
      <c r="Z33" s="65"/>
      <c r="AA33" s="61">
        <f>H23</f>
        <v>13</v>
      </c>
      <c r="AB33" s="61" t="str">
        <f>E23</f>
        <v>PIX-CAT-047 W</v>
      </c>
      <c r="AC33" s="74" t="s">
        <v>81</v>
      </c>
      <c r="AD33" s="61" t="str">
        <f t="shared" si="20"/>
        <v>XMN</v>
      </c>
      <c r="AE33" s="61">
        <f t="shared" si="21"/>
        <v>220</v>
      </c>
      <c r="AF33" s="61">
        <f t="shared" si="22"/>
        <v>89</v>
      </c>
      <c r="AG33" s="65"/>
    </row>
    <row r="34" spans="1:33" s="19" customFormat="1" ht="12.75" hidden="1" customHeight="1">
      <c r="A34" s="23" t="s">
        <v>77</v>
      </c>
      <c r="B34" s="1">
        <f>B13+7</f>
        <v>43176</v>
      </c>
      <c r="C34" s="68">
        <v>0</v>
      </c>
      <c r="D34" s="68">
        <v>0</v>
      </c>
      <c r="E34" s="69">
        <f t="shared" si="16"/>
        <v>0</v>
      </c>
      <c r="F34" s="70">
        <f t="shared" si="16"/>
        <v>0</v>
      </c>
      <c r="G34" s="68">
        <f t="shared" si="17"/>
        <v>0</v>
      </c>
      <c r="H34" s="68">
        <f t="shared" si="17"/>
        <v>0</v>
      </c>
      <c r="I34" s="70"/>
      <c r="J34" s="70"/>
      <c r="K34" s="70"/>
      <c r="L34" s="70"/>
      <c r="M34" s="70">
        <f t="shared" si="18"/>
        <v>0</v>
      </c>
      <c r="N34" s="70">
        <f t="shared" si="19"/>
        <v>0</v>
      </c>
      <c r="O34" s="71"/>
      <c r="P34" s="71"/>
      <c r="Q34" s="70"/>
      <c r="R34" s="70"/>
      <c r="S34" s="72"/>
      <c r="T34" s="252" t="e">
        <f t="shared" si="24"/>
        <v>#DIV/0!</v>
      </c>
      <c r="U34" s="73"/>
      <c r="V34" s="73"/>
      <c r="W34" s="65"/>
      <c r="X34" s="65"/>
      <c r="Y34" s="65"/>
      <c r="Z34" s="65"/>
      <c r="AA34" s="61">
        <f>H23</f>
        <v>13</v>
      </c>
      <c r="AB34" s="61" t="str">
        <f>E23</f>
        <v>PIX-CAT-047 W</v>
      </c>
      <c r="AC34" s="74" t="s">
        <v>81</v>
      </c>
      <c r="AD34" s="61" t="str">
        <f t="shared" si="20"/>
        <v>HKG</v>
      </c>
      <c r="AE34" s="61">
        <f t="shared" si="21"/>
        <v>0</v>
      </c>
      <c r="AF34" s="61">
        <f t="shared" si="22"/>
        <v>0</v>
      </c>
      <c r="AG34" s="65"/>
    </row>
    <row r="35" spans="1:33" s="19" customFormat="1" ht="12.75" hidden="1" customHeight="1">
      <c r="A35" s="23" t="s">
        <v>78</v>
      </c>
      <c r="B35" s="1">
        <f>B14+7</f>
        <v>43177</v>
      </c>
      <c r="C35" s="68">
        <v>0</v>
      </c>
      <c r="D35" s="68">
        <v>0</v>
      </c>
      <c r="E35" s="69">
        <f t="shared" si="16"/>
        <v>0</v>
      </c>
      <c r="F35" s="70">
        <f t="shared" si="16"/>
        <v>0</v>
      </c>
      <c r="G35" s="68">
        <f t="shared" si="17"/>
        <v>0</v>
      </c>
      <c r="H35" s="68">
        <f t="shared" si="17"/>
        <v>0</v>
      </c>
      <c r="I35" s="70">
        <v>121</v>
      </c>
      <c r="J35" s="70">
        <v>922</v>
      </c>
      <c r="K35" s="70">
        <v>51</v>
      </c>
      <c r="L35" s="70">
        <v>489</v>
      </c>
      <c r="M35" s="70">
        <f t="shared" si="18"/>
        <v>172</v>
      </c>
      <c r="N35" s="70">
        <f t="shared" si="19"/>
        <v>1411</v>
      </c>
      <c r="O35" s="70"/>
      <c r="P35" s="70"/>
      <c r="Q35" s="70"/>
      <c r="R35" s="70"/>
      <c r="S35" s="72"/>
      <c r="T35" s="252" t="e">
        <f t="shared" si="24"/>
        <v>#DIV/0!</v>
      </c>
      <c r="U35" s="73"/>
      <c r="V35" s="73"/>
      <c r="W35" s="65"/>
      <c r="X35" s="65"/>
      <c r="Y35" s="65"/>
      <c r="Z35" s="65"/>
      <c r="AA35" s="61">
        <f>H23</f>
        <v>13</v>
      </c>
      <c r="AB35" s="61" t="str">
        <f>E23</f>
        <v>PIX-CAT-047 W</v>
      </c>
      <c r="AC35" s="74" t="s">
        <v>81</v>
      </c>
      <c r="AD35" s="61" t="str">
        <f t="shared" si="20"/>
        <v>GNS</v>
      </c>
      <c r="AE35" s="61">
        <f t="shared" si="21"/>
        <v>0</v>
      </c>
      <c r="AF35" s="61">
        <f t="shared" si="22"/>
        <v>0</v>
      </c>
      <c r="AG35" s="65"/>
    </row>
    <row r="36" spans="1:33" s="19" customFormat="1" ht="12.75" hidden="1" customHeight="1">
      <c r="A36" s="23" t="s">
        <v>453</v>
      </c>
      <c r="B36" s="1">
        <f>B15+7</f>
        <v>43178</v>
      </c>
      <c r="C36" s="68">
        <v>650</v>
      </c>
      <c r="D36" s="68">
        <v>8450</v>
      </c>
      <c r="E36" s="69">
        <f>O36+Q36</f>
        <v>261</v>
      </c>
      <c r="F36" s="70">
        <f>R35+R34+R36</f>
        <v>2289</v>
      </c>
      <c r="G36" s="68">
        <f t="shared" si="17"/>
        <v>-389</v>
      </c>
      <c r="H36" s="68">
        <f t="shared" si="17"/>
        <v>-6161</v>
      </c>
      <c r="I36" s="70">
        <v>115</v>
      </c>
      <c r="J36" s="70">
        <v>1060</v>
      </c>
      <c r="K36" s="70">
        <v>14</v>
      </c>
      <c r="L36" s="70">
        <v>143</v>
      </c>
      <c r="M36" s="70">
        <f t="shared" si="18"/>
        <v>129</v>
      </c>
      <c r="N36" s="70">
        <f t="shared" si="19"/>
        <v>1203</v>
      </c>
      <c r="O36" s="70"/>
      <c r="P36" s="70"/>
      <c r="Q36" s="70">
        <v>261</v>
      </c>
      <c r="R36" s="84">
        <v>2289</v>
      </c>
      <c r="S36" s="72"/>
      <c r="T36" s="252">
        <f t="shared" si="24"/>
        <v>0.40153846153846151</v>
      </c>
      <c r="U36" s="73"/>
      <c r="V36" s="73"/>
      <c r="W36" s="65"/>
      <c r="X36" s="65"/>
      <c r="Y36" s="65"/>
      <c r="Z36" s="65"/>
      <c r="AA36" s="61">
        <f>H23</f>
        <v>13</v>
      </c>
      <c r="AB36" s="61" t="str">
        <f>E23</f>
        <v>PIX-CAT-047 W</v>
      </c>
      <c r="AC36" s="74" t="s">
        <v>81</v>
      </c>
      <c r="AD36" s="61" t="str">
        <f t="shared" si="20"/>
        <v>HUA</v>
      </c>
      <c r="AE36" s="61">
        <f t="shared" si="21"/>
        <v>650</v>
      </c>
      <c r="AF36" s="61">
        <f t="shared" si="22"/>
        <v>261</v>
      </c>
      <c r="AG36" s="65"/>
    </row>
    <row r="37" spans="1:33" s="19" customFormat="1" ht="12.75" hidden="1" customHeight="1">
      <c r="A37" s="23" t="s">
        <v>69</v>
      </c>
      <c r="B37" s="26" t="s">
        <v>67</v>
      </c>
      <c r="C37" s="68"/>
      <c r="D37" s="68"/>
      <c r="E37" s="69">
        <f>O37+Q37</f>
        <v>0</v>
      </c>
      <c r="F37" s="70">
        <f>P37+R37</f>
        <v>0</v>
      </c>
      <c r="G37" s="68"/>
      <c r="H37" s="68"/>
      <c r="I37" s="70"/>
      <c r="J37" s="70"/>
      <c r="K37" s="70"/>
      <c r="L37" s="70"/>
      <c r="M37" s="70">
        <f t="shared" si="18"/>
        <v>0</v>
      </c>
      <c r="N37" s="70">
        <f t="shared" si="19"/>
        <v>0</v>
      </c>
      <c r="O37" s="70"/>
      <c r="P37" s="70"/>
      <c r="Q37" s="70"/>
      <c r="R37" s="70"/>
      <c r="S37" s="72"/>
      <c r="T37" s="252" t="e">
        <f t="shared" si="24"/>
        <v>#DIV/0!</v>
      </c>
      <c r="U37" s="73"/>
      <c r="V37" s="73"/>
      <c r="W37" s="65"/>
      <c r="X37" s="65"/>
      <c r="Y37" s="65"/>
      <c r="Z37" s="65"/>
      <c r="AA37" s="61">
        <f>H23</f>
        <v>13</v>
      </c>
      <c r="AB37" s="61" t="str">
        <f>E23</f>
        <v>PIX-CAT-047 W</v>
      </c>
      <c r="AC37" s="74" t="s">
        <v>81</v>
      </c>
      <c r="AD37" s="61" t="str">
        <f t="shared" si="20"/>
        <v>HAK</v>
      </c>
      <c r="AE37" s="61">
        <f t="shared" si="21"/>
        <v>0</v>
      </c>
      <c r="AF37" s="61">
        <f t="shared" si="22"/>
        <v>0</v>
      </c>
      <c r="AG37" s="65"/>
    </row>
    <row r="38" spans="1:33" s="19" customFormat="1" ht="12.75" hidden="1" customHeight="1">
      <c r="A38" s="23" t="s">
        <v>3</v>
      </c>
      <c r="B38" s="1">
        <f>B17+7</f>
        <v>43182</v>
      </c>
      <c r="C38" s="68">
        <v>280</v>
      </c>
      <c r="D38" s="68">
        <v>3780</v>
      </c>
      <c r="E38" s="69">
        <f>O38+Q38</f>
        <v>309</v>
      </c>
      <c r="F38" s="70">
        <f>P38+R38</f>
        <v>4472</v>
      </c>
      <c r="G38" s="68">
        <f t="shared" ref="G38:H41" si="25">E38-C38</f>
        <v>29</v>
      </c>
      <c r="H38" s="68">
        <f t="shared" si="25"/>
        <v>692</v>
      </c>
      <c r="I38" s="70"/>
      <c r="J38" s="70"/>
      <c r="K38" s="70"/>
      <c r="L38" s="70"/>
      <c r="M38" s="70">
        <f t="shared" si="18"/>
        <v>0</v>
      </c>
      <c r="N38" s="70">
        <f t="shared" si="19"/>
        <v>0</v>
      </c>
      <c r="O38" s="68"/>
      <c r="P38" s="68"/>
      <c r="Q38" s="70">
        <v>309</v>
      </c>
      <c r="R38" s="70">
        <v>4472</v>
      </c>
      <c r="S38" s="72"/>
      <c r="T38" s="252">
        <f t="shared" si="24"/>
        <v>1.1035714285714286</v>
      </c>
      <c r="U38" s="73"/>
      <c r="V38" s="73"/>
      <c r="W38" s="65"/>
      <c r="X38" s="65"/>
      <c r="Y38" s="65"/>
      <c r="Z38" s="65"/>
      <c r="AA38" s="61">
        <f>H23</f>
        <v>13</v>
      </c>
      <c r="AB38" s="61" t="str">
        <f>E23</f>
        <v>PIX-CAT-047 W</v>
      </c>
      <c r="AC38" s="74" t="s">
        <v>81</v>
      </c>
      <c r="AD38" s="61" t="str">
        <f t="shared" si="20"/>
        <v>SGP</v>
      </c>
      <c r="AE38" s="61">
        <f t="shared" si="21"/>
        <v>280</v>
      </c>
      <c r="AF38" s="61">
        <f t="shared" si="22"/>
        <v>309</v>
      </c>
      <c r="AG38" s="65"/>
    </row>
    <row r="39" spans="1:33" s="19" customFormat="1" ht="12.75" hidden="1" customHeight="1">
      <c r="A39" s="23" t="s">
        <v>4</v>
      </c>
      <c r="B39" s="1">
        <f>B18+7</f>
        <v>43184</v>
      </c>
      <c r="C39" s="68">
        <v>120</v>
      </c>
      <c r="D39" s="68">
        <v>1620</v>
      </c>
      <c r="E39" s="69">
        <f>O39+Q39</f>
        <v>98</v>
      </c>
      <c r="F39" s="70">
        <f>P39+R39</f>
        <v>1288</v>
      </c>
      <c r="G39" s="68">
        <f t="shared" si="25"/>
        <v>-22</v>
      </c>
      <c r="H39" s="68">
        <f t="shared" si="25"/>
        <v>-332</v>
      </c>
      <c r="I39" s="70"/>
      <c r="J39" s="70"/>
      <c r="K39" s="70"/>
      <c r="L39" s="70"/>
      <c r="M39" s="70">
        <f t="shared" si="18"/>
        <v>0</v>
      </c>
      <c r="N39" s="70">
        <f t="shared" si="19"/>
        <v>0</v>
      </c>
      <c r="O39" s="70"/>
      <c r="P39" s="70"/>
      <c r="Q39" s="70">
        <v>98</v>
      </c>
      <c r="R39" s="70">
        <v>1288</v>
      </c>
      <c r="S39" s="72"/>
      <c r="T39" s="252">
        <f>E39/C39</f>
        <v>0.81666666666666665</v>
      </c>
      <c r="U39" s="73"/>
      <c r="V39" s="73"/>
      <c r="W39" s="65"/>
      <c r="X39" s="65"/>
      <c r="Y39" s="65"/>
      <c r="Z39" s="65"/>
      <c r="AA39" s="61">
        <f>H23</f>
        <v>13</v>
      </c>
      <c r="AB39" s="61" t="str">
        <f>E23</f>
        <v>PIX-CAT-047 W</v>
      </c>
      <c r="AC39" s="74" t="s">
        <v>81</v>
      </c>
      <c r="AD39" s="61" t="str">
        <f t="shared" si="20"/>
        <v>PKL</v>
      </c>
      <c r="AE39" s="61">
        <f t="shared" si="21"/>
        <v>120</v>
      </c>
      <c r="AF39" s="61">
        <f t="shared" si="22"/>
        <v>98</v>
      </c>
      <c r="AG39" s="65"/>
    </row>
    <row r="40" spans="1:33" s="19" customFormat="1" ht="12.75" hidden="1" customHeight="1">
      <c r="A40" s="23" t="s">
        <v>31</v>
      </c>
      <c r="B40" s="20"/>
      <c r="C40" s="68">
        <v>45</v>
      </c>
      <c r="D40" s="68">
        <v>608</v>
      </c>
      <c r="E40" s="69">
        <f>O40+Q40</f>
        <v>7</v>
      </c>
      <c r="F40" s="70">
        <f>P40+R40</f>
        <v>152</v>
      </c>
      <c r="G40" s="68">
        <f t="shared" si="25"/>
        <v>-38</v>
      </c>
      <c r="H40" s="68">
        <f t="shared" si="25"/>
        <v>-456</v>
      </c>
      <c r="I40" s="70"/>
      <c r="J40" s="70"/>
      <c r="K40" s="70"/>
      <c r="L40" s="70"/>
      <c r="M40" s="70">
        <f t="shared" si="18"/>
        <v>0</v>
      </c>
      <c r="N40" s="70">
        <f t="shared" si="19"/>
        <v>0</v>
      </c>
      <c r="O40" s="71"/>
      <c r="P40" s="71"/>
      <c r="Q40" s="71">
        <v>7</v>
      </c>
      <c r="R40" s="71">
        <v>152</v>
      </c>
      <c r="S40" s="72"/>
      <c r="T40" s="73"/>
      <c r="U40" s="73"/>
      <c r="V40" s="73"/>
      <c r="W40" s="65"/>
      <c r="X40" s="65"/>
      <c r="Y40" s="65"/>
      <c r="Z40" s="65"/>
      <c r="AA40" s="61">
        <f>H23</f>
        <v>13</v>
      </c>
      <c r="AB40" s="61" t="str">
        <f>E23</f>
        <v>PIX-CAT-047 W</v>
      </c>
      <c r="AC40" s="74" t="s">
        <v>81</v>
      </c>
      <c r="AD40" s="61" t="str">
        <f t="shared" si="20"/>
        <v>COSCO T/S</v>
      </c>
      <c r="AE40" s="61">
        <f t="shared" si="21"/>
        <v>45</v>
      </c>
      <c r="AF40" s="61">
        <f t="shared" si="22"/>
        <v>7</v>
      </c>
      <c r="AG40" s="65"/>
    </row>
    <row r="41" spans="1:33" s="19" customFormat="1" ht="12.75" hidden="1" customHeight="1">
      <c r="A41" s="21" t="s">
        <v>36</v>
      </c>
      <c r="B41" s="22"/>
      <c r="C41" s="71">
        <v>1315</v>
      </c>
      <c r="D41" s="71">
        <v>18018</v>
      </c>
      <c r="E41" s="78">
        <f>SUM(E27:E40)</f>
        <v>764</v>
      </c>
      <c r="F41" s="76">
        <f>SUM(F27:F40)</f>
        <v>9635</v>
      </c>
      <c r="G41" s="71">
        <f t="shared" si="25"/>
        <v>-551</v>
      </c>
      <c r="H41" s="71">
        <f t="shared" si="25"/>
        <v>-8383</v>
      </c>
      <c r="I41" s="70">
        <f t="shared" ref="I41:L41" si="26">SUM(I27:I40)</f>
        <v>347</v>
      </c>
      <c r="J41" s="70">
        <f t="shared" si="26"/>
        <v>3557</v>
      </c>
      <c r="K41" s="70">
        <f t="shared" si="26"/>
        <v>84</v>
      </c>
      <c r="L41" s="70">
        <f t="shared" si="26"/>
        <v>973</v>
      </c>
      <c r="M41" s="70"/>
      <c r="N41" s="70"/>
      <c r="O41" s="70">
        <f t="shared" ref="O41:R41" si="27">SUM(O27:O40)</f>
        <v>0</v>
      </c>
      <c r="P41" s="70">
        <f t="shared" si="27"/>
        <v>0</v>
      </c>
      <c r="Q41" s="70">
        <f t="shared" si="27"/>
        <v>764</v>
      </c>
      <c r="R41" s="70">
        <f t="shared" si="27"/>
        <v>9635</v>
      </c>
      <c r="S41" s="72"/>
      <c r="T41" s="73"/>
      <c r="U41" s="73"/>
      <c r="V41" s="73"/>
      <c r="W41" s="65"/>
      <c r="X41" s="65"/>
      <c r="Y41" s="65"/>
      <c r="Z41" s="65"/>
      <c r="AA41" s="61"/>
      <c r="AB41" s="61"/>
      <c r="AC41" s="61"/>
      <c r="AD41" s="61"/>
      <c r="AE41" s="61"/>
      <c r="AF41" s="61"/>
      <c r="AG41" s="65"/>
    </row>
    <row r="42" spans="1:33" s="65" customFormat="1" ht="12.75" hidden="1" customHeight="1">
      <c r="A42" s="84">
        <f>D41/C41</f>
        <v>13.701901140684411</v>
      </c>
      <c r="C42" s="79">
        <f>F41-E42</f>
        <v>-6581.2000000000007</v>
      </c>
      <c r="E42" s="65">
        <f>D41*0.9</f>
        <v>16216.2</v>
      </c>
      <c r="F42" s="79">
        <f>E41-L42</f>
        <v>-419.5</v>
      </c>
      <c r="I42" s="80" t="s">
        <v>48</v>
      </c>
      <c r="J42" s="245">
        <f>E41/C41</f>
        <v>0.58098859315589357</v>
      </c>
      <c r="K42" s="80"/>
      <c r="L42" s="80">
        <f>C41*0.9</f>
        <v>1183.5</v>
      </c>
      <c r="M42" s="80"/>
      <c r="N42" s="80"/>
      <c r="O42" s="82" t="s">
        <v>70</v>
      </c>
      <c r="P42" s="80"/>
      <c r="Q42" s="65">
        <f>Q33+Q36+I33+I34+I35+I36+K33+K34+K35+K36</f>
        <v>781</v>
      </c>
      <c r="R42" s="65">
        <f>R33+R36+J33+J34+J35+J36+L33+L34+L35+L36</f>
        <v>8253</v>
      </c>
      <c r="AA42" s="81"/>
      <c r="AB42" s="81"/>
      <c r="AC42" s="81"/>
      <c r="AD42" s="81"/>
      <c r="AE42" s="81"/>
      <c r="AF42" s="81"/>
    </row>
    <row r="43" spans="1:33" s="19" customFormat="1" ht="12.75" customHeight="1">
      <c r="C43" s="65"/>
      <c r="D43" s="65"/>
      <c r="E43" s="65"/>
      <c r="F43" s="65"/>
      <c r="G43" s="65"/>
      <c r="H43" s="65"/>
      <c r="I43" s="80"/>
      <c r="J43" s="80"/>
      <c r="K43" s="80"/>
      <c r="L43" s="80"/>
      <c r="M43" s="80"/>
      <c r="N43" s="80"/>
      <c r="O43" s="80"/>
      <c r="P43" s="80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1"/>
      <c r="AB43" s="61"/>
      <c r="AC43" s="61"/>
      <c r="AD43" s="61"/>
      <c r="AE43" s="61"/>
      <c r="AF43" s="61"/>
      <c r="AG43" s="65"/>
    </row>
    <row r="44" spans="1:33" s="18" customFormat="1" ht="12.75" customHeight="1">
      <c r="A44" s="16" t="s">
        <v>65</v>
      </c>
      <c r="B44" s="17" t="s">
        <v>80</v>
      </c>
      <c r="C44" s="56"/>
      <c r="D44" s="57"/>
      <c r="E44" s="58" t="s">
        <v>471</v>
      </c>
      <c r="F44" s="57"/>
      <c r="G44" s="59" t="s">
        <v>37</v>
      </c>
      <c r="H44" s="60">
        <f>H23+1</f>
        <v>14</v>
      </c>
      <c r="I44" s="57"/>
      <c r="J44" s="57"/>
      <c r="K44" s="57"/>
      <c r="L44" s="57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2"/>
      <c r="X44" s="62"/>
      <c r="Y44" s="62"/>
      <c r="Z44" s="62"/>
      <c r="AA44" s="62"/>
      <c r="AB44" s="62"/>
      <c r="AC44" s="62"/>
      <c r="AD44" s="63"/>
      <c r="AE44" s="63"/>
      <c r="AF44" s="63"/>
      <c r="AG44" s="63"/>
    </row>
    <row r="45" spans="1:33" s="19" customFormat="1" ht="12.75" customHeight="1">
      <c r="A45" s="340" t="s">
        <v>0</v>
      </c>
      <c r="B45" s="336" t="s">
        <v>1</v>
      </c>
      <c r="C45" s="331" t="s">
        <v>25</v>
      </c>
      <c r="D45" s="332"/>
      <c r="E45" s="331" t="s">
        <v>21</v>
      </c>
      <c r="F45" s="332"/>
      <c r="G45" s="335" t="s">
        <v>24</v>
      </c>
      <c r="H45" s="335"/>
      <c r="I45" s="328" t="s">
        <v>33</v>
      </c>
      <c r="J45" s="329"/>
      <c r="K45" s="329"/>
      <c r="L45" s="329"/>
      <c r="M45" s="329"/>
      <c r="N45" s="330"/>
      <c r="O45" s="331" t="s">
        <v>22</v>
      </c>
      <c r="P45" s="332"/>
      <c r="Q45" s="335" t="s">
        <v>23</v>
      </c>
      <c r="R45" s="335"/>
      <c r="S45" s="336" t="s">
        <v>27</v>
      </c>
      <c r="T45" s="64"/>
      <c r="U45" s="64"/>
      <c r="V45" s="64"/>
      <c r="W45" s="339"/>
      <c r="X45" s="85"/>
      <c r="Y45" s="85"/>
      <c r="Z45" s="85"/>
      <c r="AA45" s="61"/>
      <c r="AB45" s="61"/>
      <c r="AC45" s="74"/>
      <c r="AD45" s="61"/>
      <c r="AE45" s="61"/>
      <c r="AF45" s="61"/>
      <c r="AG45" s="65"/>
    </row>
    <row r="46" spans="1:33" s="19" customFormat="1" ht="12.75" customHeight="1">
      <c r="A46" s="341"/>
      <c r="B46" s="337"/>
      <c r="C46" s="333"/>
      <c r="D46" s="334"/>
      <c r="E46" s="333"/>
      <c r="F46" s="334"/>
      <c r="G46" s="335"/>
      <c r="H46" s="335"/>
      <c r="I46" s="66" t="s">
        <v>28</v>
      </c>
      <c r="J46" s="67" t="s">
        <v>3</v>
      </c>
      <c r="K46" s="66" t="s">
        <v>29</v>
      </c>
      <c r="L46" s="67" t="s">
        <v>4</v>
      </c>
      <c r="M46" s="328" t="s">
        <v>30</v>
      </c>
      <c r="N46" s="330"/>
      <c r="O46" s="333"/>
      <c r="P46" s="334"/>
      <c r="Q46" s="335"/>
      <c r="R46" s="335"/>
      <c r="S46" s="337"/>
      <c r="T46" s="64"/>
      <c r="U46" s="64"/>
      <c r="V46" s="64"/>
      <c r="W46" s="339"/>
      <c r="X46" s="85"/>
      <c r="Y46" s="85"/>
      <c r="Z46" s="85"/>
      <c r="AA46" s="61"/>
      <c r="AB46" s="61"/>
      <c r="AC46" s="74"/>
      <c r="AD46" s="61"/>
      <c r="AE46" s="61"/>
      <c r="AF46" s="61"/>
      <c r="AG46" s="65"/>
    </row>
    <row r="47" spans="1:33" s="19" customFormat="1" ht="12.75" customHeight="1">
      <c r="A47" s="342"/>
      <c r="B47" s="338"/>
      <c r="C47" s="68" t="s">
        <v>5</v>
      </c>
      <c r="D47" s="68" t="s">
        <v>6</v>
      </c>
      <c r="E47" s="67" t="s">
        <v>5</v>
      </c>
      <c r="F47" s="68" t="s">
        <v>6</v>
      </c>
      <c r="G47" s="68" t="s">
        <v>5</v>
      </c>
      <c r="H47" s="68" t="s">
        <v>6</v>
      </c>
      <c r="I47" s="67" t="s">
        <v>5</v>
      </c>
      <c r="J47" s="68" t="s">
        <v>6</v>
      </c>
      <c r="K47" s="67" t="s">
        <v>5</v>
      </c>
      <c r="L47" s="68" t="s">
        <v>6</v>
      </c>
      <c r="M47" s="68"/>
      <c r="N47" s="68"/>
      <c r="O47" s="67" t="s">
        <v>5</v>
      </c>
      <c r="P47" s="68" t="s">
        <v>6</v>
      </c>
      <c r="Q47" s="68" t="s">
        <v>5</v>
      </c>
      <c r="R47" s="68" t="s">
        <v>6</v>
      </c>
      <c r="S47" s="338"/>
      <c r="T47" s="64"/>
      <c r="U47" s="64"/>
      <c r="V47" s="64"/>
      <c r="W47" s="339"/>
      <c r="X47" s="85"/>
      <c r="Y47" s="85"/>
      <c r="Z47" s="85"/>
      <c r="AA47" s="61" t="s">
        <v>43</v>
      </c>
      <c r="AB47" s="61" t="s">
        <v>45</v>
      </c>
      <c r="AC47" s="61" t="s">
        <v>46</v>
      </c>
      <c r="AD47" s="61" t="s">
        <v>42</v>
      </c>
      <c r="AE47" s="61" t="s">
        <v>41</v>
      </c>
      <c r="AF47" s="61" t="s">
        <v>44</v>
      </c>
      <c r="AG47" s="65"/>
    </row>
    <row r="48" spans="1:33" s="19" customFormat="1" ht="12.75" customHeight="1">
      <c r="A48" s="21" t="s">
        <v>71</v>
      </c>
      <c r="B48" s="1" t="s">
        <v>18</v>
      </c>
      <c r="C48" s="68">
        <v>0</v>
      </c>
      <c r="D48" s="68">
        <v>0</v>
      </c>
      <c r="E48" s="69">
        <f t="shared" ref="E48:F48" si="28">O48+Q48</f>
        <v>10</v>
      </c>
      <c r="F48" s="70">
        <f t="shared" si="28"/>
        <v>114</v>
      </c>
      <c r="G48" s="68">
        <f t="shared" ref="G48:H57" si="29">E48-C48</f>
        <v>10</v>
      </c>
      <c r="H48" s="68">
        <f t="shared" si="29"/>
        <v>114</v>
      </c>
      <c r="I48" s="70"/>
      <c r="J48" s="70"/>
      <c r="K48" s="70"/>
      <c r="L48" s="70"/>
      <c r="M48" s="70">
        <f t="shared" ref="M48:M61" si="30">I48+K48</f>
        <v>0</v>
      </c>
      <c r="N48" s="70">
        <f t="shared" ref="N48:N61" si="31">J48+L48</f>
        <v>0</v>
      </c>
      <c r="O48" s="71"/>
      <c r="P48" s="71"/>
      <c r="Q48" s="70">
        <v>10</v>
      </c>
      <c r="R48" s="70">
        <v>114</v>
      </c>
      <c r="S48" s="72"/>
      <c r="T48" s="252" t="e">
        <f>E48/C48</f>
        <v>#DIV/0!</v>
      </c>
      <c r="U48" s="73"/>
      <c r="V48" s="73"/>
      <c r="W48" s="339"/>
      <c r="X48" s="85"/>
      <c r="Y48" s="85"/>
      <c r="Z48" s="85"/>
      <c r="AA48" s="61">
        <f>H44</f>
        <v>14</v>
      </c>
      <c r="AB48" s="61" t="str">
        <f>E44</f>
        <v>PIX-ARV-130 W</v>
      </c>
      <c r="AC48" s="74" t="s">
        <v>81</v>
      </c>
      <c r="AD48" s="61" t="str">
        <f t="shared" ref="AD48:AD61" si="32">A48</f>
        <v>TAO</v>
      </c>
      <c r="AE48" s="61">
        <f t="shared" ref="AE48:AE61" si="33">C48</f>
        <v>0</v>
      </c>
      <c r="AF48" s="61">
        <f t="shared" ref="AF48:AF61" si="34">E48</f>
        <v>10</v>
      </c>
      <c r="AG48" s="65"/>
    </row>
    <row r="49" spans="1:33" s="19" customFormat="1" ht="12.75" customHeight="1">
      <c r="A49" s="23" t="s">
        <v>72</v>
      </c>
      <c r="B49" s="1" t="s">
        <v>67</v>
      </c>
      <c r="C49" s="68">
        <v>0</v>
      </c>
      <c r="D49" s="68">
        <f t="shared" ref="D49:D50" si="35">C49*13</f>
        <v>0</v>
      </c>
      <c r="E49" s="69">
        <f t="shared" ref="E49:E57" si="36">O49+Q49</f>
        <v>2</v>
      </c>
      <c r="F49" s="70">
        <f t="shared" ref="F49:F57" si="37">P49+R49</f>
        <v>45</v>
      </c>
      <c r="G49" s="68">
        <f t="shared" si="29"/>
        <v>2</v>
      </c>
      <c r="H49" s="68">
        <f t="shared" si="29"/>
        <v>45</v>
      </c>
      <c r="I49" s="75"/>
      <c r="J49" s="75"/>
      <c r="K49" s="70"/>
      <c r="L49" s="70"/>
      <c r="M49" s="70">
        <f t="shared" si="30"/>
        <v>0</v>
      </c>
      <c r="N49" s="70">
        <f t="shared" si="31"/>
        <v>0</v>
      </c>
      <c r="O49" s="75"/>
      <c r="P49" s="75"/>
      <c r="Q49" s="71">
        <v>2</v>
      </c>
      <c r="R49" s="71">
        <v>45</v>
      </c>
      <c r="S49" s="72"/>
      <c r="T49" s="252" t="e">
        <f t="shared" ref="T49:T59" si="38">E49/C49</f>
        <v>#DIV/0!</v>
      </c>
      <c r="U49" s="73"/>
      <c r="V49" s="73"/>
      <c r="W49" s="65"/>
      <c r="X49" s="65"/>
      <c r="Y49" s="65"/>
      <c r="Z49" s="65"/>
      <c r="AA49" s="61">
        <f>H44</f>
        <v>14</v>
      </c>
      <c r="AB49" s="61" t="str">
        <f>E44</f>
        <v>PIX-ARV-130 W</v>
      </c>
      <c r="AC49" s="74" t="s">
        <v>81</v>
      </c>
      <c r="AD49" s="61" t="str">
        <f t="shared" si="32"/>
        <v>SHA</v>
      </c>
      <c r="AE49" s="61">
        <f t="shared" si="33"/>
        <v>0</v>
      </c>
      <c r="AF49" s="61">
        <f t="shared" si="34"/>
        <v>2</v>
      </c>
      <c r="AG49" s="65"/>
    </row>
    <row r="50" spans="1:33" s="19" customFormat="1" ht="12.75" customHeight="1">
      <c r="A50" s="23" t="s">
        <v>73</v>
      </c>
      <c r="B50" s="1" t="s">
        <v>67</v>
      </c>
      <c r="C50" s="68">
        <v>0</v>
      </c>
      <c r="D50" s="68">
        <f t="shared" si="35"/>
        <v>0</v>
      </c>
      <c r="E50" s="69">
        <f t="shared" si="36"/>
        <v>0</v>
      </c>
      <c r="F50" s="70">
        <f t="shared" si="37"/>
        <v>0</v>
      </c>
      <c r="G50" s="68">
        <f t="shared" si="29"/>
        <v>0</v>
      </c>
      <c r="H50" s="68">
        <f t="shared" si="29"/>
        <v>0</v>
      </c>
      <c r="I50" s="75"/>
      <c r="J50" s="75"/>
      <c r="K50" s="71"/>
      <c r="L50" s="71"/>
      <c r="M50" s="70">
        <f t="shared" si="30"/>
        <v>0</v>
      </c>
      <c r="N50" s="70">
        <f t="shared" si="31"/>
        <v>0</v>
      </c>
      <c r="O50" s="75"/>
      <c r="P50" s="75"/>
      <c r="Q50" s="71"/>
      <c r="R50" s="71"/>
      <c r="S50" s="72"/>
      <c r="T50" s="252" t="e">
        <f t="shared" si="38"/>
        <v>#DIV/0!</v>
      </c>
      <c r="U50" s="73"/>
      <c r="V50" s="73"/>
      <c r="W50" s="65"/>
      <c r="X50" s="65"/>
      <c r="Y50" s="65"/>
      <c r="Z50" s="65"/>
      <c r="AA50" s="61">
        <f>H44</f>
        <v>14</v>
      </c>
      <c r="AB50" s="61" t="str">
        <f>E44</f>
        <v>PIX-ARV-130 W</v>
      </c>
      <c r="AC50" s="74" t="s">
        <v>81</v>
      </c>
      <c r="AD50" s="61" t="str">
        <f t="shared" si="32"/>
        <v>NGB</v>
      </c>
      <c r="AE50" s="61">
        <f t="shared" si="33"/>
        <v>0</v>
      </c>
      <c r="AF50" s="61">
        <f t="shared" si="34"/>
        <v>0</v>
      </c>
      <c r="AG50" s="65"/>
    </row>
    <row r="51" spans="1:33" s="19" customFormat="1" ht="12.75" customHeight="1">
      <c r="A51" s="23" t="s">
        <v>74</v>
      </c>
      <c r="B51" s="1" t="s">
        <v>67</v>
      </c>
      <c r="C51" s="68">
        <v>0</v>
      </c>
      <c r="D51" s="68">
        <v>0</v>
      </c>
      <c r="E51" s="69">
        <f t="shared" si="36"/>
        <v>0</v>
      </c>
      <c r="F51" s="70">
        <f t="shared" si="37"/>
        <v>0</v>
      </c>
      <c r="G51" s="68">
        <f t="shared" si="29"/>
        <v>0</v>
      </c>
      <c r="H51" s="68">
        <f t="shared" si="29"/>
        <v>0</v>
      </c>
      <c r="I51" s="71"/>
      <c r="J51" s="71"/>
      <c r="K51" s="71"/>
      <c r="L51" s="71"/>
      <c r="M51" s="70">
        <f t="shared" si="30"/>
        <v>0</v>
      </c>
      <c r="N51" s="70">
        <f t="shared" si="31"/>
        <v>0</v>
      </c>
      <c r="O51" s="71"/>
      <c r="P51" s="71"/>
      <c r="Q51" s="71"/>
      <c r="R51" s="71"/>
      <c r="S51" s="72"/>
      <c r="T51" s="252" t="e">
        <f t="shared" si="38"/>
        <v>#DIV/0!</v>
      </c>
      <c r="U51" s="73"/>
      <c r="V51" s="73"/>
      <c r="W51" s="65"/>
      <c r="X51" s="65"/>
      <c r="Y51" s="65"/>
      <c r="Z51" s="65"/>
      <c r="AA51" s="61">
        <f>H44</f>
        <v>14</v>
      </c>
      <c r="AB51" s="61" t="str">
        <f>E44</f>
        <v>PIX-ARV-130 W</v>
      </c>
      <c r="AC51" s="74" t="s">
        <v>81</v>
      </c>
      <c r="AD51" s="61" t="str">
        <f t="shared" si="32"/>
        <v>WUH</v>
      </c>
      <c r="AE51" s="61">
        <f t="shared" si="33"/>
        <v>0</v>
      </c>
      <c r="AF51" s="61">
        <f t="shared" si="34"/>
        <v>0</v>
      </c>
      <c r="AG51" s="65"/>
    </row>
    <row r="52" spans="1:33" s="19" customFormat="1" ht="12.75" customHeight="1">
      <c r="A52" s="23" t="s">
        <v>75</v>
      </c>
      <c r="B52" s="1" t="s">
        <v>67</v>
      </c>
      <c r="C52" s="68">
        <v>0</v>
      </c>
      <c r="D52" s="68">
        <v>0</v>
      </c>
      <c r="E52" s="69">
        <f t="shared" si="36"/>
        <v>5</v>
      </c>
      <c r="F52" s="70">
        <f t="shared" si="37"/>
        <v>55</v>
      </c>
      <c r="G52" s="68">
        <f t="shared" si="29"/>
        <v>5</v>
      </c>
      <c r="H52" s="68">
        <f t="shared" si="29"/>
        <v>55</v>
      </c>
      <c r="I52" s="75"/>
      <c r="J52" s="75"/>
      <c r="K52" s="70"/>
      <c r="L52" s="70"/>
      <c r="M52" s="70">
        <f t="shared" si="30"/>
        <v>0</v>
      </c>
      <c r="N52" s="70">
        <f t="shared" si="31"/>
        <v>0</v>
      </c>
      <c r="O52" s="75"/>
      <c r="P52" s="75"/>
      <c r="Q52" s="70">
        <v>5</v>
      </c>
      <c r="R52" s="70">
        <v>55</v>
      </c>
      <c r="S52" s="72"/>
      <c r="T52" s="252" t="e">
        <f t="shared" si="38"/>
        <v>#DIV/0!</v>
      </c>
      <c r="U52" s="73"/>
      <c r="V52" s="73"/>
      <c r="W52" s="65"/>
      <c r="X52" s="65"/>
      <c r="Y52" s="65"/>
      <c r="Z52" s="65"/>
      <c r="AA52" s="61">
        <f>H44</f>
        <v>14</v>
      </c>
      <c r="AB52" s="61" t="str">
        <f>E44</f>
        <v>PIX-ARV-130 W</v>
      </c>
      <c r="AC52" s="74" t="s">
        <v>81</v>
      </c>
      <c r="AD52" s="61" t="str">
        <f t="shared" si="32"/>
        <v>DLC</v>
      </c>
      <c r="AE52" s="61">
        <f t="shared" si="33"/>
        <v>0</v>
      </c>
      <c r="AF52" s="61">
        <f t="shared" si="34"/>
        <v>5</v>
      </c>
      <c r="AG52" s="65"/>
    </row>
    <row r="53" spans="1:33" s="19" customFormat="1" ht="12.75" customHeight="1">
      <c r="A53" s="23" t="s">
        <v>76</v>
      </c>
      <c r="B53" s="1" t="s">
        <v>18</v>
      </c>
      <c r="C53" s="68">
        <v>0</v>
      </c>
      <c r="D53" s="68">
        <v>0</v>
      </c>
      <c r="E53" s="69">
        <f t="shared" si="36"/>
        <v>0</v>
      </c>
      <c r="F53" s="70">
        <f t="shared" si="37"/>
        <v>0</v>
      </c>
      <c r="G53" s="68">
        <f t="shared" si="29"/>
        <v>0</v>
      </c>
      <c r="H53" s="68">
        <f t="shared" si="29"/>
        <v>0</v>
      </c>
      <c r="I53" s="70"/>
      <c r="J53" s="70"/>
      <c r="K53" s="70"/>
      <c r="L53" s="70"/>
      <c r="M53" s="70">
        <f t="shared" si="30"/>
        <v>0</v>
      </c>
      <c r="N53" s="70">
        <f t="shared" si="31"/>
        <v>0</v>
      </c>
      <c r="O53" s="75"/>
      <c r="P53" s="75"/>
      <c r="Q53" s="70"/>
      <c r="R53" s="70"/>
      <c r="S53" s="72"/>
      <c r="T53" s="252" t="e">
        <f t="shared" si="38"/>
        <v>#DIV/0!</v>
      </c>
      <c r="U53" s="73"/>
      <c r="V53" s="73"/>
      <c r="W53" s="65"/>
      <c r="X53" s="65"/>
      <c r="Y53" s="65"/>
      <c r="Z53" s="65"/>
      <c r="AA53" s="61">
        <f>H44</f>
        <v>14</v>
      </c>
      <c r="AB53" s="61" t="str">
        <f>E44</f>
        <v>PIX-ARV-130 W</v>
      </c>
      <c r="AC53" s="74" t="s">
        <v>81</v>
      </c>
      <c r="AD53" s="61" t="str">
        <f t="shared" si="32"/>
        <v>TSN</v>
      </c>
      <c r="AE53" s="61">
        <f t="shared" si="33"/>
        <v>0</v>
      </c>
      <c r="AF53" s="61">
        <f t="shared" si="34"/>
        <v>0</v>
      </c>
      <c r="AG53" s="65"/>
    </row>
    <row r="54" spans="1:33" s="19" customFormat="1" ht="12.75" customHeight="1">
      <c r="A54" s="23" t="s">
        <v>14</v>
      </c>
      <c r="B54" s="1">
        <f>B33+7</f>
        <v>43181</v>
      </c>
      <c r="C54" s="68">
        <v>220</v>
      </c>
      <c r="D54" s="68">
        <v>2860</v>
      </c>
      <c r="E54" s="69">
        <f t="shared" si="36"/>
        <v>164</v>
      </c>
      <c r="F54" s="70">
        <f t="shared" si="37"/>
        <v>2525</v>
      </c>
      <c r="G54" s="68">
        <f t="shared" si="29"/>
        <v>-56</v>
      </c>
      <c r="H54" s="68">
        <f t="shared" si="29"/>
        <v>-335</v>
      </c>
      <c r="I54" s="70">
        <v>238</v>
      </c>
      <c r="J54" s="70">
        <v>3415</v>
      </c>
      <c r="K54" s="70">
        <v>13</v>
      </c>
      <c r="L54" s="70">
        <v>217</v>
      </c>
      <c r="M54" s="70">
        <f t="shared" si="30"/>
        <v>251</v>
      </c>
      <c r="N54" s="70">
        <f t="shared" si="31"/>
        <v>3632</v>
      </c>
      <c r="O54" s="75"/>
      <c r="P54" s="75"/>
      <c r="Q54" s="76">
        <v>164</v>
      </c>
      <c r="R54" s="71">
        <v>2525</v>
      </c>
      <c r="S54" s="72"/>
      <c r="T54" s="252">
        <f t="shared" si="38"/>
        <v>0.74545454545454548</v>
      </c>
      <c r="U54" s="73"/>
      <c r="V54" s="73"/>
      <c r="W54" s="65"/>
      <c r="X54" s="65"/>
      <c r="Y54" s="65"/>
      <c r="Z54" s="65"/>
      <c r="AA54" s="61">
        <f>H44</f>
        <v>14</v>
      </c>
      <c r="AB54" s="61" t="str">
        <f>E44</f>
        <v>PIX-ARV-130 W</v>
      </c>
      <c r="AC54" s="74" t="s">
        <v>81</v>
      </c>
      <c r="AD54" s="61" t="str">
        <f t="shared" si="32"/>
        <v>XMN</v>
      </c>
      <c r="AE54" s="61">
        <f t="shared" si="33"/>
        <v>220</v>
      </c>
      <c r="AF54" s="61">
        <f t="shared" si="34"/>
        <v>164</v>
      </c>
      <c r="AG54" s="65"/>
    </row>
    <row r="55" spans="1:33" s="19" customFormat="1" ht="12.75" customHeight="1">
      <c r="A55" s="23" t="s">
        <v>77</v>
      </c>
      <c r="B55" s="1">
        <f>B34+7</f>
        <v>43183</v>
      </c>
      <c r="C55" s="68">
        <v>0</v>
      </c>
      <c r="D55" s="68">
        <v>0</v>
      </c>
      <c r="E55" s="69">
        <f t="shared" si="36"/>
        <v>0</v>
      </c>
      <c r="F55" s="70">
        <f t="shared" si="37"/>
        <v>0</v>
      </c>
      <c r="G55" s="68">
        <f t="shared" si="29"/>
        <v>0</v>
      </c>
      <c r="H55" s="68">
        <f t="shared" si="29"/>
        <v>0</v>
      </c>
      <c r="I55" s="70"/>
      <c r="J55" s="70"/>
      <c r="K55" s="70"/>
      <c r="L55" s="70"/>
      <c r="M55" s="70">
        <f t="shared" si="30"/>
        <v>0</v>
      </c>
      <c r="N55" s="70">
        <f t="shared" si="31"/>
        <v>0</v>
      </c>
      <c r="O55" s="71"/>
      <c r="P55" s="71"/>
      <c r="Q55" s="70"/>
      <c r="R55" s="70"/>
      <c r="S55" s="72"/>
      <c r="T55" s="252" t="e">
        <f t="shared" si="38"/>
        <v>#DIV/0!</v>
      </c>
      <c r="U55" s="73"/>
      <c r="V55" s="73"/>
      <c r="W55" s="65"/>
      <c r="X55" s="65"/>
      <c r="Y55" s="65"/>
      <c r="Z55" s="65"/>
      <c r="AA55" s="61">
        <f>H44</f>
        <v>14</v>
      </c>
      <c r="AB55" s="61" t="str">
        <f>E44</f>
        <v>PIX-ARV-130 W</v>
      </c>
      <c r="AC55" s="74" t="s">
        <v>81</v>
      </c>
      <c r="AD55" s="61" t="str">
        <f t="shared" si="32"/>
        <v>HKG</v>
      </c>
      <c r="AE55" s="61">
        <f t="shared" si="33"/>
        <v>0</v>
      </c>
      <c r="AF55" s="61">
        <f t="shared" si="34"/>
        <v>0</v>
      </c>
      <c r="AG55" s="65"/>
    </row>
    <row r="56" spans="1:33" s="19" customFormat="1" ht="12.75" customHeight="1">
      <c r="A56" s="23" t="s">
        <v>78</v>
      </c>
      <c r="B56" s="1">
        <f>B35+7</f>
        <v>43184</v>
      </c>
      <c r="C56" s="68">
        <v>0</v>
      </c>
      <c r="D56" s="68">
        <v>0</v>
      </c>
      <c r="E56" s="69">
        <f t="shared" si="36"/>
        <v>0</v>
      </c>
      <c r="F56" s="70">
        <f t="shared" si="37"/>
        <v>0</v>
      </c>
      <c r="G56" s="68">
        <f t="shared" si="29"/>
        <v>0</v>
      </c>
      <c r="H56" s="68">
        <f t="shared" si="29"/>
        <v>0</v>
      </c>
      <c r="I56" s="70">
        <v>155</v>
      </c>
      <c r="J56" s="70">
        <v>1317</v>
      </c>
      <c r="K56" s="70">
        <v>49</v>
      </c>
      <c r="L56" s="70">
        <v>581</v>
      </c>
      <c r="M56" s="70">
        <f t="shared" si="30"/>
        <v>204</v>
      </c>
      <c r="N56" s="70">
        <f t="shared" si="31"/>
        <v>1898</v>
      </c>
      <c r="O56" s="70"/>
      <c r="P56" s="70"/>
      <c r="Q56" s="70"/>
      <c r="R56" s="70"/>
      <c r="S56" s="72"/>
      <c r="T56" s="252" t="e">
        <f t="shared" si="38"/>
        <v>#DIV/0!</v>
      </c>
      <c r="U56" s="73"/>
      <c r="V56" s="73"/>
      <c r="W56" s="65"/>
      <c r="X56" s="65"/>
      <c r="Y56" s="65"/>
      <c r="Z56" s="65"/>
      <c r="AA56" s="61">
        <f>H44</f>
        <v>14</v>
      </c>
      <c r="AB56" s="61" t="str">
        <f>E44</f>
        <v>PIX-ARV-130 W</v>
      </c>
      <c r="AC56" s="74" t="s">
        <v>81</v>
      </c>
      <c r="AD56" s="61" t="str">
        <f t="shared" si="32"/>
        <v>GNS</v>
      </c>
      <c r="AE56" s="61">
        <f t="shared" si="33"/>
        <v>0</v>
      </c>
      <c r="AF56" s="61">
        <f t="shared" si="34"/>
        <v>0</v>
      </c>
      <c r="AG56" s="65"/>
    </row>
    <row r="57" spans="1:33" s="19" customFormat="1" ht="12.75" customHeight="1">
      <c r="A57" s="23" t="s">
        <v>16</v>
      </c>
      <c r="B57" s="1">
        <f>B36+7</f>
        <v>43185</v>
      </c>
      <c r="C57" s="68">
        <v>650</v>
      </c>
      <c r="D57" s="68">
        <v>8450</v>
      </c>
      <c r="E57" s="69">
        <f t="shared" si="36"/>
        <v>540</v>
      </c>
      <c r="F57" s="70">
        <f t="shared" si="37"/>
        <v>5130</v>
      </c>
      <c r="G57" s="68">
        <f t="shared" si="29"/>
        <v>-110</v>
      </c>
      <c r="H57" s="68">
        <f t="shared" si="29"/>
        <v>-3320</v>
      </c>
      <c r="I57" s="70">
        <v>117</v>
      </c>
      <c r="J57" s="70">
        <v>976</v>
      </c>
      <c r="K57" s="70">
        <v>20</v>
      </c>
      <c r="L57" s="70">
        <v>241</v>
      </c>
      <c r="M57" s="70">
        <f t="shared" si="30"/>
        <v>137</v>
      </c>
      <c r="N57" s="70">
        <f t="shared" si="31"/>
        <v>1217</v>
      </c>
      <c r="O57" s="70"/>
      <c r="P57" s="70"/>
      <c r="Q57" s="70">
        <v>540</v>
      </c>
      <c r="R57" s="84">
        <v>5130</v>
      </c>
      <c r="S57" s="72"/>
      <c r="T57" s="252">
        <f t="shared" si="38"/>
        <v>0.83076923076923082</v>
      </c>
      <c r="U57" s="73"/>
      <c r="V57" s="73"/>
      <c r="W57" s="65"/>
      <c r="X57" s="65"/>
      <c r="Y57" s="65"/>
      <c r="Z57" s="65"/>
      <c r="AA57" s="61">
        <f>H44</f>
        <v>14</v>
      </c>
      <c r="AB57" s="61" t="str">
        <f>E44</f>
        <v>PIX-ARV-130 W</v>
      </c>
      <c r="AC57" s="74" t="s">
        <v>81</v>
      </c>
      <c r="AD57" s="61" t="str">
        <f t="shared" si="32"/>
        <v>HUA</v>
      </c>
      <c r="AE57" s="61">
        <f t="shared" si="33"/>
        <v>650</v>
      </c>
      <c r="AF57" s="61">
        <f t="shared" si="34"/>
        <v>540</v>
      </c>
      <c r="AG57" s="65"/>
    </row>
    <row r="58" spans="1:33" s="19" customFormat="1" ht="12.75" customHeight="1">
      <c r="A58" s="23" t="s">
        <v>69</v>
      </c>
      <c r="B58" s="26" t="s">
        <v>67</v>
      </c>
      <c r="C58" s="68"/>
      <c r="D58" s="68"/>
      <c r="E58" s="69">
        <f t="shared" ref="E58:E61" si="39">O58+Q58</f>
        <v>0</v>
      </c>
      <c r="F58" s="70">
        <f t="shared" ref="F58:F61" si="40">P58+R58</f>
        <v>0</v>
      </c>
      <c r="G58" s="68"/>
      <c r="H58" s="68"/>
      <c r="I58" s="70"/>
      <c r="J58" s="70"/>
      <c r="K58" s="70"/>
      <c r="L58" s="70"/>
      <c r="M58" s="70">
        <f t="shared" si="30"/>
        <v>0</v>
      </c>
      <c r="N58" s="70">
        <f t="shared" si="31"/>
        <v>0</v>
      </c>
      <c r="O58" s="70"/>
      <c r="P58" s="70"/>
      <c r="Q58" s="70"/>
      <c r="R58" s="70"/>
      <c r="S58" s="72"/>
      <c r="T58" s="252" t="e">
        <f t="shared" si="38"/>
        <v>#DIV/0!</v>
      </c>
      <c r="U58" s="73"/>
      <c r="V58" s="73"/>
      <c r="W58" s="65"/>
      <c r="X58" s="65"/>
      <c r="Y58" s="65"/>
      <c r="Z58" s="65"/>
      <c r="AA58" s="61">
        <f>H44</f>
        <v>14</v>
      </c>
      <c r="AB58" s="61" t="str">
        <f>E44</f>
        <v>PIX-ARV-130 W</v>
      </c>
      <c r="AC58" s="74" t="s">
        <v>81</v>
      </c>
      <c r="AD58" s="61" t="str">
        <f t="shared" si="32"/>
        <v>HAK</v>
      </c>
      <c r="AE58" s="61">
        <f t="shared" si="33"/>
        <v>0</v>
      </c>
      <c r="AF58" s="61">
        <f t="shared" si="34"/>
        <v>0</v>
      </c>
      <c r="AG58" s="65"/>
    </row>
    <row r="59" spans="1:33" s="19" customFormat="1" ht="12.75" customHeight="1">
      <c r="A59" s="23" t="s">
        <v>3</v>
      </c>
      <c r="B59" s="1">
        <f>B38+7</f>
        <v>43189</v>
      </c>
      <c r="C59" s="68">
        <v>280</v>
      </c>
      <c r="D59" s="68">
        <v>3780</v>
      </c>
      <c r="E59" s="69">
        <f t="shared" si="39"/>
        <v>440</v>
      </c>
      <c r="F59" s="70">
        <f t="shared" si="40"/>
        <v>6659</v>
      </c>
      <c r="G59" s="68">
        <f t="shared" ref="G59:H62" si="41">E59-C59</f>
        <v>160</v>
      </c>
      <c r="H59" s="68">
        <f t="shared" si="41"/>
        <v>2879</v>
      </c>
      <c r="I59" s="70"/>
      <c r="J59" s="70"/>
      <c r="K59" s="70"/>
      <c r="L59" s="70"/>
      <c r="M59" s="70">
        <f t="shared" si="30"/>
        <v>0</v>
      </c>
      <c r="N59" s="70">
        <f t="shared" si="31"/>
        <v>0</v>
      </c>
      <c r="O59" s="68"/>
      <c r="P59" s="68"/>
      <c r="Q59" s="70">
        <v>440</v>
      </c>
      <c r="R59" s="70">
        <v>6659</v>
      </c>
      <c r="S59" s="72"/>
      <c r="T59" s="252">
        <f t="shared" si="38"/>
        <v>1.5714285714285714</v>
      </c>
      <c r="U59" s="73"/>
      <c r="V59" s="73"/>
      <c r="W59" s="65"/>
      <c r="X59" s="65"/>
      <c r="Y59" s="65"/>
      <c r="Z59" s="65"/>
      <c r="AA59" s="61">
        <f>H44</f>
        <v>14</v>
      </c>
      <c r="AB59" s="61" t="str">
        <f>E44</f>
        <v>PIX-ARV-130 W</v>
      </c>
      <c r="AC59" s="74" t="s">
        <v>81</v>
      </c>
      <c r="AD59" s="61" t="str">
        <f t="shared" si="32"/>
        <v>SGP</v>
      </c>
      <c r="AE59" s="61">
        <f t="shared" si="33"/>
        <v>280</v>
      </c>
      <c r="AF59" s="61">
        <f t="shared" si="34"/>
        <v>440</v>
      </c>
      <c r="AG59" s="65"/>
    </row>
    <row r="60" spans="1:33" s="19" customFormat="1" ht="12.75" customHeight="1">
      <c r="A60" s="23" t="s">
        <v>4</v>
      </c>
      <c r="B60" s="1">
        <f>B39+7</f>
        <v>43191</v>
      </c>
      <c r="C60" s="68">
        <v>120</v>
      </c>
      <c r="D60" s="68">
        <v>1620</v>
      </c>
      <c r="E60" s="69">
        <f t="shared" si="39"/>
        <v>69</v>
      </c>
      <c r="F60" s="70">
        <f t="shared" si="40"/>
        <v>1064</v>
      </c>
      <c r="G60" s="68">
        <f t="shared" si="41"/>
        <v>-51</v>
      </c>
      <c r="H60" s="68">
        <f t="shared" si="41"/>
        <v>-556</v>
      </c>
      <c r="I60" s="70"/>
      <c r="J60" s="70"/>
      <c r="K60" s="70"/>
      <c r="L60" s="70"/>
      <c r="M60" s="70">
        <f t="shared" si="30"/>
        <v>0</v>
      </c>
      <c r="N60" s="70">
        <f t="shared" si="31"/>
        <v>0</v>
      </c>
      <c r="O60" s="70"/>
      <c r="P60" s="70"/>
      <c r="Q60" s="70">
        <v>69</v>
      </c>
      <c r="R60" s="70">
        <v>1064</v>
      </c>
      <c r="S60" s="72"/>
      <c r="T60" s="252">
        <f>E60/C60</f>
        <v>0.57499999999999996</v>
      </c>
      <c r="U60" s="73"/>
      <c r="V60" s="73"/>
      <c r="W60" s="65"/>
      <c r="X60" s="65"/>
      <c r="Y60" s="65"/>
      <c r="Z60" s="65"/>
      <c r="AA60" s="61">
        <f>H44</f>
        <v>14</v>
      </c>
      <c r="AB60" s="61" t="str">
        <f>E44</f>
        <v>PIX-ARV-130 W</v>
      </c>
      <c r="AC60" s="74" t="s">
        <v>81</v>
      </c>
      <c r="AD60" s="61" t="str">
        <f t="shared" si="32"/>
        <v>PKL</v>
      </c>
      <c r="AE60" s="61">
        <f t="shared" si="33"/>
        <v>120</v>
      </c>
      <c r="AF60" s="61">
        <f t="shared" si="34"/>
        <v>69</v>
      </c>
      <c r="AG60" s="65"/>
    </row>
    <row r="61" spans="1:33" s="19" customFormat="1" ht="12.75" customHeight="1">
      <c r="A61" s="23" t="s">
        <v>31</v>
      </c>
      <c r="B61" s="20"/>
      <c r="C61" s="68">
        <v>45</v>
      </c>
      <c r="D61" s="68">
        <v>608</v>
      </c>
      <c r="E61" s="69">
        <f t="shared" si="39"/>
        <v>0</v>
      </c>
      <c r="F61" s="70">
        <f t="shared" si="40"/>
        <v>0</v>
      </c>
      <c r="G61" s="68">
        <f t="shared" si="41"/>
        <v>-45</v>
      </c>
      <c r="H61" s="68">
        <f t="shared" si="41"/>
        <v>-608</v>
      </c>
      <c r="I61" s="70"/>
      <c r="J61" s="70"/>
      <c r="K61" s="70"/>
      <c r="L61" s="70"/>
      <c r="M61" s="70">
        <f t="shared" si="30"/>
        <v>0</v>
      </c>
      <c r="N61" s="70">
        <f t="shared" si="31"/>
        <v>0</v>
      </c>
      <c r="O61" s="71"/>
      <c r="P61" s="71"/>
      <c r="Q61" s="71"/>
      <c r="R61" s="71"/>
      <c r="S61" s="72"/>
      <c r="T61" s="73"/>
      <c r="U61" s="73"/>
      <c r="V61" s="73"/>
      <c r="W61" s="65"/>
      <c r="X61" s="65"/>
      <c r="Y61" s="65"/>
      <c r="Z61" s="65"/>
      <c r="AA61" s="61">
        <f>H44</f>
        <v>14</v>
      </c>
      <c r="AB61" s="61" t="str">
        <f>E44</f>
        <v>PIX-ARV-130 W</v>
      </c>
      <c r="AC61" s="74" t="s">
        <v>81</v>
      </c>
      <c r="AD61" s="61" t="str">
        <f t="shared" si="32"/>
        <v>COSCO T/S</v>
      </c>
      <c r="AE61" s="61">
        <f t="shared" si="33"/>
        <v>45</v>
      </c>
      <c r="AF61" s="61">
        <f t="shared" si="34"/>
        <v>0</v>
      </c>
      <c r="AG61" s="65"/>
    </row>
    <row r="62" spans="1:33" s="19" customFormat="1" ht="12.75" customHeight="1">
      <c r="A62" s="21" t="s">
        <v>36</v>
      </c>
      <c r="B62" s="22"/>
      <c r="C62" s="71">
        <v>1315</v>
      </c>
      <c r="D62" s="71">
        <v>18018</v>
      </c>
      <c r="E62" s="78">
        <f>SUM(E48:E61)</f>
        <v>1230</v>
      </c>
      <c r="F62" s="76">
        <f>SUM(F48:F61)</f>
        <v>15592</v>
      </c>
      <c r="G62" s="71">
        <f t="shared" si="41"/>
        <v>-85</v>
      </c>
      <c r="H62" s="71">
        <f t="shared" si="41"/>
        <v>-2426</v>
      </c>
      <c r="I62" s="70">
        <f t="shared" ref="I62:L62" si="42">SUM(I48:I61)</f>
        <v>510</v>
      </c>
      <c r="J62" s="70">
        <f t="shared" si="42"/>
        <v>5708</v>
      </c>
      <c r="K62" s="70">
        <f t="shared" si="42"/>
        <v>82</v>
      </c>
      <c r="L62" s="70">
        <f t="shared" si="42"/>
        <v>1039</v>
      </c>
      <c r="M62" s="70"/>
      <c r="N62" s="70"/>
      <c r="O62" s="70">
        <f t="shared" ref="O62:R62" si="43">SUM(O48:O61)</f>
        <v>0</v>
      </c>
      <c r="P62" s="70">
        <f t="shared" si="43"/>
        <v>0</v>
      </c>
      <c r="Q62" s="70">
        <f t="shared" si="43"/>
        <v>1230</v>
      </c>
      <c r="R62" s="70">
        <f t="shared" si="43"/>
        <v>15592</v>
      </c>
      <c r="S62" s="72"/>
      <c r="T62" s="73"/>
      <c r="U62" s="73"/>
      <c r="V62" s="73"/>
      <c r="W62" s="65"/>
      <c r="X62" s="65"/>
      <c r="Y62" s="65"/>
      <c r="Z62" s="65"/>
      <c r="AA62" s="61"/>
      <c r="AB62" s="61"/>
      <c r="AC62" s="61"/>
      <c r="AD62" s="61"/>
      <c r="AE62" s="61"/>
      <c r="AF62" s="61"/>
      <c r="AG62" s="65"/>
    </row>
    <row r="63" spans="1:33" s="65" customFormat="1" ht="12.75" customHeight="1">
      <c r="A63" s="84">
        <f>D62/C62</f>
        <v>13.701901140684411</v>
      </c>
      <c r="C63" s="79">
        <f>F62-E63</f>
        <v>-624.20000000000073</v>
      </c>
      <c r="E63" s="65">
        <f>D62*0.9</f>
        <v>16216.2</v>
      </c>
      <c r="F63" s="79">
        <f>E62-L63</f>
        <v>46.5</v>
      </c>
      <c r="I63" s="80" t="s">
        <v>48</v>
      </c>
      <c r="J63" s="245">
        <f>E62/C62</f>
        <v>0.93536121673003803</v>
      </c>
      <c r="K63" s="80"/>
      <c r="L63" s="80">
        <f>C62*0.9</f>
        <v>1183.5</v>
      </c>
      <c r="M63" s="80"/>
      <c r="N63" s="80"/>
      <c r="O63" s="82" t="s">
        <v>484</v>
      </c>
      <c r="P63" s="80"/>
      <c r="Q63" s="65">
        <f>Q54+Q57+I54+I55+I56+I57+K54+K55+K56+K57</f>
        <v>1296</v>
      </c>
      <c r="R63" s="65">
        <f>R54+R57+J54+J55+J56+J57+L54+L55+L56+L57</f>
        <v>14402</v>
      </c>
      <c r="AA63" s="81"/>
      <c r="AB63" s="81"/>
      <c r="AC63" s="81"/>
      <c r="AD63" s="81"/>
      <c r="AE63" s="81"/>
      <c r="AF63" s="81"/>
    </row>
    <row r="65" spans="1:32" s="63" customFormat="1" ht="12.75" customHeight="1">
      <c r="A65" s="59" t="s">
        <v>64</v>
      </c>
      <c r="B65" s="58" t="s">
        <v>521</v>
      </c>
      <c r="C65" s="56"/>
      <c r="D65" s="57"/>
      <c r="E65" s="58" t="s">
        <v>522</v>
      </c>
      <c r="F65" s="57"/>
      <c r="G65" s="59" t="s">
        <v>37</v>
      </c>
      <c r="H65" s="60">
        <f>H44+1</f>
        <v>15</v>
      </c>
      <c r="I65" s="57"/>
      <c r="J65" s="57"/>
      <c r="K65" s="57"/>
      <c r="L65" s="57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2"/>
      <c r="X65" s="62"/>
      <c r="Y65" s="62"/>
      <c r="Z65" s="62"/>
      <c r="AA65" s="62"/>
      <c r="AB65" s="62"/>
      <c r="AC65" s="62"/>
    </row>
    <row r="66" spans="1:32" s="65" customFormat="1" ht="12.75" customHeight="1">
      <c r="A66" s="340" t="s">
        <v>0</v>
      </c>
      <c r="B66" s="336" t="s">
        <v>1</v>
      </c>
      <c r="C66" s="331" t="s">
        <v>25</v>
      </c>
      <c r="D66" s="332"/>
      <c r="E66" s="331" t="s">
        <v>21</v>
      </c>
      <c r="F66" s="332"/>
      <c r="G66" s="335" t="s">
        <v>24</v>
      </c>
      <c r="H66" s="335"/>
      <c r="I66" s="328" t="s">
        <v>33</v>
      </c>
      <c r="J66" s="329"/>
      <c r="K66" s="329"/>
      <c r="L66" s="329"/>
      <c r="M66" s="329"/>
      <c r="N66" s="330"/>
      <c r="O66" s="331" t="s">
        <v>22</v>
      </c>
      <c r="P66" s="332"/>
      <c r="Q66" s="335" t="s">
        <v>23</v>
      </c>
      <c r="R66" s="335"/>
      <c r="S66" s="336" t="s">
        <v>27</v>
      </c>
      <c r="T66" s="64"/>
      <c r="U66" s="64"/>
      <c r="V66" s="64"/>
      <c r="W66" s="339"/>
      <c r="X66" s="262"/>
      <c r="Y66" s="262"/>
      <c r="Z66" s="262"/>
      <c r="AA66" s="61"/>
      <c r="AB66" s="61"/>
      <c r="AC66" s="74"/>
      <c r="AD66" s="61"/>
      <c r="AE66" s="61"/>
      <c r="AF66" s="61"/>
    </row>
    <row r="67" spans="1:32" s="65" customFormat="1" ht="12.75" customHeight="1">
      <c r="A67" s="341"/>
      <c r="B67" s="337"/>
      <c r="C67" s="333"/>
      <c r="D67" s="334"/>
      <c r="E67" s="333"/>
      <c r="F67" s="334"/>
      <c r="G67" s="335"/>
      <c r="H67" s="335"/>
      <c r="I67" s="258" t="s">
        <v>28</v>
      </c>
      <c r="J67" s="259" t="s">
        <v>3</v>
      </c>
      <c r="K67" s="258" t="s">
        <v>29</v>
      </c>
      <c r="L67" s="259" t="s">
        <v>4</v>
      </c>
      <c r="M67" s="328" t="s">
        <v>30</v>
      </c>
      <c r="N67" s="330"/>
      <c r="O67" s="333"/>
      <c r="P67" s="334"/>
      <c r="Q67" s="335"/>
      <c r="R67" s="335"/>
      <c r="S67" s="337"/>
      <c r="T67" s="64"/>
      <c r="U67" s="64"/>
      <c r="V67" s="64"/>
      <c r="W67" s="339"/>
      <c r="X67" s="262"/>
      <c r="Y67" s="262"/>
      <c r="Z67" s="262"/>
      <c r="AA67" s="61"/>
      <c r="AB67" s="61"/>
      <c r="AC67" s="74"/>
      <c r="AD67" s="61"/>
      <c r="AE67" s="61"/>
      <c r="AF67" s="61"/>
    </row>
    <row r="68" spans="1:32" s="65" customFormat="1" ht="12.75" customHeight="1">
      <c r="A68" s="342"/>
      <c r="B68" s="338"/>
      <c r="C68" s="260" t="s">
        <v>5</v>
      </c>
      <c r="D68" s="260" t="s">
        <v>6</v>
      </c>
      <c r="E68" s="259" t="s">
        <v>5</v>
      </c>
      <c r="F68" s="260" t="s">
        <v>6</v>
      </c>
      <c r="G68" s="260" t="s">
        <v>5</v>
      </c>
      <c r="H68" s="260" t="s">
        <v>6</v>
      </c>
      <c r="I68" s="259" t="s">
        <v>5</v>
      </c>
      <c r="J68" s="260" t="s">
        <v>6</v>
      </c>
      <c r="K68" s="259" t="s">
        <v>5</v>
      </c>
      <c r="L68" s="260" t="s">
        <v>6</v>
      </c>
      <c r="M68" s="260"/>
      <c r="N68" s="260"/>
      <c r="O68" s="259" t="s">
        <v>5</v>
      </c>
      <c r="P68" s="260" t="s">
        <v>6</v>
      </c>
      <c r="Q68" s="260" t="s">
        <v>5</v>
      </c>
      <c r="R68" s="260" t="s">
        <v>6</v>
      </c>
      <c r="S68" s="338"/>
      <c r="T68" s="64"/>
      <c r="U68" s="64"/>
      <c r="V68" s="64"/>
      <c r="W68" s="339"/>
      <c r="X68" s="262"/>
      <c r="Y68" s="262"/>
      <c r="Z68" s="262"/>
      <c r="AA68" s="61" t="s">
        <v>43</v>
      </c>
      <c r="AB68" s="61" t="s">
        <v>45</v>
      </c>
      <c r="AC68" s="61" t="s">
        <v>46</v>
      </c>
      <c r="AD68" s="61" t="s">
        <v>42</v>
      </c>
      <c r="AE68" s="61" t="s">
        <v>41</v>
      </c>
      <c r="AF68" s="61" t="s">
        <v>44</v>
      </c>
    </row>
    <row r="69" spans="1:32" s="65" customFormat="1" ht="12.75" customHeight="1">
      <c r="A69" s="51" t="s">
        <v>71</v>
      </c>
      <c r="B69" s="1" t="s">
        <v>18</v>
      </c>
      <c r="C69" s="260">
        <v>0</v>
      </c>
      <c r="D69" s="260">
        <v>0</v>
      </c>
      <c r="E69" s="69">
        <f t="shared" ref="E69:E82" si="44">O69+Q69</f>
        <v>0</v>
      </c>
      <c r="F69" s="70">
        <f t="shared" ref="F69:F82" si="45">P69+R69</f>
        <v>0</v>
      </c>
      <c r="G69" s="260">
        <f t="shared" ref="G69:G78" si="46">E69-C69</f>
        <v>0</v>
      </c>
      <c r="H69" s="260">
        <f t="shared" ref="H69:H78" si="47">F69-D69</f>
        <v>0</v>
      </c>
      <c r="I69" s="70"/>
      <c r="J69" s="70"/>
      <c r="K69" s="70"/>
      <c r="L69" s="70"/>
      <c r="M69" s="70">
        <f t="shared" ref="M69:M72" si="48">I69+K69</f>
        <v>0</v>
      </c>
      <c r="N69" s="70">
        <f t="shared" ref="N69:N72" si="49">J69+L69</f>
        <v>0</v>
      </c>
      <c r="O69" s="71"/>
      <c r="P69" s="71"/>
      <c r="Q69" s="70"/>
      <c r="R69" s="70"/>
      <c r="S69" s="72"/>
      <c r="T69" s="252" t="e">
        <f>E69/C69</f>
        <v>#DIV/0!</v>
      </c>
      <c r="U69" s="73"/>
      <c r="V69" s="73"/>
      <c r="W69" s="339"/>
      <c r="X69" s="262"/>
      <c r="Y69" s="262"/>
      <c r="Z69" s="262"/>
      <c r="AA69" s="61">
        <f>H65</f>
        <v>15</v>
      </c>
      <c r="AB69" s="61" t="str">
        <f>E65</f>
        <v>PIX-RFA-110 W</v>
      </c>
      <c r="AC69" s="74" t="s">
        <v>81</v>
      </c>
      <c r="AD69" s="61" t="str">
        <f t="shared" ref="AD69:AD82" si="50">A69</f>
        <v>TAO</v>
      </c>
      <c r="AE69" s="61">
        <f t="shared" ref="AE69:AE82" si="51">C69</f>
        <v>0</v>
      </c>
      <c r="AF69" s="61">
        <f t="shared" ref="AF69:AF82" si="52">E69</f>
        <v>0</v>
      </c>
    </row>
    <row r="70" spans="1:32" s="65" customFormat="1" ht="12.75" customHeight="1">
      <c r="A70" s="52" t="s">
        <v>72</v>
      </c>
      <c r="B70" s="1" t="s">
        <v>18</v>
      </c>
      <c r="C70" s="260">
        <v>0</v>
      </c>
      <c r="D70" s="260">
        <f t="shared" ref="D70:D71" si="53">C70*13</f>
        <v>0</v>
      </c>
      <c r="E70" s="69">
        <f t="shared" si="44"/>
        <v>14</v>
      </c>
      <c r="F70" s="70">
        <f t="shared" si="45"/>
        <v>303</v>
      </c>
      <c r="G70" s="260">
        <f t="shared" si="46"/>
        <v>14</v>
      </c>
      <c r="H70" s="260">
        <f t="shared" si="47"/>
        <v>303</v>
      </c>
      <c r="I70" s="75"/>
      <c r="J70" s="75"/>
      <c r="K70" s="70"/>
      <c r="L70" s="70"/>
      <c r="M70" s="70">
        <f t="shared" si="48"/>
        <v>0</v>
      </c>
      <c r="N70" s="70">
        <f t="shared" si="49"/>
        <v>0</v>
      </c>
      <c r="O70" s="75"/>
      <c r="P70" s="75"/>
      <c r="Q70" s="71">
        <v>14</v>
      </c>
      <c r="R70" s="71">
        <v>303</v>
      </c>
      <c r="S70" s="72"/>
      <c r="T70" s="252" t="e">
        <f t="shared" ref="T70:T80" si="54">E70/C70</f>
        <v>#DIV/0!</v>
      </c>
      <c r="U70" s="73"/>
      <c r="V70" s="73"/>
      <c r="AA70" s="61">
        <f>H65</f>
        <v>15</v>
      </c>
      <c r="AB70" s="61" t="str">
        <f>E65</f>
        <v>PIX-RFA-110 W</v>
      </c>
      <c r="AC70" s="74" t="s">
        <v>81</v>
      </c>
      <c r="AD70" s="61" t="str">
        <f t="shared" si="50"/>
        <v>SHA</v>
      </c>
      <c r="AE70" s="61">
        <f t="shared" si="51"/>
        <v>0</v>
      </c>
      <c r="AF70" s="61">
        <f t="shared" si="52"/>
        <v>14</v>
      </c>
    </row>
    <row r="71" spans="1:32" s="65" customFormat="1" ht="12.75" customHeight="1">
      <c r="A71" s="52" t="s">
        <v>73</v>
      </c>
      <c r="B71" s="1" t="s">
        <v>18</v>
      </c>
      <c r="C71" s="260">
        <v>0</v>
      </c>
      <c r="D71" s="260">
        <f t="shared" si="53"/>
        <v>0</v>
      </c>
      <c r="E71" s="69">
        <f t="shared" si="44"/>
        <v>0</v>
      </c>
      <c r="F71" s="70">
        <f t="shared" si="45"/>
        <v>0</v>
      </c>
      <c r="G71" s="260">
        <f t="shared" si="46"/>
        <v>0</v>
      </c>
      <c r="H71" s="260">
        <f t="shared" si="47"/>
        <v>0</v>
      </c>
      <c r="I71" s="75"/>
      <c r="J71" s="75"/>
      <c r="K71" s="71"/>
      <c r="L71" s="71"/>
      <c r="M71" s="70">
        <f t="shared" si="48"/>
        <v>0</v>
      </c>
      <c r="N71" s="70">
        <f t="shared" si="49"/>
        <v>0</v>
      </c>
      <c r="O71" s="75"/>
      <c r="P71" s="75"/>
      <c r="Q71" s="71"/>
      <c r="R71" s="71"/>
      <c r="S71" s="72"/>
      <c r="T71" s="252" t="e">
        <f t="shared" si="54"/>
        <v>#DIV/0!</v>
      </c>
      <c r="U71" s="73"/>
      <c r="V71" s="73"/>
      <c r="AA71" s="61">
        <f>H65</f>
        <v>15</v>
      </c>
      <c r="AB71" s="61" t="str">
        <f>E65</f>
        <v>PIX-RFA-110 W</v>
      </c>
      <c r="AC71" s="74" t="s">
        <v>81</v>
      </c>
      <c r="AD71" s="61" t="str">
        <f t="shared" si="50"/>
        <v>NGB</v>
      </c>
      <c r="AE71" s="61">
        <f t="shared" si="51"/>
        <v>0</v>
      </c>
      <c r="AF71" s="61">
        <f t="shared" si="52"/>
        <v>0</v>
      </c>
    </row>
    <row r="72" spans="1:32" s="65" customFormat="1" ht="12.75" customHeight="1">
      <c r="A72" s="52" t="s">
        <v>74</v>
      </c>
      <c r="B72" s="1" t="s">
        <v>18</v>
      </c>
      <c r="C72" s="260">
        <v>0</v>
      </c>
      <c r="D72" s="260">
        <v>0</v>
      </c>
      <c r="E72" s="69">
        <f t="shared" si="44"/>
        <v>0</v>
      </c>
      <c r="F72" s="70">
        <f t="shared" si="45"/>
        <v>0</v>
      </c>
      <c r="G72" s="260">
        <f t="shared" si="46"/>
        <v>0</v>
      </c>
      <c r="H72" s="260">
        <f t="shared" si="47"/>
        <v>0</v>
      </c>
      <c r="I72" s="71"/>
      <c r="J72" s="71"/>
      <c r="K72" s="71"/>
      <c r="L72" s="71"/>
      <c r="M72" s="70">
        <f t="shared" si="48"/>
        <v>0</v>
      </c>
      <c r="N72" s="70">
        <f t="shared" si="49"/>
        <v>0</v>
      </c>
      <c r="O72" s="71"/>
      <c r="P72" s="71"/>
      <c r="Q72" s="71"/>
      <c r="R72" s="71"/>
      <c r="S72" s="72"/>
      <c r="T72" s="252" t="e">
        <f t="shared" si="54"/>
        <v>#DIV/0!</v>
      </c>
      <c r="U72" s="73"/>
      <c r="V72" s="73"/>
      <c r="AA72" s="61">
        <f>H65</f>
        <v>15</v>
      </c>
      <c r="AB72" s="61" t="str">
        <f>E65</f>
        <v>PIX-RFA-110 W</v>
      </c>
      <c r="AC72" s="74" t="s">
        <v>81</v>
      </c>
      <c r="AD72" s="61" t="str">
        <f t="shared" si="50"/>
        <v>WUH</v>
      </c>
      <c r="AE72" s="61">
        <f t="shared" si="51"/>
        <v>0</v>
      </c>
      <c r="AF72" s="61">
        <f t="shared" si="52"/>
        <v>0</v>
      </c>
    </row>
    <row r="73" spans="1:32" s="65" customFormat="1" ht="12.75" customHeight="1">
      <c r="A73" s="52" t="s">
        <v>75</v>
      </c>
      <c r="B73" s="1" t="s">
        <v>18</v>
      </c>
      <c r="C73" s="260">
        <v>0</v>
      </c>
      <c r="D73" s="260">
        <v>0</v>
      </c>
      <c r="E73" s="69">
        <f t="shared" si="44"/>
        <v>5</v>
      </c>
      <c r="F73" s="70">
        <f t="shared" si="45"/>
        <v>41</v>
      </c>
      <c r="G73" s="260">
        <f t="shared" si="46"/>
        <v>5</v>
      </c>
      <c r="H73" s="260">
        <f t="shared" si="47"/>
        <v>41</v>
      </c>
      <c r="I73" s="75"/>
      <c r="J73" s="75"/>
      <c r="K73" s="70"/>
      <c r="L73" s="70"/>
      <c r="M73" s="70">
        <f t="shared" ref="M73:M82" si="55">I73+K73</f>
        <v>0</v>
      </c>
      <c r="N73" s="70">
        <f t="shared" ref="N73:N82" si="56">J73+L73</f>
        <v>0</v>
      </c>
      <c r="O73" s="75"/>
      <c r="P73" s="75"/>
      <c r="Q73" s="70">
        <v>5</v>
      </c>
      <c r="R73" s="70">
        <v>41</v>
      </c>
      <c r="S73" s="72"/>
      <c r="T73" s="252" t="e">
        <f t="shared" si="54"/>
        <v>#DIV/0!</v>
      </c>
      <c r="U73" s="73"/>
      <c r="V73" s="73"/>
      <c r="AA73" s="61">
        <f>H65</f>
        <v>15</v>
      </c>
      <c r="AB73" s="61" t="str">
        <f>E65</f>
        <v>PIX-RFA-110 W</v>
      </c>
      <c r="AC73" s="74" t="s">
        <v>81</v>
      </c>
      <c r="AD73" s="61" t="str">
        <f t="shared" si="50"/>
        <v>DLC</v>
      </c>
      <c r="AE73" s="61">
        <f t="shared" si="51"/>
        <v>0</v>
      </c>
      <c r="AF73" s="61">
        <f t="shared" si="52"/>
        <v>5</v>
      </c>
    </row>
    <row r="74" spans="1:32" s="65" customFormat="1" ht="12.75" customHeight="1">
      <c r="A74" s="52" t="s">
        <v>76</v>
      </c>
      <c r="B74" s="1" t="s">
        <v>18</v>
      </c>
      <c r="C74" s="260">
        <v>0</v>
      </c>
      <c r="D74" s="260">
        <v>0</v>
      </c>
      <c r="E74" s="69">
        <f t="shared" si="44"/>
        <v>0</v>
      </c>
      <c r="F74" s="70">
        <f t="shared" si="45"/>
        <v>0</v>
      </c>
      <c r="G74" s="260">
        <f t="shared" si="46"/>
        <v>0</v>
      </c>
      <c r="H74" s="260">
        <f t="shared" si="47"/>
        <v>0</v>
      </c>
      <c r="I74" s="70"/>
      <c r="J74" s="70"/>
      <c r="K74" s="70"/>
      <c r="L74" s="70"/>
      <c r="M74" s="70">
        <f t="shared" si="55"/>
        <v>0</v>
      </c>
      <c r="N74" s="70">
        <f t="shared" si="56"/>
        <v>0</v>
      </c>
      <c r="O74" s="75"/>
      <c r="P74" s="75"/>
      <c r="Q74" s="70"/>
      <c r="R74" s="70"/>
      <c r="S74" s="72"/>
      <c r="T74" s="252" t="e">
        <f t="shared" si="54"/>
        <v>#DIV/0!</v>
      </c>
      <c r="U74" s="73"/>
      <c r="V74" s="73"/>
      <c r="AA74" s="61">
        <f>H65</f>
        <v>15</v>
      </c>
      <c r="AB74" s="61" t="str">
        <f>E65</f>
        <v>PIX-RFA-110 W</v>
      </c>
      <c r="AC74" s="74" t="s">
        <v>81</v>
      </c>
      <c r="AD74" s="61" t="str">
        <f t="shared" si="50"/>
        <v>TSN</v>
      </c>
      <c r="AE74" s="61">
        <f t="shared" si="51"/>
        <v>0</v>
      </c>
      <c r="AF74" s="61">
        <f t="shared" si="52"/>
        <v>0</v>
      </c>
    </row>
    <row r="75" spans="1:32" s="65" customFormat="1" ht="12.75" customHeight="1">
      <c r="A75" s="52" t="s">
        <v>14</v>
      </c>
      <c r="B75" s="1">
        <f>B54+7</f>
        <v>43188</v>
      </c>
      <c r="C75" s="260">
        <v>220</v>
      </c>
      <c r="D75" s="260">
        <v>2860</v>
      </c>
      <c r="E75" s="69">
        <f t="shared" si="44"/>
        <v>213</v>
      </c>
      <c r="F75" s="70">
        <f t="shared" si="45"/>
        <v>3560</v>
      </c>
      <c r="G75" s="260">
        <f t="shared" si="46"/>
        <v>-7</v>
      </c>
      <c r="H75" s="260">
        <f t="shared" si="47"/>
        <v>700</v>
      </c>
      <c r="I75" s="70">
        <v>99</v>
      </c>
      <c r="J75" s="70">
        <v>1360</v>
      </c>
      <c r="K75" s="70">
        <v>13</v>
      </c>
      <c r="L75" s="70">
        <v>223</v>
      </c>
      <c r="M75" s="70">
        <f t="shared" si="55"/>
        <v>112</v>
      </c>
      <c r="N75" s="70">
        <f t="shared" si="56"/>
        <v>1583</v>
      </c>
      <c r="O75" s="75"/>
      <c r="P75" s="75"/>
      <c r="Q75" s="76">
        <v>213</v>
      </c>
      <c r="R75" s="71">
        <v>3560</v>
      </c>
      <c r="S75" s="72"/>
      <c r="T75" s="252">
        <f t="shared" si="54"/>
        <v>0.96818181818181814</v>
      </c>
      <c r="U75" s="73"/>
      <c r="V75" s="73"/>
      <c r="AA75" s="61">
        <f>H65</f>
        <v>15</v>
      </c>
      <c r="AB75" s="61" t="str">
        <f>E65</f>
        <v>PIX-RFA-110 W</v>
      </c>
      <c r="AC75" s="74" t="s">
        <v>81</v>
      </c>
      <c r="AD75" s="61" t="str">
        <f t="shared" si="50"/>
        <v>XMN</v>
      </c>
      <c r="AE75" s="61">
        <f t="shared" si="51"/>
        <v>220</v>
      </c>
      <c r="AF75" s="61">
        <f t="shared" si="52"/>
        <v>213</v>
      </c>
    </row>
    <row r="76" spans="1:32" s="65" customFormat="1" ht="12.75" customHeight="1">
      <c r="A76" s="52" t="s">
        <v>77</v>
      </c>
      <c r="B76" s="1">
        <f>B55+7</f>
        <v>43190</v>
      </c>
      <c r="C76" s="260">
        <v>0</v>
      </c>
      <c r="D76" s="260">
        <v>0</v>
      </c>
      <c r="E76" s="69">
        <f t="shared" si="44"/>
        <v>0</v>
      </c>
      <c r="F76" s="70">
        <f t="shared" si="45"/>
        <v>0</v>
      </c>
      <c r="G76" s="260">
        <f t="shared" si="46"/>
        <v>0</v>
      </c>
      <c r="H76" s="260">
        <f t="shared" si="47"/>
        <v>0</v>
      </c>
      <c r="I76" s="70">
        <v>1</v>
      </c>
      <c r="J76" s="70">
        <v>11</v>
      </c>
      <c r="K76" s="70"/>
      <c r="L76" s="70"/>
      <c r="M76" s="70">
        <f t="shared" si="55"/>
        <v>1</v>
      </c>
      <c r="N76" s="70">
        <f t="shared" si="56"/>
        <v>11</v>
      </c>
      <c r="O76" s="71"/>
      <c r="P76" s="71"/>
      <c r="Q76" s="70"/>
      <c r="R76" s="70"/>
      <c r="S76" s="72"/>
      <c r="T76" s="252" t="e">
        <f t="shared" si="54"/>
        <v>#DIV/0!</v>
      </c>
      <c r="U76" s="73"/>
      <c r="V76" s="73"/>
      <c r="AA76" s="61">
        <f>H65</f>
        <v>15</v>
      </c>
      <c r="AB76" s="61" t="str">
        <f>E65</f>
        <v>PIX-RFA-110 W</v>
      </c>
      <c r="AC76" s="74" t="s">
        <v>81</v>
      </c>
      <c r="AD76" s="61" t="str">
        <f t="shared" si="50"/>
        <v>HKG</v>
      </c>
      <c r="AE76" s="61">
        <f t="shared" si="51"/>
        <v>0</v>
      </c>
      <c r="AF76" s="61">
        <f t="shared" si="52"/>
        <v>0</v>
      </c>
    </row>
    <row r="77" spans="1:32" s="65" customFormat="1" ht="12.75" customHeight="1">
      <c r="A77" s="52" t="s">
        <v>68</v>
      </c>
      <c r="B77" s="1">
        <f>B56+7</f>
        <v>43191</v>
      </c>
      <c r="C77" s="260">
        <v>0</v>
      </c>
      <c r="D77" s="260">
        <v>0</v>
      </c>
      <c r="E77" s="69">
        <f t="shared" si="44"/>
        <v>0</v>
      </c>
      <c r="F77" s="70">
        <f t="shared" si="45"/>
        <v>0</v>
      </c>
      <c r="G77" s="260">
        <f t="shared" si="46"/>
        <v>0</v>
      </c>
      <c r="H77" s="260">
        <f t="shared" si="47"/>
        <v>0</v>
      </c>
      <c r="I77" s="70">
        <v>83</v>
      </c>
      <c r="J77" s="70">
        <v>681</v>
      </c>
      <c r="K77" s="70">
        <v>44</v>
      </c>
      <c r="L77" s="70">
        <v>452</v>
      </c>
      <c r="M77" s="70">
        <f t="shared" si="55"/>
        <v>127</v>
      </c>
      <c r="N77" s="70">
        <f t="shared" si="56"/>
        <v>1133</v>
      </c>
      <c r="O77" s="70"/>
      <c r="P77" s="70"/>
      <c r="Q77" s="70"/>
      <c r="R77" s="70"/>
      <c r="S77" s="72"/>
      <c r="T77" s="252" t="e">
        <f t="shared" si="54"/>
        <v>#DIV/0!</v>
      </c>
      <c r="U77" s="73"/>
      <c r="V77" s="73"/>
      <c r="AA77" s="61">
        <f>H65</f>
        <v>15</v>
      </c>
      <c r="AB77" s="61" t="str">
        <f>E65</f>
        <v>PIX-RFA-110 W</v>
      </c>
      <c r="AC77" s="74" t="s">
        <v>81</v>
      </c>
      <c r="AD77" s="61" t="str">
        <f t="shared" si="50"/>
        <v>GNS</v>
      </c>
      <c r="AE77" s="61">
        <f t="shared" si="51"/>
        <v>0</v>
      </c>
      <c r="AF77" s="61">
        <f t="shared" si="52"/>
        <v>0</v>
      </c>
    </row>
    <row r="78" spans="1:32" s="65" customFormat="1" ht="12.75" customHeight="1">
      <c r="A78" s="52" t="s">
        <v>16</v>
      </c>
      <c r="B78" s="1">
        <f>B57+7</f>
        <v>43192</v>
      </c>
      <c r="C78" s="260">
        <v>650</v>
      </c>
      <c r="D78" s="260">
        <v>8450</v>
      </c>
      <c r="E78" s="69">
        <f t="shared" si="44"/>
        <v>551</v>
      </c>
      <c r="F78" s="70">
        <f t="shared" si="45"/>
        <v>4355</v>
      </c>
      <c r="G78" s="260">
        <f t="shared" si="46"/>
        <v>-99</v>
      </c>
      <c r="H78" s="260">
        <f t="shared" si="47"/>
        <v>-4095</v>
      </c>
      <c r="I78" s="70">
        <v>64</v>
      </c>
      <c r="J78" s="70">
        <v>710</v>
      </c>
      <c r="K78" s="70">
        <v>34</v>
      </c>
      <c r="L78" s="70">
        <v>258</v>
      </c>
      <c r="M78" s="70">
        <f t="shared" si="55"/>
        <v>98</v>
      </c>
      <c r="N78" s="70">
        <f t="shared" si="56"/>
        <v>968</v>
      </c>
      <c r="O78" s="70"/>
      <c r="P78" s="70"/>
      <c r="Q78" s="70">
        <v>551</v>
      </c>
      <c r="R78" s="84">
        <v>4355</v>
      </c>
      <c r="S78" s="72"/>
      <c r="T78" s="252">
        <f t="shared" si="54"/>
        <v>0.84769230769230774</v>
      </c>
      <c r="U78" s="73"/>
      <c r="V78" s="73"/>
      <c r="AA78" s="61">
        <f>H65</f>
        <v>15</v>
      </c>
      <c r="AB78" s="61" t="str">
        <f>E65</f>
        <v>PIX-RFA-110 W</v>
      </c>
      <c r="AC78" s="74" t="s">
        <v>81</v>
      </c>
      <c r="AD78" s="61" t="str">
        <f t="shared" si="50"/>
        <v>HUA</v>
      </c>
      <c r="AE78" s="61">
        <f t="shared" si="51"/>
        <v>650</v>
      </c>
      <c r="AF78" s="61">
        <f t="shared" si="52"/>
        <v>551</v>
      </c>
    </row>
    <row r="79" spans="1:32" s="65" customFormat="1" ht="12.75" customHeight="1">
      <c r="A79" s="52" t="s">
        <v>69</v>
      </c>
      <c r="B79" s="26" t="s">
        <v>18</v>
      </c>
      <c r="C79" s="260"/>
      <c r="D79" s="260"/>
      <c r="E79" s="69">
        <f t="shared" si="44"/>
        <v>0</v>
      </c>
      <c r="F79" s="70">
        <f t="shared" si="45"/>
        <v>0</v>
      </c>
      <c r="G79" s="260"/>
      <c r="H79" s="260"/>
      <c r="I79" s="70"/>
      <c r="J79" s="70"/>
      <c r="K79" s="70"/>
      <c r="L79" s="70"/>
      <c r="M79" s="70">
        <f t="shared" si="55"/>
        <v>0</v>
      </c>
      <c r="N79" s="70">
        <f t="shared" si="56"/>
        <v>0</v>
      </c>
      <c r="O79" s="70"/>
      <c r="P79" s="70"/>
      <c r="Q79" s="70"/>
      <c r="R79" s="70"/>
      <c r="S79" s="72"/>
      <c r="T79" s="252" t="e">
        <f t="shared" si="54"/>
        <v>#DIV/0!</v>
      </c>
      <c r="U79" s="73"/>
      <c r="V79" s="73"/>
      <c r="AA79" s="61">
        <f>H65</f>
        <v>15</v>
      </c>
      <c r="AB79" s="61" t="str">
        <f>E65</f>
        <v>PIX-RFA-110 W</v>
      </c>
      <c r="AC79" s="74" t="s">
        <v>81</v>
      </c>
      <c r="AD79" s="61" t="str">
        <f t="shared" si="50"/>
        <v>HAK</v>
      </c>
      <c r="AE79" s="61">
        <f t="shared" si="51"/>
        <v>0</v>
      </c>
      <c r="AF79" s="61">
        <f t="shared" si="52"/>
        <v>0</v>
      </c>
    </row>
    <row r="80" spans="1:32" s="65" customFormat="1" ht="12.75" customHeight="1">
      <c r="A80" s="52" t="s">
        <v>3</v>
      </c>
      <c r="B80" s="1">
        <f>B59+7</f>
        <v>43196</v>
      </c>
      <c r="C80" s="260">
        <v>280</v>
      </c>
      <c r="D80" s="260">
        <v>3780</v>
      </c>
      <c r="E80" s="69">
        <f t="shared" si="44"/>
        <v>345</v>
      </c>
      <c r="F80" s="70">
        <f t="shared" si="45"/>
        <v>5178</v>
      </c>
      <c r="G80" s="260">
        <f t="shared" ref="G80:G83" si="57">E80-C80</f>
        <v>65</v>
      </c>
      <c r="H80" s="260">
        <f t="shared" ref="H80:H83" si="58">F80-D80</f>
        <v>1398</v>
      </c>
      <c r="I80" s="70"/>
      <c r="J80" s="70"/>
      <c r="K80" s="70"/>
      <c r="L80" s="70"/>
      <c r="M80" s="70">
        <f t="shared" si="55"/>
        <v>0</v>
      </c>
      <c r="N80" s="70">
        <f t="shared" si="56"/>
        <v>0</v>
      </c>
      <c r="O80" s="260"/>
      <c r="P80" s="260"/>
      <c r="Q80" s="70">
        <f>364-Q69-Q70-Q71-Q72-Q73-Q74</f>
        <v>345</v>
      </c>
      <c r="R80" s="70">
        <f>5522-R69-R70-R71-R72-R73-R74</f>
        <v>5178</v>
      </c>
      <c r="S80" s="72"/>
      <c r="T80" s="252">
        <f t="shared" si="54"/>
        <v>1.2321428571428572</v>
      </c>
      <c r="U80" s="73"/>
      <c r="V80" s="73"/>
      <c r="AA80" s="61">
        <f>H65</f>
        <v>15</v>
      </c>
      <c r="AB80" s="61" t="str">
        <f>E65</f>
        <v>PIX-RFA-110 W</v>
      </c>
      <c r="AC80" s="74" t="s">
        <v>81</v>
      </c>
      <c r="AD80" s="61" t="str">
        <f t="shared" si="50"/>
        <v>SGP</v>
      </c>
      <c r="AE80" s="61">
        <f t="shared" si="51"/>
        <v>280</v>
      </c>
      <c r="AF80" s="61">
        <f t="shared" si="52"/>
        <v>345</v>
      </c>
    </row>
    <row r="81" spans="1:32" s="65" customFormat="1" ht="12.75" customHeight="1">
      <c r="A81" s="52" t="s">
        <v>4</v>
      </c>
      <c r="B81" s="1">
        <f>B60+7</f>
        <v>43198</v>
      </c>
      <c r="C81" s="260">
        <v>120</v>
      </c>
      <c r="D81" s="260">
        <v>1620</v>
      </c>
      <c r="E81" s="69">
        <f t="shared" si="44"/>
        <v>125</v>
      </c>
      <c r="F81" s="70">
        <f t="shared" si="45"/>
        <v>564</v>
      </c>
      <c r="G81" s="260">
        <f t="shared" si="57"/>
        <v>5</v>
      </c>
      <c r="H81" s="260">
        <f t="shared" si="58"/>
        <v>-1056</v>
      </c>
      <c r="I81" s="70"/>
      <c r="J81" s="70"/>
      <c r="K81" s="70"/>
      <c r="L81" s="70"/>
      <c r="M81" s="70">
        <f t="shared" si="55"/>
        <v>0</v>
      </c>
      <c r="N81" s="70">
        <f t="shared" si="56"/>
        <v>0</v>
      </c>
      <c r="O81" s="70"/>
      <c r="P81" s="70"/>
      <c r="Q81" s="70">
        <v>125</v>
      </c>
      <c r="R81" s="70">
        <v>564</v>
      </c>
      <c r="S81" s="72"/>
      <c r="T81" s="252">
        <f>E81/C81</f>
        <v>1.0416666666666667</v>
      </c>
      <c r="U81" s="73"/>
      <c r="V81" s="73"/>
      <c r="AA81" s="61">
        <f>H65</f>
        <v>15</v>
      </c>
      <c r="AB81" s="61" t="str">
        <f>E65</f>
        <v>PIX-RFA-110 W</v>
      </c>
      <c r="AC81" s="74" t="s">
        <v>81</v>
      </c>
      <c r="AD81" s="61" t="str">
        <f t="shared" si="50"/>
        <v>PKL</v>
      </c>
      <c r="AE81" s="61">
        <f t="shared" si="51"/>
        <v>120</v>
      </c>
      <c r="AF81" s="61">
        <f t="shared" si="52"/>
        <v>125</v>
      </c>
    </row>
    <row r="82" spans="1:32" s="65" customFormat="1" ht="12.75" customHeight="1">
      <c r="A82" s="52" t="s">
        <v>31</v>
      </c>
      <c r="B82" s="260"/>
      <c r="C82" s="260">
        <v>45</v>
      </c>
      <c r="D82" s="260">
        <v>608</v>
      </c>
      <c r="E82" s="69">
        <f t="shared" si="44"/>
        <v>0</v>
      </c>
      <c r="F82" s="70">
        <f t="shared" si="45"/>
        <v>0</v>
      </c>
      <c r="G82" s="260">
        <f t="shared" si="57"/>
        <v>-45</v>
      </c>
      <c r="H82" s="260">
        <f t="shared" si="58"/>
        <v>-608</v>
      </c>
      <c r="I82" s="70"/>
      <c r="J82" s="70"/>
      <c r="K82" s="70"/>
      <c r="L82" s="70"/>
      <c r="M82" s="70">
        <f t="shared" si="55"/>
        <v>0</v>
      </c>
      <c r="N82" s="70">
        <f t="shared" si="56"/>
        <v>0</v>
      </c>
      <c r="O82" s="71"/>
      <c r="P82" s="71"/>
      <c r="Q82" s="71"/>
      <c r="R82" s="71"/>
      <c r="S82" s="72"/>
      <c r="T82" s="73"/>
      <c r="U82" s="73"/>
      <c r="V82" s="73"/>
      <c r="AA82" s="61">
        <f>H65</f>
        <v>15</v>
      </c>
      <c r="AB82" s="61" t="str">
        <f>E65</f>
        <v>PIX-RFA-110 W</v>
      </c>
      <c r="AC82" s="74" t="s">
        <v>81</v>
      </c>
      <c r="AD82" s="61" t="str">
        <f t="shared" si="50"/>
        <v>COSCO T/S</v>
      </c>
      <c r="AE82" s="61">
        <f t="shared" si="51"/>
        <v>45</v>
      </c>
      <c r="AF82" s="61">
        <f t="shared" si="52"/>
        <v>0</v>
      </c>
    </row>
    <row r="83" spans="1:32" s="65" customFormat="1" ht="12.75" customHeight="1">
      <c r="A83" s="51" t="s">
        <v>36</v>
      </c>
      <c r="B83" s="72"/>
      <c r="C83" s="71">
        <v>1315</v>
      </c>
      <c r="D83" s="71">
        <v>18018</v>
      </c>
      <c r="E83" s="78">
        <f>SUM(E69:E82)</f>
        <v>1253</v>
      </c>
      <c r="F83" s="76">
        <f>SUM(F69:F82)</f>
        <v>14001</v>
      </c>
      <c r="G83" s="71">
        <f t="shared" si="57"/>
        <v>-62</v>
      </c>
      <c r="H83" s="71">
        <f t="shared" si="58"/>
        <v>-4017</v>
      </c>
      <c r="I83" s="70">
        <f t="shared" ref="I83:L83" si="59">SUM(I69:I82)</f>
        <v>247</v>
      </c>
      <c r="J83" s="70">
        <f t="shared" si="59"/>
        <v>2762</v>
      </c>
      <c r="K83" s="70">
        <f t="shared" si="59"/>
        <v>91</v>
      </c>
      <c r="L83" s="70">
        <f t="shared" si="59"/>
        <v>933</v>
      </c>
      <c r="M83" s="70"/>
      <c r="N83" s="70"/>
      <c r="O83" s="70">
        <f t="shared" ref="O83:R83" si="60">SUM(O69:O82)</f>
        <v>0</v>
      </c>
      <c r="P83" s="70">
        <f t="shared" si="60"/>
        <v>0</v>
      </c>
      <c r="Q83" s="70">
        <f t="shared" si="60"/>
        <v>1253</v>
      </c>
      <c r="R83" s="70">
        <f t="shared" si="60"/>
        <v>14001</v>
      </c>
      <c r="S83" s="72"/>
      <c r="T83" s="73"/>
      <c r="U83" s="73"/>
      <c r="V83" s="73"/>
      <c r="AA83" s="61"/>
      <c r="AB83" s="61"/>
      <c r="AC83" s="61"/>
      <c r="AD83" s="61"/>
      <c r="AE83" s="61"/>
      <c r="AF83" s="61"/>
    </row>
    <row r="84" spans="1:32" s="65" customFormat="1" ht="12.75" customHeight="1">
      <c r="A84" s="84">
        <f>D83/C83</f>
        <v>13.701901140684411</v>
      </c>
      <c r="C84" s="261">
        <f>F83-E84</f>
        <v>-2215.2000000000007</v>
      </c>
      <c r="E84" s="65">
        <f>D83*0.9</f>
        <v>16216.2</v>
      </c>
      <c r="F84" s="261">
        <f>E83-L84</f>
        <v>69.5</v>
      </c>
      <c r="I84" s="80" t="s">
        <v>48</v>
      </c>
      <c r="J84" s="245">
        <f>E83/C83</f>
        <v>0.95285171102661592</v>
      </c>
      <c r="K84" s="80"/>
      <c r="L84" s="80">
        <f>C83*0.9</f>
        <v>1183.5</v>
      </c>
      <c r="M84" s="80"/>
      <c r="N84" s="80"/>
      <c r="O84" s="82" t="s">
        <v>484</v>
      </c>
      <c r="P84" s="80"/>
      <c r="Q84" s="65">
        <f>Q75+Q78+I75+I76+I77+I78+K75+K76+K77+K78</f>
        <v>1102</v>
      </c>
      <c r="R84" s="65">
        <f>R75+R78+J75+J76+J77+J78+L75+L76+L77+L78</f>
        <v>11610</v>
      </c>
      <c r="AA84" s="81"/>
      <c r="AB84" s="81"/>
      <c r="AC84" s="81"/>
      <c r="AD84" s="81"/>
      <c r="AE84" s="81"/>
      <c r="AF84" s="81"/>
    </row>
    <row r="86" spans="1:32" s="63" customFormat="1" ht="12.75" customHeight="1">
      <c r="A86" s="59" t="s">
        <v>64</v>
      </c>
      <c r="B86" s="58" t="s">
        <v>540</v>
      </c>
      <c r="C86" s="56"/>
      <c r="D86" s="57"/>
      <c r="E86" s="58" t="s">
        <v>541</v>
      </c>
      <c r="F86" s="57"/>
      <c r="G86" s="59" t="s">
        <v>37</v>
      </c>
      <c r="H86" s="60">
        <f>H65+1</f>
        <v>16</v>
      </c>
      <c r="I86" s="57"/>
      <c r="J86" s="57"/>
      <c r="K86" s="57"/>
      <c r="L86" s="57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2"/>
      <c r="X86" s="62"/>
      <c r="Y86" s="62"/>
      <c r="Z86" s="62"/>
      <c r="AA86" s="62"/>
      <c r="AB86" s="62"/>
      <c r="AC86" s="62"/>
    </row>
    <row r="87" spans="1:32" s="65" customFormat="1" ht="12.75" customHeight="1">
      <c r="A87" s="340" t="s">
        <v>0</v>
      </c>
      <c r="B87" s="336" t="s">
        <v>1</v>
      </c>
      <c r="C87" s="331" t="s">
        <v>25</v>
      </c>
      <c r="D87" s="332"/>
      <c r="E87" s="331" t="s">
        <v>21</v>
      </c>
      <c r="F87" s="332"/>
      <c r="G87" s="335" t="s">
        <v>24</v>
      </c>
      <c r="H87" s="335"/>
      <c r="I87" s="328" t="s">
        <v>33</v>
      </c>
      <c r="J87" s="329"/>
      <c r="K87" s="329"/>
      <c r="L87" s="329"/>
      <c r="M87" s="329"/>
      <c r="N87" s="330"/>
      <c r="O87" s="331" t="s">
        <v>22</v>
      </c>
      <c r="P87" s="332"/>
      <c r="Q87" s="335" t="s">
        <v>23</v>
      </c>
      <c r="R87" s="335"/>
      <c r="S87" s="336" t="s">
        <v>27</v>
      </c>
      <c r="T87" s="64"/>
      <c r="U87" s="64"/>
      <c r="V87" s="64"/>
      <c r="W87" s="339"/>
      <c r="X87" s="280"/>
      <c r="Y87" s="280"/>
      <c r="Z87" s="280"/>
      <c r="AA87" s="61"/>
      <c r="AB87" s="61"/>
      <c r="AC87" s="74"/>
      <c r="AD87" s="61"/>
      <c r="AE87" s="61"/>
      <c r="AF87" s="61"/>
    </row>
    <row r="88" spans="1:32" s="65" customFormat="1" ht="12.75" customHeight="1">
      <c r="A88" s="341"/>
      <c r="B88" s="337"/>
      <c r="C88" s="333"/>
      <c r="D88" s="334"/>
      <c r="E88" s="333"/>
      <c r="F88" s="334"/>
      <c r="G88" s="335"/>
      <c r="H88" s="335"/>
      <c r="I88" s="276" t="s">
        <v>28</v>
      </c>
      <c r="J88" s="277" t="s">
        <v>3</v>
      </c>
      <c r="K88" s="276" t="s">
        <v>29</v>
      </c>
      <c r="L88" s="277" t="s">
        <v>4</v>
      </c>
      <c r="M88" s="328" t="s">
        <v>30</v>
      </c>
      <c r="N88" s="330"/>
      <c r="O88" s="333"/>
      <c r="P88" s="334"/>
      <c r="Q88" s="335"/>
      <c r="R88" s="335"/>
      <c r="S88" s="337"/>
      <c r="T88" s="64"/>
      <c r="U88" s="64"/>
      <c r="V88" s="64"/>
      <c r="W88" s="339"/>
      <c r="X88" s="280"/>
      <c r="Y88" s="280"/>
      <c r="Z88" s="280"/>
      <c r="AA88" s="61"/>
      <c r="AB88" s="61"/>
      <c r="AC88" s="74"/>
      <c r="AD88" s="61"/>
      <c r="AE88" s="61"/>
      <c r="AF88" s="61"/>
    </row>
    <row r="89" spans="1:32" s="65" customFormat="1" ht="12.75" customHeight="1">
      <c r="A89" s="342"/>
      <c r="B89" s="338"/>
      <c r="C89" s="278" t="s">
        <v>5</v>
      </c>
      <c r="D89" s="278" t="s">
        <v>6</v>
      </c>
      <c r="E89" s="277" t="s">
        <v>5</v>
      </c>
      <c r="F89" s="278" t="s">
        <v>6</v>
      </c>
      <c r="G89" s="278" t="s">
        <v>5</v>
      </c>
      <c r="H89" s="278" t="s">
        <v>6</v>
      </c>
      <c r="I89" s="277" t="s">
        <v>5</v>
      </c>
      <c r="J89" s="278" t="s">
        <v>6</v>
      </c>
      <c r="K89" s="277" t="s">
        <v>5</v>
      </c>
      <c r="L89" s="278" t="s">
        <v>6</v>
      </c>
      <c r="M89" s="278"/>
      <c r="N89" s="278"/>
      <c r="O89" s="277" t="s">
        <v>5</v>
      </c>
      <c r="P89" s="278" t="s">
        <v>6</v>
      </c>
      <c r="Q89" s="278" t="s">
        <v>5</v>
      </c>
      <c r="R89" s="278" t="s">
        <v>6</v>
      </c>
      <c r="S89" s="338"/>
      <c r="T89" s="64"/>
      <c r="U89" s="64"/>
      <c r="V89" s="64"/>
      <c r="W89" s="339"/>
      <c r="X89" s="280"/>
      <c r="Y89" s="280"/>
      <c r="Z89" s="280"/>
      <c r="AA89" s="61" t="s">
        <v>43</v>
      </c>
      <c r="AB89" s="61" t="s">
        <v>45</v>
      </c>
      <c r="AC89" s="61" t="s">
        <v>46</v>
      </c>
      <c r="AD89" s="61" t="s">
        <v>42</v>
      </c>
      <c r="AE89" s="61" t="s">
        <v>41</v>
      </c>
      <c r="AF89" s="61" t="s">
        <v>44</v>
      </c>
    </row>
    <row r="90" spans="1:32" s="65" customFormat="1" ht="12.75" customHeight="1">
      <c r="A90" s="51" t="s">
        <v>71</v>
      </c>
      <c r="B90" s="1" t="s">
        <v>18</v>
      </c>
      <c r="C90" s="278">
        <v>0</v>
      </c>
      <c r="D90" s="278">
        <v>0</v>
      </c>
      <c r="E90" s="69">
        <f t="shared" ref="E90:E103" si="61">O90+Q90</f>
        <v>26</v>
      </c>
      <c r="F90" s="70">
        <f t="shared" ref="F90:F103" si="62">P90+R90</f>
        <v>305</v>
      </c>
      <c r="G90" s="278">
        <f t="shared" ref="G90:G99" si="63">E90-C90</f>
        <v>26</v>
      </c>
      <c r="H90" s="278">
        <f t="shared" ref="H90:H99" si="64">F90-D90</f>
        <v>305</v>
      </c>
      <c r="I90" s="70"/>
      <c r="J90" s="70"/>
      <c r="K90" s="70"/>
      <c r="L90" s="70"/>
      <c r="M90" s="70">
        <f t="shared" ref="M90:M103" si="65">I90+K90</f>
        <v>0</v>
      </c>
      <c r="N90" s="70">
        <f t="shared" ref="N90:N103" si="66">J90+L90</f>
        <v>0</v>
      </c>
      <c r="O90" s="71"/>
      <c r="P90" s="71"/>
      <c r="Q90" s="70">
        <v>26</v>
      </c>
      <c r="R90" s="70">
        <v>305</v>
      </c>
      <c r="S90" s="72"/>
      <c r="T90" s="252" t="e">
        <f>E90/C90</f>
        <v>#DIV/0!</v>
      </c>
      <c r="U90" s="73"/>
      <c r="V90" s="73"/>
      <c r="W90" s="339"/>
      <c r="X90" s="280"/>
      <c r="Y90" s="280"/>
      <c r="Z90" s="280"/>
      <c r="AA90" s="61">
        <f>H86</f>
        <v>16</v>
      </c>
      <c r="AB90" s="61" t="str">
        <f>E86</f>
        <v>PIX-RKP-131 W</v>
      </c>
      <c r="AC90" s="74" t="s">
        <v>81</v>
      </c>
      <c r="AD90" s="61" t="str">
        <f t="shared" ref="AD90:AD103" si="67">A90</f>
        <v>TAO</v>
      </c>
      <c r="AE90" s="61">
        <f t="shared" ref="AE90:AE103" si="68">C90</f>
        <v>0</v>
      </c>
      <c r="AF90" s="61">
        <f t="shared" ref="AF90:AF103" si="69">E90</f>
        <v>26</v>
      </c>
    </row>
    <row r="91" spans="1:32" s="65" customFormat="1" ht="12.75" customHeight="1">
      <c r="A91" s="52" t="s">
        <v>72</v>
      </c>
      <c r="B91" s="1" t="s">
        <v>18</v>
      </c>
      <c r="C91" s="278">
        <v>0</v>
      </c>
      <c r="D91" s="278">
        <f t="shared" ref="D91:D92" si="70">C91*13</f>
        <v>0</v>
      </c>
      <c r="E91" s="69">
        <f t="shared" si="61"/>
        <v>37</v>
      </c>
      <c r="F91" s="70">
        <f t="shared" si="62"/>
        <v>624</v>
      </c>
      <c r="G91" s="278">
        <f t="shared" si="63"/>
        <v>37</v>
      </c>
      <c r="H91" s="278">
        <f t="shared" si="64"/>
        <v>624</v>
      </c>
      <c r="I91" s="75"/>
      <c r="J91" s="75"/>
      <c r="K91" s="70"/>
      <c r="L91" s="70"/>
      <c r="M91" s="70">
        <f t="shared" si="65"/>
        <v>0</v>
      </c>
      <c r="N91" s="70">
        <f t="shared" si="66"/>
        <v>0</v>
      </c>
      <c r="O91" s="75"/>
      <c r="P91" s="75"/>
      <c r="Q91" s="71">
        <v>37</v>
      </c>
      <c r="R91" s="71">
        <v>624</v>
      </c>
      <c r="S91" s="72"/>
      <c r="T91" s="252" t="e">
        <f t="shared" ref="T91:T101" si="71">E91/C91</f>
        <v>#DIV/0!</v>
      </c>
      <c r="U91" s="73"/>
      <c r="V91" s="73"/>
      <c r="AA91" s="61">
        <f>H86</f>
        <v>16</v>
      </c>
      <c r="AB91" s="61" t="str">
        <f>E86</f>
        <v>PIX-RKP-131 W</v>
      </c>
      <c r="AC91" s="74" t="s">
        <v>81</v>
      </c>
      <c r="AD91" s="61" t="str">
        <f t="shared" si="67"/>
        <v>SHA</v>
      </c>
      <c r="AE91" s="61">
        <f t="shared" si="68"/>
        <v>0</v>
      </c>
      <c r="AF91" s="61">
        <f t="shared" si="69"/>
        <v>37</v>
      </c>
    </row>
    <row r="92" spans="1:32" s="65" customFormat="1" ht="12.75" customHeight="1">
      <c r="A92" s="52" t="s">
        <v>73</v>
      </c>
      <c r="B92" s="1" t="s">
        <v>18</v>
      </c>
      <c r="C92" s="278">
        <v>0</v>
      </c>
      <c r="D92" s="278">
        <f t="shared" si="70"/>
        <v>0</v>
      </c>
      <c r="E92" s="69">
        <f t="shared" si="61"/>
        <v>0</v>
      </c>
      <c r="F92" s="70">
        <f t="shared" si="62"/>
        <v>0</v>
      </c>
      <c r="G92" s="278">
        <f t="shared" si="63"/>
        <v>0</v>
      </c>
      <c r="H92" s="278">
        <f t="shared" si="64"/>
        <v>0</v>
      </c>
      <c r="I92" s="75"/>
      <c r="J92" s="75"/>
      <c r="K92" s="71"/>
      <c r="L92" s="71"/>
      <c r="M92" s="70">
        <f t="shared" si="65"/>
        <v>0</v>
      </c>
      <c r="N92" s="70">
        <f t="shared" si="66"/>
        <v>0</v>
      </c>
      <c r="O92" s="75"/>
      <c r="P92" s="75"/>
      <c r="Q92" s="71"/>
      <c r="R92" s="71"/>
      <c r="S92" s="72"/>
      <c r="T92" s="252" t="e">
        <f t="shared" si="71"/>
        <v>#DIV/0!</v>
      </c>
      <c r="U92" s="73"/>
      <c r="V92" s="73"/>
      <c r="AA92" s="61">
        <f>H86</f>
        <v>16</v>
      </c>
      <c r="AB92" s="61" t="str">
        <f>E86</f>
        <v>PIX-RKP-131 W</v>
      </c>
      <c r="AC92" s="74" t="s">
        <v>81</v>
      </c>
      <c r="AD92" s="61" t="str">
        <f t="shared" si="67"/>
        <v>NGB</v>
      </c>
      <c r="AE92" s="61">
        <f t="shared" si="68"/>
        <v>0</v>
      </c>
      <c r="AF92" s="61">
        <f t="shared" si="69"/>
        <v>0</v>
      </c>
    </row>
    <row r="93" spans="1:32" s="65" customFormat="1" ht="12.75" customHeight="1">
      <c r="A93" s="52" t="s">
        <v>74</v>
      </c>
      <c r="B93" s="1" t="s">
        <v>18</v>
      </c>
      <c r="C93" s="278">
        <v>0</v>
      </c>
      <c r="D93" s="278">
        <v>0</v>
      </c>
      <c r="E93" s="69">
        <f t="shared" si="61"/>
        <v>0</v>
      </c>
      <c r="F93" s="70">
        <f t="shared" si="62"/>
        <v>0</v>
      </c>
      <c r="G93" s="278">
        <f t="shared" si="63"/>
        <v>0</v>
      </c>
      <c r="H93" s="278">
        <f t="shared" si="64"/>
        <v>0</v>
      </c>
      <c r="I93" s="71"/>
      <c r="J93" s="71"/>
      <c r="K93" s="71"/>
      <c r="L93" s="71"/>
      <c r="M93" s="70">
        <f t="shared" si="65"/>
        <v>0</v>
      </c>
      <c r="N93" s="70">
        <f t="shared" si="66"/>
        <v>0</v>
      </c>
      <c r="O93" s="71"/>
      <c r="P93" s="71"/>
      <c r="Q93" s="71"/>
      <c r="R93" s="71"/>
      <c r="S93" s="72"/>
      <c r="T93" s="252" t="e">
        <f t="shared" si="71"/>
        <v>#DIV/0!</v>
      </c>
      <c r="U93" s="73"/>
      <c r="V93" s="73"/>
      <c r="AA93" s="61">
        <f>H86</f>
        <v>16</v>
      </c>
      <c r="AB93" s="61" t="str">
        <f>E86</f>
        <v>PIX-RKP-131 W</v>
      </c>
      <c r="AC93" s="74" t="s">
        <v>81</v>
      </c>
      <c r="AD93" s="61" t="str">
        <f t="shared" si="67"/>
        <v>WUH</v>
      </c>
      <c r="AE93" s="61">
        <f t="shared" si="68"/>
        <v>0</v>
      </c>
      <c r="AF93" s="61">
        <f t="shared" si="69"/>
        <v>0</v>
      </c>
    </row>
    <row r="94" spans="1:32" s="65" customFormat="1" ht="12.75" customHeight="1">
      <c r="A94" s="52" t="s">
        <v>75</v>
      </c>
      <c r="B94" s="1" t="s">
        <v>18</v>
      </c>
      <c r="C94" s="278">
        <v>0</v>
      </c>
      <c r="D94" s="278">
        <v>0</v>
      </c>
      <c r="E94" s="69">
        <f t="shared" si="61"/>
        <v>13</v>
      </c>
      <c r="F94" s="70">
        <f t="shared" si="62"/>
        <v>112</v>
      </c>
      <c r="G94" s="278">
        <f t="shared" si="63"/>
        <v>13</v>
      </c>
      <c r="H94" s="278">
        <f t="shared" si="64"/>
        <v>112</v>
      </c>
      <c r="I94" s="75"/>
      <c r="J94" s="75"/>
      <c r="K94" s="70"/>
      <c r="L94" s="70"/>
      <c r="M94" s="70">
        <f t="shared" si="65"/>
        <v>0</v>
      </c>
      <c r="N94" s="70">
        <f t="shared" si="66"/>
        <v>0</v>
      </c>
      <c r="O94" s="75"/>
      <c r="P94" s="75"/>
      <c r="Q94" s="70">
        <v>13</v>
      </c>
      <c r="R94" s="70">
        <v>112</v>
      </c>
      <c r="S94" s="72"/>
      <c r="T94" s="252" t="e">
        <f t="shared" si="71"/>
        <v>#DIV/0!</v>
      </c>
      <c r="U94" s="73"/>
      <c r="V94" s="73"/>
      <c r="AA94" s="61">
        <f>H86</f>
        <v>16</v>
      </c>
      <c r="AB94" s="61" t="str">
        <f>E86</f>
        <v>PIX-RKP-131 W</v>
      </c>
      <c r="AC94" s="74" t="s">
        <v>81</v>
      </c>
      <c r="AD94" s="61" t="str">
        <f t="shared" si="67"/>
        <v>DLC</v>
      </c>
      <c r="AE94" s="61">
        <f t="shared" si="68"/>
        <v>0</v>
      </c>
      <c r="AF94" s="61">
        <f t="shared" si="69"/>
        <v>13</v>
      </c>
    </row>
    <row r="95" spans="1:32" s="65" customFormat="1" ht="12.75" customHeight="1">
      <c r="A95" s="52" t="s">
        <v>76</v>
      </c>
      <c r="B95" s="1" t="s">
        <v>18</v>
      </c>
      <c r="C95" s="278">
        <v>0</v>
      </c>
      <c r="D95" s="278">
        <v>0</v>
      </c>
      <c r="E95" s="69">
        <f t="shared" si="61"/>
        <v>0</v>
      </c>
      <c r="F95" s="70">
        <f t="shared" si="62"/>
        <v>0</v>
      </c>
      <c r="G95" s="278">
        <f t="shared" si="63"/>
        <v>0</v>
      </c>
      <c r="H95" s="278">
        <f t="shared" si="64"/>
        <v>0</v>
      </c>
      <c r="I95" s="70"/>
      <c r="J95" s="70"/>
      <c r="K95" s="70"/>
      <c r="L95" s="70"/>
      <c r="M95" s="70">
        <f t="shared" si="65"/>
        <v>0</v>
      </c>
      <c r="N95" s="70">
        <f t="shared" si="66"/>
        <v>0</v>
      </c>
      <c r="O95" s="75"/>
      <c r="P95" s="75"/>
      <c r="Q95" s="70"/>
      <c r="R95" s="70"/>
      <c r="S95" s="72"/>
      <c r="T95" s="252" t="e">
        <f t="shared" si="71"/>
        <v>#DIV/0!</v>
      </c>
      <c r="U95" s="73"/>
      <c r="V95" s="73"/>
      <c r="AA95" s="61">
        <f>H86</f>
        <v>16</v>
      </c>
      <c r="AB95" s="61" t="str">
        <f>E86</f>
        <v>PIX-RKP-131 W</v>
      </c>
      <c r="AC95" s="74" t="s">
        <v>81</v>
      </c>
      <c r="AD95" s="61" t="str">
        <f t="shared" si="67"/>
        <v>TSN</v>
      </c>
      <c r="AE95" s="61">
        <f t="shared" si="68"/>
        <v>0</v>
      </c>
      <c r="AF95" s="61">
        <f t="shared" si="69"/>
        <v>0</v>
      </c>
    </row>
    <row r="96" spans="1:32" s="65" customFormat="1" ht="12.75" customHeight="1">
      <c r="A96" s="52" t="s">
        <v>14</v>
      </c>
      <c r="B96" s="1">
        <f>B75+7</f>
        <v>43195</v>
      </c>
      <c r="C96" s="278">
        <v>220</v>
      </c>
      <c r="D96" s="278">
        <v>2860</v>
      </c>
      <c r="E96" s="69">
        <f t="shared" si="61"/>
        <v>201</v>
      </c>
      <c r="F96" s="70">
        <f t="shared" si="62"/>
        <v>3466</v>
      </c>
      <c r="G96" s="278">
        <f t="shared" si="63"/>
        <v>-19</v>
      </c>
      <c r="H96" s="278">
        <f t="shared" si="64"/>
        <v>606</v>
      </c>
      <c r="I96" s="70">
        <v>141</v>
      </c>
      <c r="J96" s="70">
        <v>1790</v>
      </c>
      <c r="K96" s="70">
        <v>18</v>
      </c>
      <c r="L96" s="70">
        <v>287</v>
      </c>
      <c r="M96" s="70">
        <f t="shared" si="65"/>
        <v>159</v>
      </c>
      <c r="N96" s="70">
        <f t="shared" si="66"/>
        <v>2077</v>
      </c>
      <c r="O96" s="75"/>
      <c r="P96" s="75"/>
      <c r="Q96" s="76">
        <v>201</v>
      </c>
      <c r="R96" s="71">
        <v>3466</v>
      </c>
      <c r="S96" s="72"/>
      <c r="T96" s="252">
        <f t="shared" si="71"/>
        <v>0.91363636363636369</v>
      </c>
      <c r="U96" s="73"/>
      <c r="V96" s="73"/>
      <c r="AA96" s="61">
        <f>H86</f>
        <v>16</v>
      </c>
      <c r="AB96" s="61" t="str">
        <f>E86</f>
        <v>PIX-RKP-131 W</v>
      </c>
      <c r="AC96" s="74" t="s">
        <v>81</v>
      </c>
      <c r="AD96" s="61" t="str">
        <f t="shared" si="67"/>
        <v>XMN</v>
      </c>
      <c r="AE96" s="61">
        <f t="shared" si="68"/>
        <v>220</v>
      </c>
      <c r="AF96" s="61">
        <f t="shared" si="69"/>
        <v>201</v>
      </c>
    </row>
    <row r="97" spans="1:32" s="65" customFormat="1" ht="12.75" customHeight="1">
      <c r="A97" s="52" t="s">
        <v>77</v>
      </c>
      <c r="B97" s="1">
        <f>B76+7</f>
        <v>43197</v>
      </c>
      <c r="C97" s="278">
        <v>0</v>
      </c>
      <c r="D97" s="278">
        <v>0</v>
      </c>
      <c r="E97" s="69">
        <f t="shared" si="61"/>
        <v>0</v>
      </c>
      <c r="F97" s="70">
        <f t="shared" si="62"/>
        <v>0</v>
      </c>
      <c r="G97" s="278">
        <f t="shared" si="63"/>
        <v>0</v>
      </c>
      <c r="H97" s="278">
        <f t="shared" si="64"/>
        <v>0</v>
      </c>
      <c r="I97" s="70">
        <v>19</v>
      </c>
      <c r="J97" s="70">
        <v>142</v>
      </c>
      <c r="K97" s="70"/>
      <c r="L97" s="70"/>
      <c r="M97" s="70">
        <f t="shared" si="65"/>
        <v>19</v>
      </c>
      <c r="N97" s="70">
        <f t="shared" si="66"/>
        <v>142</v>
      </c>
      <c r="O97" s="71"/>
      <c r="P97" s="71"/>
      <c r="Q97" s="70"/>
      <c r="R97" s="70"/>
      <c r="S97" s="72"/>
      <c r="T97" s="252" t="e">
        <f t="shared" si="71"/>
        <v>#DIV/0!</v>
      </c>
      <c r="U97" s="73"/>
      <c r="V97" s="73"/>
      <c r="AA97" s="61">
        <f>H86</f>
        <v>16</v>
      </c>
      <c r="AB97" s="61" t="str">
        <f>E86</f>
        <v>PIX-RKP-131 W</v>
      </c>
      <c r="AC97" s="74" t="s">
        <v>81</v>
      </c>
      <c r="AD97" s="61" t="str">
        <f t="shared" si="67"/>
        <v>HKG</v>
      </c>
      <c r="AE97" s="61">
        <f t="shared" si="68"/>
        <v>0</v>
      </c>
      <c r="AF97" s="61">
        <f t="shared" si="69"/>
        <v>0</v>
      </c>
    </row>
    <row r="98" spans="1:32" s="65" customFormat="1" ht="12.75" customHeight="1">
      <c r="A98" s="52" t="s">
        <v>68</v>
      </c>
      <c r="B98" s="1">
        <f>B77+7</f>
        <v>43198</v>
      </c>
      <c r="C98" s="278">
        <v>0</v>
      </c>
      <c r="D98" s="278">
        <v>0</v>
      </c>
      <c r="E98" s="69">
        <f t="shared" si="61"/>
        <v>0</v>
      </c>
      <c r="F98" s="70">
        <f t="shared" si="62"/>
        <v>0</v>
      </c>
      <c r="G98" s="278">
        <f t="shared" si="63"/>
        <v>0</v>
      </c>
      <c r="H98" s="278">
        <f t="shared" si="64"/>
        <v>0</v>
      </c>
      <c r="I98" s="70">
        <v>33</v>
      </c>
      <c r="J98" s="70">
        <v>295</v>
      </c>
      <c r="K98" s="70">
        <v>40</v>
      </c>
      <c r="L98" s="70">
        <v>302</v>
      </c>
      <c r="M98" s="70">
        <f t="shared" si="65"/>
        <v>73</v>
      </c>
      <c r="N98" s="70">
        <f t="shared" si="66"/>
        <v>597</v>
      </c>
      <c r="O98" s="70"/>
      <c r="P98" s="70"/>
      <c r="Q98" s="70"/>
      <c r="R98" s="70"/>
      <c r="S98" s="72"/>
      <c r="T98" s="252" t="e">
        <f t="shared" si="71"/>
        <v>#DIV/0!</v>
      </c>
      <c r="U98" s="73"/>
      <c r="V98" s="73"/>
      <c r="AA98" s="61">
        <f>H86</f>
        <v>16</v>
      </c>
      <c r="AB98" s="61" t="str">
        <f>E86</f>
        <v>PIX-RKP-131 W</v>
      </c>
      <c r="AC98" s="74" t="s">
        <v>81</v>
      </c>
      <c r="AD98" s="61" t="str">
        <f t="shared" si="67"/>
        <v>GNS</v>
      </c>
      <c r="AE98" s="61">
        <f t="shared" si="68"/>
        <v>0</v>
      </c>
      <c r="AF98" s="61">
        <f t="shared" si="69"/>
        <v>0</v>
      </c>
    </row>
    <row r="99" spans="1:32" s="65" customFormat="1" ht="12.75" customHeight="1">
      <c r="A99" s="52" t="s">
        <v>16</v>
      </c>
      <c r="B99" s="1">
        <f>B78+7</f>
        <v>43199</v>
      </c>
      <c r="C99" s="278">
        <v>650</v>
      </c>
      <c r="D99" s="278">
        <v>8450</v>
      </c>
      <c r="E99" s="69">
        <f t="shared" si="61"/>
        <v>759</v>
      </c>
      <c r="F99" s="70">
        <f t="shared" si="62"/>
        <v>8842</v>
      </c>
      <c r="G99" s="278">
        <f t="shared" si="63"/>
        <v>109</v>
      </c>
      <c r="H99" s="278">
        <f t="shared" si="64"/>
        <v>392</v>
      </c>
      <c r="I99" s="70">
        <v>122</v>
      </c>
      <c r="J99" s="70">
        <v>1104</v>
      </c>
      <c r="K99" s="70"/>
      <c r="L99" s="70"/>
      <c r="M99" s="70">
        <f t="shared" si="65"/>
        <v>122</v>
      </c>
      <c r="N99" s="70">
        <f t="shared" si="66"/>
        <v>1104</v>
      </c>
      <c r="O99" s="70"/>
      <c r="P99" s="70"/>
      <c r="Q99" s="70">
        <v>759</v>
      </c>
      <c r="R99" s="84">
        <v>8842</v>
      </c>
      <c r="S99" s="72"/>
      <c r="T99" s="252">
        <f t="shared" si="71"/>
        <v>1.1676923076923076</v>
      </c>
      <c r="U99" s="73"/>
      <c r="V99" s="73"/>
      <c r="AA99" s="61">
        <f>H86</f>
        <v>16</v>
      </c>
      <c r="AB99" s="61" t="str">
        <f>E86</f>
        <v>PIX-RKP-131 W</v>
      </c>
      <c r="AC99" s="74" t="s">
        <v>81</v>
      </c>
      <c r="AD99" s="61" t="str">
        <f t="shared" si="67"/>
        <v>HUA</v>
      </c>
      <c r="AE99" s="61">
        <f t="shared" si="68"/>
        <v>650</v>
      </c>
      <c r="AF99" s="61">
        <f t="shared" si="69"/>
        <v>759</v>
      </c>
    </row>
    <row r="100" spans="1:32" s="65" customFormat="1" ht="12.75" customHeight="1">
      <c r="A100" s="52" t="s">
        <v>69</v>
      </c>
      <c r="B100" s="26" t="s">
        <v>18</v>
      </c>
      <c r="C100" s="278"/>
      <c r="D100" s="278"/>
      <c r="E100" s="69">
        <f t="shared" si="61"/>
        <v>1</v>
      </c>
      <c r="F100" s="70">
        <f t="shared" si="62"/>
        <v>24</v>
      </c>
      <c r="G100" s="278"/>
      <c r="H100" s="278"/>
      <c r="I100" s="70"/>
      <c r="J100" s="70"/>
      <c r="K100" s="70"/>
      <c r="L100" s="70"/>
      <c r="M100" s="70">
        <f t="shared" si="65"/>
        <v>0</v>
      </c>
      <c r="N100" s="70">
        <f t="shared" si="66"/>
        <v>0</v>
      </c>
      <c r="O100" s="70"/>
      <c r="P100" s="70"/>
      <c r="Q100" s="70">
        <v>1</v>
      </c>
      <c r="R100" s="70">
        <v>24</v>
      </c>
      <c r="S100" s="72"/>
      <c r="T100" s="252" t="e">
        <f t="shared" si="71"/>
        <v>#DIV/0!</v>
      </c>
      <c r="U100" s="73"/>
      <c r="V100" s="73"/>
      <c r="AA100" s="61">
        <f>H86</f>
        <v>16</v>
      </c>
      <c r="AB100" s="61" t="str">
        <f>E86</f>
        <v>PIX-RKP-131 W</v>
      </c>
      <c r="AC100" s="74" t="s">
        <v>81</v>
      </c>
      <c r="AD100" s="61" t="str">
        <f t="shared" si="67"/>
        <v>HAK</v>
      </c>
      <c r="AE100" s="61">
        <f t="shared" si="68"/>
        <v>0</v>
      </c>
      <c r="AF100" s="61">
        <f t="shared" si="69"/>
        <v>1</v>
      </c>
    </row>
    <row r="101" spans="1:32" s="65" customFormat="1" ht="12.75" customHeight="1">
      <c r="A101" s="52" t="s">
        <v>3</v>
      </c>
      <c r="B101" s="1">
        <f>B80+7</f>
        <v>43203</v>
      </c>
      <c r="C101" s="278">
        <v>280</v>
      </c>
      <c r="D101" s="278">
        <v>3780</v>
      </c>
      <c r="E101" s="69">
        <f t="shared" si="61"/>
        <v>209</v>
      </c>
      <c r="F101" s="70">
        <f t="shared" si="62"/>
        <v>3950</v>
      </c>
      <c r="G101" s="278">
        <f t="shared" ref="G101:G104" si="72">E101-C101</f>
        <v>-71</v>
      </c>
      <c r="H101" s="278">
        <f t="shared" ref="H101:H104" si="73">F101-D101</f>
        <v>170</v>
      </c>
      <c r="I101" s="70"/>
      <c r="J101" s="70"/>
      <c r="K101" s="70"/>
      <c r="L101" s="70"/>
      <c r="M101" s="70">
        <f t="shared" si="65"/>
        <v>0</v>
      </c>
      <c r="N101" s="70">
        <f t="shared" si="66"/>
        <v>0</v>
      </c>
      <c r="O101" s="278"/>
      <c r="P101" s="278"/>
      <c r="Q101" s="70">
        <f>285-Q90-Q91-Q94</f>
        <v>209</v>
      </c>
      <c r="R101" s="70">
        <f>4991-R90-R91-R94</f>
        <v>3950</v>
      </c>
      <c r="S101" s="72"/>
      <c r="T101" s="252">
        <f t="shared" si="71"/>
        <v>0.74642857142857144</v>
      </c>
      <c r="U101" s="73"/>
      <c r="V101" s="73"/>
      <c r="AA101" s="61">
        <f>H86</f>
        <v>16</v>
      </c>
      <c r="AB101" s="61" t="str">
        <f>E86</f>
        <v>PIX-RKP-131 W</v>
      </c>
      <c r="AC101" s="74" t="s">
        <v>81</v>
      </c>
      <c r="AD101" s="61" t="str">
        <f t="shared" si="67"/>
        <v>SGP</v>
      </c>
      <c r="AE101" s="61">
        <f t="shared" si="68"/>
        <v>280</v>
      </c>
      <c r="AF101" s="61">
        <f t="shared" si="69"/>
        <v>209</v>
      </c>
    </row>
    <row r="102" spans="1:32" s="65" customFormat="1" ht="12.75" customHeight="1">
      <c r="A102" s="52" t="s">
        <v>4</v>
      </c>
      <c r="B102" s="1">
        <f>B81+7</f>
        <v>43205</v>
      </c>
      <c r="C102" s="278">
        <v>120</v>
      </c>
      <c r="D102" s="278">
        <v>1620</v>
      </c>
      <c r="E102" s="69">
        <f t="shared" si="61"/>
        <v>58</v>
      </c>
      <c r="F102" s="70">
        <f t="shared" si="62"/>
        <v>589</v>
      </c>
      <c r="G102" s="278">
        <f t="shared" si="72"/>
        <v>-62</v>
      </c>
      <c r="H102" s="278">
        <f t="shared" si="73"/>
        <v>-1031</v>
      </c>
      <c r="I102" s="70"/>
      <c r="J102" s="70"/>
      <c r="K102" s="70"/>
      <c r="L102" s="70"/>
      <c r="M102" s="70">
        <f t="shared" si="65"/>
        <v>0</v>
      </c>
      <c r="N102" s="70">
        <f t="shared" si="66"/>
        <v>0</v>
      </c>
      <c r="O102" s="70"/>
      <c r="P102" s="70"/>
      <c r="Q102" s="70">
        <v>58</v>
      </c>
      <c r="R102" s="70">
        <v>589</v>
      </c>
      <c r="S102" s="72"/>
      <c r="T102" s="252">
        <f>E102/C102</f>
        <v>0.48333333333333334</v>
      </c>
      <c r="U102" s="73"/>
      <c r="V102" s="73"/>
      <c r="AA102" s="61">
        <f>H86</f>
        <v>16</v>
      </c>
      <c r="AB102" s="61" t="str">
        <f>E86</f>
        <v>PIX-RKP-131 W</v>
      </c>
      <c r="AC102" s="74" t="s">
        <v>81</v>
      </c>
      <c r="AD102" s="61" t="str">
        <f t="shared" si="67"/>
        <v>PKL</v>
      </c>
      <c r="AE102" s="61">
        <f t="shared" si="68"/>
        <v>120</v>
      </c>
      <c r="AF102" s="61">
        <f t="shared" si="69"/>
        <v>58</v>
      </c>
    </row>
    <row r="103" spans="1:32" s="65" customFormat="1" ht="12.75" customHeight="1">
      <c r="A103" s="52" t="s">
        <v>31</v>
      </c>
      <c r="B103" s="278"/>
      <c r="C103" s="278">
        <v>45</v>
      </c>
      <c r="D103" s="278">
        <v>608</v>
      </c>
      <c r="E103" s="69">
        <f t="shared" si="61"/>
        <v>0</v>
      </c>
      <c r="F103" s="70">
        <f t="shared" si="62"/>
        <v>0</v>
      </c>
      <c r="G103" s="278">
        <f t="shared" si="72"/>
        <v>-45</v>
      </c>
      <c r="H103" s="278">
        <f t="shared" si="73"/>
        <v>-608</v>
      </c>
      <c r="I103" s="70"/>
      <c r="J103" s="70"/>
      <c r="K103" s="70"/>
      <c r="L103" s="70"/>
      <c r="M103" s="70">
        <f t="shared" si="65"/>
        <v>0</v>
      </c>
      <c r="N103" s="70">
        <f t="shared" si="66"/>
        <v>0</v>
      </c>
      <c r="O103" s="71"/>
      <c r="P103" s="71"/>
      <c r="Q103" s="71"/>
      <c r="R103" s="71"/>
      <c r="S103" s="72"/>
      <c r="T103" s="73"/>
      <c r="U103" s="73"/>
      <c r="V103" s="73"/>
      <c r="AA103" s="61">
        <f>H86</f>
        <v>16</v>
      </c>
      <c r="AB103" s="61" t="str">
        <f>E86</f>
        <v>PIX-RKP-131 W</v>
      </c>
      <c r="AC103" s="74" t="s">
        <v>81</v>
      </c>
      <c r="AD103" s="61" t="str">
        <f t="shared" si="67"/>
        <v>COSCO T/S</v>
      </c>
      <c r="AE103" s="61">
        <f t="shared" si="68"/>
        <v>45</v>
      </c>
      <c r="AF103" s="61">
        <f t="shared" si="69"/>
        <v>0</v>
      </c>
    </row>
    <row r="104" spans="1:32" s="65" customFormat="1" ht="12.75" customHeight="1">
      <c r="A104" s="51" t="s">
        <v>36</v>
      </c>
      <c r="B104" s="72"/>
      <c r="C104" s="71">
        <v>1315</v>
      </c>
      <c r="D104" s="71">
        <v>18018</v>
      </c>
      <c r="E104" s="78">
        <f>SUM(E90:E103)</f>
        <v>1304</v>
      </c>
      <c r="F104" s="76">
        <f>SUM(F90:F103)</f>
        <v>17912</v>
      </c>
      <c r="G104" s="71">
        <f t="shared" si="72"/>
        <v>-11</v>
      </c>
      <c r="H104" s="71">
        <f t="shared" si="73"/>
        <v>-106</v>
      </c>
      <c r="I104" s="70">
        <f t="shared" ref="I104:L104" si="74">SUM(I90:I103)</f>
        <v>315</v>
      </c>
      <c r="J104" s="70">
        <f t="shared" si="74"/>
        <v>3331</v>
      </c>
      <c r="K104" s="70">
        <f t="shared" si="74"/>
        <v>58</v>
      </c>
      <c r="L104" s="70">
        <f t="shared" si="74"/>
        <v>589</v>
      </c>
      <c r="M104" s="70"/>
      <c r="N104" s="70"/>
      <c r="O104" s="70">
        <f t="shared" ref="O104:R104" si="75">SUM(O90:O103)</f>
        <v>0</v>
      </c>
      <c r="P104" s="70">
        <f t="shared" si="75"/>
        <v>0</v>
      </c>
      <c r="Q104" s="70">
        <f t="shared" si="75"/>
        <v>1304</v>
      </c>
      <c r="R104" s="70">
        <f t="shared" si="75"/>
        <v>17912</v>
      </c>
      <c r="S104" s="72"/>
      <c r="T104" s="73"/>
      <c r="U104" s="73"/>
      <c r="V104" s="73"/>
      <c r="AA104" s="61"/>
      <c r="AB104" s="61"/>
      <c r="AC104" s="61"/>
      <c r="AD104" s="61"/>
      <c r="AE104" s="61"/>
      <c r="AF104" s="61"/>
    </row>
    <row r="105" spans="1:32" s="65" customFormat="1" ht="12.75" customHeight="1">
      <c r="A105" s="84">
        <f>D104/C104</f>
        <v>13.701901140684411</v>
      </c>
      <c r="C105" s="279">
        <f>F104-E105</f>
        <v>1695.7999999999993</v>
      </c>
      <c r="E105" s="65">
        <f>D104*0.9</f>
        <v>16216.2</v>
      </c>
      <c r="F105" s="279">
        <f>E104-L105</f>
        <v>120.5</v>
      </c>
      <c r="I105" s="80" t="s">
        <v>48</v>
      </c>
      <c r="J105" s="245">
        <f>E104/C104</f>
        <v>0.99163498098859315</v>
      </c>
      <c r="K105" s="80"/>
      <c r="L105" s="80">
        <f>C104*0.9</f>
        <v>1183.5</v>
      </c>
      <c r="M105" s="80"/>
      <c r="N105" s="80"/>
      <c r="O105" s="82" t="s">
        <v>484</v>
      </c>
      <c r="P105" s="80"/>
      <c r="Q105" s="65">
        <f>Q96+Q99+I96+I97+I98+I99+K96+K97+K98+K99</f>
        <v>1333</v>
      </c>
      <c r="R105" s="65">
        <f>R96+R99+J96+J97+J98+J99+L96+L97+L98+L99</f>
        <v>16228</v>
      </c>
      <c r="AA105" s="81"/>
      <c r="AB105" s="81"/>
      <c r="AC105" s="81"/>
      <c r="AD105" s="81"/>
      <c r="AE105" s="81"/>
      <c r="AF105" s="81"/>
    </row>
    <row r="106" spans="1:32" ht="12.75" customHeight="1"/>
    <row r="107" spans="1:32" s="63" customFormat="1" ht="12.75" customHeight="1">
      <c r="A107" s="59" t="s">
        <v>64</v>
      </c>
      <c r="B107" s="58" t="s">
        <v>581</v>
      </c>
      <c r="C107" s="56"/>
      <c r="D107" s="57"/>
      <c r="E107" s="58" t="s">
        <v>636</v>
      </c>
      <c r="F107" s="57"/>
      <c r="G107" s="59" t="s">
        <v>37</v>
      </c>
      <c r="H107" s="60">
        <f>H86+1</f>
        <v>17</v>
      </c>
      <c r="I107" s="57"/>
      <c r="J107" s="57"/>
      <c r="K107" s="57"/>
      <c r="L107" s="57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2"/>
      <c r="X107" s="62"/>
      <c r="Y107" s="62"/>
      <c r="Z107" s="62"/>
      <c r="AA107" s="62"/>
      <c r="AB107" s="62"/>
      <c r="AC107" s="62"/>
    </row>
    <row r="108" spans="1:32" s="65" customFormat="1" ht="12.75" customHeight="1">
      <c r="A108" s="340" t="s">
        <v>0</v>
      </c>
      <c r="B108" s="336" t="s">
        <v>1</v>
      </c>
      <c r="C108" s="331" t="s">
        <v>25</v>
      </c>
      <c r="D108" s="332"/>
      <c r="E108" s="331" t="s">
        <v>21</v>
      </c>
      <c r="F108" s="332"/>
      <c r="G108" s="335" t="s">
        <v>24</v>
      </c>
      <c r="H108" s="335"/>
      <c r="I108" s="328" t="s">
        <v>33</v>
      </c>
      <c r="J108" s="329"/>
      <c r="K108" s="329"/>
      <c r="L108" s="329"/>
      <c r="M108" s="329"/>
      <c r="N108" s="330"/>
      <c r="O108" s="331" t="s">
        <v>22</v>
      </c>
      <c r="P108" s="332"/>
      <c r="Q108" s="335" t="s">
        <v>23</v>
      </c>
      <c r="R108" s="335"/>
      <c r="S108" s="336" t="s">
        <v>27</v>
      </c>
      <c r="T108" s="64"/>
      <c r="U108" s="64"/>
      <c r="V108" s="64"/>
      <c r="W108" s="339"/>
      <c r="X108" s="297"/>
      <c r="Y108" s="297"/>
      <c r="Z108" s="297"/>
      <c r="AA108" s="61"/>
      <c r="AB108" s="61"/>
      <c r="AC108" s="74"/>
      <c r="AD108" s="61"/>
      <c r="AE108" s="61"/>
      <c r="AF108" s="61"/>
    </row>
    <row r="109" spans="1:32" s="65" customFormat="1" ht="12.75" customHeight="1">
      <c r="A109" s="341"/>
      <c r="B109" s="337"/>
      <c r="C109" s="333"/>
      <c r="D109" s="334"/>
      <c r="E109" s="333"/>
      <c r="F109" s="334"/>
      <c r="G109" s="335"/>
      <c r="H109" s="335"/>
      <c r="I109" s="293" t="s">
        <v>28</v>
      </c>
      <c r="J109" s="294" t="s">
        <v>3</v>
      </c>
      <c r="K109" s="293" t="s">
        <v>29</v>
      </c>
      <c r="L109" s="294" t="s">
        <v>4</v>
      </c>
      <c r="M109" s="328" t="s">
        <v>30</v>
      </c>
      <c r="N109" s="330"/>
      <c r="O109" s="333"/>
      <c r="P109" s="334"/>
      <c r="Q109" s="335"/>
      <c r="R109" s="335"/>
      <c r="S109" s="337"/>
      <c r="T109" s="64"/>
      <c r="U109" s="64"/>
      <c r="V109" s="64"/>
      <c r="W109" s="339"/>
      <c r="X109" s="297"/>
      <c r="Y109" s="297"/>
      <c r="Z109" s="297"/>
      <c r="AA109" s="61"/>
      <c r="AB109" s="61"/>
      <c r="AC109" s="74"/>
      <c r="AD109" s="61"/>
      <c r="AE109" s="61"/>
      <c r="AF109" s="61"/>
    </row>
    <row r="110" spans="1:32" s="65" customFormat="1" ht="12.75" customHeight="1">
      <c r="A110" s="342"/>
      <c r="B110" s="338"/>
      <c r="C110" s="295" t="s">
        <v>5</v>
      </c>
      <c r="D110" s="295" t="s">
        <v>6</v>
      </c>
      <c r="E110" s="294" t="s">
        <v>5</v>
      </c>
      <c r="F110" s="295" t="s">
        <v>6</v>
      </c>
      <c r="G110" s="295" t="s">
        <v>5</v>
      </c>
      <c r="H110" s="295" t="s">
        <v>6</v>
      </c>
      <c r="I110" s="294" t="s">
        <v>5</v>
      </c>
      <c r="J110" s="295" t="s">
        <v>6</v>
      </c>
      <c r="K110" s="294" t="s">
        <v>5</v>
      </c>
      <c r="L110" s="295" t="s">
        <v>6</v>
      </c>
      <c r="M110" s="295"/>
      <c r="N110" s="295"/>
      <c r="O110" s="294" t="s">
        <v>5</v>
      </c>
      <c r="P110" s="295" t="s">
        <v>6</v>
      </c>
      <c r="Q110" s="295" t="s">
        <v>5</v>
      </c>
      <c r="R110" s="295" t="s">
        <v>6</v>
      </c>
      <c r="S110" s="338"/>
      <c r="T110" s="64"/>
      <c r="U110" s="64"/>
      <c r="V110" s="64"/>
      <c r="W110" s="339"/>
      <c r="X110" s="297"/>
      <c r="Y110" s="297"/>
      <c r="Z110" s="297"/>
      <c r="AA110" s="61" t="s">
        <v>43</v>
      </c>
      <c r="AB110" s="61" t="s">
        <v>45</v>
      </c>
      <c r="AC110" s="61" t="s">
        <v>46</v>
      </c>
      <c r="AD110" s="61" t="s">
        <v>42</v>
      </c>
      <c r="AE110" s="61" t="s">
        <v>41</v>
      </c>
      <c r="AF110" s="61" t="s">
        <v>44</v>
      </c>
    </row>
    <row r="111" spans="1:32" s="65" customFormat="1" ht="12.75" customHeight="1">
      <c r="A111" s="51" t="s">
        <v>71</v>
      </c>
      <c r="B111" s="1" t="s">
        <v>18</v>
      </c>
      <c r="C111" s="295">
        <v>0</v>
      </c>
      <c r="D111" s="295">
        <v>0</v>
      </c>
      <c r="E111" s="69">
        <f t="shared" ref="E111:E124" si="76">O111+Q111</f>
        <v>29</v>
      </c>
      <c r="F111" s="70">
        <f t="shared" ref="F111:F124" si="77">P111+R111</f>
        <v>317</v>
      </c>
      <c r="G111" s="295">
        <f t="shared" ref="G111:G120" si="78">E111-C111</f>
        <v>29</v>
      </c>
      <c r="H111" s="295">
        <f t="shared" ref="H111:H120" si="79">F111-D111</f>
        <v>317</v>
      </c>
      <c r="I111" s="70"/>
      <c r="J111" s="70"/>
      <c r="K111" s="70"/>
      <c r="L111" s="70"/>
      <c r="M111" s="70">
        <f t="shared" ref="M111:M124" si="80">I111+K111</f>
        <v>0</v>
      </c>
      <c r="N111" s="70">
        <f t="shared" ref="N111:N124" si="81">J111+L111</f>
        <v>0</v>
      </c>
      <c r="O111" s="71"/>
      <c r="P111" s="71"/>
      <c r="Q111" s="70">
        <v>29</v>
      </c>
      <c r="R111" s="70">
        <v>317</v>
      </c>
      <c r="S111" s="72"/>
      <c r="T111" s="252" t="e">
        <f>E111/C111</f>
        <v>#DIV/0!</v>
      </c>
      <c r="U111" s="73"/>
      <c r="V111" s="73"/>
      <c r="W111" s="339"/>
      <c r="X111" s="297"/>
      <c r="Y111" s="297"/>
      <c r="Z111" s="297"/>
      <c r="AA111" s="61">
        <f>H107</f>
        <v>17</v>
      </c>
      <c r="AB111" s="61" t="str">
        <f>E107</f>
        <v>PIX-RQ5-152 W</v>
      </c>
      <c r="AC111" s="74" t="s">
        <v>81</v>
      </c>
      <c r="AD111" s="61" t="str">
        <f t="shared" ref="AD111:AD124" si="82">A111</f>
        <v>TAO</v>
      </c>
      <c r="AE111" s="61">
        <f t="shared" ref="AE111:AE124" si="83">C111</f>
        <v>0</v>
      </c>
      <c r="AF111" s="61">
        <f t="shared" ref="AF111:AF124" si="84">E111</f>
        <v>29</v>
      </c>
    </row>
    <row r="112" spans="1:32" s="65" customFormat="1" ht="12.75" customHeight="1">
      <c r="A112" s="52" t="s">
        <v>72</v>
      </c>
      <c r="B112" s="1" t="s">
        <v>18</v>
      </c>
      <c r="C112" s="295">
        <v>0</v>
      </c>
      <c r="D112" s="295">
        <f t="shared" ref="D112:D113" si="85">C112*13</f>
        <v>0</v>
      </c>
      <c r="E112" s="69">
        <f t="shared" si="76"/>
        <v>23</v>
      </c>
      <c r="F112" s="70">
        <f t="shared" si="77"/>
        <v>206</v>
      </c>
      <c r="G112" s="295">
        <f t="shared" si="78"/>
        <v>23</v>
      </c>
      <c r="H112" s="295">
        <f t="shared" si="79"/>
        <v>206</v>
      </c>
      <c r="I112" s="75"/>
      <c r="J112" s="75"/>
      <c r="K112" s="70"/>
      <c r="L112" s="70"/>
      <c r="M112" s="70">
        <f t="shared" si="80"/>
        <v>0</v>
      </c>
      <c r="N112" s="70">
        <f t="shared" si="81"/>
        <v>0</v>
      </c>
      <c r="O112" s="75"/>
      <c r="P112" s="75"/>
      <c r="Q112" s="71">
        <f>17+6</f>
        <v>23</v>
      </c>
      <c r="R112" s="71">
        <v>206</v>
      </c>
      <c r="S112" s="72"/>
      <c r="T112" s="252" t="e">
        <f t="shared" ref="T112:T122" si="86">E112/C112</f>
        <v>#DIV/0!</v>
      </c>
      <c r="U112" s="73"/>
      <c r="V112" s="73"/>
      <c r="AA112" s="61">
        <f>H107</f>
        <v>17</v>
      </c>
      <c r="AB112" s="61" t="str">
        <f>E107</f>
        <v>PIX-RQ5-152 W</v>
      </c>
      <c r="AC112" s="74" t="s">
        <v>81</v>
      </c>
      <c r="AD112" s="61" t="str">
        <f t="shared" si="82"/>
        <v>SHA</v>
      </c>
      <c r="AE112" s="61">
        <f t="shared" si="83"/>
        <v>0</v>
      </c>
      <c r="AF112" s="61">
        <f t="shared" si="84"/>
        <v>23</v>
      </c>
    </row>
    <row r="113" spans="1:32" s="65" customFormat="1" ht="12.75" customHeight="1">
      <c r="A113" s="52" t="s">
        <v>73</v>
      </c>
      <c r="B113" s="1" t="s">
        <v>18</v>
      </c>
      <c r="C113" s="295">
        <v>0</v>
      </c>
      <c r="D113" s="295">
        <f t="shared" si="85"/>
        <v>0</v>
      </c>
      <c r="E113" s="69">
        <f t="shared" si="76"/>
        <v>0</v>
      </c>
      <c r="F113" s="70">
        <f t="shared" si="77"/>
        <v>0</v>
      </c>
      <c r="G113" s="295">
        <f t="shared" si="78"/>
        <v>0</v>
      </c>
      <c r="H113" s="295">
        <f t="shared" si="79"/>
        <v>0</v>
      </c>
      <c r="I113" s="75"/>
      <c r="J113" s="75"/>
      <c r="K113" s="71"/>
      <c r="L113" s="71"/>
      <c r="M113" s="70">
        <f t="shared" si="80"/>
        <v>0</v>
      </c>
      <c r="N113" s="70">
        <f t="shared" si="81"/>
        <v>0</v>
      </c>
      <c r="O113" s="75"/>
      <c r="P113" s="75"/>
      <c r="Q113" s="71"/>
      <c r="R113" s="71"/>
      <c r="S113" s="72"/>
      <c r="T113" s="252" t="e">
        <f t="shared" si="86"/>
        <v>#DIV/0!</v>
      </c>
      <c r="U113" s="73"/>
      <c r="V113" s="73"/>
      <c r="AA113" s="61">
        <f>H107</f>
        <v>17</v>
      </c>
      <c r="AB113" s="61" t="str">
        <f>E107</f>
        <v>PIX-RQ5-152 W</v>
      </c>
      <c r="AC113" s="74" t="s">
        <v>81</v>
      </c>
      <c r="AD113" s="61" t="str">
        <f t="shared" si="82"/>
        <v>NGB</v>
      </c>
      <c r="AE113" s="61">
        <f t="shared" si="83"/>
        <v>0</v>
      </c>
      <c r="AF113" s="61">
        <f t="shared" si="84"/>
        <v>0</v>
      </c>
    </row>
    <row r="114" spans="1:32" s="65" customFormat="1" ht="12.75" customHeight="1">
      <c r="A114" s="52" t="s">
        <v>74</v>
      </c>
      <c r="B114" s="1" t="s">
        <v>18</v>
      </c>
      <c r="C114" s="295">
        <v>0</v>
      </c>
      <c r="D114" s="295">
        <v>0</v>
      </c>
      <c r="E114" s="69">
        <f t="shared" si="76"/>
        <v>0</v>
      </c>
      <c r="F114" s="70">
        <f t="shared" si="77"/>
        <v>0</v>
      </c>
      <c r="G114" s="295">
        <f t="shared" si="78"/>
        <v>0</v>
      </c>
      <c r="H114" s="295">
        <f t="shared" si="79"/>
        <v>0</v>
      </c>
      <c r="I114" s="71"/>
      <c r="J114" s="71"/>
      <c r="K114" s="71"/>
      <c r="L114" s="71"/>
      <c r="M114" s="70">
        <f t="shared" si="80"/>
        <v>0</v>
      </c>
      <c r="N114" s="70">
        <f t="shared" si="81"/>
        <v>0</v>
      </c>
      <c r="O114" s="71"/>
      <c r="P114" s="71"/>
      <c r="Q114" s="71"/>
      <c r="R114" s="71"/>
      <c r="S114" s="72"/>
      <c r="T114" s="252" t="e">
        <f t="shared" si="86"/>
        <v>#DIV/0!</v>
      </c>
      <c r="U114" s="73"/>
      <c r="V114" s="73"/>
      <c r="AA114" s="61">
        <f>H107</f>
        <v>17</v>
      </c>
      <c r="AB114" s="61" t="str">
        <f>E107</f>
        <v>PIX-RQ5-152 W</v>
      </c>
      <c r="AC114" s="74" t="s">
        <v>81</v>
      </c>
      <c r="AD114" s="61" t="str">
        <f t="shared" si="82"/>
        <v>WUH</v>
      </c>
      <c r="AE114" s="61">
        <f t="shared" si="83"/>
        <v>0</v>
      </c>
      <c r="AF114" s="61">
        <f t="shared" si="84"/>
        <v>0</v>
      </c>
    </row>
    <row r="115" spans="1:32" s="65" customFormat="1" ht="12.75" customHeight="1">
      <c r="A115" s="52" t="s">
        <v>75</v>
      </c>
      <c r="B115" s="1" t="s">
        <v>18</v>
      </c>
      <c r="C115" s="295">
        <v>0</v>
      </c>
      <c r="D115" s="295">
        <v>0</v>
      </c>
      <c r="E115" s="69">
        <f t="shared" si="76"/>
        <v>18</v>
      </c>
      <c r="F115" s="70">
        <f t="shared" si="77"/>
        <v>161</v>
      </c>
      <c r="G115" s="295">
        <f t="shared" si="78"/>
        <v>18</v>
      </c>
      <c r="H115" s="295">
        <f t="shared" si="79"/>
        <v>161</v>
      </c>
      <c r="I115" s="75"/>
      <c r="J115" s="75"/>
      <c r="K115" s="70"/>
      <c r="L115" s="70"/>
      <c r="M115" s="70">
        <f t="shared" si="80"/>
        <v>0</v>
      </c>
      <c r="N115" s="70">
        <f t="shared" si="81"/>
        <v>0</v>
      </c>
      <c r="O115" s="75"/>
      <c r="P115" s="75"/>
      <c r="Q115" s="70">
        <v>18</v>
      </c>
      <c r="R115" s="70">
        <v>161</v>
      </c>
      <c r="S115" s="72"/>
      <c r="T115" s="252" t="e">
        <f t="shared" si="86"/>
        <v>#DIV/0!</v>
      </c>
      <c r="U115" s="73"/>
      <c r="V115" s="73"/>
      <c r="AA115" s="61">
        <f>H107</f>
        <v>17</v>
      </c>
      <c r="AB115" s="61" t="str">
        <f>E107</f>
        <v>PIX-RQ5-152 W</v>
      </c>
      <c r="AC115" s="74" t="s">
        <v>81</v>
      </c>
      <c r="AD115" s="61" t="str">
        <f t="shared" si="82"/>
        <v>DLC</v>
      </c>
      <c r="AE115" s="61">
        <f t="shared" si="83"/>
        <v>0</v>
      </c>
      <c r="AF115" s="61">
        <f t="shared" si="84"/>
        <v>18</v>
      </c>
    </row>
    <row r="116" spans="1:32" s="65" customFormat="1" ht="12.75" customHeight="1">
      <c r="A116" s="52" t="s">
        <v>76</v>
      </c>
      <c r="B116" s="1" t="s">
        <v>18</v>
      </c>
      <c r="C116" s="295">
        <v>0</v>
      </c>
      <c r="D116" s="295">
        <v>0</v>
      </c>
      <c r="E116" s="69">
        <f t="shared" si="76"/>
        <v>0</v>
      </c>
      <c r="F116" s="70">
        <f t="shared" si="77"/>
        <v>0</v>
      </c>
      <c r="G116" s="295">
        <f t="shared" si="78"/>
        <v>0</v>
      </c>
      <c r="H116" s="295">
        <f t="shared" si="79"/>
        <v>0</v>
      </c>
      <c r="I116" s="70"/>
      <c r="J116" s="70"/>
      <c r="K116" s="70"/>
      <c r="L116" s="70"/>
      <c r="M116" s="70">
        <f t="shared" si="80"/>
        <v>0</v>
      </c>
      <c r="N116" s="70">
        <f t="shared" si="81"/>
        <v>0</v>
      </c>
      <c r="O116" s="75"/>
      <c r="P116" s="75"/>
      <c r="Q116" s="70"/>
      <c r="R116" s="70"/>
      <c r="S116" s="72"/>
      <c r="T116" s="252" t="e">
        <f t="shared" si="86"/>
        <v>#DIV/0!</v>
      </c>
      <c r="U116" s="73"/>
      <c r="V116" s="73"/>
      <c r="AA116" s="61">
        <f>H107</f>
        <v>17</v>
      </c>
      <c r="AB116" s="61" t="str">
        <f>E107</f>
        <v>PIX-RQ5-152 W</v>
      </c>
      <c r="AC116" s="74" t="s">
        <v>81</v>
      </c>
      <c r="AD116" s="61" t="str">
        <f t="shared" si="82"/>
        <v>TSN</v>
      </c>
      <c r="AE116" s="61">
        <f t="shared" si="83"/>
        <v>0</v>
      </c>
      <c r="AF116" s="61">
        <f t="shared" si="84"/>
        <v>0</v>
      </c>
    </row>
    <row r="117" spans="1:32" s="65" customFormat="1" ht="12.75" customHeight="1">
      <c r="A117" s="52" t="s">
        <v>14</v>
      </c>
      <c r="B117" s="1">
        <f>B96+7</f>
        <v>43202</v>
      </c>
      <c r="C117" s="295">
        <v>220</v>
      </c>
      <c r="D117" s="295">
        <v>2860</v>
      </c>
      <c r="E117" s="69">
        <f t="shared" si="76"/>
        <v>186</v>
      </c>
      <c r="F117" s="70">
        <f t="shared" si="77"/>
        <v>3708</v>
      </c>
      <c r="G117" s="295">
        <f t="shared" si="78"/>
        <v>-34</v>
      </c>
      <c r="H117" s="295">
        <f t="shared" si="79"/>
        <v>848</v>
      </c>
      <c r="I117" s="70">
        <v>119</v>
      </c>
      <c r="J117" s="70">
        <v>2166</v>
      </c>
      <c r="K117" s="70">
        <v>5</v>
      </c>
      <c r="L117" s="70">
        <v>98</v>
      </c>
      <c r="M117" s="70">
        <f t="shared" si="80"/>
        <v>124</v>
      </c>
      <c r="N117" s="70">
        <f t="shared" si="81"/>
        <v>2264</v>
      </c>
      <c r="O117" s="75"/>
      <c r="P117" s="75"/>
      <c r="Q117" s="76">
        <f>247-61</f>
        <v>186</v>
      </c>
      <c r="R117" s="71">
        <f>4868-1160</f>
        <v>3708</v>
      </c>
      <c r="S117" s="72"/>
      <c r="T117" s="252">
        <f t="shared" si="86"/>
        <v>0.84545454545454546</v>
      </c>
      <c r="U117" s="73"/>
      <c r="V117" s="73"/>
      <c r="AA117" s="61">
        <f>H107</f>
        <v>17</v>
      </c>
      <c r="AB117" s="61" t="str">
        <f>E107</f>
        <v>PIX-RQ5-152 W</v>
      </c>
      <c r="AC117" s="74" t="s">
        <v>81</v>
      </c>
      <c r="AD117" s="61" t="str">
        <f t="shared" si="82"/>
        <v>XMN</v>
      </c>
      <c r="AE117" s="61">
        <f t="shared" si="83"/>
        <v>220</v>
      </c>
      <c r="AF117" s="61">
        <f t="shared" si="84"/>
        <v>186</v>
      </c>
    </row>
    <row r="118" spans="1:32" s="65" customFormat="1" ht="12.75" customHeight="1">
      <c r="A118" s="52" t="s">
        <v>77</v>
      </c>
      <c r="B118" s="1">
        <f>B97+7</f>
        <v>43204</v>
      </c>
      <c r="C118" s="295">
        <v>0</v>
      </c>
      <c r="D118" s="295">
        <v>0</v>
      </c>
      <c r="E118" s="69">
        <f t="shared" si="76"/>
        <v>0</v>
      </c>
      <c r="F118" s="70">
        <f t="shared" si="77"/>
        <v>0</v>
      </c>
      <c r="G118" s="295">
        <f t="shared" si="78"/>
        <v>0</v>
      </c>
      <c r="H118" s="295">
        <f t="shared" si="79"/>
        <v>0</v>
      </c>
      <c r="I118" s="70">
        <v>8</v>
      </c>
      <c r="J118" s="70">
        <v>84</v>
      </c>
      <c r="K118" s="70"/>
      <c r="L118" s="70"/>
      <c r="M118" s="70">
        <f t="shared" si="80"/>
        <v>8</v>
      </c>
      <c r="N118" s="70">
        <f t="shared" si="81"/>
        <v>84</v>
      </c>
      <c r="O118" s="71"/>
      <c r="P118" s="71"/>
      <c r="Q118" s="70"/>
      <c r="R118" s="70"/>
      <c r="S118" s="72"/>
      <c r="T118" s="252" t="e">
        <f t="shared" si="86"/>
        <v>#DIV/0!</v>
      </c>
      <c r="U118" s="73"/>
      <c r="V118" s="73"/>
      <c r="AA118" s="61">
        <f>H107</f>
        <v>17</v>
      </c>
      <c r="AB118" s="61" t="str">
        <f>E107</f>
        <v>PIX-RQ5-152 W</v>
      </c>
      <c r="AC118" s="74" t="s">
        <v>81</v>
      </c>
      <c r="AD118" s="61" t="str">
        <f t="shared" si="82"/>
        <v>HKG</v>
      </c>
      <c r="AE118" s="61">
        <f t="shared" si="83"/>
        <v>0</v>
      </c>
      <c r="AF118" s="61">
        <f t="shared" si="84"/>
        <v>0</v>
      </c>
    </row>
    <row r="119" spans="1:32" s="65" customFormat="1" ht="12.75" customHeight="1">
      <c r="A119" s="52" t="s">
        <v>68</v>
      </c>
      <c r="B119" s="1">
        <f>B98+7</f>
        <v>43205</v>
      </c>
      <c r="C119" s="295">
        <v>0</v>
      </c>
      <c r="D119" s="295">
        <v>0</v>
      </c>
      <c r="E119" s="69">
        <f t="shared" si="76"/>
        <v>0</v>
      </c>
      <c r="F119" s="70">
        <f t="shared" si="77"/>
        <v>0</v>
      </c>
      <c r="G119" s="295">
        <f t="shared" si="78"/>
        <v>0</v>
      </c>
      <c r="H119" s="295">
        <f t="shared" si="79"/>
        <v>0</v>
      </c>
      <c r="I119" s="70">
        <v>32</v>
      </c>
      <c r="J119" s="70">
        <v>206</v>
      </c>
      <c r="K119" s="70">
        <v>27</v>
      </c>
      <c r="L119" s="70">
        <v>200</v>
      </c>
      <c r="M119" s="70">
        <f t="shared" si="80"/>
        <v>59</v>
      </c>
      <c r="N119" s="70">
        <f t="shared" si="81"/>
        <v>406</v>
      </c>
      <c r="O119" s="70"/>
      <c r="P119" s="70"/>
      <c r="Q119" s="70"/>
      <c r="R119" s="70"/>
      <c r="S119" s="72"/>
      <c r="T119" s="252" t="e">
        <f t="shared" si="86"/>
        <v>#DIV/0!</v>
      </c>
      <c r="U119" s="73"/>
      <c r="V119" s="73"/>
      <c r="AA119" s="61">
        <f>H107</f>
        <v>17</v>
      </c>
      <c r="AB119" s="61" t="str">
        <f>E107</f>
        <v>PIX-RQ5-152 W</v>
      </c>
      <c r="AC119" s="74" t="s">
        <v>81</v>
      </c>
      <c r="AD119" s="61" t="str">
        <f t="shared" si="82"/>
        <v>GNS</v>
      </c>
      <c r="AE119" s="61">
        <f t="shared" si="83"/>
        <v>0</v>
      </c>
      <c r="AF119" s="61">
        <f t="shared" si="84"/>
        <v>0</v>
      </c>
    </row>
    <row r="120" spans="1:32" s="65" customFormat="1" ht="12.75" customHeight="1">
      <c r="A120" s="52" t="s">
        <v>16</v>
      </c>
      <c r="B120" s="1">
        <f>B99+7</f>
        <v>43206</v>
      </c>
      <c r="C120" s="295">
        <v>650</v>
      </c>
      <c r="D120" s="295">
        <v>8450</v>
      </c>
      <c r="E120" s="69">
        <f t="shared" si="76"/>
        <v>842</v>
      </c>
      <c r="F120" s="70">
        <f t="shared" si="77"/>
        <v>8814</v>
      </c>
      <c r="G120" s="295">
        <f t="shared" si="78"/>
        <v>192</v>
      </c>
      <c r="H120" s="295">
        <f t="shared" si="79"/>
        <v>364</v>
      </c>
      <c r="I120" s="70">
        <v>28</v>
      </c>
      <c r="J120" s="70">
        <v>222</v>
      </c>
      <c r="K120" s="70">
        <v>51</v>
      </c>
      <c r="L120" s="70">
        <v>435</v>
      </c>
      <c r="M120" s="70">
        <f t="shared" si="80"/>
        <v>79</v>
      </c>
      <c r="N120" s="70">
        <f t="shared" si="81"/>
        <v>657</v>
      </c>
      <c r="O120" s="70"/>
      <c r="P120" s="70"/>
      <c r="Q120" s="70">
        <v>842</v>
      </c>
      <c r="R120" s="84">
        <v>8814</v>
      </c>
      <c r="S120" s="72"/>
      <c r="T120" s="252">
        <f t="shared" si="86"/>
        <v>1.2953846153846154</v>
      </c>
      <c r="U120" s="73"/>
      <c r="V120" s="73"/>
      <c r="AA120" s="61">
        <f>H107</f>
        <v>17</v>
      </c>
      <c r="AB120" s="61" t="str">
        <f>E107</f>
        <v>PIX-RQ5-152 W</v>
      </c>
      <c r="AC120" s="74" t="s">
        <v>81</v>
      </c>
      <c r="AD120" s="61" t="str">
        <f t="shared" si="82"/>
        <v>HUA</v>
      </c>
      <c r="AE120" s="61">
        <f t="shared" si="83"/>
        <v>650</v>
      </c>
      <c r="AF120" s="61">
        <f t="shared" si="84"/>
        <v>842</v>
      </c>
    </row>
    <row r="121" spans="1:32" s="65" customFormat="1" ht="12.75" customHeight="1">
      <c r="A121" s="52" t="s">
        <v>69</v>
      </c>
      <c r="B121" s="26" t="s">
        <v>18</v>
      </c>
      <c r="C121" s="295"/>
      <c r="D121" s="295"/>
      <c r="E121" s="69">
        <f t="shared" si="76"/>
        <v>7</v>
      </c>
      <c r="F121" s="70">
        <f t="shared" si="77"/>
        <v>155</v>
      </c>
      <c r="G121" s="295"/>
      <c r="H121" s="295"/>
      <c r="I121" s="70"/>
      <c r="J121" s="70"/>
      <c r="K121" s="70"/>
      <c r="L121" s="70"/>
      <c r="M121" s="70">
        <f t="shared" si="80"/>
        <v>0</v>
      </c>
      <c r="N121" s="70">
        <f t="shared" si="81"/>
        <v>0</v>
      </c>
      <c r="O121" s="70"/>
      <c r="P121" s="70"/>
      <c r="Q121" s="70">
        <v>7</v>
      </c>
      <c r="R121" s="70">
        <v>155</v>
      </c>
      <c r="S121" s="72"/>
      <c r="T121" s="252" t="e">
        <f t="shared" si="86"/>
        <v>#DIV/0!</v>
      </c>
      <c r="U121" s="73"/>
      <c r="V121" s="73"/>
      <c r="AA121" s="61">
        <f>H107</f>
        <v>17</v>
      </c>
      <c r="AB121" s="61" t="str">
        <f>E107</f>
        <v>PIX-RQ5-152 W</v>
      </c>
      <c r="AC121" s="74" t="s">
        <v>81</v>
      </c>
      <c r="AD121" s="61" t="str">
        <f t="shared" si="82"/>
        <v>HAK</v>
      </c>
      <c r="AE121" s="61">
        <f t="shared" si="83"/>
        <v>0</v>
      </c>
      <c r="AF121" s="61">
        <f t="shared" si="84"/>
        <v>7</v>
      </c>
    </row>
    <row r="122" spans="1:32" s="65" customFormat="1" ht="12.75" customHeight="1">
      <c r="A122" s="52" t="s">
        <v>3</v>
      </c>
      <c r="B122" s="1">
        <f>B101+7</f>
        <v>43210</v>
      </c>
      <c r="C122" s="295">
        <v>280</v>
      </c>
      <c r="D122" s="295">
        <v>3780</v>
      </c>
      <c r="E122" s="69">
        <f t="shared" si="76"/>
        <v>315</v>
      </c>
      <c r="F122" s="70">
        <f t="shared" si="77"/>
        <v>5561</v>
      </c>
      <c r="G122" s="295">
        <f t="shared" ref="G122:G125" si="87">E122-C122</f>
        <v>35</v>
      </c>
      <c r="H122" s="295">
        <f t="shared" ref="H122:H125" si="88">F122-D122</f>
        <v>1781</v>
      </c>
      <c r="I122" s="70"/>
      <c r="J122" s="70"/>
      <c r="K122" s="70"/>
      <c r="L122" s="70"/>
      <c r="M122" s="70">
        <f t="shared" si="80"/>
        <v>0</v>
      </c>
      <c r="N122" s="70">
        <f t="shared" si="81"/>
        <v>0</v>
      </c>
      <c r="O122" s="295"/>
      <c r="P122" s="295"/>
      <c r="Q122" s="70">
        <v>315</v>
      </c>
      <c r="R122" s="70">
        <v>5561</v>
      </c>
      <c r="S122" s="72"/>
      <c r="T122" s="252">
        <f t="shared" si="86"/>
        <v>1.125</v>
      </c>
      <c r="U122" s="73"/>
      <c r="V122" s="73"/>
      <c r="AA122" s="61">
        <f>H107</f>
        <v>17</v>
      </c>
      <c r="AB122" s="61" t="str">
        <f>E107</f>
        <v>PIX-RQ5-152 W</v>
      </c>
      <c r="AC122" s="74" t="s">
        <v>81</v>
      </c>
      <c r="AD122" s="61" t="str">
        <f t="shared" si="82"/>
        <v>SGP</v>
      </c>
      <c r="AE122" s="61">
        <f t="shared" si="83"/>
        <v>280</v>
      </c>
      <c r="AF122" s="61">
        <f t="shared" si="84"/>
        <v>315</v>
      </c>
    </row>
    <row r="123" spans="1:32" s="65" customFormat="1" ht="12.75" customHeight="1">
      <c r="A123" s="52" t="s">
        <v>4</v>
      </c>
      <c r="B123" s="1">
        <f>B102+7</f>
        <v>43212</v>
      </c>
      <c r="C123" s="295">
        <v>120</v>
      </c>
      <c r="D123" s="295">
        <v>1620</v>
      </c>
      <c r="E123" s="69">
        <f t="shared" si="76"/>
        <v>139</v>
      </c>
      <c r="F123" s="70">
        <f t="shared" si="77"/>
        <v>2072</v>
      </c>
      <c r="G123" s="295">
        <f t="shared" si="87"/>
        <v>19</v>
      </c>
      <c r="H123" s="295">
        <f t="shared" si="88"/>
        <v>452</v>
      </c>
      <c r="I123" s="70"/>
      <c r="J123" s="70"/>
      <c r="K123" s="70"/>
      <c r="L123" s="70"/>
      <c r="M123" s="70">
        <f t="shared" si="80"/>
        <v>0</v>
      </c>
      <c r="N123" s="70">
        <f t="shared" si="81"/>
        <v>0</v>
      </c>
      <c r="O123" s="70"/>
      <c r="P123" s="70"/>
      <c r="Q123" s="70">
        <v>139</v>
      </c>
      <c r="R123" s="70">
        <v>2072</v>
      </c>
      <c r="S123" s="72"/>
      <c r="T123" s="252">
        <f>E123/C123</f>
        <v>1.1583333333333334</v>
      </c>
      <c r="U123" s="73"/>
      <c r="V123" s="73"/>
      <c r="AA123" s="61">
        <f>H107</f>
        <v>17</v>
      </c>
      <c r="AB123" s="61" t="str">
        <f>E107</f>
        <v>PIX-RQ5-152 W</v>
      </c>
      <c r="AC123" s="74" t="s">
        <v>81</v>
      </c>
      <c r="AD123" s="61" t="str">
        <f t="shared" si="82"/>
        <v>PKL</v>
      </c>
      <c r="AE123" s="61">
        <f t="shared" si="83"/>
        <v>120</v>
      </c>
      <c r="AF123" s="61">
        <f t="shared" si="84"/>
        <v>139</v>
      </c>
    </row>
    <row r="124" spans="1:32" s="65" customFormat="1" ht="12.75" customHeight="1">
      <c r="A124" s="52" t="s">
        <v>31</v>
      </c>
      <c r="B124" s="295"/>
      <c r="C124" s="295">
        <v>45</v>
      </c>
      <c r="D124" s="295">
        <v>608</v>
      </c>
      <c r="E124" s="69">
        <f t="shared" si="76"/>
        <v>0</v>
      </c>
      <c r="F124" s="70">
        <f t="shared" si="77"/>
        <v>0</v>
      </c>
      <c r="G124" s="295">
        <f t="shared" si="87"/>
        <v>-45</v>
      </c>
      <c r="H124" s="295">
        <f t="shared" si="88"/>
        <v>-608</v>
      </c>
      <c r="I124" s="70"/>
      <c r="J124" s="70"/>
      <c r="K124" s="70"/>
      <c r="L124" s="70"/>
      <c r="M124" s="70">
        <f t="shared" si="80"/>
        <v>0</v>
      </c>
      <c r="N124" s="70">
        <f t="shared" si="81"/>
        <v>0</v>
      </c>
      <c r="O124" s="71"/>
      <c r="P124" s="71"/>
      <c r="Q124" s="71"/>
      <c r="R124" s="71"/>
      <c r="S124" s="72"/>
      <c r="T124" s="73"/>
      <c r="U124" s="73"/>
      <c r="V124" s="73"/>
      <c r="AA124" s="61">
        <f>H107</f>
        <v>17</v>
      </c>
      <c r="AB124" s="61" t="str">
        <f>E107</f>
        <v>PIX-RQ5-152 W</v>
      </c>
      <c r="AC124" s="74" t="s">
        <v>81</v>
      </c>
      <c r="AD124" s="61" t="str">
        <f t="shared" si="82"/>
        <v>COSCO T/S</v>
      </c>
      <c r="AE124" s="61">
        <f t="shared" si="83"/>
        <v>45</v>
      </c>
      <c r="AF124" s="61">
        <f t="shared" si="84"/>
        <v>0</v>
      </c>
    </row>
    <row r="125" spans="1:32" s="65" customFormat="1" ht="12.75" customHeight="1">
      <c r="A125" s="51" t="s">
        <v>36</v>
      </c>
      <c r="B125" s="72"/>
      <c r="C125" s="71">
        <v>1315</v>
      </c>
      <c r="D125" s="71">
        <v>18018</v>
      </c>
      <c r="E125" s="78">
        <f>SUM(E111:E124)</f>
        <v>1559</v>
      </c>
      <c r="F125" s="76">
        <f>SUM(F111:F124)</f>
        <v>20994</v>
      </c>
      <c r="G125" s="71">
        <f t="shared" si="87"/>
        <v>244</v>
      </c>
      <c r="H125" s="71">
        <f t="shared" si="88"/>
        <v>2976</v>
      </c>
      <c r="I125" s="70">
        <f t="shared" ref="I125:L125" si="89">SUM(I111:I124)</f>
        <v>187</v>
      </c>
      <c r="J125" s="70">
        <f t="shared" si="89"/>
        <v>2678</v>
      </c>
      <c r="K125" s="70">
        <f t="shared" si="89"/>
        <v>83</v>
      </c>
      <c r="L125" s="70">
        <f t="shared" si="89"/>
        <v>733</v>
      </c>
      <c r="M125" s="70"/>
      <c r="N125" s="70"/>
      <c r="O125" s="70">
        <f t="shared" ref="O125:R125" si="90">SUM(O111:O124)</f>
        <v>0</v>
      </c>
      <c r="P125" s="70">
        <f t="shared" si="90"/>
        <v>0</v>
      </c>
      <c r="Q125" s="70">
        <f t="shared" si="90"/>
        <v>1559</v>
      </c>
      <c r="R125" s="70">
        <f t="shared" si="90"/>
        <v>20994</v>
      </c>
      <c r="S125" s="72"/>
      <c r="T125" s="73"/>
      <c r="U125" s="73"/>
      <c r="V125" s="73"/>
      <c r="AA125" s="61"/>
      <c r="AB125" s="61"/>
      <c r="AC125" s="61"/>
      <c r="AD125" s="61"/>
      <c r="AE125" s="61"/>
      <c r="AF125" s="61"/>
    </row>
    <row r="126" spans="1:32" s="65" customFormat="1" ht="12.75" customHeight="1">
      <c r="A126" s="84">
        <f>D125/C125</f>
        <v>13.701901140684411</v>
      </c>
      <c r="C126" s="296">
        <f>F125-E126</f>
        <v>4777.7999999999993</v>
      </c>
      <c r="E126" s="65">
        <f>D125*0.9</f>
        <v>16216.2</v>
      </c>
      <c r="F126" s="296">
        <f>E125-L126</f>
        <v>375.5</v>
      </c>
      <c r="I126" s="80" t="s">
        <v>48</v>
      </c>
      <c r="J126" s="245">
        <f>E125/C125</f>
        <v>1.1855513307984791</v>
      </c>
      <c r="K126" s="80"/>
      <c r="L126" s="80">
        <f>C125*0.9</f>
        <v>1183.5</v>
      </c>
      <c r="M126" s="80"/>
      <c r="N126" s="80"/>
      <c r="O126" s="82" t="s">
        <v>484</v>
      </c>
      <c r="P126" s="80"/>
      <c r="Q126" s="65">
        <f>Q117+Q120+I117+I118+I119+I120+K117+K118+K119+K120</f>
        <v>1298</v>
      </c>
      <c r="R126" s="65">
        <f>R117+R120+J117+J118+J119+J120+L117+L118+L119+L120</f>
        <v>15933</v>
      </c>
      <c r="AA126" s="81"/>
      <c r="AB126" s="81"/>
      <c r="AC126" s="81"/>
      <c r="AD126" s="81"/>
      <c r="AE126" s="81"/>
      <c r="AF126" s="81"/>
    </row>
    <row r="128" spans="1:32" s="63" customFormat="1" ht="12.75" customHeight="1">
      <c r="A128" s="59" t="s">
        <v>64</v>
      </c>
      <c r="B128" s="58" t="s">
        <v>603</v>
      </c>
      <c r="C128" s="56"/>
      <c r="D128" s="57"/>
      <c r="E128" s="58" t="s">
        <v>604</v>
      </c>
      <c r="F128" s="57"/>
      <c r="G128" s="59" t="s">
        <v>37</v>
      </c>
      <c r="H128" s="60">
        <f>H107+1</f>
        <v>18</v>
      </c>
      <c r="I128" s="57"/>
      <c r="J128" s="57"/>
      <c r="K128" s="57"/>
      <c r="L128" s="57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2"/>
      <c r="X128" s="62"/>
      <c r="Y128" s="62"/>
      <c r="Z128" s="62"/>
      <c r="AA128" s="62"/>
      <c r="AB128" s="62"/>
      <c r="AC128" s="62"/>
    </row>
    <row r="129" spans="1:32" s="65" customFormat="1" ht="12.75" customHeight="1">
      <c r="A129" s="340" t="s">
        <v>0</v>
      </c>
      <c r="B129" s="336" t="s">
        <v>1</v>
      </c>
      <c r="C129" s="331" t="s">
        <v>25</v>
      </c>
      <c r="D129" s="332"/>
      <c r="E129" s="331" t="s">
        <v>21</v>
      </c>
      <c r="F129" s="332"/>
      <c r="G129" s="335" t="s">
        <v>24</v>
      </c>
      <c r="H129" s="335"/>
      <c r="I129" s="328" t="s">
        <v>33</v>
      </c>
      <c r="J129" s="329"/>
      <c r="K129" s="329"/>
      <c r="L129" s="329"/>
      <c r="M129" s="329"/>
      <c r="N129" s="330"/>
      <c r="O129" s="331" t="s">
        <v>22</v>
      </c>
      <c r="P129" s="332"/>
      <c r="Q129" s="335" t="s">
        <v>23</v>
      </c>
      <c r="R129" s="335"/>
      <c r="S129" s="336" t="s">
        <v>27</v>
      </c>
      <c r="T129" s="64"/>
      <c r="U129" s="64"/>
      <c r="V129" s="64"/>
      <c r="W129" s="339"/>
      <c r="X129" s="308"/>
      <c r="Y129" s="308"/>
      <c r="Z129" s="308"/>
      <c r="AA129" s="61"/>
      <c r="AB129" s="61"/>
      <c r="AC129" s="74"/>
      <c r="AD129" s="61"/>
      <c r="AE129" s="61"/>
      <c r="AF129" s="61"/>
    </row>
    <row r="130" spans="1:32" s="65" customFormat="1" ht="12.75" customHeight="1">
      <c r="A130" s="341"/>
      <c r="B130" s="337"/>
      <c r="C130" s="333"/>
      <c r="D130" s="334"/>
      <c r="E130" s="333"/>
      <c r="F130" s="334"/>
      <c r="G130" s="335"/>
      <c r="H130" s="335"/>
      <c r="I130" s="304" t="s">
        <v>28</v>
      </c>
      <c r="J130" s="305" t="s">
        <v>3</v>
      </c>
      <c r="K130" s="304" t="s">
        <v>29</v>
      </c>
      <c r="L130" s="305" t="s">
        <v>4</v>
      </c>
      <c r="M130" s="328" t="s">
        <v>30</v>
      </c>
      <c r="N130" s="330"/>
      <c r="O130" s="333"/>
      <c r="P130" s="334"/>
      <c r="Q130" s="335"/>
      <c r="R130" s="335"/>
      <c r="S130" s="337"/>
      <c r="T130" s="64"/>
      <c r="U130" s="64"/>
      <c r="V130" s="64"/>
      <c r="W130" s="339"/>
      <c r="X130" s="308"/>
      <c r="Y130" s="308"/>
      <c r="Z130" s="308"/>
      <c r="AA130" s="61"/>
      <c r="AB130" s="61"/>
      <c r="AC130" s="74"/>
      <c r="AD130" s="61"/>
      <c r="AE130" s="61"/>
      <c r="AF130" s="61"/>
    </row>
    <row r="131" spans="1:32" s="65" customFormat="1" ht="12.75" customHeight="1">
      <c r="A131" s="342"/>
      <c r="B131" s="338"/>
      <c r="C131" s="306" t="s">
        <v>5</v>
      </c>
      <c r="D131" s="306" t="s">
        <v>6</v>
      </c>
      <c r="E131" s="305" t="s">
        <v>5</v>
      </c>
      <c r="F131" s="306" t="s">
        <v>6</v>
      </c>
      <c r="G131" s="306" t="s">
        <v>5</v>
      </c>
      <c r="H131" s="306" t="s">
        <v>6</v>
      </c>
      <c r="I131" s="305" t="s">
        <v>5</v>
      </c>
      <c r="J131" s="306" t="s">
        <v>6</v>
      </c>
      <c r="K131" s="305" t="s">
        <v>5</v>
      </c>
      <c r="L131" s="306" t="s">
        <v>6</v>
      </c>
      <c r="M131" s="306"/>
      <c r="N131" s="306"/>
      <c r="O131" s="305" t="s">
        <v>5</v>
      </c>
      <c r="P131" s="306" t="s">
        <v>6</v>
      </c>
      <c r="Q131" s="306" t="s">
        <v>5</v>
      </c>
      <c r="R131" s="306" t="s">
        <v>6</v>
      </c>
      <c r="S131" s="338"/>
      <c r="T131" s="64"/>
      <c r="U131" s="64"/>
      <c r="V131" s="64"/>
      <c r="W131" s="339"/>
      <c r="X131" s="308"/>
      <c r="Y131" s="308"/>
      <c r="Z131" s="308"/>
      <c r="AA131" s="61" t="s">
        <v>43</v>
      </c>
      <c r="AB131" s="61" t="s">
        <v>45</v>
      </c>
      <c r="AC131" s="61" t="s">
        <v>46</v>
      </c>
      <c r="AD131" s="61" t="s">
        <v>42</v>
      </c>
      <c r="AE131" s="61" t="s">
        <v>41</v>
      </c>
      <c r="AF131" s="61" t="s">
        <v>44</v>
      </c>
    </row>
    <row r="132" spans="1:32" s="65" customFormat="1" ht="12.75" customHeight="1">
      <c r="A132" s="51" t="s">
        <v>71</v>
      </c>
      <c r="B132" s="1" t="s">
        <v>18</v>
      </c>
      <c r="C132" s="306">
        <v>0</v>
      </c>
      <c r="D132" s="306">
        <v>0</v>
      </c>
      <c r="E132" s="69">
        <f t="shared" ref="E132:E145" si="91">O132+Q132</f>
        <v>8</v>
      </c>
      <c r="F132" s="70">
        <f t="shared" ref="F132:F145" si="92">P132+R132</f>
        <v>76</v>
      </c>
      <c r="G132" s="306">
        <f t="shared" ref="G132:G141" si="93">E132-C132</f>
        <v>8</v>
      </c>
      <c r="H132" s="306">
        <f t="shared" ref="H132:H141" si="94">F132-D132</f>
        <v>76</v>
      </c>
      <c r="I132" s="70"/>
      <c r="J132" s="70"/>
      <c r="K132" s="70"/>
      <c r="L132" s="70"/>
      <c r="M132" s="70">
        <f t="shared" ref="M132:M145" si="95">I132+K132</f>
        <v>0</v>
      </c>
      <c r="N132" s="70">
        <f t="shared" ref="N132:N145" si="96">J132+L132</f>
        <v>0</v>
      </c>
      <c r="O132" s="71"/>
      <c r="P132" s="71"/>
      <c r="Q132" s="70">
        <v>8</v>
      </c>
      <c r="R132" s="70">
        <v>76</v>
      </c>
      <c r="S132" s="72"/>
      <c r="T132" s="252" t="e">
        <f>E132/C132</f>
        <v>#DIV/0!</v>
      </c>
      <c r="U132" s="73"/>
      <c r="V132" s="73"/>
      <c r="W132" s="339"/>
      <c r="X132" s="308"/>
      <c r="Y132" s="308"/>
      <c r="Z132" s="308"/>
      <c r="AA132" s="61">
        <f>H128</f>
        <v>18</v>
      </c>
      <c r="AB132" s="61" t="str">
        <f>E128</f>
        <v>PIX-CAT-048 W</v>
      </c>
      <c r="AC132" s="74" t="s">
        <v>81</v>
      </c>
      <c r="AD132" s="61" t="str">
        <f t="shared" ref="AD132:AD145" si="97">A132</f>
        <v>TAO</v>
      </c>
      <c r="AE132" s="61">
        <f t="shared" ref="AE132:AE145" si="98">C132</f>
        <v>0</v>
      </c>
      <c r="AF132" s="61">
        <f t="shared" ref="AF132:AF145" si="99">E132</f>
        <v>8</v>
      </c>
    </row>
    <row r="133" spans="1:32" s="65" customFormat="1" ht="12.75" customHeight="1">
      <c r="A133" s="52" t="s">
        <v>72</v>
      </c>
      <c r="B133" s="1" t="s">
        <v>18</v>
      </c>
      <c r="C133" s="306">
        <v>0</v>
      </c>
      <c r="D133" s="306">
        <f t="shared" ref="D133:D134" si="100">C133*13</f>
        <v>0</v>
      </c>
      <c r="E133" s="69">
        <f t="shared" si="91"/>
        <v>5</v>
      </c>
      <c r="F133" s="70">
        <f t="shared" si="92"/>
        <v>62</v>
      </c>
      <c r="G133" s="306">
        <f t="shared" si="93"/>
        <v>5</v>
      </c>
      <c r="H133" s="306">
        <f t="shared" si="94"/>
        <v>62</v>
      </c>
      <c r="I133" s="75"/>
      <c r="J133" s="75"/>
      <c r="K133" s="70"/>
      <c r="L133" s="70"/>
      <c r="M133" s="70">
        <f t="shared" si="95"/>
        <v>0</v>
      </c>
      <c r="N133" s="70">
        <f t="shared" si="96"/>
        <v>0</v>
      </c>
      <c r="O133" s="75"/>
      <c r="P133" s="75"/>
      <c r="Q133" s="71">
        <v>5</v>
      </c>
      <c r="R133" s="71">
        <v>62</v>
      </c>
      <c r="S133" s="72"/>
      <c r="T133" s="252" t="e">
        <f t="shared" ref="T133:T143" si="101">E133/C133</f>
        <v>#DIV/0!</v>
      </c>
      <c r="U133" s="73"/>
      <c r="V133" s="73"/>
      <c r="AA133" s="61">
        <f>H128</f>
        <v>18</v>
      </c>
      <c r="AB133" s="61" t="str">
        <f>E128</f>
        <v>PIX-CAT-048 W</v>
      </c>
      <c r="AC133" s="74" t="s">
        <v>81</v>
      </c>
      <c r="AD133" s="61" t="str">
        <f t="shared" si="97"/>
        <v>SHA</v>
      </c>
      <c r="AE133" s="61">
        <f t="shared" si="98"/>
        <v>0</v>
      </c>
      <c r="AF133" s="61">
        <f t="shared" si="99"/>
        <v>5</v>
      </c>
    </row>
    <row r="134" spans="1:32" s="65" customFormat="1" ht="12.75" customHeight="1">
      <c r="A134" s="52" t="s">
        <v>73</v>
      </c>
      <c r="B134" s="1" t="s">
        <v>18</v>
      </c>
      <c r="C134" s="306">
        <v>0</v>
      </c>
      <c r="D134" s="306">
        <f t="shared" si="100"/>
        <v>0</v>
      </c>
      <c r="E134" s="69">
        <f t="shared" si="91"/>
        <v>0</v>
      </c>
      <c r="F134" s="70">
        <f t="shared" si="92"/>
        <v>0</v>
      </c>
      <c r="G134" s="306">
        <f t="shared" si="93"/>
        <v>0</v>
      </c>
      <c r="H134" s="306">
        <f t="shared" si="94"/>
        <v>0</v>
      </c>
      <c r="I134" s="75"/>
      <c r="J134" s="75"/>
      <c r="K134" s="71"/>
      <c r="L134" s="71"/>
      <c r="M134" s="70">
        <f t="shared" si="95"/>
        <v>0</v>
      </c>
      <c r="N134" s="70">
        <f t="shared" si="96"/>
        <v>0</v>
      </c>
      <c r="O134" s="75"/>
      <c r="P134" s="75"/>
      <c r="Q134" s="71"/>
      <c r="R134" s="71"/>
      <c r="S134" s="72"/>
      <c r="T134" s="252" t="e">
        <f t="shared" si="101"/>
        <v>#DIV/0!</v>
      </c>
      <c r="U134" s="73"/>
      <c r="V134" s="73"/>
      <c r="AA134" s="61">
        <f>H128</f>
        <v>18</v>
      </c>
      <c r="AB134" s="61" t="str">
        <f>E128</f>
        <v>PIX-CAT-048 W</v>
      </c>
      <c r="AC134" s="74" t="s">
        <v>81</v>
      </c>
      <c r="AD134" s="61" t="str">
        <f t="shared" si="97"/>
        <v>NGB</v>
      </c>
      <c r="AE134" s="61">
        <f t="shared" si="98"/>
        <v>0</v>
      </c>
      <c r="AF134" s="61">
        <f t="shared" si="99"/>
        <v>0</v>
      </c>
    </row>
    <row r="135" spans="1:32" s="65" customFormat="1" ht="12.75" customHeight="1">
      <c r="A135" s="52" t="s">
        <v>74</v>
      </c>
      <c r="B135" s="1" t="s">
        <v>18</v>
      </c>
      <c r="C135" s="306">
        <v>0</v>
      </c>
      <c r="D135" s="306">
        <v>0</v>
      </c>
      <c r="E135" s="69">
        <f t="shared" si="91"/>
        <v>0</v>
      </c>
      <c r="F135" s="70">
        <f t="shared" si="92"/>
        <v>0</v>
      </c>
      <c r="G135" s="306">
        <f t="shared" si="93"/>
        <v>0</v>
      </c>
      <c r="H135" s="306">
        <f t="shared" si="94"/>
        <v>0</v>
      </c>
      <c r="I135" s="71"/>
      <c r="J135" s="71"/>
      <c r="K135" s="71"/>
      <c r="L135" s="71"/>
      <c r="M135" s="70">
        <f t="shared" si="95"/>
        <v>0</v>
      </c>
      <c r="N135" s="70">
        <f t="shared" si="96"/>
        <v>0</v>
      </c>
      <c r="O135" s="71"/>
      <c r="P135" s="71"/>
      <c r="Q135" s="71"/>
      <c r="R135" s="71"/>
      <c r="S135" s="72"/>
      <c r="T135" s="252" t="e">
        <f t="shared" si="101"/>
        <v>#DIV/0!</v>
      </c>
      <c r="U135" s="73"/>
      <c r="V135" s="73"/>
      <c r="AA135" s="61">
        <f>H128</f>
        <v>18</v>
      </c>
      <c r="AB135" s="61" t="str">
        <f>E128</f>
        <v>PIX-CAT-048 W</v>
      </c>
      <c r="AC135" s="74" t="s">
        <v>81</v>
      </c>
      <c r="AD135" s="61" t="str">
        <f t="shared" si="97"/>
        <v>WUH</v>
      </c>
      <c r="AE135" s="61">
        <f t="shared" si="98"/>
        <v>0</v>
      </c>
      <c r="AF135" s="61">
        <f t="shared" si="99"/>
        <v>0</v>
      </c>
    </row>
    <row r="136" spans="1:32" s="65" customFormat="1" ht="12.75" customHeight="1">
      <c r="A136" s="52" t="s">
        <v>75</v>
      </c>
      <c r="B136" s="1" t="s">
        <v>18</v>
      </c>
      <c r="C136" s="306">
        <v>0</v>
      </c>
      <c r="D136" s="306">
        <v>0</v>
      </c>
      <c r="E136" s="69">
        <f t="shared" si="91"/>
        <v>0</v>
      </c>
      <c r="F136" s="70">
        <f t="shared" si="92"/>
        <v>0</v>
      </c>
      <c r="G136" s="306">
        <f t="shared" si="93"/>
        <v>0</v>
      </c>
      <c r="H136" s="306">
        <f t="shared" si="94"/>
        <v>0</v>
      </c>
      <c r="I136" s="75"/>
      <c r="J136" s="75"/>
      <c r="K136" s="70"/>
      <c r="L136" s="70"/>
      <c r="M136" s="70">
        <f t="shared" si="95"/>
        <v>0</v>
      </c>
      <c r="N136" s="70">
        <f t="shared" si="96"/>
        <v>0</v>
      </c>
      <c r="O136" s="75"/>
      <c r="P136" s="75"/>
      <c r="Q136" s="70"/>
      <c r="R136" s="70"/>
      <c r="S136" s="72"/>
      <c r="T136" s="252" t="e">
        <f t="shared" si="101"/>
        <v>#DIV/0!</v>
      </c>
      <c r="U136" s="73"/>
      <c r="V136" s="73"/>
      <c r="AA136" s="61">
        <f>H128</f>
        <v>18</v>
      </c>
      <c r="AB136" s="61" t="str">
        <f>E128</f>
        <v>PIX-CAT-048 W</v>
      </c>
      <c r="AC136" s="74" t="s">
        <v>81</v>
      </c>
      <c r="AD136" s="61" t="str">
        <f t="shared" si="97"/>
        <v>DLC</v>
      </c>
      <c r="AE136" s="61">
        <f t="shared" si="98"/>
        <v>0</v>
      </c>
      <c r="AF136" s="61">
        <f t="shared" si="99"/>
        <v>0</v>
      </c>
    </row>
    <row r="137" spans="1:32" s="65" customFormat="1" ht="12.75" customHeight="1">
      <c r="A137" s="52" t="s">
        <v>76</v>
      </c>
      <c r="B137" s="1" t="s">
        <v>18</v>
      </c>
      <c r="C137" s="306">
        <v>0</v>
      </c>
      <c r="D137" s="306">
        <v>0</v>
      </c>
      <c r="E137" s="69">
        <f t="shared" si="91"/>
        <v>0</v>
      </c>
      <c r="F137" s="70">
        <f t="shared" si="92"/>
        <v>0</v>
      </c>
      <c r="G137" s="306">
        <f t="shared" si="93"/>
        <v>0</v>
      </c>
      <c r="H137" s="306">
        <f t="shared" si="94"/>
        <v>0</v>
      </c>
      <c r="I137" s="70"/>
      <c r="J137" s="70"/>
      <c r="K137" s="70"/>
      <c r="L137" s="70"/>
      <c r="M137" s="70">
        <f t="shared" si="95"/>
        <v>0</v>
      </c>
      <c r="N137" s="70">
        <f t="shared" si="96"/>
        <v>0</v>
      </c>
      <c r="O137" s="75"/>
      <c r="P137" s="75"/>
      <c r="Q137" s="70"/>
      <c r="R137" s="70"/>
      <c r="S137" s="72"/>
      <c r="T137" s="252" t="e">
        <f t="shared" si="101"/>
        <v>#DIV/0!</v>
      </c>
      <c r="U137" s="73"/>
      <c r="V137" s="73"/>
      <c r="AA137" s="61">
        <f>H128</f>
        <v>18</v>
      </c>
      <c r="AB137" s="61" t="str">
        <f>E128</f>
        <v>PIX-CAT-048 W</v>
      </c>
      <c r="AC137" s="74" t="s">
        <v>81</v>
      </c>
      <c r="AD137" s="61" t="str">
        <f t="shared" si="97"/>
        <v>TSN</v>
      </c>
      <c r="AE137" s="61">
        <f t="shared" si="98"/>
        <v>0</v>
      </c>
      <c r="AF137" s="61">
        <f t="shared" si="99"/>
        <v>0</v>
      </c>
    </row>
    <row r="138" spans="1:32" s="65" customFormat="1" ht="12.75" customHeight="1">
      <c r="A138" s="52" t="s">
        <v>14</v>
      </c>
      <c r="B138" s="1">
        <f>B117+7</f>
        <v>43209</v>
      </c>
      <c r="C138" s="306">
        <v>220</v>
      </c>
      <c r="D138" s="306">
        <v>2860</v>
      </c>
      <c r="E138" s="69">
        <f t="shared" si="91"/>
        <v>242</v>
      </c>
      <c r="F138" s="70">
        <f t="shared" si="92"/>
        <v>3077</v>
      </c>
      <c r="G138" s="306">
        <f t="shared" si="93"/>
        <v>22</v>
      </c>
      <c r="H138" s="306">
        <f t="shared" si="94"/>
        <v>217</v>
      </c>
      <c r="I138" s="70">
        <v>147</v>
      </c>
      <c r="J138" s="70">
        <v>2337</v>
      </c>
      <c r="K138" s="70">
        <v>20</v>
      </c>
      <c r="L138" s="70">
        <v>268</v>
      </c>
      <c r="M138" s="70">
        <f t="shared" si="95"/>
        <v>167</v>
      </c>
      <c r="N138" s="70">
        <f t="shared" si="96"/>
        <v>2605</v>
      </c>
      <c r="O138" s="75"/>
      <c r="P138" s="75"/>
      <c r="Q138" s="76">
        <v>242</v>
      </c>
      <c r="R138" s="71">
        <v>3077</v>
      </c>
      <c r="S138" s="72"/>
      <c r="T138" s="252">
        <f t="shared" si="101"/>
        <v>1.1000000000000001</v>
      </c>
      <c r="U138" s="73"/>
      <c r="V138" s="73"/>
      <c r="AA138" s="61">
        <f>H128</f>
        <v>18</v>
      </c>
      <c r="AB138" s="61" t="str">
        <f>E128</f>
        <v>PIX-CAT-048 W</v>
      </c>
      <c r="AC138" s="74" t="s">
        <v>81</v>
      </c>
      <c r="AD138" s="61" t="str">
        <f t="shared" si="97"/>
        <v>XMN</v>
      </c>
      <c r="AE138" s="61">
        <f t="shared" si="98"/>
        <v>220</v>
      </c>
      <c r="AF138" s="61">
        <f t="shared" si="99"/>
        <v>242</v>
      </c>
    </row>
    <row r="139" spans="1:32" s="65" customFormat="1" ht="12.75" customHeight="1">
      <c r="A139" s="52" t="s">
        <v>77</v>
      </c>
      <c r="B139" s="1">
        <f>B118+7</f>
        <v>43211</v>
      </c>
      <c r="C139" s="306">
        <v>0</v>
      </c>
      <c r="D139" s="306">
        <v>0</v>
      </c>
      <c r="E139" s="69">
        <f t="shared" si="91"/>
        <v>0</v>
      </c>
      <c r="F139" s="70">
        <f t="shared" si="92"/>
        <v>0</v>
      </c>
      <c r="G139" s="306">
        <f t="shared" si="93"/>
        <v>0</v>
      </c>
      <c r="H139" s="306">
        <f t="shared" si="94"/>
        <v>0</v>
      </c>
      <c r="I139" s="70"/>
      <c r="J139" s="70"/>
      <c r="K139" s="70"/>
      <c r="L139" s="70"/>
      <c r="M139" s="70">
        <f t="shared" si="95"/>
        <v>0</v>
      </c>
      <c r="N139" s="70">
        <f t="shared" si="96"/>
        <v>0</v>
      </c>
      <c r="O139" s="71"/>
      <c r="P139" s="71"/>
      <c r="Q139" s="70"/>
      <c r="R139" s="70"/>
      <c r="S139" s="72"/>
      <c r="T139" s="252" t="e">
        <f t="shared" si="101"/>
        <v>#DIV/0!</v>
      </c>
      <c r="U139" s="73"/>
      <c r="V139" s="73"/>
      <c r="AA139" s="61">
        <f>H128</f>
        <v>18</v>
      </c>
      <c r="AB139" s="61" t="str">
        <f>E128</f>
        <v>PIX-CAT-048 W</v>
      </c>
      <c r="AC139" s="74" t="s">
        <v>81</v>
      </c>
      <c r="AD139" s="61" t="str">
        <f t="shared" si="97"/>
        <v>HKG</v>
      </c>
      <c r="AE139" s="61">
        <f t="shared" si="98"/>
        <v>0</v>
      </c>
      <c r="AF139" s="61">
        <f t="shared" si="99"/>
        <v>0</v>
      </c>
    </row>
    <row r="140" spans="1:32" s="65" customFormat="1" ht="12.75" customHeight="1">
      <c r="A140" s="52" t="s">
        <v>68</v>
      </c>
      <c r="B140" s="1">
        <f>B119+7</f>
        <v>43212</v>
      </c>
      <c r="C140" s="306">
        <v>0</v>
      </c>
      <c r="D140" s="306">
        <v>0</v>
      </c>
      <c r="E140" s="69">
        <f t="shared" si="91"/>
        <v>0</v>
      </c>
      <c r="F140" s="70">
        <f t="shared" si="92"/>
        <v>0</v>
      </c>
      <c r="G140" s="306">
        <f t="shared" si="93"/>
        <v>0</v>
      </c>
      <c r="H140" s="306">
        <f t="shared" si="94"/>
        <v>0</v>
      </c>
      <c r="I140" s="70">
        <v>88</v>
      </c>
      <c r="J140" s="70">
        <v>913</v>
      </c>
      <c r="K140" s="70">
        <v>65</v>
      </c>
      <c r="L140" s="70">
        <v>515</v>
      </c>
      <c r="M140" s="70">
        <f t="shared" si="95"/>
        <v>153</v>
      </c>
      <c r="N140" s="70">
        <f t="shared" si="96"/>
        <v>1428</v>
      </c>
      <c r="O140" s="70"/>
      <c r="P140" s="70"/>
      <c r="Q140" s="70"/>
      <c r="R140" s="70"/>
      <c r="S140" s="72"/>
      <c r="T140" s="252" t="e">
        <f t="shared" si="101"/>
        <v>#DIV/0!</v>
      </c>
      <c r="U140" s="73"/>
      <c r="V140" s="73"/>
      <c r="AA140" s="61">
        <f>H128</f>
        <v>18</v>
      </c>
      <c r="AB140" s="61" t="str">
        <f>E128</f>
        <v>PIX-CAT-048 W</v>
      </c>
      <c r="AC140" s="74" t="s">
        <v>81</v>
      </c>
      <c r="AD140" s="61" t="str">
        <f t="shared" si="97"/>
        <v>GNS</v>
      </c>
      <c r="AE140" s="61">
        <f t="shared" si="98"/>
        <v>0</v>
      </c>
      <c r="AF140" s="61">
        <f t="shared" si="99"/>
        <v>0</v>
      </c>
    </row>
    <row r="141" spans="1:32" s="65" customFormat="1" ht="12.75" customHeight="1">
      <c r="A141" s="52" t="s">
        <v>16</v>
      </c>
      <c r="B141" s="1">
        <f>B120+7</f>
        <v>43213</v>
      </c>
      <c r="C141" s="306">
        <v>650</v>
      </c>
      <c r="D141" s="306">
        <v>8450</v>
      </c>
      <c r="E141" s="69">
        <f t="shared" si="91"/>
        <v>1295</v>
      </c>
      <c r="F141" s="70">
        <f t="shared" si="92"/>
        <v>14390</v>
      </c>
      <c r="G141" s="306">
        <f t="shared" si="93"/>
        <v>645</v>
      </c>
      <c r="H141" s="306">
        <f t="shared" si="94"/>
        <v>5940</v>
      </c>
      <c r="I141" s="70">
        <v>67</v>
      </c>
      <c r="J141" s="70">
        <v>544</v>
      </c>
      <c r="K141" s="70">
        <v>23</v>
      </c>
      <c r="L141" s="70">
        <v>230</v>
      </c>
      <c r="M141" s="70">
        <f t="shared" si="95"/>
        <v>90</v>
      </c>
      <c r="N141" s="70">
        <f t="shared" si="96"/>
        <v>774</v>
      </c>
      <c r="O141" s="70"/>
      <c r="P141" s="70"/>
      <c r="Q141" s="70">
        <v>1295</v>
      </c>
      <c r="R141" s="84">
        <v>14390</v>
      </c>
      <c r="S141" s="72"/>
      <c r="T141" s="252">
        <f t="shared" si="101"/>
        <v>1.9923076923076923</v>
      </c>
      <c r="U141" s="73"/>
      <c r="V141" s="73"/>
      <c r="AA141" s="61">
        <f>H128</f>
        <v>18</v>
      </c>
      <c r="AB141" s="61" t="str">
        <f>E128</f>
        <v>PIX-CAT-048 W</v>
      </c>
      <c r="AC141" s="74" t="s">
        <v>81</v>
      </c>
      <c r="AD141" s="61" t="str">
        <f t="shared" si="97"/>
        <v>HUA</v>
      </c>
      <c r="AE141" s="61">
        <f t="shared" si="98"/>
        <v>650</v>
      </c>
      <c r="AF141" s="61">
        <f t="shared" si="99"/>
        <v>1295</v>
      </c>
    </row>
    <row r="142" spans="1:32" s="65" customFormat="1" ht="12.75" customHeight="1">
      <c r="A142" s="52" t="s">
        <v>69</v>
      </c>
      <c r="B142" s="26" t="s">
        <v>18</v>
      </c>
      <c r="C142" s="306"/>
      <c r="D142" s="306"/>
      <c r="E142" s="69">
        <f t="shared" si="91"/>
        <v>2</v>
      </c>
      <c r="F142" s="70">
        <f t="shared" si="92"/>
        <v>44</v>
      </c>
      <c r="G142" s="306"/>
      <c r="H142" s="306"/>
      <c r="I142" s="70"/>
      <c r="J142" s="70"/>
      <c r="K142" s="70"/>
      <c r="L142" s="70"/>
      <c r="M142" s="70">
        <f t="shared" si="95"/>
        <v>0</v>
      </c>
      <c r="N142" s="70">
        <f t="shared" si="96"/>
        <v>0</v>
      </c>
      <c r="O142" s="70"/>
      <c r="P142" s="70"/>
      <c r="Q142" s="70">
        <v>2</v>
      </c>
      <c r="R142" s="70">
        <v>44</v>
      </c>
      <c r="S142" s="72"/>
      <c r="T142" s="252" t="e">
        <f t="shared" si="101"/>
        <v>#DIV/0!</v>
      </c>
      <c r="U142" s="73"/>
      <c r="V142" s="73"/>
      <c r="AA142" s="61">
        <f>H128</f>
        <v>18</v>
      </c>
      <c r="AB142" s="61" t="str">
        <f>E128</f>
        <v>PIX-CAT-048 W</v>
      </c>
      <c r="AC142" s="74" t="s">
        <v>81</v>
      </c>
      <c r="AD142" s="61" t="str">
        <f t="shared" si="97"/>
        <v>HAK</v>
      </c>
      <c r="AE142" s="61">
        <f t="shared" si="98"/>
        <v>0</v>
      </c>
      <c r="AF142" s="61">
        <f t="shared" si="99"/>
        <v>2</v>
      </c>
    </row>
    <row r="143" spans="1:32" s="65" customFormat="1" ht="12.75" customHeight="1">
      <c r="A143" s="52" t="s">
        <v>3</v>
      </c>
      <c r="B143" s="1">
        <f>B122+7</f>
        <v>43217</v>
      </c>
      <c r="C143" s="306">
        <v>280</v>
      </c>
      <c r="D143" s="306">
        <v>3780</v>
      </c>
      <c r="E143" s="69">
        <f t="shared" si="91"/>
        <v>495</v>
      </c>
      <c r="F143" s="70">
        <f t="shared" si="92"/>
        <v>7835</v>
      </c>
      <c r="G143" s="306">
        <f t="shared" ref="G143:G146" si="102">E143-C143</f>
        <v>215</v>
      </c>
      <c r="H143" s="306">
        <f t="shared" ref="H143:H146" si="103">F143-D143</f>
        <v>4055</v>
      </c>
      <c r="I143" s="70"/>
      <c r="J143" s="70"/>
      <c r="K143" s="70"/>
      <c r="L143" s="70"/>
      <c r="M143" s="70">
        <f t="shared" si="95"/>
        <v>0</v>
      </c>
      <c r="N143" s="70">
        <f t="shared" si="96"/>
        <v>0</v>
      </c>
      <c r="O143" s="306"/>
      <c r="P143" s="306"/>
      <c r="Q143" s="70">
        <v>495</v>
      </c>
      <c r="R143" s="70">
        <v>7835</v>
      </c>
      <c r="S143" s="72"/>
      <c r="T143" s="252">
        <f t="shared" si="101"/>
        <v>1.7678571428571428</v>
      </c>
      <c r="U143" s="73"/>
      <c r="V143" s="73"/>
      <c r="AA143" s="61">
        <f>H128</f>
        <v>18</v>
      </c>
      <c r="AB143" s="61" t="str">
        <f>E128</f>
        <v>PIX-CAT-048 W</v>
      </c>
      <c r="AC143" s="74" t="s">
        <v>81</v>
      </c>
      <c r="AD143" s="61" t="str">
        <f t="shared" si="97"/>
        <v>SGP</v>
      </c>
      <c r="AE143" s="61">
        <f t="shared" si="98"/>
        <v>280</v>
      </c>
      <c r="AF143" s="61">
        <f t="shared" si="99"/>
        <v>495</v>
      </c>
    </row>
    <row r="144" spans="1:32" s="65" customFormat="1" ht="12.75" customHeight="1">
      <c r="A144" s="52" t="s">
        <v>4</v>
      </c>
      <c r="B144" s="1">
        <f>B123+7</f>
        <v>43219</v>
      </c>
      <c r="C144" s="306">
        <v>120</v>
      </c>
      <c r="D144" s="306">
        <v>1620</v>
      </c>
      <c r="E144" s="69">
        <f t="shared" si="91"/>
        <v>146</v>
      </c>
      <c r="F144" s="70">
        <f t="shared" si="92"/>
        <v>2128</v>
      </c>
      <c r="G144" s="306">
        <f t="shared" si="102"/>
        <v>26</v>
      </c>
      <c r="H144" s="306">
        <f t="shared" si="103"/>
        <v>508</v>
      </c>
      <c r="I144" s="70"/>
      <c r="J144" s="70"/>
      <c r="K144" s="70"/>
      <c r="L144" s="70"/>
      <c r="M144" s="70">
        <f t="shared" si="95"/>
        <v>0</v>
      </c>
      <c r="N144" s="70">
        <f t="shared" si="96"/>
        <v>0</v>
      </c>
      <c r="O144" s="70"/>
      <c r="P144" s="70"/>
      <c r="Q144" s="70">
        <v>146</v>
      </c>
      <c r="R144" s="70">
        <v>2128</v>
      </c>
      <c r="S144" s="72"/>
      <c r="T144" s="252">
        <f>E144/C144</f>
        <v>1.2166666666666666</v>
      </c>
      <c r="U144" s="73"/>
      <c r="V144" s="73"/>
      <c r="AA144" s="61">
        <f>H128</f>
        <v>18</v>
      </c>
      <c r="AB144" s="61" t="str">
        <f>E128</f>
        <v>PIX-CAT-048 W</v>
      </c>
      <c r="AC144" s="74" t="s">
        <v>81</v>
      </c>
      <c r="AD144" s="61" t="str">
        <f t="shared" si="97"/>
        <v>PKL</v>
      </c>
      <c r="AE144" s="61">
        <f t="shared" si="98"/>
        <v>120</v>
      </c>
      <c r="AF144" s="61">
        <f t="shared" si="99"/>
        <v>146</v>
      </c>
    </row>
    <row r="145" spans="1:32" s="65" customFormat="1" ht="12.75" customHeight="1">
      <c r="A145" s="52" t="s">
        <v>31</v>
      </c>
      <c r="B145" s="306"/>
      <c r="C145" s="306">
        <v>45</v>
      </c>
      <c r="D145" s="306">
        <v>608</v>
      </c>
      <c r="E145" s="69">
        <f t="shared" si="91"/>
        <v>0</v>
      </c>
      <c r="F145" s="70">
        <f t="shared" si="92"/>
        <v>0</v>
      </c>
      <c r="G145" s="306">
        <f t="shared" si="102"/>
        <v>-45</v>
      </c>
      <c r="H145" s="306">
        <f t="shared" si="103"/>
        <v>-608</v>
      </c>
      <c r="I145" s="70"/>
      <c r="J145" s="70"/>
      <c r="K145" s="70"/>
      <c r="L145" s="70"/>
      <c r="M145" s="70">
        <f t="shared" si="95"/>
        <v>0</v>
      </c>
      <c r="N145" s="70">
        <f t="shared" si="96"/>
        <v>0</v>
      </c>
      <c r="O145" s="71"/>
      <c r="P145" s="71"/>
      <c r="Q145" s="71"/>
      <c r="R145" s="71"/>
      <c r="S145" s="72"/>
      <c r="T145" s="73"/>
      <c r="U145" s="73"/>
      <c r="V145" s="73"/>
      <c r="AA145" s="61">
        <f>H128</f>
        <v>18</v>
      </c>
      <c r="AB145" s="61" t="str">
        <f>E128</f>
        <v>PIX-CAT-048 W</v>
      </c>
      <c r="AC145" s="74" t="s">
        <v>81</v>
      </c>
      <c r="AD145" s="61" t="str">
        <f t="shared" si="97"/>
        <v>COSCO T/S</v>
      </c>
      <c r="AE145" s="61">
        <f t="shared" si="98"/>
        <v>45</v>
      </c>
      <c r="AF145" s="61">
        <f t="shared" si="99"/>
        <v>0</v>
      </c>
    </row>
    <row r="146" spans="1:32" s="65" customFormat="1" ht="12.75" customHeight="1">
      <c r="A146" s="51" t="s">
        <v>36</v>
      </c>
      <c r="B146" s="72"/>
      <c r="C146" s="71">
        <v>1315</v>
      </c>
      <c r="D146" s="71">
        <v>18018</v>
      </c>
      <c r="E146" s="78">
        <f>SUM(E132:E145)</f>
        <v>2193</v>
      </c>
      <c r="F146" s="76">
        <f>SUM(F132:F145)</f>
        <v>27612</v>
      </c>
      <c r="G146" s="71">
        <f t="shared" si="102"/>
        <v>878</v>
      </c>
      <c r="H146" s="71">
        <f t="shared" si="103"/>
        <v>9594</v>
      </c>
      <c r="I146" s="70">
        <f t="shared" ref="I146:L146" si="104">SUM(I132:I145)</f>
        <v>302</v>
      </c>
      <c r="J146" s="70">
        <f t="shared" si="104"/>
        <v>3794</v>
      </c>
      <c r="K146" s="70">
        <f t="shared" si="104"/>
        <v>108</v>
      </c>
      <c r="L146" s="70">
        <f t="shared" si="104"/>
        <v>1013</v>
      </c>
      <c r="M146" s="70"/>
      <c r="N146" s="70"/>
      <c r="O146" s="70">
        <f t="shared" ref="O146:R146" si="105">SUM(O132:O145)</f>
        <v>0</v>
      </c>
      <c r="P146" s="70">
        <f t="shared" si="105"/>
        <v>0</v>
      </c>
      <c r="Q146" s="70">
        <f t="shared" si="105"/>
        <v>2193</v>
      </c>
      <c r="R146" s="70">
        <f t="shared" si="105"/>
        <v>27612</v>
      </c>
      <c r="S146" s="72"/>
      <c r="T146" s="73"/>
      <c r="U146" s="73"/>
      <c r="V146" s="73"/>
      <c r="AA146" s="61"/>
      <c r="AB146" s="61"/>
      <c r="AC146" s="61"/>
      <c r="AD146" s="61"/>
      <c r="AE146" s="61"/>
      <c r="AF146" s="61"/>
    </row>
    <row r="147" spans="1:32" s="65" customFormat="1" ht="12.75" customHeight="1">
      <c r="A147" s="84">
        <f>D146/C146</f>
        <v>13.701901140684411</v>
      </c>
      <c r="C147" s="307">
        <f>F146-E147</f>
        <v>11395.8</v>
      </c>
      <c r="E147" s="65">
        <f>D146*0.9</f>
        <v>16216.2</v>
      </c>
      <c r="F147" s="307">
        <f>E146-L147</f>
        <v>1009.5</v>
      </c>
      <c r="I147" s="80" t="s">
        <v>48</v>
      </c>
      <c r="J147" s="245">
        <f>E146/C146</f>
        <v>1.6676806083650191</v>
      </c>
      <c r="K147" s="80"/>
      <c r="L147" s="80">
        <f>C146*0.9</f>
        <v>1183.5</v>
      </c>
      <c r="M147" s="80"/>
      <c r="N147" s="80"/>
      <c r="O147" s="82" t="s">
        <v>484</v>
      </c>
      <c r="P147" s="80"/>
      <c r="Q147" s="65">
        <f>Q138+Q141+I138+I139+I140+I141+K138+K139+K140+K141</f>
        <v>1947</v>
      </c>
      <c r="R147" s="65">
        <f>R138+R141+J138+J139+J140+J141+L138+L139+L140+L141</f>
        <v>22274</v>
      </c>
      <c r="AA147" s="81"/>
      <c r="AB147" s="81"/>
      <c r="AC147" s="81"/>
      <c r="AD147" s="81"/>
      <c r="AE147" s="81"/>
      <c r="AF147" s="81"/>
    </row>
    <row r="149" spans="1:32" s="63" customFormat="1" ht="12.75" customHeight="1">
      <c r="A149" s="59" t="s">
        <v>64</v>
      </c>
      <c r="B149" s="58" t="s">
        <v>626</v>
      </c>
      <c r="C149" s="56"/>
      <c r="D149" s="57"/>
      <c r="E149" s="58" t="s">
        <v>627</v>
      </c>
      <c r="F149" s="57"/>
      <c r="G149" s="59" t="s">
        <v>37</v>
      </c>
      <c r="H149" s="60">
        <f>H128+1</f>
        <v>19</v>
      </c>
      <c r="I149" s="57"/>
      <c r="J149" s="57"/>
      <c r="K149" s="57"/>
      <c r="L149" s="57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2"/>
      <c r="X149" s="62"/>
      <c r="Y149" s="62"/>
      <c r="Z149" s="62"/>
      <c r="AA149" s="62"/>
      <c r="AB149" s="62"/>
      <c r="AC149" s="62"/>
    </row>
    <row r="150" spans="1:32" s="65" customFormat="1" ht="12.75" customHeight="1">
      <c r="A150" s="340" t="s">
        <v>0</v>
      </c>
      <c r="B150" s="336" t="s">
        <v>1</v>
      </c>
      <c r="C150" s="331" t="s">
        <v>25</v>
      </c>
      <c r="D150" s="332"/>
      <c r="E150" s="331" t="s">
        <v>21</v>
      </c>
      <c r="F150" s="332"/>
      <c r="G150" s="335" t="s">
        <v>24</v>
      </c>
      <c r="H150" s="335"/>
      <c r="I150" s="328" t="s">
        <v>33</v>
      </c>
      <c r="J150" s="329"/>
      <c r="K150" s="329"/>
      <c r="L150" s="329"/>
      <c r="M150" s="329"/>
      <c r="N150" s="330"/>
      <c r="O150" s="331" t="s">
        <v>22</v>
      </c>
      <c r="P150" s="332"/>
      <c r="Q150" s="335" t="s">
        <v>23</v>
      </c>
      <c r="R150" s="335"/>
      <c r="S150" s="336" t="s">
        <v>27</v>
      </c>
      <c r="T150" s="64"/>
      <c r="U150" s="64"/>
      <c r="V150" s="64"/>
      <c r="W150" s="339"/>
      <c r="X150" s="327"/>
      <c r="Y150" s="327"/>
      <c r="Z150" s="327"/>
      <c r="AA150" s="61"/>
      <c r="AB150" s="61"/>
      <c r="AC150" s="74"/>
      <c r="AD150" s="61"/>
      <c r="AE150" s="61"/>
      <c r="AF150" s="61"/>
    </row>
    <row r="151" spans="1:32" s="65" customFormat="1" ht="12.75" customHeight="1">
      <c r="A151" s="341"/>
      <c r="B151" s="337"/>
      <c r="C151" s="333"/>
      <c r="D151" s="334"/>
      <c r="E151" s="333"/>
      <c r="F151" s="334"/>
      <c r="G151" s="335"/>
      <c r="H151" s="335"/>
      <c r="I151" s="323" t="s">
        <v>28</v>
      </c>
      <c r="J151" s="324" t="s">
        <v>3</v>
      </c>
      <c r="K151" s="323" t="s">
        <v>29</v>
      </c>
      <c r="L151" s="324" t="s">
        <v>4</v>
      </c>
      <c r="M151" s="328" t="s">
        <v>30</v>
      </c>
      <c r="N151" s="330"/>
      <c r="O151" s="333"/>
      <c r="P151" s="334"/>
      <c r="Q151" s="335"/>
      <c r="R151" s="335"/>
      <c r="S151" s="337"/>
      <c r="T151" s="64"/>
      <c r="U151" s="64"/>
      <c r="V151" s="64"/>
      <c r="W151" s="339"/>
      <c r="X151" s="327"/>
      <c r="Y151" s="327"/>
      <c r="Z151" s="327"/>
      <c r="AA151" s="61"/>
      <c r="AB151" s="61"/>
      <c r="AC151" s="74"/>
      <c r="AD151" s="61"/>
      <c r="AE151" s="61"/>
      <c r="AF151" s="61"/>
    </row>
    <row r="152" spans="1:32" s="65" customFormat="1" ht="12.75" customHeight="1">
      <c r="A152" s="342"/>
      <c r="B152" s="338"/>
      <c r="C152" s="325" t="s">
        <v>5</v>
      </c>
      <c r="D152" s="325" t="s">
        <v>6</v>
      </c>
      <c r="E152" s="324" t="s">
        <v>5</v>
      </c>
      <c r="F152" s="325" t="s">
        <v>6</v>
      </c>
      <c r="G152" s="325" t="s">
        <v>5</v>
      </c>
      <c r="H152" s="325" t="s">
        <v>6</v>
      </c>
      <c r="I152" s="324" t="s">
        <v>5</v>
      </c>
      <c r="J152" s="325" t="s">
        <v>6</v>
      </c>
      <c r="K152" s="324" t="s">
        <v>5</v>
      </c>
      <c r="L152" s="325" t="s">
        <v>6</v>
      </c>
      <c r="M152" s="325"/>
      <c r="N152" s="325"/>
      <c r="O152" s="324" t="s">
        <v>5</v>
      </c>
      <c r="P152" s="325" t="s">
        <v>6</v>
      </c>
      <c r="Q152" s="325" t="s">
        <v>5</v>
      </c>
      <c r="R152" s="325" t="s">
        <v>6</v>
      </c>
      <c r="S152" s="338"/>
      <c r="T152" s="64"/>
      <c r="U152" s="64"/>
      <c r="V152" s="64"/>
      <c r="W152" s="339"/>
      <c r="X152" s="327"/>
      <c r="Y152" s="327"/>
      <c r="Z152" s="327"/>
      <c r="AA152" s="61" t="s">
        <v>43</v>
      </c>
      <c r="AB152" s="61" t="s">
        <v>45</v>
      </c>
      <c r="AC152" s="61" t="s">
        <v>46</v>
      </c>
      <c r="AD152" s="61" t="s">
        <v>42</v>
      </c>
      <c r="AE152" s="61" t="s">
        <v>41</v>
      </c>
      <c r="AF152" s="61" t="s">
        <v>44</v>
      </c>
    </row>
    <row r="153" spans="1:32" s="65" customFormat="1" ht="12.75" customHeight="1">
      <c r="A153" s="51" t="s">
        <v>71</v>
      </c>
      <c r="B153" s="1" t="s">
        <v>18</v>
      </c>
      <c r="C153" s="325">
        <v>0</v>
      </c>
      <c r="D153" s="325">
        <v>0</v>
      </c>
      <c r="E153" s="69">
        <f t="shared" ref="E153:E166" si="106">O153+Q153</f>
        <v>22</v>
      </c>
      <c r="F153" s="70">
        <f t="shared" ref="F153:F166" si="107">P153+R153</f>
        <v>209</v>
      </c>
      <c r="G153" s="325">
        <f t="shared" ref="G153:G162" si="108">E153-C153</f>
        <v>22</v>
      </c>
      <c r="H153" s="325">
        <f t="shared" ref="H153:H162" si="109">F153-D153</f>
        <v>209</v>
      </c>
      <c r="I153" s="70"/>
      <c r="J153" s="70"/>
      <c r="K153" s="70"/>
      <c r="L153" s="70"/>
      <c r="M153" s="70">
        <f t="shared" ref="M153:M166" si="110">I153+K153</f>
        <v>0</v>
      </c>
      <c r="N153" s="70">
        <f t="shared" ref="N153:N166" si="111">J153+L153</f>
        <v>0</v>
      </c>
      <c r="O153" s="71"/>
      <c r="P153" s="71"/>
      <c r="Q153" s="70">
        <v>22</v>
      </c>
      <c r="R153" s="70">
        <v>209</v>
      </c>
      <c r="S153" s="72"/>
      <c r="T153" s="252" t="e">
        <f>E153/C153</f>
        <v>#DIV/0!</v>
      </c>
      <c r="U153" s="73"/>
      <c r="V153" s="73"/>
      <c r="W153" s="339"/>
      <c r="X153" s="327"/>
      <c r="Y153" s="327"/>
      <c r="Z153" s="327"/>
      <c r="AA153" s="61">
        <f>H149</f>
        <v>19</v>
      </c>
      <c r="AB153" s="61" t="str">
        <f>E149</f>
        <v>PIX-ARV-131 W</v>
      </c>
      <c r="AC153" s="74" t="s">
        <v>81</v>
      </c>
      <c r="AD153" s="61" t="str">
        <f t="shared" ref="AD153:AD166" si="112">A153</f>
        <v>TAO</v>
      </c>
      <c r="AE153" s="61">
        <f t="shared" ref="AE153:AE166" si="113">C153</f>
        <v>0</v>
      </c>
      <c r="AF153" s="61">
        <f t="shared" ref="AF153:AF166" si="114">E153</f>
        <v>22</v>
      </c>
    </row>
    <row r="154" spans="1:32" s="65" customFormat="1" ht="12.75" customHeight="1">
      <c r="A154" s="52" t="s">
        <v>72</v>
      </c>
      <c r="B154" s="1" t="s">
        <v>18</v>
      </c>
      <c r="C154" s="325">
        <v>0</v>
      </c>
      <c r="D154" s="325">
        <f t="shared" ref="D154:D155" si="115">C154*13</f>
        <v>0</v>
      </c>
      <c r="E154" s="69">
        <f t="shared" si="106"/>
        <v>0</v>
      </c>
      <c r="F154" s="70">
        <f t="shared" si="107"/>
        <v>0</v>
      </c>
      <c r="G154" s="325">
        <f t="shared" si="108"/>
        <v>0</v>
      </c>
      <c r="H154" s="325">
        <f t="shared" si="109"/>
        <v>0</v>
      </c>
      <c r="I154" s="75"/>
      <c r="J154" s="75"/>
      <c r="K154" s="70"/>
      <c r="L154" s="70"/>
      <c r="M154" s="70">
        <f t="shared" si="110"/>
        <v>0</v>
      </c>
      <c r="N154" s="70">
        <f t="shared" si="111"/>
        <v>0</v>
      </c>
      <c r="O154" s="75"/>
      <c r="P154" s="75"/>
      <c r="Q154" s="71"/>
      <c r="R154" s="71"/>
      <c r="S154" s="72"/>
      <c r="T154" s="252" t="e">
        <f t="shared" ref="T154:T164" si="116">E154/C154</f>
        <v>#DIV/0!</v>
      </c>
      <c r="U154" s="73"/>
      <c r="V154" s="73"/>
      <c r="AA154" s="61">
        <f>H149</f>
        <v>19</v>
      </c>
      <c r="AB154" s="61" t="str">
        <f>E149</f>
        <v>PIX-ARV-131 W</v>
      </c>
      <c r="AC154" s="74" t="s">
        <v>81</v>
      </c>
      <c r="AD154" s="61" t="str">
        <f t="shared" si="112"/>
        <v>SHA</v>
      </c>
      <c r="AE154" s="61">
        <f t="shared" si="113"/>
        <v>0</v>
      </c>
      <c r="AF154" s="61">
        <f t="shared" si="114"/>
        <v>0</v>
      </c>
    </row>
    <row r="155" spans="1:32" s="65" customFormat="1" ht="12.75" customHeight="1">
      <c r="A155" s="52" t="s">
        <v>73</v>
      </c>
      <c r="B155" s="1" t="s">
        <v>18</v>
      </c>
      <c r="C155" s="325">
        <v>0</v>
      </c>
      <c r="D155" s="325">
        <f t="shared" si="115"/>
        <v>0</v>
      </c>
      <c r="E155" s="69">
        <f t="shared" si="106"/>
        <v>0</v>
      </c>
      <c r="F155" s="70">
        <f t="shared" si="107"/>
        <v>0</v>
      </c>
      <c r="G155" s="325">
        <f t="shared" si="108"/>
        <v>0</v>
      </c>
      <c r="H155" s="325">
        <f t="shared" si="109"/>
        <v>0</v>
      </c>
      <c r="I155" s="75"/>
      <c r="J155" s="75"/>
      <c r="K155" s="71"/>
      <c r="L155" s="71"/>
      <c r="M155" s="70">
        <f t="shared" si="110"/>
        <v>0</v>
      </c>
      <c r="N155" s="70">
        <f t="shared" si="111"/>
        <v>0</v>
      </c>
      <c r="O155" s="75"/>
      <c r="P155" s="75"/>
      <c r="Q155" s="71"/>
      <c r="R155" s="71"/>
      <c r="S155" s="72"/>
      <c r="T155" s="252" t="e">
        <f t="shared" si="116"/>
        <v>#DIV/0!</v>
      </c>
      <c r="U155" s="73"/>
      <c r="V155" s="73"/>
      <c r="AA155" s="61">
        <f>H149</f>
        <v>19</v>
      </c>
      <c r="AB155" s="61" t="str">
        <f>E149</f>
        <v>PIX-ARV-131 W</v>
      </c>
      <c r="AC155" s="74" t="s">
        <v>81</v>
      </c>
      <c r="AD155" s="61" t="str">
        <f t="shared" si="112"/>
        <v>NGB</v>
      </c>
      <c r="AE155" s="61">
        <f t="shared" si="113"/>
        <v>0</v>
      </c>
      <c r="AF155" s="61">
        <f t="shared" si="114"/>
        <v>0</v>
      </c>
    </row>
    <row r="156" spans="1:32" s="65" customFormat="1" ht="12.75" customHeight="1">
      <c r="A156" s="52" t="s">
        <v>74</v>
      </c>
      <c r="B156" s="1" t="s">
        <v>18</v>
      </c>
      <c r="C156" s="325">
        <v>0</v>
      </c>
      <c r="D156" s="325">
        <v>0</v>
      </c>
      <c r="E156" s="69">
        <f t="shared" si="106"/>
        <v>0</v>
      </c>
      <c r="F156" s="70">
        <f t="shared" si="107"/>
        <v>0</v>
      </c>
      <c r="G156" s="325">
        <f t="shared" si="108"/>
        <v>0</v>
      </c>
      <c r="H156" s="325">
        <f t="shared" si="109"/>
        <v>0</v>
      </c>
      <c r="I156" s="71"/>
      <c r="J156" s="71"/>
      <c r="K156" s="71"/>
      <c r="L156" s="71"/>
      <c r="M156" s="70">
        <f t="shared" si="110"/>
        <v>0</v>
      </c>
      <c r="N156" s="70">
        <f t="shared" si="111"/>
        <v>0</v>
      </c>
      <c r="O156" s="71"/>
      <c r="P156" s="71"/>
      <c r="Q156" s="71"/>
      <c r="R156" s="71"/>
      <c r="S156" s="72"/>
      <c r="T156" s="252" t="e">
        <f t="shared" si="116"/>
        <v>#DIV/0!</v>
      </c>
      <c r="U156" s="73"/>
      <c r="V156" s="73"/>
      <c r="AA156" s="61">
        <f>H149</f>
        <v>19</v>
      </c>
      <c r="AB156" s="61" t="str">
        <f>E149</f>
        <v>PIX-ARV-131 W</v>
      </c>
      <c r="AC156" s="74" t="s">
        <v>81</v>
      </c>
      <c r="AD156" s="61" t="str">
        <f t="shared" si="112"/>
        <v>WUH</v>
      </c>
      <c r="AE156" s="61">
        <f t="shared" si="113"/>
        <v>0</v>
      </c>
      <c r="AF156" s="61">
        <f t="shared" si="114"/>
        <v>0</v>
      </c>
    </row>
    <row r="157" spans="1:32" s="65" customFormat="1" ht="12.75" customHeight="1">
      <c r="A157" s="52" t="s">
        <v>75</v>
      </c>
      <c r="B157" s="1" t="s">
        <v>18</v>
      </c>
      <c r="C157" s="325">
        <v>0</v>
      </c>
      <c r="D157" s="325">
        <v>0</v>
      </c>
      <c r="E157" s="69">
        <f t="shared" si="106"/>
        <v>2</v>
      </c>
      <c r="F157" s="70">
        <f t="shared" si="107"/>
        <v>51</v>
      </c>
      <c r="G157" s="325">
        <f t="shared" si="108"/>
        <v>2</v>
      </c>
      <c r="H157" s="325">
        <f t="shared" si="109"/>
        <v>51</v>
      </c>
      <c r="I157" s="75"/>
      <c r="J157" s="75"/>
      <c r="K157" s="70"/>
      <c r="L157" s="70"/>
      <c r="M157" s="70">
        <f t="shared" si="110"/>
        <v>0</v>
      </c>
      <c r="N157" s="70">
        <f t="shared" si="111"/>
        <v>0</v>
      </c>
      <c r="O157" s="75"/>
      <c r="P157" s="75"/>
      <c r="Q157" s="70">
        <v>2</v>
      </c>
      <c r="R157" s="70">
        <v>51</v>
      </c>
      <c r="S157" s="72"/>
      <c r="T157" s="252" t="e">
        <f t="shared" si="116"/>
        <v>#DIV/0!</v>
      </c>
      <c r="U157" s="73"/>
      <c r="V157" s="73"/>
      <c r="AA157" s="61">
        <f>H149</f>
        <v>19</v>
      </c>
      <c r="AB157" s="61" t="str">
        <f>E149</f>
        <v>PIX-ARV-131 W</v>
      </c>
      <c r="AC157" s="74" t="s">
        <v>81</v>
      </c>
      <c r="AD157" s="61" t="str">
        <f t="shared" si="112"/>
        <v>DLC</v>
      </c>
      <c r="AE157" s="61">
        <f t="shared" si="113"/>
        <v>0</v>
      </c>
      <c r="AF157" s="61">
        <f t="shared" si="114"/>
        <v>2</v>
      </c>
    </row>
    <row r="158" spans="1:32" s="65" customFormat="1" ht="12.75" customHeight="1">
      <c r="A158" s="52" t="s">
        <v>76</v>
      </c>
      <c r="B158" s="1" t="s">
        <v>18</v>
      </c>
      <c r="C158" s="325">
        <v>0</v>
      </c>
      <c r="D158" s="325">
        <v>0</v>
      </c>
      <c r="E158" s="69">
        <f t="shared" si="106"/>
        <v>0</v>
      </c>
      <c r="F158" s="70">
        <f t="shared" si="107"/>
        <v>0</v>
      </c>
      <c r="G158" s="325">
        <f t="shared" si="108"/>
        <v>0</v>
      </c>
      <c r="H158" s="325">
        <f t="shared" si="109"/>
        <v>0</v>
      </c>
      <c r="I158" s="70"/>
      <c r="J158" s="70"/>
      <c r="K158" s="70"/>
      <c r="L158" s="70"/>
      <c r="M158" s="70">
        <f t="shared" si="110"/>
        <v>0</v>
      </c>
      <c r="N158" s="70">
        <f t="shared" si="111"/>
        <v>0</v>
      </c>
      <c r="O158" s="75"/>
      <c r="P158" s="75"/>
      <c r="Q158" s="70"/>
      <c r="R158" s="70"/>
      <c r="S158" s="72"/>
      <c r="T158" s="252" t="e">
        <f t="shared" si="116"/>
        <v>#DIV/0!</v>
      </c>
      <c r="U158" s="73"/>
      <c r="V158" s="73"/>
      <c r="AA158" s="61">
        <f>H149</f>
        <v>19</v>
      </c>
      <c r="AB158" s="61" t="str">
        <f>E149</f>
        <v>PIX-ARV-131 W</v>
      </c>
      <c r="AC158" s="74" t="s">
        <v>81</v>
      </c>
      <c r="AD158" s="61" t="str">
        <f t="shared" si="112"/>
        <v>TSN</v>
      </c>
      <c r="AE158" s="61">
        <f t="shared" si="113"/>
        <v>0</v>
      </c>
      <c r="AF158" s="61">
        <f t="shared" si="114"/>
        <v>0</v>
      </c>
    </row>
    <row r="159" spans="1:32" s="65" customFormat="1" ht="12.75" customHeight="1">
      <c r="A159" s="52" t="s">
        <v>14</v>
      </c>
      <c r="B159" s="1">
        <f>B138+7</f>
        <v>43216</v>
      </c>
      <c r="C159" s="325">
        <v>220</v>
      </c>
      <c r="D159" s="325">
        <v>2860</v>
      </c>
      <c r="E159" s="69">
        <f t="shared" si="106"/>
        <v>160</v>
      </c>
      <c r="F159" s="70">
        <f t="shared" si="107"/>
        <v>3453</v>
      </c>
      <c r="G159" s="325">
        <f t="shared" si="108"/>
        <v>-60</v>
      </c>
      <c r="H159" s="325">
        <f t="shared" si="109"/>
        <v>593</v>
      </c>
      <c r="I159" s="70">
        <v>127</v>
      </c>
      <c r="J159" s="70">
        <v>1628</v>
      </c>
      <c r="K159" s="70">
        <v>4</v>
      </c>
      <c r="L159" s="70">
        <v>37</v>
      </c>
      <c r="M159" s="70">
        <f t="shared" si="110"/>
        <v>131</v>
      </c>
      <c r="N159" s="70">
        <f t="shared" si="111"/>
        <v>1665</v>
      </c>
      <c r="O159" s="75"/>
      <c r="P159" s="75"/>
      <c r="Q159" s="76">
        <v>160</v>
      </c>
      <c r="R159" s="71">
        <v>3453</v>
      </c>
      <c r="S159" s="72"/>
      <c r="T159" s="252">
        <f t="shared" si="116"/>
        <v>0.72727272727272729</v>
      </c>
      <c r="U159" s="73"/>
      <c r="V159" s="73"/>
      <c r="AA159" s="61">
        <f>H149</f>
        <v>19</v>
      </c>
      <c r="AB159" s="61" t="str">
        <f>E149</f>
        <v>PIX-ARV-131 W</v>
      </c>
      <c r="AC159" s="74" t="s">
        <v>81</v>
      </c>
      <c r="AD159" s="61" t="str">
        <f t="shared" si="112"/>
        <v>XMN</v>
      </c>
      <c r="AE159" s="61">
        <f t="shared" si="113"/>
        <v>220</v>
      </c>
      <c r="AF159" s="61">
        <f t="shared" si="114"/>
        <v>160</v>
      </c>
    </row>
    <row r="160" spans="1:32" s="65" customFormat="1" ht="12.75" customHeight="1">
      <c r="A160" s="52" t="s">
        <v>77</v>
      </c>
      <c r="B160" s="1">
        <f>B139+7</f>
        <v>43218</v>
      </c>
      <c r="C160" s="325">
        <v>0</v>
      </c>
      <c r="D160" s="325">
        <v>0</v>
      </c>
      <c r="E160" s="69">
        <f t="shared" si="106"/>
        <v>0</v>
      </c>
      <c r="F160" s="70">
        <f t="shared" si="107"/>
        <v>0</v>
      </c>
      <c r="G160" s="325">
        <f t="shared" si="108"/>
        <v>0</v>
      </c>
      <c r="H160" s="325">
        <f t="shared" si="109"/>
        <v>0</v>
      </c>
      <c r="I160" s="70"/>
      <c r="J160" s="70"/>
      <c r="K160" s="70"/>
      <c r="L160" s="70"/>
      <c r="M160" s="70">
        <f t="shared" si="110"/>
        <v>0</v>
      </c>
      <c r="N160" s="70">
        <f t="shared" si="111"/>
        <v>0</v>
      </c>
      <c r="O160" s="71"/>
      <c r="P160" s="71"/>
      <c r="Q160" s="70"/>
      <c r="R160" s="70"/>
      <c r="S160" s="72"/>
      <c r="T160" s="252" t="e">
        <f t="shared" si="116"/>
        <v>#DIV/0!</v>
      </c>
      <c r="U160" s="73"/>
      <c r="V160" s="73"/>
      <c r="AA160" s="61">
        <f>H149</f>
        <v>19</v>
      </c>
      <c r="AB160" s="61" t="str">
        <f>E149</f>
        <v>PIX-ARV-131 W</v>
      </c>
      <c r="AC160" s="74" t="s">
        <v>81</v>
      </c>
      <c r="AD160" s="61" t="str">
        <f t="shared" si="112"/>
        <v>HKG</v>
      </c>
      <c r="AE160" s="61">
        <f t="shared" si="113"/>
        <v>0</v>
      </c>
      <c r="AF160" s="61">
        <f t="shared" si="114"/>
        <v>0</v>
      </c>
    </row>
    <row r="161" spans="1:32" s="65" customFormat="1" ht="12.75" customHeight="1">
      <c r="A161" s="52" t="s">
        <v>68</v>
      </c>
      <c r="B161" s="1">
        <f>B140+7</f>
        <v>43219</v>
      </c>
      <c r="C161" s="325">
        <v>0</v>
      </c>
      <c r="D161" s="325">
        <v>0</v>
      </c>
      <c r="E161" s="69">
        <f t="shared" si="106"/>
        <v>0</v>
      </c>
      <c r="F161" s="70">
        <f t="shared" si="107"/>
        <v>0</v>
      </c>
      <c r="G161" s="325">
        <f t="shared" si="108"/>
        <v>0</v>
      </c>
      <c r="H161" s="325">
        <f t="shared" si="109"/>
        <v>0</v>
      </c>
      <c r="I161" s="70">
        <v>74</v>
      </c>
      <c r="J161" s="70">
        <v>668</v>
      </c>
      <c r="K161" s="70">
        <v>33</v>
      </c>
      <c r="L161" s="70">
        <v>266</v>
      </c>
      <c r="M161" s="70">
        <f t="shared" si="110"/>
        <v>107</v>
      </c>
      <c r="N161" s="70">
        <f t="shared" si="111"/>
        <v>934</v>
      </c>
      <c r="O161" s="70"/>
      <c r="P161" s="70"/>
      <c r="Q161" s="70"/>
      <c r="R161" s="70"/>
      <c r="S161" s="72"/>
      <c r="T161" s="252" t="e">
        <f t="shared" si="116"/>
        <v>#DIV/0!</v>
      </c>
      <c r="U161" s="73"/>
      <c r="V161" s="73"/>
      <c r="AA161" s="61">
        <f>H149</f>
        <v>19</v>
      </c>
      <c r="AB161" s="61" t="str">
        <f>E149</f>
        <v>PIX-ARV-131 W</v>
      </c>
      <c r="AC161" s="74" t="s">
        <v>81</v>
      </c>
      <c r="AD161" s="61" t="str">
        <f t="shared" si="112"/>
        <v>GNS</v>
      </c>
      <c r="AE161" s="61">
        <f t="shared" si="113"/>
        <v>0</v>
      </c>
      <c r="AF161" s="61">
        <f t="shared" si="114"/>
        <v>0</v>
      </c>
    </row>
    <row r="162" spans="1:32" s="65" customFormat="1" ht="12.75" customHeight="1">
      <c r="A162" s="52" t="s">
        <v>16</v>
      </c>
      <c r="B162" s="1">
        <f>B141+7</f>
        <v>43220</v>
      </c>
      <c r="C162" s="325">
        <v>650</v>
      </c>
      <c r="D162" s="325">
        <v>8450</v>
      </c>
      <c r="E162" s="69">
        <f t="shared" si="106"/>
        <v>354</v>
      </c>
      <c r="F162" s="70">
        <f t="shared" si="107"/>
        <v>4093</v>
      </c>
      <c r="G162" s="325">
        <f t="shared" si="108"/>
        <v>-296</v>
      </c>
      <c r="H162" s="325">
        <f t="shared" si="109"/>
        <v>-4357</v>
      </c>
      <c r="I162" s="70">
        <v>98</v>
      </c>
      <c r="J162" s="70">
        <v>1097</v>
      </c>
      <c r="K162" s="70">
        <v>18</v>
      </c>
      <c r="L162" s="70">
        <v>203</v>
      </c>
      <c r="M162" s="70">
        <f t="shared" si="110"/>
        <v>116</v>
      </c>
      <c r="N162" s="70">
        <f t="shared" si="111"/>
        <v>1300</v>
      </c>
      <c r="O162" s="70"/>
      <c r="P162" s="70"/>
      <c r="Q162" s="70">
        <v>354</v>
      </c>
      <c r="R162" s="84">
        <v>4093</v>
      </c>
      <c r="S162" s="72"/>
      <c r="T162" s="252">
        <f t="shared" si="116"/>
        <v>0.54461538461538461</v>
      </c>
      <c r="U162" s="73"/>
      <c r="V162" s="73"/>
      <c r="AA162" s="61">
        <f>H149</f>
        <v>19</v>
      </c>
      <c r="AB162" s="61" t="str">
        <f>E149</f>
        <v>PIX-ARV-131 W</v>
      </c>
      <c r="AC162" s="74" t="s">
        <v>81</v>
      </c>
      <c r="AD162" s="61" t="str">
        <f t="shared" si="112"/>
        <v>HUA</v>
      </c>
      <c r="AE162" s="61">
        <f t="shared" si="113"/>
        <v>650</v>
      </c>
      <c r="AF162" s="61">
        <f t="shared" si="114"/>
        <v>354</v>
      </c>
    </row>
    <row r="163" spans="1:32" s="65" customFormat="1" ht="12.75" customHeight="1">
      <c r="A163" s="52" t="s">
        <v>69</v>
      </c>
      <c r="B163" s="26" t="s">
        <v>18</v>
      </c>
      <c r="C163" s="325"/>
      <c r="D163" s="325"/>
      <c r="E163" s="69">
        <f t="shared" si="106"/>
        <v>3</v>
      </c>
      <c r="F163" s="70">
        <f t="shared" si="107"/>
        <v>73</v>
      </c>
      <c r="G163" s="325"/>
      <c r="H163" s="325"/>
      <c r="I163" s="70"/>
      <c r="J163" s="70"/>
      <c r="K163" s="70"/>
      <c r="L163" s="70"/>
      <c r="M163" s="70">
        <f t="shared" si="110"/>
        <v>0</v>
      </c>
      <c r="N163" s="70">
        <f t="shared" si="111"/>
        <v>0</v>
      </c>
      <c r="O163" s="70"/>
      <c r="P163" s="70"/>
      <c r="Q163" s="70">
        <v>3</v>
      </c>
      <c r="R163" s="70">
        <v>73</v>
      </c>
      <c r="S163" s="72"/>
      <c r="T163" s="252" t="e">
        <f t="shared" si="116"/>
        <v>#DIV/0!</v>
      </c>
      <c r="U163" s="73"/>
      <c r="V163" s="73"/>
      <c r="AA163" s="61">
        <f>H149</f>
        <v>19</v>
      </c>
      <c r="AB163" s="61" t="str">
        <f>E149</f>
        <v>PIX-ARV-131 W</v>
      </c>
      <c r="AC163" s="74" t="s">
        <v>81</v>
      </c>
      <c r="AD163" s="61" t="str">
        <f t="shared" si="112"/>
        <v>HAK</v>
      </c>
      <c r="AE163" s="61">
        <f t="shared" si="113"/>
        <v>0</v>
      </c>
      <c r="AF163" s="61">
        <f t="shared" si="114"/>
        <v>3</v>
      </c>
    </row>
    <row r="164" spans="1:32" s="65" customFormat="1" ht="12.75" customHeight="1">
      <c r="A164" s="52" t="s">
        <v>3</v>
      </c>
      <c r="B164" s="1">
        <f>B143+7</f>
        <v>43224</v>
      </c>
      <c r="C164" s="325">
        <v>280</v>
      </c>
      <c r="D164" s="325">
        <v>3780</v>
      </c>
      <c r="E164" s="69">
        <f t="shared" si="106"/>
        <v>280</v>
      </c>
      <c r="F164" s="70">
        <f t="shared" si="107"/>
        <v>3780</v>
      </c>
      <c r="G164" s="325">
        <f t="shared" ref="G164:G167" si="117">E164-C164</f>
        <v>0</v>
      </c>
      <c r="H164" s="325">
        <f t="shared" ref="H164:H167" si="118">F164-D164</f>
        <v>0</v>
      </c>
      <c r="I164" s="70"/>
      <c r="J164" s="70"/>
      <c r="K164" s="70"/>
      <c r="L164" s="70"/>
      <c r="M164" s="70">
        <f t="shared" si="110"/>
        <v>0</v>
      </c>
      <c r="N164" s="70">
        <f t="shared" si="111"/>
        <v>0</v>
      </c>
      <c r="O164" s="325"/>
      <c r="P164" s="325"/>
      <c r="Q164" s="70">
        <v>280</v>
      </c>
      <c r="R164" s="70">
        <v>3780</v>
      </c>
      <c r="S164" s="72"/>
      <c r="T164" s="252">
        <f t="shared" si="116"/>
        <v>1</v>
      </c>
      <c r="U164" s="73"/>
      <c r="V164" s="73"/>
      <c r="AA164" s="61">
        <f>H149</f>
        <v>19</v>
      </c>
      <c r="AB164" s="61" t="str">
        <f>E149</f>
        <v>PIX-ARV-131 W</v>
      </c>
      <c r="AC164" s="74" t="s">
        <v>81</v>
      </c>
      <c r="AD164" s="61" t="str">
        <f t="shared" si="112"/>
        <v>SGP</v>
      </c>
      <c r="AE164" s="61">
        <f t="shared" si="113"/>
        <v>280</v>
      </c>
      <c r="AF164" s="61">
        <f t="shared" si="114"/>
        <v>280</v>
      </c>
    </row>
    <row r="165" spans="1:32" s="65" customFormat="1" ht="12.75" customHeight="1">
      <c r="A165" s="52" t="s">
        <v>4</v>
      </c>
      <c r="B165" s="1">
        <f>B144+7</f>
        <v>43226</v>
      </c>
      <c r="C165" s="325">
        <v>120</v>
      </c>
      <c r="D165" s="325">
        <v>1620</v>
      </c>
      <c r="E165" s="69">
        <f t="shared" si="106"/>
        <v>120</v>
      </c>
      <c r="F165" s="70">
        <f t="shared" si="107"/>
        <v>1620</v>
      </c>
      <c r="G165" s="325">
        <f t="shared" si="117"/>
        <v>0</v>
      </c>
      <c r="H165" s="325">
        <f t="shared" si="118"/>
        <v>0</v>
      </c>
      <c r="I165" s="70"/>
      <c r="J165" s="70"/>
      <c r="K165" s="70"/>
      <c r="L165" s="70"/>
      <c r="M165" s="70">
        <f t="shared" si="110"/>
        <v>0</v>
      </c>
      <c r="N165" s="70">
        <f t="shared" si="111"/>
        <v>0</v>
      </c>
      <c r="O165" s="70"/>
      <c r="P165" s="70"/>
      <c r="Q165" s="70">
        <v>120</v>
      </c>
      <c r="R165" s="70">
        <v>1620</v>
      </c>
      <c r="S165" s="72"/>
      <c r="T165" s="252">
        <f>E165/C165</f>
        <v>1</v>
      </c>
      <c r="U165" s="73"/>
      <c r="V165" s="73"/>
      <c r="AA165" s="61">
        <f>H149</f>
        <v>19</v>
      </c>
      <c r="AB165" s="61" t="str">
        <f>E149</f>
        <v>PIX-ARV-131 W</v>
      </c>
      <c r="AC165" s="74" t="s">
        <v>81</v>
      </c>
      <c r="AD165" s="61" t="str">
        <f t="shared" si="112"/>
        <v>PKL</v>
      </c>
      <c r="AE165" s="61">
        <f t="shared" si="113"/>
        <v>120</v>
      </c>
      <c r="AF165" s="61">
        <f t="shared" si="114"/>
        <v>120</v>
      </c>
    </row>
    <row r="166" spans="1:32" s="65" customFormat="1" ht="12.75" customHeight="1">
      <c r="A166" s="52" t="s">
        <v>31</v>
      </c>
      <c r="B166" s="325"/>
      <c r="C166" s="325">
        <v>45</v>
      </c>
      <c r="D166" s="325">
        <v>608</v>
      </c>
      <c r="E166" s="69">
        <f t="shared" si="106"/>
        <v>0</v>
      </c>
      <c r="F166" s="70">
        <f t="shared" si="107"/>
        <v>0</v>
      </c>
      <c r="G166" s="325">
        <f t="shared" si="117"/>
        <v>-45</v>
      </c>
      <c r="H166" s="325">
        <f t="shared" si="118"/>
        <v>-608</v>
      </c>
      <c r="I166" s="70"/>
      <c r="J166" s="70"/>
      <c r="K166" s="70"/>
      <c r="L166" s="70"/>
      <c r="M166" s="70">
        <f t="shared" si="110"/>
        <v>0</v>
      </c>
      <c r="N166" s="70">
        <f t="shared" si="111"/>
        <v>0</v>
      </c>
      <c r="O166" s="71"/>
      <c r="P166" s="71"/>
      <c r="Q166" s="71"/>
      <c r="R166" s="71"/>
      <c r="S166" s="72"/>
      <c r="T166" s="73"/>
      <c r="U166" s="73"/>
      <c r="V166" s="73"/>
      <c r="AA166" s="61">
        <f>H149</f>
        <v>19</v>
      </c>
      <c r="AB166" s="61" t="str">
        <f>E149</f>
        <v>PIX-ARV-131 W</v>
      </c>
      <c r="AC166" s="74" t="s">
        <v>81</v>
      </c>
      <c r="AD166" s="61" t="str">
        <f t="shared" si="112"/>
        <v>COSCO T/S</v>
      </c>
      <c r="AE166" s="61">
        <f t="shared" si="113"/>
        <v>45</v>
      </c>
      <c r="AF166" s="61">
        <f t="shared" si="114"/>
        <v>0</v>
      </c>
    </row>
    <row r="167" spans="1:32" s="65" customFormat="1" ht="12.75" customHeight="1">
      <c r="A167" s="51" t="s">
        <v>36</v>
      </c>
      <c r="B167" s="72"/>
      <c r="C167" s="71">
        <v>1315</v>
      </c>
      <c r="D167" s="71">
        <v>18018</v>
      </c>
      <c r="E167" s="78">
        <f>SUM(E153:E166)</f>
        <v>941</v>
      </c>
      <c r="F167" s="76">
        <f>SUM(F153:F166)</f>
        <v>13279</v>
      </c>
      <c r="G167" s="71">
        <f t="shared" si="117"/>
        <v>-374</v>
      </c>
      <c r="H167" s="71">
        <f t="shared" si="118"/>
        <v>-4739</v>
      </c>
      <c r="I167" s="70">
        <f t="shared" ref="I167:L167" si="119">SUM(I153:I166)</f>
        <v>299</v>
      </c>
      <c r="J167" s="70">
        <f t="shared" si="119"/>
        <v>3393</v>
      </c>
      <c r="K167" s="70">
        <f t="shared" si="119"/>
        <v>55</v>
      </c>
      <c r="L167" s="70">
        <f t="shared" si="119"/>
        <v>506</v>
      </c>
      <c r="M167" s="70"/>
      <c r="N167" s="70"/>
      <c r="O167" s="70">
        <f t="shared" ref="O167:R167" si="120">SUM(O153:O166)</f>
        <v>0</v>
      </c>
      <c r="P167" s="70">
        <f t="shared" si="120"/>
        <v>0</v>
      </c>
      <c r="Q167" s="70">
        <f t="shared" si="120"/>
        <v>941</v>
      </c>
      <c r="R167" s="70">
        <f t="shared" si="120"/>
        <v>13279</v>
      </c>
      <c r="S167" s="72"/>
      <c r="T167" s="73"/>
      <c r="U167" s="73"/>
      <c r="V167" s="73"/>
      <c r="AA167" s="61"/>
      <c r="AB167" s="61"/>
      <c r="AC167" s="61"/>
      <c r="AD167" s="61"/>
      <c r="AE167" s="61"/>
      <c r="AF167" s="61"/>
    </row>
    <row r="168" spans="1:32" s="65" customFormat="1" ht="12.75" customHeight="1">
      <c r="A168" s="84">
        <f>D167/C167</f>
        <v>13.701901140684411</v>
      </c>
      <c r="C168" s="326">
        <f>F167-E168</f>
        <v>-2937.2000000000007</v>
      </c>
      <c r="E168" s="65">
        <f>D167*0.9</f>
        <v>16216.2</v>
      </c>
      <c r="F168" s="326">
        <f>E167-L168</f>
        <v>-242.5</v>
      </c>
      <c r="I168" s="80" t="s">
        <v>48</v>
      </c>
      <c r="J168" s="245">
        <f>E167/C167</f>
        <v>0.71558935361216724</v>
      </c>
      <c r="K168" s="80"/>
      <c r="L168" s="80">
        <f>C167*0.9</f>
        <v>1183.5</v>
      </c>
      <c r="M168" s="80"/>
      <c r="N168" s="80"/>
      <c r="O168" s="82" t="s">
        <v>484</v>
      </c>
      <c r="P168" s="80"/>
      <c r="Q168" s="65">
        <f>Q159+Q162+I159+I160+I161+I162+K159+K160+K161+K162</f>
        <v>868</v>
      </c>
      <c r="R168" s="65">
        <f>R159+R162+J159+J160+J161+J162+L159+L160+L161+L162</f>
        <v>11445</v>
      </c>
      <c r="AA168" s="81"/>
      <c r="AB168" s="81"/>
      <c r="AC168" s="81"/>
      <c r="AD168" s="81"/>
      <c r="AE168" s="81"/>
      <c r="AF168" s="81"/>
    </row>
  </sheetData>
  <mergeCells count="96">
    <mergeCell ref="I129:N129"/>
    <mergeCell ref="O129:P130"/>
    <mergeCell ref="Q129:R130"/>
    <mergeCell ref="S129:S131"/>
    <mergeCell ref="W129:W130"/>
    <mergeCell ref="M130:N130"/>
    <mergeCell ref="W131:W132"/>
    <mergeCell ref="A129:A131"/>
    <mergeCell ref="B129:B131"/>
    <mergeCell ref="C129:D130"/>
    <mergeCell ref="E129:F130"/>
    <mergeCell ref="G129:H130"/>
    <mergeCell ref="I87:N87"/>
    <mergeCell ref="O87:P88"/>
    <mergeCell ref="Q87:R88"/>
    <mergeCell ref="S87:S89"/>
    <mergeCell ref="W87:W88"/>
    <mergeCell ref="M88:N88"/>
    <mergeCell ref="W89:W90"/>
    <mergeCell ref="A87:A89"/>
    <mergeCell ref="B87:B89"/>
    <mergeCell ref="C87:D88"/>
    <mergeCell ref="E87:F88"/>
    <mergeCell ref="G87:H88"/>
    <mergeCell ref="I66:N66"/>
    <mergeCell ref="O66:P67"/>
    <mergeCell ref="Q66:R67"/>
    <mergeCell ref="S66:S68"/>
    <mergeCell ref="W66:W67"/>
    <mergeCell ref="M67:N67"/>
    <mergeCell ref="W68:W69"/>
    <mergeCell ref="A66:A68"/>
    <mergeCell ref="B66:B68"/>
    <mergeCell ref="C66:D67"/>
    <mergeCell ref="E66:F67"/>
    <mergeCell ref="G66:H67"/>
    <mergeCell ref="O45:P46"/>
    <mergeCell ref="Q45:R46"/>
    <mergeCell ref="S45:S47"/>
    <mergeCell ref="W45:W46"/>
    <mergeCell ref="M46:N46"/>
    <mergeCell ref="W47:W48"/>
    <mergeCell ref="I45:N45"/>
    <mergeCell ref="A45:A47"/>
    <mergeCell ref="B45:B47"/>
    <mergeCell ref="C45:D46"/>
    <mergeCell ref="E45:F46"/>
    <mergeCell ref="G45:H46"/>
    <mergeCell ref="O24:P25"/>
    <mergeCell ref="Q24:R25"/>
    <mergeCell ref="S24:S26"/>
    <mergeCell ref="W24:W25"/>
    <mergeCell ref="M25:N25"/>
    <mergeCell ref="W26:W27"/>
    <mergeCell ref="I24:N24"/>
    <mergeCell ref="A24:A26"/>
    <mergeCell ref="B24:B26"/>
    <mergeCell ref="C24:D25"/>
    <mergeCell ref="E24:F25"/>
    <mergeCell ref="G24:H25"/>
    <mergeCell ref="O3:P4"/>
    <mergeCell ref="Q3:R4"/>
    <mergeCell ref="S3:S5"/>
    <mergeCell ref="W3:W4"/>
    <mergeCell ref="M4:N4"/>
    <mergeCell ref="W5:W6"/>
    <mergeCell ref="I3:N3"/>
    <mergeCell ref="A3:A5"/>
    <mergeCell ref="B3:B5"/>
    <mergeCell ref="C3:D4"/>
    <mergeCell ref="E3:F4"/>
    <mergeCell ref="G3:H4"/>
    <mergeCell ref="A108:A110"/>
    <mergeCell ref="B108:B110"/>
    <mergeCell ref="C108:D109"/>
    <mergeCell ref="E108:F109"/>
    <mergeCell ref="G108:H109"/>
    <mergeCell ref="I108:N108"/>
    <mergeCell ref="O108:P109"/>
    <mergeCell ref="Q108:R109"/>
    <mergeCell ref="S108:S110"/>
    <mergeCell ref="W108:W109"/>
    <mergeCell ref="M109:N109"/>
    <mergeCell ref="W110:W111"/>
    <mergeCell ref="A150:A152"/>
    <mergeCell ref="B150:B152"/>
    <mergeCell ref="C150:D151"/>
    <mergeCell ref="E150:F151"/>
    <mergeCell ref="G150:H151"/>
    <mergeCell ref="I150:N150"/>
    <mergeCell ref="O150:P151"/>
    <mergeCell ref="Q150:R151"/>
    <mergeCell ref="S150:S152"/>
    <mergeCell ref="W150:W151"/>
    <mergeCell ref="M151:N151"/>
    <mergeCell ref="W152:W153"/>
  </mergeCells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4"/>
  <sheetViews>
    <sheetView showZeros="0" topLeftCell="A33" workbookViewId="0">
      <selection activeCell="E43" sqref="E43"/>
    </sheetView>
  </sheetViews>
  <sheetFormatPr defaultRowHeight="13.5"/>
  <cols>
    <col min="1" max="2" width="9" style="25"/>
    <col min="3" max="18" width="8.25" style="87" customWidth="1"/>
    <col min="19" max="32" width="9" style="87"/>
    <col min="33" max="16384" width="9" style="25"/>
  </cols>
  <sheetData>
    <row r="1" spans="1:32" s="18" customFormat="1" ht="12.75" hidden="1" customHeight="1">
      <c r="A1" s="16" t="s">
        <v>83</v>
      </c>
      <c r="B1" s="17" t="s">
        <v>82</v>
      </c>
      <c r="C1" s="56"/>
      <c r="D1" s="57"/>
      <c r="E1" s="58" t="s">
        <v>450</v>
      </c>
      <c r="F1" s="57"/>
      <c r="G1" s="59" t="s">
        <v>37</v>
      </c>
      <c r="H1" s="60">
        <v>12</v>
      </c>
      <c r="I1" s="57"/>
      <c r="J1" s="57" t="s">
        <v>55</v>
      </c>
      <c r="K1" s="57"/>
      <c r="L1" s="57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2"/>
      <c r="Z1" s="62"/>
      <c r="AA1" s="62"/>
      <c r="AB1" s="62"/>
      <c r="AC1" s="62"/>
      <c r="AD1" s="63"/>
      <c r="AE1" s="63"/>
      <c r="AF1" s="63"/>
    </row>
    <row r="2" spans="1:32" s="19" customFormat="1" ht="12.75" hidden="1" customHeight="1">
      <c r="A2" s="340" t="s">
        <v>0</v>
      </c>
      <c r="B2" s="336" t="s">
        <v>1</v>
      </c>
      <c r="C2" s="331" t="s">
        <v>25</v>
      </c>
      <c r="D2" s="332"/>
      <c r="E2" s="331" t="s">
        <v>21</v>
      </c>
      <c r="F2" s="332"/>
      <c r="G2" s="335" t="s">
        <v>24</v>
      </c>
      <c r="H2" s="335"/>
      <c r="I2" s="328" t="s">
        <v>33</v>
      </c>
      <c r="J2" s="329"/>
      <c r="K2" s="329"/>
      <c r="L2" s="329"/>
      <c r="M2" s="329"/>
      <c r="N2" s="330"/>
      <c r="O2" s="331" t="s">
        <v>22</v>
      </c>
      <c r="P2" s="332"/>
      <c r="Q2" s="335" t="s">
        <v>23</v>
      </c>
      <c r="R2" s="335"/>
      <c r="S2" s="336" t="s">
        <v>27</v>
      </c>
      <c r="T2" s="64"/>
      <c r="U2" s="64"/>
      <c r="V2" s="64"/>
      <c r="W2" s="64"/>
      <c r="X2" s="64"/>
      <c r="Y2" s="339"/>
      <c r="Z2" s="85"/>
      <c r="AA2" s="61"/>
      <c r="AB2" s="61"/>
      <c r="AC2" s="61"/>
      <c r="AD2" s="61"/>
      <c r="AE2" s="61"/>
      <c r="AF2" s="61"/>
    </row>
    <row r="3" spans="1:32" s="19" customFormat="1" ht="12.75" hidden="1" customHeight="1">
      <c r="A3" s="341"/>
      <c r="B3" s="337"/>
      <c r="C3" s="333"/>
      <c r="D3" s="334"/>
      <c r="E3" s="333"/>
      <c r="F3" s="334"/>
      <c r="G3" s="335"/>
      <c r="H3" s="335"/>
      <c r="I3" s="66" t="s">
        <v>28</v>
      </c>
      <c r="J3" s="67" t="s">
        <v>3</v>
      </c>
      <c r="K3" s="66" t="s">
        <v>29</v>
      </c>
      <c r="L3" s="67" t="s">
        <v>4</v>
      </c>
      <c r="M3" s="328" t="s">
        <v>30</v>
      </c>
      <c r="N3" s="330"/>
      <c r="O3" s="333"/>
      <c r="P3" s="334"/>
      <c r="Q3" s="335"/>
      <c r="R3" s="335"/>
      <c r="S3" s="337"/>
      <c r="T3" s="64"/>
      <c r="U3" s="64"/>
      <c r="V3" s="64"/>
      <c r="W3" s="64"/>
      <c r="X3" s="64"/>
      <c r="Y3" s="339"/>
      <c r="Z3" s="85"/>
      <c r="AA3" s="61"/>
      <c r="AB3" s="61"/>
      <c r="AC3" s="61"/>
      <c r="AD3" s="61"/>
      <c r="AE3" s="61"/>
      <c r="AF3" s="61"/>
    </row>
    <row r="4" spans="1:32" s="19" customFormat="1" ht="12.75" hidden="1" customHeight="1">
      <c r="A4" s="342"/>
      <c r="B4" s="338"/>
      <c r="C4" s="68" t="s">
        <v>5</v>
      </c>
      <c r="D4" s="68" t="s">
        <v>6</v>
      </c>
      <c r="E4" s="67" t="s">
        <v>5</v>
      </c>
      <c r="F4" s="68" t="s">
        <v>6</v>
      </c>
      <c r="G4" s="68" t="s">
        <v>5</v>
      </c>
      <c r="H4" s="68" t="s">
        <v>6</v>
      </c>
      <c r="I4" s="67" t="s">
        <v>5</v>
      </c>
      <c r="J4" s="68" t="s">
        <v>6</v>
      </c>
      <c r="K4" s="67" t="s">
        <v>5</v>
      </c>
      <c r="L4" s="68" t="s">
        <v>6</v>
      </c>
      <c r="M4" s="68"/>
      <c r="N4" s="68"/>
      <c r="O4" s="67" t="s">
        <v>5</v>
      </c>
      <c r="P4" s="68" t="s">
        <v>6</v>
      </c>
      <c r="Q4" s="68" t="s">
        <v>5</v>
      </c>
      <c r="R4" s="68" t="s">
        <v>6</v>
      </c>
      <c r="S4" s="338"/>
      <c r="T4" s="64"/>
      <c r="U4" s="64"/>
      <c r="V4" s="64"/>
      <c r="W4" s="64"/>
      <c r="X4" s="64"/>
      <c r="Y4" s="339"/>
      <c r="Z4" s="85"/>
      <c r="AA4" s="61" t="s">
        <v>43</v>
      </c>
      <c r="AB4" s="61" t="s">
        <v>45</v>
      </c>
      <c r="AC4" s="61" t="s">
        <v>46</v>
      </c>
      <c r="AD4" s="61" t="s">
        <v>42</v>
      </c>
      <c r="AE4" s="61" t="s">
        <v>41</v>
      </c>
      <c r="AF4" s="61" t="s">
        <v>44</v>
      </c>
    </row>
    <row r="5" spans="1:32" s="19" customFormat="1" ht="12.75" hidden="1" customHeight="1">
      <c r="A5" s="21" t="s">
        <v>7</v>
      </c>
      <c r="B5" s="1" t="s">
        <v>18</v>
      </c>
      <c r="C5" s="68">
        <v>0</v>
      </c>
      <c r="D5" s="68">
        <v>0</v>
      </c>
      <c r="E5" s="69">
        <f t="shared" ref="E5:F11" si="0">O5+Q5</f>
        <v>2</v>
      </c>
      <c r="F5" s="70">
        <f t="shared" si="0"/>
        <v>27</v>
      </c>
      <c r="G5" s="68">
        <f t="shared" ref="G5:H14" si="1">E5-C5</f>
        <v>2</v>
      </c>
      <c r="H5" s="68">
        <f t="shared" si="1"/>
        <v>27</v>
      </c>
      <c r="I5" s="70"/>
      <c r="J5" s="70"/>
      <c r="K5" s="70"/>
      <c r="L5" s="70"/>
      <c r="M5" s="70">
        <f t="shared" ref="M5:N5" si="2">I5+K5</f>
        <v>0</v>
      </c>
      <c r="N5" s="70">
        <f t="shared" si="2"/>
        <v>0</v>
      </c>
      <c r="O5" s="71"/>
      <c r="P5" s="71"/>
      <c r="Q5" s="70">
        <v>2</v>
      </c>
      <c r="R5" s="70">
        <v>27</v>
      </c>
      <c r="S5" s="86"/>
      <c r="T5" s="252" t="e">
        <f>E5/C5</f>
        <v>#DIV/0!</v>
      </c>
      <c r="U5" s="88"/>
      <c r="V5" s="88"/>
      <c r="W5" s="88"/>
      <c r="X5" s="88"/>
      <c r="Y5" s="339"/>
      <c r="Z5" s="85"/>
      <c r="AA5" s="61">
        <f>H1</f>
        <v>12</v>
      </c>
      <c r="AB5" s="61" t="str">
        <f>E1</f>
        <v>WIN-SD7-086 W</v>
      </c>
      <c r="AC5" s="74" t="s">
        <v>86</v>
      </c>
      <c r="AD5" s="61" t="str">
        <f t="shared" ref="AD5:AD18" si="3">A5</f>
        <v>KR</v>
      </c>
      <c r="AE5" s="61">
        <f t="shared" ref="AE5:AE18" si="4">C5</f>
        <v>0</v>
      </c>
      <c r="AF5" s="61">
        <f t="shared" ref="AF5:AF18" si="5">E5</f>
        <v>2</v>
      </c>
    </row>
    <row r="6" spans="1:32" s="19" customFormat="1" ht="12.75" hidden="1" customHeight="1">
      <c r="A6" s="23" t="s">
        <v>13</v>
      </c>
      <c r="B6" s="1" t="s">
        <v>67</v>
      </c>
      <c r="C6" s="68">
        <v>0</v>
      </c>
      <c r="D6" s="68">
        <f t="shared" ref="D6:D7" si="6">C6*13</f>
        <v>0</v>
      </c>
      <c r="E6" s="69">
        <f t="shared" si="0"/>
        <v>0</v>
      </c>
      <c r="F6" s="70">
        <f t="shared" si="0"/>
        <v>0</v>
      </c>
      <c r="G6" s="68">
        <f t="shared" si="1"/>
        <v>0</v>
      </c>
      <c r="H6" s="68">
        <f t="shared" si="1"/>
        <v>0</v>
      </c>
      <c r="I6" s="75"/>
      <c r="J6" s="75"/>
      <c r="K6" s="70"/>
      <c r="L6" s="70"/>
      <c r="M6" s="70">
        <f t="shared" ref="M6:M18" si="7">I6+K6</f>
        <v>0</v>
      </c>
      <c r="N6" s="70">
        <f t="shared" ref="N6:N18" si="8">J6+L6</f>
        <v>0</v>
      </c>
      <c r="O6" s="75"/>
      <c r="P6" s="75"/>
      <c r="Q6" s="71"/>
      <c r="R6" s="71"/>
      <c r="S6" s="86"/>
      <c r="T6" s="252" t="e">
        <f t="shared" ref="T6:T16" si="9">E6/C6</f>
        <v>#DIV/0!</v>
      </c>
      <c r="U6" s="88"/>
      <c r="V6" s="88"/>
      <c r="W6" s="88"/>
      <c r="X6" s="88"/>
      <c r="Y6" s="65"/>
      <c r="Z6" s="65"/>
      <c r="AA6" s="61">
        <f>H1</f>
        <v>12</v>
      </c>
      <c r="AB6" s="61" t="str">
        <f>E1</f>
        <v>WIN-SD7-086 W</v>
      </c>
      <c r="AC6" s="74" t="s">
        <v>86</v>
      </c>
      <c r="AD6" s="61" t="str">
        <f t="shared" si="3"/>
        <v>TAO</v>
      </c>
      <c r="AE6" s="61">
        <f t="shared" si="4"/>
        <v>0</v>
      </c>
      <c r="AF6" s="61">
        <f t="shared" si="5"/>
        <v>0</v>
      </c>
    </row>
    <row r="7" spans="1:32" s="19" customFormat="1" ht="12.75" hidden="1" customHeight="1">
      <c r="A7" s="23" t="s">
        <v>9</v>
      </c>
      <c r="B7" s="1">
        <v>43166</v>
      </c>
      <c r="C7" s="68">
        <v>0</v>
      </c>
      <c r="D7" s="68">
        <f t="shared" si="6"/>
        <v>0</v>
      </c>
      <c r="E7" s="69">
        <f t="shared" si="0"/>
        <v>7</v>
      </c>
      <c r="F7" s="70">
        <f t="shared" si="0"/>
        <v>50</v>
      </c>
      <c r="G7" s="68">
        <f t="shared" si="1"/>
        <v>7</v>
      </c>
      <c r="H7" s="68">
        <f t="shared" si="1"/>
        <v>50</v>
      </c>
      <c r="I7" s="75">
        <v>96.25</v>
      </c>
      <c r="J7" s="75">
        <v>711</v>
      </c>
      <c r="K7" s="71">
        <v>1</v>
      </c>
      <c r="L7" s="71">
        <v>20</v>
      </c>
      <c r="M7" s="70">
        <f t="shared" si="7"/>
        <v>97.25</v>
      </c>
      <c r="N7" s="70">
        <f t="shared" si="8"/>
        <v>731</v>
      </c>
      <c r="O7" s="75">
        <v>7</v>
      </c>
      <c r="P7" s="75">
        <v>50</v>
      </c>
      <c r="Q7" s="71"/>
      <c r="R7" s="71"/>
      <c r="S7" s="86"/>
      <c r="T7" s="252" t="e">
        <f t="shared" si="9"/>
        <v>#DIV/0!</v>
      </c>
      <c r="U7" s="88"/>
      <c r="V7" s="88"/>
      <c r="W7" s="88"/>
      <c r="X7" s="88"/>
      <c r="Y7" s="65"/>
      <c r="Z7" s="65"/>
      <c r="AA7" s="61">
        <f>H1</f>
        <v>12</v>
      </c>
      <c r="AB7" s="61" t="str">
        <f>E1</f>
        <v>WIN-SD7-086 W</v>
      </c>
      <c r="AC7" s="74" t="s">
        <v>86</v>
      </c>
      <c r="AD7" s="61" t="str">
        <f t="shared" si="3"/>
        <v>SHA</v>
      </c>
      <c r="AE7" s="61">
        <f t="shared" si="4"/>
        <v>0</v>
      </c>
      <c r="AF7" s="61">
        <f t="shared" si="5"/>
        <v>7</v>
      </c>
    </row>
    <row r="8" spans="1:32" s="19" customFormat="1" ht="12.75" hidden="1" customHeight="1">
      <c r="A8" s="23" t="s">
        <v>8</v>
      </c>
      <c r="B8" s="1">
        <v>43167</v>
      </c>
      <c r="C8" s="68">
        <v>0</v>
      </c>
      <c r="D8" s="68">
        <v>0</v>
      </c>
      <c r="E8" s="69">
        <f t="shared" si="0"/>
        <v>0</v>
      </c>
      <c r="F8" s="70">
        <f t="shared" si="0"/>
        <v>0</v>
      </c>
      <c r="G8" s="68">
        <f t="shared" si="1"/>
        <v>0</v>
      </c>
      <c r="H8" s="68">
        <f t="shared" si="1"/>
        <v>0</v>
      </c>
      <c r="I8" s="71"/>
      <c r="J8" s="71"/>
      <c r="K8" s="71"/>
      <c r="L8" s="71"/>
      <c r="M8" s="70">
        <f t="shared" si="7"/>
        <v>0</v>
      </c>
      <c r="N8" s="70">
        <f t="shared" si="8"/>
        <v>0</v>
      </c>
      <c r="O8" s="71"/>
      <c r="P8" s="71"/>
      <c r="Q8" s="71"/>
      <c r="R8" s="71"/>
      <c r="S8" s="86"/>
      <c r="T8" s="252" t="e">
        <f t="shared" si="9"/>
        <v>#DIV/0!</v>
      </c>
      <c r="U8" s="88"/>
      <c r="V8" s="88"/>
      <c r="W8" s="88"/>
      <c r="X8" s="88"/>
      <c r="Y8" s="65"/>
      <c r="Z8" s="65"/>
      <c r="AA8" s="61">
        <f>H1</f>
        <v>12</v>
      </c>
      <c r="AB8" s="61" t="str">
        <f>E1</f>
        <v>WIN-SD7-086 W</v>
      </c>
      <c r="AC8" s="74" t="s">
        <v>86</v>
      </c>
      <c r="AD8" s="61" t="str">
        <f t="shared" si="3"/>
        <v>NGB</v>
      </c>
      <c r="AE8" s="61">
        <f t="shared" si="4"/>
        <v>0</v>
      </c>
      <c r="AF8" s="61">
        <f t="shared" si="5"/>
        <v>0</v>
      </c>
    </row>
    <row r="9" spans="1:32" s="19" customFormat="1" ht="12.75" hidden="1" customHeight="1">
      <c r="A9" s="23" t="s">
        <v>10</v>
      </c>
      <c r="B9" s="1" t="s">
        <v>67</v>
      </c>
      <c r="C9" s="68">
        <v>50</v>
      </c>
      <c r="D9" s="68">
        <v>700</v>
      </c>
      <c r="E9" s="69">
        <f t="shared" si="0"/>
        <v>0</v>
      </c>
      <c r="F9" s="70">
        <f t="shared" si="0"/>
        <v>0</v>
      </c>
      <c r="G9" s="68">
        <f t="shared" si="1"/>
        <v>-50</v>
      </c>
      <c r="H9" s="68">
        <f t="shared" si="1"/>
        <v>-700</v>
      </c>
      <c r="I9" s="75"/>
      <c r="J9" s="75"/>
      <c r="K9" s="70"/>
      <c r="L9" s="70"/>
      <c r="M9" s="70">
        <f t="shared" si="7"/>
        <v>0</v>
      </c>
      <c r="N9" s="70">
        <f t="shared" si="8"/>
        <v>0</v>
      </c>
      <c r="O9" s="75"/>
      <c r="P9" s="75"/>
      <c r="Q9" s="70"/>
      <c r="R9" s="70"/>
      <c r="S9" s="86"/>
      <c r="T9" s="252">
        <f t="shared" si="9"/>
        <v>0</v>
      </c>
      <c r="U9" s="88"/>
      <c r="V9" s="88"/>
      <c r="W9" s="88"/>
      <c r="X9" s="88"/>
      <c r="Y9" s="65"/>
      <c r="Z9" s="65"/>
      <c r="AA9" s="61">
        <f>H1</f>
        <v>12</v>
      </c>
      <c r="AB9" s="61" t="str">
        <f>E1</f>
        <v>WIN-SD7-086 W</v>
      </c>
      <c r="AC9" s="74" t="s">
        <v>86</v>
      </c>
      <c r="AD9" s="61" t="str">
        <f t="shared" si="3"/>
        <v>WUH</v>
      </c>
      <c r="AE9" s="61">
        <f t="shared" si="4"/>
        <v>50</v>
      </c>
      <c r="AF9" s="61">
        <f t="shared" si="5"/>
        <v>0</v>
      </c>
    </row>
    <row r="10" spans="1:32" s="19" customFormat="1" ht="12.75" hidden="1" customHeight="1">
      <c r="A10" s="23" t="s">
        <v>11</v>
      </c>
      <c r="B10" s="1" t="s">
        <v>18</v>
      </c>
      <c r="C10" s="68">
        <v>0</v>
      </c>
      <c r="D10" s="68">
        <v>0</v>
      </c>
      <c r="E10" s="69">
        <f t="shared" si="0"/>
        <v>0</v>
      </c>
      <c r="F10" s="70">
        <f t="shared" si="0"/>
        <v>0</v>
      </c>
      <c r="G10" s="68">
        <f t="shared" si="1"/>
        <v>0</v>
      </c>
      <c r="H10" s="68">
        <f t="shared" si="1"/>
        <v>0</v>
      </c>
      <c r="I10" s="70"/>
      <c r="J10" s="70"/>
      <c r="K10" s="70"/>
      <c r="L10" s="70"/>
      <c r="M10" s="70">
        <f t="shared" si="7"/>
        <v>0</v>
      </c>
      <c r="N10" s="70">
        <f t="shared" si="8"/>
        <v>0</v>
      </c>
      <c r="O10" s="75"/>
      <c r="P10" s="75"/>
      <c r="Q10" s="70"/>
      <c r="R10" s="70"/>
      <c r="S10" s="86"/>
      <c r="T10" s="252" t="e">
        <f t="shared" si="9"/>
        <v>#DIV/0!</v>
      </c>
      <c r="U10" s="88"/>
      <c r="V10" s="88"/>
      <c r="W10" s="88"/>
      <c r="X10" s="88"/>
      <c r="Y10" s="65"/>
      <c r="Z10" s="65"/>
      <c r="AA10" s="61">
        <f>H1</f>
        <v>12</v>
      </c>
      <c r="AB10" s="61" t="str">
        <f>E1</f>
        <v>WIN-SD7-086 W</v>
      </c>
      <c r="AC10" s="74" t="s">
        <v>86</v>
      </c>
      <c r="AD10" s="61" t="str">
        <f t="shared" si="3"/>
        <v>DLC</v>
      </c>
      <c r="AE10" s="61">
        <f t="shared" si="4"/>
        <v>0</v>
      </c>
      <c r="AF10" s="61">
        <f t="shared" si="5"/>
        <v>0</v>
      </c>
    </row>
    <row r="11" spans="1:32" s="19" customFormat="1" ht="12.75" hidden="1" customHeight="1">
      <c r="A11" s="23" t="s">
        <v>12</v>
      </c>
      <c r="B11" s="1" t="s">
        <v>18</v>
      </c>
      <c r="C11" s="68">
        <v>0</v>
      </c>
      <c r="D11" s="68">
        <v>0</v>
      </c>
      <c r="E11" s="69">
        <f t="shared" si="0"/>
        <v>0</v>
      </c>
      <c r="F11" s="70">
        <f t="shared" si="0"/>
        <v>0</v>
      </c>
      <c r="G11" s="68">
        <f t="shared" si="1"/>
        <v>0</v>
      </c>
      <c r="H11" s="68">
        <f t="shared" si="1"/>
        <v>0</v>
      </c>
      <c r="I11" s="70"/>
      <c r="J11" s="70"/>
      <c r="K11" s="70"/>
      <c r="L11" s="70"/>
      <c r="M11" s="70">
        <f t="shared" si="7"/>
        <v>0</v>
      </c>
      <c r="N11" s="70">
        <f t="shared" si="8"/>
        <v>0</v>
      </c>
      <c r="O11" s="75"/>
      <c r="P11" s="75"/>
      <c r="Q11" s="76"/>
      <c r="R11" s="71"/>
      <c r="S11" s="86"/>
      <c r="T11" s="252" t="e">
        <f t="shared" si="9"/>
        <v>#DIV/0!</v>
      </c>
      <c r="U11" s="88"/>
      <c r="V11" s="88"/>
      <c r="W11" s="88"/>
      <c r="X11" s="88"/>
      <c r="Y11" s="65"/>
      <c r="Z11" s="65"/>
      <c r="AA11" s="61">
        <f>H1</f>
        <v>12</v>
      </c>
      <c r="AB11" s="61" t="str">
        <f>E1</f>
        <v>WIN-SD7-086 W</v>
      </c>
      <c r="AC11" s="74" t="s">
        <v>86</v>
      </c>
      <c r="AD11" s="61" t="str">
        <f t="shared" si="3"/>
        <v>TSN</v>
      </c>
      <c r="AE11" s="61">
        <f t="shared" si="4"/>
        <v>0</v>
      </c>
      <c r="AF11" s="61">
        <f t="shared" si="5"/>
        <v>0</v>
      </c>
    </row>
    <row r="12" spans="1:32" s="19" customFormat="1" ht="12.75" hidden="1" customHeight="1">
      <c r="A12" s="23" t="s">
        <v>14</v>
      </c>
      <c r="B12" s="1" t="s">
        <v>18</v>
      </c>
      <c r="C12" s="68">
        <v>0</v>
      </c>
      <c r="D12" s="68">
        <v>0</v>
      </c>
      <c r="E12" s="69">
        <v>0</v>
      </c>
      <c r="F12" s="70">
        <v>0</v>
      </c>
      <c r="G12" s="68">
        <f t="shared" si="1"/>
        <v>0</v>
      </c>
      <c r="H12" s="68">
        <f t="shared" si="1"/>
        <v>0</v>
      </c>
      <c r="I12" s="70"/>
      <c r="J12" s="70"/>
      <c r="K12" s="70"/>
      <c r="L12" s="70"/>
      <c r="M12" s="70">
        <f t="shared" si="7"/>
        <v>0</v>
      </c>
      <c r="N12" s="70">
        <f t="shared" si="8"/>
        <v>0</v>
      </c>
      <c r="O12" s="71"/>
      <c r="P12" s="71"/>
      <c r="Q12" s="70"/>
      <c r="R12" s="70"/>
      <c r="S12" s="86"/>
      <c r="T12" s="252" t="e">
        <f t="shared" si="9"/>
        <v>#DIV/0!</v>
      </c>
      <c r="U12" s="88"/>
      <c r="V12" s="88"/>
      <c r="W12" s="88"/>
      <c r="X12" s="88"/>
      <c r="Y12" s="65"/>
      <c r="Z12" s="65"/>
      <c r="AA12" s="61">
        <f>H1</f>
        <v>12</v>
      </c>
      <c r="AB12" s="61" t="str">
        <f>E1</f>
        <v>WIN-SD7-086 W</v>
      </c>
      <c r="AC12" s="74" t="s">
        <v>86</v>
      </c>
      <c r="AD12" s="61" t="str">
        <f t="shared" si="3"/>
        <v>XMN</v>
      </c>
      <c r="AE12" s="61">
        <f t="shared" si="4"/>
        <v>0</v>
      </c>
      <c r="AF12" s="61">
        <f t="shared" si="5"/>
        <v>0</v>
      </c>
    </row>
    <row r="13" spans="1:32" s="19" customFormat="1" ht="12.75" hidden="1" customHeight="1">
      <c r="A13" s="23" t="s">
        <v>19</v>
      </c>
      <c r="B13" s="1" t="s">
        <v>18</v>
      </c>
      <c r="C13" s="68">
        <v>0</v>
      </c>
      <c r="D13" s="68">
        <v>0</v>
      </c>
      <c r="E13" s="69">
        <v>0</v>
      </c>
      <c r="F13" s="70">
        <v>0</v>
      </c>
      <c r="G13" s="68">
        <f t="shared" si="1"/>
        <v>0</v>
      </c>
      <c r="H13" s="68">
        <f t="shared" si="1"/>
        <v>0</v>
      </c>
      <c r="I13" s="70"/>
      <c r="J13" s="70"/>
      <c r="K13" s="70"/>
      <c r="L13" s="70"/>
      <c r="M13" s="70">
        <f t="shared" si="7"/>
        <v>0</v>
      </c>
      <c r="N13" s="70">
        <f t="shared" si="8"/>
        <v>0</v>
      </c>
      <c r="O13" s="70"/>
      <c r="P13" s="70"/>
      <c r="Q13" s="70">
        <v>1</v>
      </c>
      <c r="R13" s="70">
        <v>20</v>
      </c>
      <c r="S13" s="86"/>
      <c r="T13" s="252" t="e">
        <f t="shared" si="9"/>
        <v>#DIV/0!</v>
      </c>
      <c r="U13" s="88"/>
      <c r="V13" s="88"/>
      <c r="W13" s="88"/>
      <c r="X13" s="88"/>
      <c r="Y13" s="65"/>
      <c r="Z13" s="65"/>
      <c r="AA13" s="61">
        <f>H1</f>
        <v>12</v>
      </c>
      <c r="AB13" s="61" t="str">
        <f>E1</f>
        <v>WIN-SD7-086 W</v>
      </c>
      <c r="AC13" s="74" t="s">
        <v>86</v>
      </c>
      <c r="AD13" s="61" t="str">
        <f t="shared" si="3"/>
        <v>TWC</v>
      </c>
      <c r="AE13" s="61">
        <f t="shared" si="4"/>
        <v>0</v>
      </c>
      <c r="AF13" s="61">
        <f t="shared" si="5"/>
        <v>0</v>
      </c>
    </row>
    <row r="14" spans="1:32" s="19" customFormat="1" ht="12.75" hidden="1" customHeight="1">
      <c r="A14" s="23" t="s">
        <v>16</v>
      </c>
      <c r="B14" s="1">
        <v>43170</v>
      </c>
      <c r="C14" s="68">
        <v>100</v>
      </c>
      <c r="D14" s="68">
        <v>1400</v>
      </c>
      <c r="E14" s="69">
        <f t="shared" ref="E14:F18" si="10">O14+Q14</f>
        <v>87.75</v>
      </c>
      <c r="F14" s="70">
        <f t="shared" si="10"/>
        <v>894</v>
      </c>
      <c r="G14" s="68">
        <f t="shared" si="1"/>
        <v>-12.25</v>
      </c>
      <c r="H14" s="68">
        <f t="shared" si="1"/>
        <v>-506</v>
      </c>
      <c r="I14" s="70"/>
      <c r="J14" s="70"/>
      <c r="K14" s="70"/>
      <c r="L14" s="70"/>
      <c r="M14" s="70">
        <f t="shared" si="7"/>
        <v>0</v>
      </c>
      <c r="N14" s="70">
        <f t="shared" si="8"/>
        <v>0</v>
      </c>
      <c r="O14" s="70"/>
      <c r="P14" s="70"/>
      <c r="Q14" s="70">
        <v>87.75</v>
      </c>
      <c r="R14" s="86">
        <v>894</v>
      </c>
      <c r="S14" s="86"/>
      <c r="T14" s="252">
        <f t="shared" si="9"/>
        <v>0.87749999999999995</v>
      </c>
      <c r="U14" s="88"/>
      <c r="V14" s="88"/>
      <c r="W14" s="88"/>
      <c r="X14" s="88"/>
      <c r="Y14" s="65"/>
      <c r="Z14" s="65"/>
      <c r="AA14" s="61">
        <f>H1</f>
        <v>12</v>
      </c>
      <c r="AB14" s="61" t="str">
        <f>E1</f>
        <v>WIN-SD7-086 W</v>
      </c>
      <c r="AC14" s="74" t="s">
        <v>86</v>
      </c>
      <c r="AD14" s="61" t="str">
        <f t="shared" si="3"/>
        <v>HUA</v>
      </c>
      <c r="AE14" s="61">
        <f t="shared" si="4"/>
        <v>100</v>
      </c>
      <c r="AF14" s="61">
        <f t="shared" si="5"/>
        <v>87.75</v>
      </c>
    </row>
    <row r="15" spans="1:32" s="19" customFormat="1" ht="12.75" hidden="1" customHeight="1">
      <c r="A15" s="23" t="s">
        <v>2</v>
      </c>
      <c r="B15" s="26"/>
      <c r="C15" s="68"/>
      <c r="D15" s="68"/>
      <c r="E15" s="69">
        <f t="shared" si="10"/>
        <v>0</v>
      </c>
      <c r="F15" s="70">
        <f t="shared" si="10"/>
        <v>0</v>
      </c>
      <c r="G15" s="68"/>
      <c r="H15" s="68"/>
      <c r="I15" s="70"/>
      <c r="J15" s="70"/>
      <c r="K15" s="70"/>
      <c r="L15" s="70"/>
      <c r="M15" s="70">
        <f t="shared" si="7"/>
        <v>0</v>
      </c>
      <c r="N15" s="70">
        <f t="shared" si="8"/>
        <v>0</v>
      </c>
      <c r="O15" s="70"/>
      <c r="P15" s="70"/>
      <c r="Q15" s="70"/>
      <c r="R15" s="70"/>
      <c r="S15" s="86"/>
      <c r="T15" s="252" t="e">
        <f t="shared" si="9"/>
        <v>#DIV/0!</v>
      </c>
      <c r="U15" s="88"/>
      <c r="V15" s="88"/>
      <c r="W15" s="88"/>
      <c r="X15" s="88"/>
      <c r="Y15" s="65"/>
      <c r="Z15" s="65"/>
      <c r="AA15" s="61">
        <f>H1</f>
        <v>12</v>
      </c>
      <c r="AB15" s="61" t="str">
        <f>E1</f>
        <v>WIN-SD7-086 W</v>
      </c>
      <c r="AC15" s="74" t="s">
        <v>86</v>
      </c>
      <c r="AD15" s="61" t="str">
        <f t="shared" si="3"/>
        <v>HKG</v>
      </c>
      <c r="AE15" s="61">
        <f t="shared" si="4"/>
        <v>0</v>
      </c>
      <c r="AF15" s="61">
        <f t="shared" si="5"/>
        <v>0</v>
      </c>
    </row>
    <row r="16" spans="1:32" s="19" customFormat="1" ht="12.75" hidden="1" customHeight="1">
      <c r="A16" s="23" t="s">
        <v>3</v>
      </c>
      <c r="B16" s="1">
        <v>43174</v>
      </c>
      <c r="C16" s="68">
        <v>140</v>
      </c>
      <c r="D16" s="68">
        <v>1960</v>
      </c>
      <c r="E16" s="69">
        <f t="shared" si="10"/>
        <v>203.5</v>
      </c>
      <c r="F16" s="70">
        <f t="shared" si="10"/>
        <v>4195.5</v>
      </c>
      <c r="G16" s="68">
        <f t="shared" ref="G16:H19" si="11">E16-C16</f>
        <v>63.5</v>
      </c>
      <c r="H16" s="68">
        <f t="shared" si="11"/>
        <v>2235.5</v>
      </c>
      <c r="I16" s="70"/>
      <c r="J16" s="70"/>
      <c r="K16" s="70"/>
      <c r="L16" s="70"/>
      <c r="M16" s="70">
        <f t="shared" si="7"/>
        <v>0</v>
      </c>
      <c r="N16" s="70">
        <f t="shared" si="8"/>
        <v>0</v>
      </c>
      <c r="O16" s="68"/>
      <c r="P16" s="68"/>
      <c r="Q16" s="70">
        <v>203.5</v>
      </c>
      <c r="R16" s="70">
        <v>4195.5</v>
      </c>
      <c r="S16" s="86"/>
      <c r="T16" s="252">
        <f t="shared" si="9"/>
        <v>1.4535714285714285</v>
      </c>
      <c r="U16" s="88"/>
      <c r="V16" s="88"/>
      <c r="W16" s="88"/>
      <c r="X16" s="88"/>
      <c r="Y16" s="65"/>
      <c r="Z16" s="65"/>
      <c r="AA16" s="61">
        <f>H1</f>
        <v>12</v>
      </c>
      <c r="AB16" s="61" t="str">
        <f>E1</f>
        <v>WIN-SD7-086 W</v>
      </c>
      <c r="AC16" s="74" t="s">
        <v>86</v>
      </c>
      <c r="AD16" s="61" t="str">
        <f t="shared" si="3"/>
        <v>SGP</v>
      </c>
      <c r="AE16" s="61">
        <f t="shared" si="4"/>
        <v>140</v>
      </c>
      <c r="AF16" s="61">
        <f t="shared" si="5"/>
        <v>203.5</v>
      </c>
    </row>
    <row r="17" spans="1:32" s="19" customFormat="1" ht="12.75" hidden="1" customHeight="1">
      <c r="A17" s="23" t="s">
        <v>4</v>
      </c>
      <c r="B17" s="1">
        <v>43176</v>
      </c>
      <c r="C17" s="68">
        <v>30</v>
      </c>
      <c r="D17" s="68">
        <v>420</v>
      </c>
      <c r="E17" s="69">
        <f t="shared" si="10"/>
        <v>30</v>
      </c>
      <c r="F17" s="70">
        <f t="shared" si="10"/>
        <v>420</v>
      </c>
      <c r="G17" s="68">
        <f t="shared" si="11"/>
        <v>0</v>
      </c>
      <c r="H17" s="68">
        <f t="shared" si="11"/>
        <v>0</v>
      </c>
      <c r="I17" s="70"/>
      <c r="J17" s="70"/>
      <c r="K17" s="70"/>
      <c r="L17" s="70"/>
      <c r="M17" s="70">
        <f t="shared" si="7"/>
        <v>0</v>
      </c>
      <c r="N17" s="70">
        <f t="shared" si="8"/>
        <v>0</v>
      </c>
      <c r="O17" s="70"/>
      <c r="P17" s="70"/>
      <c r="Q17" s="70">
        <v>30</v>
      </c>
      <c r="R17" s="70">
        <v>420</v>
      </c>
      <c r="S17" s="86"/>
      <c r="T17" s="252">
        <f>E17/C17</f>
        <v>1</v>
      </c>
      <c r="U17" s="88"/>
      <c r="V17" s="88"/>
      <c r="W17" s="88"/>
      <c r="X17" s="88"/>
      <c r="Y17" s="65"/>
      <c r="Z17" s="65"/>
      <c r="AA17" s="61">
        <f>H1</f>
        <v>12</v>
      </c>
      <c r="AB17" s="61" t="str">
        <f>E1</f>
        <v>WIN-SD7-086 W</v>
      </c>
      <c r="AC17" s="74" t="s">
        <v>86</v>
      </c>
      <c r="AD17" s="61" t="str">
        <f t="shared" si="3"/>
        <v>PKL</v>
      </c>
      <c r="AE17" s="61">
        <f t="shared" si="4"/>
        <v>30</v>
      </c>
      <c r="AF17" s="61">
        <f t="shared" si="5"/>
        <v>30</v>
      </c>
    </row>
    <row r="18" spans="1:32" s="19" customFormat="1" ht="12.75" hidden="1" customHeight="1">
      <c r="A18" s="23" t="s">
        <v>31</v>
      </c>
      <c r="B18" s="20"/>
      <c r="C18" s="68">
        <v>30</v>
      </c>
      <c r="D18" s="68">
        <v>420</v>
      </c>
      <c r="E18" s="69">
        <f t="shared" si="10"/>
        <v>0</v>
      </c>
      <c r="F18" s="70">
        <f t="shared" si="10"/>
        <v>0</v>
      </c>
      <c r="G18" s="68">
        <f t="shared" si="11"/>
        <v>-30</v>
      </c>
      <c r="H18" s="68">
        <f t="shared" si="11"/>
        <v>-420</v>
      </c>
      <c r="I18" s="70"/>
      <c r="J18" s="70"/>
      <c r="K18" s="70"/>
      <c r="L18" s="70"/>
      <c r="M18" s="70">
        <f t="shared" si="7"/>
        <v>0</v>
      </c>
      <c r="N18" s="70">
        <f t="shared" si="8"/>
        <v>0</v>
      </c>
      <c r="O18" s="71"/>
      <c r="P18" s="71"/>
      <c r="Q18" s="71"/>
      <c r="R18" s="71"/>
      <c r="S18" s="86"/>
      <c r="T18" s="88"/>
      <c r="U18" s="88"/>
      <c r="V18" s="88"/>
      <c r="W18" s="88"/>
      <c r="X18" s="88"/>
      <c r="Y18" s="65"/>
      <c r="Z18" s="65"/>
      <c r="AA18" s="61">
        <f>H1</f>
        <v>12</v>
      </c>
      <c r="AB18" s="61" t="str">
        <f>E1</f>
        <v>WIN-SD7-086 W</v>
      </c>
      <c r="AC18" s="74" t="s">
        <v>86</v>
      </c>
      <c r="AD18" s="61" t="str">
        <f t="shared" si="3"/>
        <v>COSCO T/S</v>
      </c>
      <c r="AE18" s="61">
        <f t="shared" si="4"/>
        <v>30</v>
      </c>
      <c r="AF18" s="61">
        <f t="shared" si="5"/>
        <v>0</v>
      </c>
    </row>
    <row r="19" spans="1:32" s="19" customFormat="1" ht="12.75" hidden="1" customHeight="1">
      <c r="A19" s="23" t="s">
        <v>35</v>
      </c>
      <c r="B19" s="22"/>
      <c r="C19" s="71">
        <v>425</v>
      </c>
      <c r="D19" s="71">
        <f>C19*14</f>
        <v>5950</v>
      </c>
      <c r="E19" s="78">
        <f>SUM(E5:E18)</f>
        <v>330.25</v>
      </c>
      <c r="F19" s="76">
        <f>SUM(F5:F18)</f>
        <v>5586.5</v>
      </c>
      <c r="G19" s="71">
        <f t="shared" si="11"/>
        <v>-94.75</v>
      </c>
      <c r="H19" s="71">
        <f t="shared" si="11"/>
        <v>-363.5</v>
      </c>
      <c r="I19" s="70">
        <f t="shared" ref="I19:N19" si="12">SUM(I5:I18)</f>
        <v>96.25</v>
      </c>
      <c r="J19" s="70">
        <f t="shared" si="12"/>
        <v>711</v>
      </c>
      <c r="K19" s="70">
        <f t="shared" si="12"/>
        <v>1</v>
      </c>
      <c r="L19" s="70">
        <f t="shared" si="12"/>
        <v>20</v>
      </c>
      <c r="M19" s="70">
        <f t="shared" si="12"/>
        <v>97.25</v>
      </c>
      <c r="N19" s="70">
        <f t="shared" si="12"/>
        <v>731</v>
      </c>
      <c r="O19" s="70">
        <f>SUM(O5:O18)</f>
        <v>7</v>
      </c>
      <c r="P19" s="70">
        <f t="shared" ref="P19:R19" si="13">SUM(P5:P18)</f>
        <v>50</v>
      </c>
      <c r="Q19" s="70">
        <f t="shared" si="13"/>
        <v>324.25</v>
      </c>
      <c r="R19" s="70">
        <f t="shared" si="13"/>
        <v>5556.5</v>
      </c>
      <c r="S19" s="72"/>
      <c r="T19" s="73"/>
      <c r="U19" s="73"/>
      <c r="V19" s="73"/>
      <c r="W19" s="73"/>
      <c r="X19" s="73"/>
      <c r="Y19" s="65"/>
      <c r="Z19" s="65"/>
      <c r="AA19" s="61"/>
      <c r="AB19" s="61"/>
      <c r="AC19" s="74"/>
      <c r="AD19" s="61"/>
      <c r="AE19" s="61"/>
      <c r="AF19" s="61"/>
    </row>
    <row r="20" spans="1:32" s="65" customFormat="1" ht="12.75" hidden="1" customHeight="1">
      <c r="A20" s="84">
        <f>D19/C19</f>
        <v>14</v>
      </c>
      <c r="C20" s="79">
        <f>F19-E20</f>
        <v>231.5</v>
      </c>
      <c r="E20" s="65">
        <f>D19*0.9</f>
        <v>5355</v>
      </c>
      <c r="F20" s="79">
        <f>E19-L20</f>
        <v>-52.25</v>
      </c>
      <c r="I20" s="80" t="s">
        <v>48</v>
      </c>
      <c r="J20" s="245">
        <f>E19/C19</f>
        <v>0.7770588235294118</v>
      </c>
      <c r="K20" s="80"/>
      <c r="L20" s="80">
        <f>C19*0.9</f>
        <v>382.5</v>
      </c>
      <c r="M20" s="80"/>
      <c r="N20" s="80"/>
      <c r="O20" s="80" t="s">
        <v>49</v>
      </c>
      <c r="P20" s="80"/>
      <c r="Q20" s="65">
        <f>P6+P7+P9+P10+P11+J6+J7+L6+L7+J9+R9</f>
        <v>781</v>
      </c>
      <c r="R20" s="65">
        <v>16856</v>
      </c>
      <c r="AA20" s="61"/>
      <c r="AB20" s="61"/>
      <c r="AC20" s="74"/>
      <c r="AD20" s="61"/>
      <c r="AE20" s="61"/>
      <c r="AF20" s="61"/>
    </row>
    <row r="21" spans="1:32" s="19" customFormat="1" ht="12.75" customHeight="1">
      <c r="C21" s="65"/>
      <c r="D21" s="65"/>
      <c r="E21" s="65"/>
      <c r="F21" s="65"/>
      <c r="G21" s="65"/>
      <c r="H21" s="65"/>
      <c r="I21" s="80"/>
      <c r="J21" s="80"/>
      <c r="K21" s="80"/>
      <c r="L21" s="80"/>
      <c r="M21" s="80"/>
      <c r="N21" s="80"/>
      <c r="O21" s="80"/>
      <c r="P21" s="80"/>
      <c r="Q21" s="65"/>
      <c r="R21" s="65">
        <f>R20-Q20</f>
        <v>16075</v>
      </c>
      <c r="S21" s="65"/>
      <c r="T21" s="65"/>
      <c r="U21" s="65"/>
      <c r="V21" s="65"/>
      <c r="W21" s="65"/>
      <c r="X21" s="65"/>
      <c r="Y21" s="65"/>
      <c r="Z21" s="65"/>
      <c r="AA21" s="61"/>
      <c r="AB21" s="61"/>
      <c r="AC21" s="74"/>
      <c r="AD21" s="61"/>
      <c r="AE21" s="61"/>
      <c r="AF21" s="61"/>
    </row>
    <row r="22" spans="1:32" s="18" customFormat="1" ht="12.75" customHeight="1">
      <c r="A22" s="16" t="s">
        <v>84</v>
      </c>
      <c r="B22" s="17" t="s">
        <v>87</v>
      </c>
      <c r="C22" s="56"/>
      <c r="D22" s="57"/>
      <c r="E22" s="58" t="s">
        <v>472</v>
      </c>
      <c r="F22" s="57"/>
      <c r="G22" s="59" t="s">
        <v>37</v>
      </c>
      <c r="H22" s="60">
        <f>H1+1</f>
        <v>13</v>
      </c>
      <c r="I22" s="57"/>
      <c r="J22" s="57"/>
      <c r="K22" s="57"/>
      <c r="L22" s="57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2"/>
      <c r="Z22" s="62"/>
      <c r="AA22" s="62"/>
      <c r="AB22" s="62"/>
      <c r="AC22" s="62"/>
      <c r="AD22" s="63"/>
      <c r="AE22" s="63"/>
      <c r="AF22" s="63"/>
    </row>
    <row r="23" spans="1:32" s="19" customFormat="1" ht="12.75" customHeight="1">
      <c r="A23" s="340" t="s">
        <v>0</v>
      </c>
      <c r="B23" s="336" t="s">
        <v>1</v>
      </c>
      <c r="C23" s="331" t="s">
        <v>25</v>
      </c>
      <c r="D23" s="332"/>
      <c r="E23" s="331" t="s">
        <v>21</v>
      </c>
      <c r="F23" s="332"/>
      <c r="G23" s="335" t="s">
        <v>24</v>
      </c>
      <c r="H23" s="335"/>
      <c r="I23" s="328" t="s">
        <v>33</v>
      </c>
      <c r="J23" s="329"/>
      <c r="K23" s="329"/>
      <c r="L23" s="329"/>
      <c r="M23" s="329"/>
      <c r="N23" s="330"/>
      <c r="O23" s="331" t="s">
        <v>22</v>
      </c>
      <c r="P23" s="332"/>
      <c r="Q23" s="335" t="s">
        <v>23</v>
      </c>
      <c r="R23" s="335"/>
      <c r="S23" s="336" t="s">
        <v>27</v>
      </c>
      <c r="T23" s="64"/>
      <c r="U23" s="64"/>
      <c r="V23" s="64"/>
      <c r="W23" s="64"/>
      <c r="X23" s="64"/>
      <c r="Y23" s="339"/>
      <c r="Z23" s="85"/>
      <c r="AA23" s="61"/>
      <c r="AB23" s="61"/>
      <c r="AC23" s="74"/>
      <c r="AD23" s="61"/>
      <c r="AE23" s="61"/>
      <c r="AF23" s="61"/>
    </row>
    <row r="24" spans="1:32" s="19" customFormat="1" ht="12.75" customHeight="1">
      <c r="A24" s="341"/>
      <c r="B24" s="337"/>
      <c r="C24" s="333"/>
      <c r="D24" s="334"/>
      <c r="E24" s="333"/>
      <c r="F24" s="334"/>
      <c r="G24" s="335"/>
      <c r="H24" s="335"/>
      <c r="I24" s="66" t="s">
        <v>28</v>
      </c>
      <c r="J24" s="67" t="s">
        <v>3</v>
      </c>
      <c r="K24" s="66" t="s">
        <v>29</v>
      </c>
      <c r="L24" s="67" t="s">
        <v>4</v>
      </c>
      <c r="M24" s="328" t="s">
        <v>30</v>
      </c>
      <c r="N24" s="330"/>
      <c r="O24" s="333"/>
      <c r="P24" s="334"/>
      <c r="Q24" s="335"/>
      <c r="R24" s="335"/>
      <c r="S24" s="337"/>
      <c r="T24" s="64"/>
      <c r="U24" s="64"/>
      <c r="V24" s="64"/>
      <c r="W24" s="64"/>
      <c r="X24" s="64"/>
      <c r="Y24" s="339"/>
      <c r="Z24" s="85"/>
      <c r="AA24" s="61"/>
      <c r="AB24" s="61"/>
      <c r="AC24" s="74"/>
      <c r="AD24" s="61"/>
      <c r="AE24" s="61"/>
      <c r="AF24" s="61"/>
    </row>
    <row r="25" spans="1:32" s="19" customFormat="1" ht="12.75" customHeight="1">
      <c r="A25" s="342"/>
      <c r="B25" s="338"/>
      <c r="C25" s="68" t="s">
        <v>5</v>
      </c>
      <c r="D25" s="68" t="s">
        <v>6</v>
      </c>
      <c r="E25" s="67" t="s">
        <v>5</v>
      </c>
      <c r="F25" s="68" t="s">
        <v>6</v>
      </c>
      <c r="G25" s="68" t="s">
        <v>5</v>
      </c>
      <c r="H25" s="68" t="s">
        <v>6</v>
      </c>
      <c r="I25" s="67" t="s">
        <v>5</v>
      </c>
      <c r="J25" s="68" t="s">
        <v>6</v>
      </c>
      <c r="K25" s="67" t="s">
        <v>5</v>
      </c>
      <c r="L25" s="68" t="s">
        <v>6</v>
      </c>
      <c r="M25" s="68"/>
      <c r="N25" s="68"/>
      <c r="O25" s="67" t="s">
        <v>5</v>
      </c>
      <c r="P25" s="68" t="s">
        <v>6</v>
      </c>
      <c r="Q25" s="68" t="s">
        <v>5</v>
      </c>
      <c r="R25" s="68" t="s">
        <v>6</v>
      </c>
      <c r="S25" s="338"/>
      <c r="T25" s="64"/>
      <c r="U25" s="64"/>
      <c r="V25" s="64"/>
      <c r="W25" s="64"/>
      <c r="X25" s="64"/>
      <c r="Y25" s="339"/>
      <c r="Z25" s="85"/>
      <c r="AA25" s="61"/>
      <c r="AB25" s="61"/>
      <c r="AC25" s="74"/>
      <c r="AD25" s="61"/>
      <c r="AE25" s="61"/>
      <c r="AF25" s="61"/>
    </row>
    <row r="26" spans="1:32" s="19" customFormat="1" ht="12.75" customHeight="1">
      <c r="A26" s="21" t="s">
        <v>7</v>
      </c>
      <c r="B26" s="1" t="s">
        <v>18</v>
      </c>
      <c r="C26" s="68">
        <v>0</v>
      </c>
      <c r="D26" s="68">
        <v>0</v>
      </c>
      <c r="E26" s="69">
        <f t="shared" ref="E26:F26" si="14">O26+Q26</f>
        <v>0</v>
      </c>
      <c r="F26" s="70">
        <f t="shared" si="14"/>
        <v>0</v>
      </c>
      <c r="G26" s="68">
        <f t="shared" ref="G26:H35" si="15">E26-C26</f>
        <v>0</v>
      </c>
      <c r="H26" s="68">
        <f t="shared" si="15"/>
        <v>0</v>
      </c>
      <c r="I26" s="70"/>
      <c r="J26" s="70"/>
      <c r="K26" s="70"/>
      <c r="L26" s="70"/>
      <c r="M26" s="70">
        <f t="shared" ref="M26:N26" si="16">I26+K26</f>
        <v>0</v>
      </c>
      <c r="N26" s="70">
        <f t="shared" si="16"/>
        <v>0</v>
      </c>
      <c r="O26" s="71"/>
      <c r="P26" s="71"/>
      <c r="Q26" s="70"/>
      <c r="R26" s="70"/>
      <c r="S26" s="72"/>
      <c r="T26" s="252" t="e">
        <f>E26/C26</f>
        <v>#DIV/0!</v>
      </c>
      <c r="U26" s="73"/>
      <c r="V26" s="73"/>
      <c r="W26" s="73"/>
      <c r="X26" s="73"/>
      <c r="Y26" s="339"/>
      <c r="Z26" s="85"/>
      <c r="AA26" s="61">
        <f>H22</f>
        <v>13</v>
      </c>
      <c r="AB26" s="61" t="str">
        <f>E22</f>
        <v>WIN-QYO-016 W</v>
      </c>
      <c r="AC26" s="74" t="s">
        <v>86</v>
      </c>
      <c r="AD26" s="61" t="str">
        <f t="shared" ref="AD26:AD39" si="17">A26</f>
        <v>KR</v>
      </c>
      <c r="AE26" s="61">
        <f t="shared" ref="AE26:AE39" si="18">C26</f>
        <v>0</v>
      </c>
      <c r="AF26" s="61">
        <f t="shared" ref="AF26:AF39" si="19">E26</f>
        <v>0</v>
      </c>
    </row>
    <row r="27" spans="1:32" s="19" customFormat="1" ht="12.75" customHeight="1">
      <c r="A27" s="23" t="s">
        <v>13</v>
      </c>
      <c r="B27" s="1" t="s">
        <v>67</v>
      </c>
      <c r="C27" s="68">
        <v>0</v>
      </c>
      <c r="D27" s="68">
        <f t="shared" ref="D27:D28" si="20">C27*13</f>
        <v>0</v>
      </c>
      <c r="E27" s="69">
        <f t="shared" ref="E27:E39" si="21">O27+Q27</f>
        <v>0</v>
      </c>
      <c r="F27" s="70">
        <f t="shared" ref="F27:F39" si="22">P27+R27</f>
        <v>0</v>
      </c>
      <c r="G27" s="68">
        <f t="shared" si="15"/>
        <v>0</v>
      </c>
      <c r="H27" s="68">
        <f t="shared" si="15"/>
        <v>0</v>
      </c>
      <c r="I27" s="75"/>
      <c r="J27" s="75"/>
      <c r="K27" s="70"/>
      <c r="L27" s="70"/>
      <c r="M27" s="70">
        <f t="shared" ref="M27:M39" si="23">I27+K27</f>
        <v>0</v>
      </c>
      <c r="N27" s="70">
        <f t="shared" ref="N27:N39" si="24">J27+L27</f>
        <v>0</v>
      </c>
      <c r="O27" s="75"/>
      <c r="P27" s="75"/>
      <c r="Q27" s="71"/>
      <c r="R27" s="71"/>
      <c r="S27" s="72"/>
      <c r="T27" s="252" t="e">
        <f t="shared" ref="T27:T37" si="25">E27/C27</f>
        <v>#DIV/0!</v>
      </c>
      <c r="U27" s="73"/>
      <c r="V27" s="73"/>
      <c r="W27" s="73"/>
      <c r="X27" s="73"/>
      <c r="Y27" s="65"/>
      <c r="Z27" s="65"/>
      <c r="AA27" s="61">
        <f>H22</f>
        <v>13</v>
      </c>
      <c r="AB27" s="61" t="str">
        <f>E22</f>
        <v>WIN-QYO-016 W</v>
      </c>
      <c r="AC27" s="74" t="s">
        <v>86</v>
      </c>
      <c r="AD27" s="61" t="str">
        <f t="shared" si="17"/>
        <v>TAO</v>
      </c>
      <c r="AE27" s="61">
        <f t="shared" si="18"/>
        <v>0</v>
      </c>
      <c r="AF27" s="61">
        <f t="shared" si="19"/>
        <v>0</v>
      </c>
    </row>
    <row r="28" spans="1:32" s="19" customFormat="1" ht="12.75" customHeight="1">
      <c r="A28" s="23" t="s">
        <v>9</v>
      </c>
      <c r="B28" s="1">
        <f>B7+7</f>
        <v>43173</v>
      </c>
      <c r="C28" s="68">
        <v>0</v>
      </c>
      <c r="D28" s="68">
        <f t="shared" si="20"/>
        <v>0</v>
      </c>
      <c r="E28" s="69">
        <f t="shared" si="21"/>
        <v>4.25</v>
      </c>
      <c r="F28" s="70">
        <f t="shared" si="22"/>
        <v>49</v>
      </c>
      <c r="G28" s="68">
        <f t="shared" si="15"/>
        <v>4.25</v>
      </c>
      <c r="H28" s="68">
        <f t="shared" si="15"/>
        <v>49</v>
      </c>
      <c r="I28" s="75">
        <v>81.25</v>
      </c>
      <c r="J28" s="75">
        <v>621</v>
      </c>
      <c r="K28" s="71">
        <v>49.75</v>
      </c>
      <c r="L28" s="71">
        <v>794</v>
      </c>
      <c r="M28" s="70">
        <f t="shared" si="23"/>
        <v>131</v>
      </c>
      <c r="N28" s="70">
        <f t="shared" si="24"/>
        <v>1415</v>
      </c>
      <c r="O28" s="75">
        <v>4.25</v>
      </c>
      <c r="P28" s="75">
        <v>49</v>
      </c>
      <c r="Q28" s="71"/>
      <c r="R28" s="71"/>
      <c r="S28" s="72"/>
      <c r="T28" s="252" t="e">
        <f t="shared" si="25"/>
        <v>#DIV/0!</v>
      </c>
      <c r="U28" s="73"/>
      <c r="V28" s="73"/>
      <c r="W28" s="73"/>
      <c r="X28" s="73"/>
      <c r="Y28" s="65"/>
      <c r="Z28" s="65"/>
      <c r="AA28" s="61">
        <f>H22</f>
        <v>13</v>
      </c>
      <c r="AB28" s="61" t="str">
        <f>E22</f>
        <v>WIN-QYO-016 W</v>
      </c>
      <c r="AC28" s="74" t="s">
        <v>86</v>
      </c>
      <c r="AD28" s="61" t="str">
        <f t="shared" si="17"/>
        <v>SHA</v>
      </c>
      <c r="AE28" s="61">
        <f t="shared" si="18"/>
        <v>0</v>
      </c>
      <c r="AF28" s="61">
        <f t="shared" si="19"/>
        <v>4.25</v>
      </c>
    </row>
    <row r="29" spans="1:32" s="19" customFormat="1" ht="12.75" customHeight="1">
      <c r="A29" s="23" t="s">
        <v>8</v>
      </c>
      <c r="B29" s="1">
        <f>B8+7</f>
        <v>43174</v>
      </c>
      <c r="C29" s="68">
        <v>0</v>
      </c>
      <c r="D29" s="68">
        <v>0</v>
      </c>
      <c r="E29" s="69">
        <f t="shared" si="21"/>
        <v>0</v>
      </c>
      <c r="F29" s="70">
        <f t="shared" si="22"/>
        <v>0</v>
      </c>
      <c r="G29" s="68">
        <f t="shared" si="15"/>
        <v>0</v>
      </c>
      <c r="H29" s="68">
        <f t="shared" si="15"/>
        <v>0</v>
      </c>
      <c r="I29" s="71"/>
      <c r="J29" s="71"/>
      <c r="K29" s="71"/>
      <c r="L29" s="71"/>
      <c r="M29" s="70">
        <f t="shared" si="23"/>
        <v>0</v>
      </c>
      <c r="N29" s="70">
        <f t="shared" si="24"/>
        <v>0</v>
      </c>
      <c r="O29" s="71"/>
      <c r="P29" s="71"/>
      <c r="Q29" s="71"/>
      <c r="R29" s="71"/>
      <c r="S29" s="72"/>
      <c r="T29" s="252" t="e">
        <f t="shared" si="25"/>
        <v>#DIV/0!</v>
      </c>
      <c r="U29" s="73"/>
      <c r="V29" s="73"/>
      <c r="W29" s="73"/>
      <c r="X29" s="73"/>
      <c r="Y29" s="65"/>
      <c r="Z29" s="65"/>
      <c r="AA29" s="61">
        <f>H22</f>
        <v>13</v>
      </c>
      <c r="AB29" s="61" t="str">
        <f>E22</f>
        <v>WIN-QYO-016 W</v>
      </c>
      <c r="AC29" s="74" t="s">
        <v>86</v>
      </c>
      <c r="AD29" s="61" t="str">
        <f t="shared" si="17"/>
        <v>NGB</v>
      </c>
      <c r="AE29" s="61">
        <f t="shared" si="18"/>
        <v>0</v>
      </c>
      <c r="AF29" s="61">
        <f t="shared" si="19"/>
        <v>0</v>
      </c>
    </row>
    <row r="30" spans="1:32" s="19" customFormat="1" ht="12.75" customHeight="1">
      <c r="A30" s="23" t="s">
        <v>10</v>
      </c>
      <c r="B30" s="1" t="s">
        <v>67</v>
      </c>
      <c r="C30" s="68">
        <v>50</v>
      </c>
      <c r="D30" s="68">
        <v>700</v>
      </c>
      <c r="E30" s="69">
        <f t="shared" si="21"/>
        <v>24.25</v>
      </c>
      <c r="F30" s="70">
        <f t="shared" si="22"/>
        <v>247</v>
      </c>
      <c r="G30" s="68">
        <f t="shared" si="15"/>
        <v>-25.75</v>
      </c>
      <c r="H30" s="68">
        <f t="shared" si="15"/>
        <v>-453</v>
      </c>
      <c r="I30" s="75"/>
      <c r="J30" s="75"/>
      <c r="K30" s="70"/>
      <c r="L30" s="70"/>
      <c r="M30" s="70">
        <f t="shared" si="23"/>
        <v>0</v>
      </c>
      <c r="N30" s="70">
        <f t="shared" si="24"/>
        <v>0</v>
      </c>
      <c r="O30" s="75">
        <v>24.25</v>
      </c>
      <c r="P30" s="75">
        <v>247</v>
      </c>
      <c r="Q30" s="70"/>
      <c r="R30" s="70"/>
      <c r="S30" s="72"/>
      <c r="T30" s="252">
        <f t="shared" si="25"/>
        <v>0.48499999999999999</v>
      </c>
      <c r="U30" s="73"/>
      <c r="V30" s="73"/>
      <c r="W30" s="73"/>
      <c r="X30" s="73"/>
      <c r="Y30" s="65"/>
      <c r="Z30" s="65"/>
      <c r="AA30" s="61">
        <f>H22</f>
        <v>13</v>
      </c>
      <c r="AB30" s="61" t="str">
        <f>E22</f>
        <v>WIN-QYO-016 W</v>
      </c>
      <c r="AC30" s="74" t="s">
        <v>86</v>
      </c>
      <c r="AD30" s="61" t="str">
        <f t="shared" si="17"/>
        <v>WUH</v>
      </c>
      <c r="AE30" s="61">
        <f t="shared" si="18"/>
        <v>50</v>
      </c>
      <c r="AF30" s="61">
        <f t="shared" si="19"/>
        <v>24.25</v>
      </c>
    </row>
    <row r="31" spans="1:32" s="19" customFormat="1" ht="12.75" customHeight="1">
      <c r="A31" s="23" t="s">
        <v>11</v>
      </c>
      <c r="B31" s="1" t="s">
        <v>18</v>
      </c>
      <c r="C31" s="68">
        <v>0</v>
      </c>
      <c r="D31" s="68">
        <v>0</v>
      </c>
      <c r="E31" s="69">
        <f t="shared" si="21"/>
        <v>0</v>
      </c>
      <c r="F31" s="70">
        <f t="shared" si="22"/>
        <v>0</v>
      </c>
      <c r="G31" s="68">
        <f t="shared" si="15"/>
        <v>0</v>
      </c>
      <c r="H31" s="68">
        <f t="shared" si="15"/>
        <v>0</v>
      </c>
      <c r="I31" s="70"/>
      <c r="J31" s="70"/>
      <c r="K31" s="70"/>
      <c r="L31" s="70"/>
      <c r="M31" s="70">
        <f t="shared" si="23"/>
        <v>0</v>
      </c>
      <c r="N31" s="70">
        <f t="shared" si="24"/>
        <v>0</v>
      </c>
      <c r="O31" s="75"/>
      <c r="P31" s="75"/>
      <c r="Q31" s="70"/>
      <c r="R31" s="70"/>
      <c r="S31" s="72"/>
      <c r="T31" s="252" t="e">
        <f t="shared" si="25"/>
        <v>#DIV/0!</v>
      </c>
      <c r="U31" s="73"/>
      <c r="V31" s="73"/>
      <c r="W31" s="73"/>
      <c r="X31" s="73"/>
      <c r="Y31" s="65"/>
      <c r="Z31" s="65"/>
      <c r="AA31" s="61">
        <f>H22</f>
        <v>13</v>
      </c>
      <c r="AB31" s="61" t="str">
        <f>E22</f>
        <v>WIN-QYO-016 W</v>
      </c>
      <c r="AC31" s="74" t="s">
        <v>86</v>
      </c>
      <c r="AD31" s="61" t="str">
        <f t="shared" si="17"/>
        <v>DLC</v>
      </c>
      <c r="AE31" s="61">
        <f t="shared" si="18"/>
        <v>0</v>
      </c>
      <c r="AF31" s="61">
        <f t="shared" si="19"/>
        <v>0</v>
      </c>
    </row>
    <row r="32" spans="1:32" s="19" customFormat="1" ht="12.75" customHeight="1">
      <c r="A32" s="23" t="s">
        <v>12</v>
      </c>
      <c r="B32" s="1" t="s">
        <v>18</v>
      </c>
      <c r="C32" s="68">
        <v>0</v>
      </c>
      <c r="D32" s="68">
        <v>0</v>
      </c>
      <c r="E32" s="69">
        <f t="shared" si="21"/>
        <v>0</v>
      </c>
      <c r="F32" s="70">
        <f t="shared" si="22"/>
        <v>0</v>
      </c>
      <c r="G32" s="68">
        <f t="shared" si="15"/>
        <v>0</v>
      </c>
      <c r="H32" s="68">
        <f t="shared" si="15"/>
        <v>0</v>
      </c>
      <c r="I32" s="70"/>
      <c r="J32" s="70"/>
      <c r="K32" s="70"/>
      <c r="L32" s="70"/>
      <c r="M32" s="70">
        <f t="shared" si="23"/>
        <v>0</v>
      </c>
      <c r="N32" s="70">
        <f t="shared" si="24"/>
        <v>0</v>
      </c>
      <c r="O32" s="75"/>
      <c r="P32" s="75"/>
      <c r="Q32" s="76"/>
      <c r="R32" s="71"/>
      <c r="S32" s="72"/>
      <c r="T32" s="252" t="e">
        <f t="shared" si="25"/>
        <v>#DIV/0!</v>
      </c>
      <c r="U32" s="73"/>
      <c r="V32" s="73"/>
      <c r="W32" s="73"/>
      <c r="X32" s="73"/>
      <c r="Y32" s="65"/>
      <c r="Z32" s="65"/>
      <c r="AA32" s="61">
        <f>H22</f>
        <v>13</v>
      </c>
      <c r="AB32" s="61" t="str">
        <f>E22</f>
        <v>WIN-QYO-016 W</v>
      </c>
      <c r="AC32" s="74" t="s">
        <v>86</v>
      </c>
      <c r="AD32" s="61" t="str">
        <f t="shared" si="17"/>
        <v>TSN</v>
      </c>
      <c r="AE32" s="61">
        <f t="shared" si="18"/>
        <v>0</v>
      </c>
      <c r="AF32" s="61">
        <f t="shared" si="19"/>
        <v>0</v>
      </c>
    </row>
    <row r="33" spans="1:32" s="19" customFormat="1" ht="12.75" customHeight="1">
      <c r="A33" s="23" t="s">
        <v>14</v>
      </c>
      <c r="B33" s="1" t="s">
        <v>18</v>
      </c>
      <c r="C33" s="68">
        <v>0</v>
      </c>
      <c r="D33" s="68">
        <v>0</v>
      </c>
      <c r="E33" s="69">
        <f t="shared" si="21"/>
        <v>0</v>
      </c>
      <c r="F33" s="70">
        <f t="shared" si="22"/>
        <v>0</v>
      </c>
      <c r="G33" s="68">
        <f t="shared" si="15"/>
        <v>0</v>
      </c>
      <c r="H33" s="68">
        <f t="shared" si="15"/>
        <v>0</v>
      </c>
      <c r="I33" s="70"/>
      <c r="J33" s="70"/>
      <c r="K33" s="70"/>
      <c r="L33" s="70"/>
      <c r="M33" s="70">
        <f t="shared" si="23"/>
        <v>0</v>
      </c>
      <c r="N33" s="70">
        <f t="shared" si="24"/>
        <v>0</v>
      </c>
      <c r="O33" s="71"/>
      <c r="P33" s="71"/>
      <c r="Q33" s="70"/>
      <c r="R33" s="70"/>
      <c r="S33" s="72"/>
      <c r="T33" s="252" t="e">
        <f t="shared" si="25"/>
        <v>#DIV/0!</v>
      </c>
      <c r="U33" s="73"/>
      <c r="V33" s="73"/>
      <c r="W33" s="73"/>
      <c r="X33" s="73"/>
      <c r="Y33" s="65"/>
      <c r="Z33" s="65"/>
      <c r="AA33" s="61">
        <f>H22</f>
        <v>13</v>
      </c>
      <c r="AB33" s="61" t="str">
        <f>E22</f>
        <v>WIN-QYO-016 W</v>
      </c>
      <c r="AC33" s="74" t="s">
        <v>86</v>
      </c>
      <c r="AD33" s="61" t="str">
        <f t="shared" si="17"/>
        <v>XMN</v>
      </c>
      <c r="AE33" s="61">
        <f t="shared" si="18"/>
        <v>0</v>
      </c>
      <c r="AF33" s="61">
        <f t="shared" si="19"/>
        <v>0</v>
      </c>
    </row>
    <row r="34" spans="1:32" s="19" customFormat="1" ht="12.75" customHeight="1">
      <c r="A34" s="23" t="s">
        <v>19</v>
      </c>
      <c r="B34" s="1" t="s">
        <v>18</v>
      </c>
      <c r="C34" s="68">
        <v>0</v>
      </c>
      <c r="D34" s="68">
        <v>0</v>
      </c>
      <c r="E34" s="69">
        <f t="shared" si="21"/>
        <v>0</v>
      </c>
      <c r="F34" s="70">
        <f t="shared" si="22"/>
        <v>0</v>
      </c>
      <c r="G34" s="68">
        <f t="shared" si="15"/>
        <v>0</v>
      </c>
      <c r="H34" s="68">
        <f t="shared" si="15"/>
        <v>0</v>
      </c>
      <c r="I34" s="70"/>
      <c r="J34" s="70"/>
      <c r="K34" s="70"/>
      <c r="L34" s="70"/>
      <c r="M34" s="70">
        <f t="shared" si="23"/>
        <v>0</v>
      </c>
      <c r="N34" s="70">
        <f t="shared" si="24"/>
        <v>0</v>
      </c>
      <c r="O34" s="70"/>
      <c r="P34" s="70"/>
      <c r="Q34" s="70"/>
      <c r="R34" s="70"/>
      <c r="S34" s="72"/>
      <c r="T34" s="252" t="e">
        <f t="shared" si="25"/>
        <v>#DIV/0!</v>
      </c>
      <c r="U34" s="73"/>
      <c r="V34" s="73"/>
      <c r="W34" s="73"/>
      <c r="X34" s="73"/>
      <c r="Y34" s="65"/>
      <c r="Z34" s="65"/>
      <c r="AA34" s="61">
        <f>H22</f>
        <v>13</v>
      </c>
      <c r="AB34" s="61" t="str">
        <f>E22</f>
        <v>WIN-QYO-016 W</v>
      </c>
      <c r="AC34" s="74" t="s">
        <v>86</v>
      </c>
      <c r="AD34" s="61" t="str">
        <f t="shared" si="17"/>
        <v>TWC</v>
      </c>
      <c r="AE34" s="61">
        <f t="shared" si="18"/>
        <v>0</v>
      </c>
      <c r="AF34" s="61">
        <f t="shared" si="19"/>
        <v>0</v>
      </c>
    </row>
    <row r="35" spans="1:32" s="19" customFormat="1" ht="12.75" customHeight="1">
      <c r="A35" s="23" t="s">
        <v>16</v>
      </c>
      <c r="B35" s="1">
        <f>B14+7</f>
        <v>43177</v>
      </c>
      <c r="C35" s="68">
        <v>100</v>
      </c>
      <c r="D35" s="68">
        <v>1400</v>
      </c>
      <c r="E35" s="69">
        <f t="shared" si="21"/>
        <v>57.5</v>
      </c>
      <c r="F35" s="70">
        <f t="shared" si="22"/>
        <v>645</v>
      </c>
      <c r="G35" s="68">
        <f t="shared" si="15"/>
        <v>-42.5</v>
      </c>
      <c r="H35" s="68">
        <f t="shared" si="15"/>
        <v>-755</v>
      </c>
      <c r="I35" s="70">
        <v>2.25</v>
      </c>
      <c r="J35" s="70">
        <v>12</v>
      </c>
      <c r="K35" s="70"/>
      <c r="L35" s="70"/>
      <c r="M35" s="70">
        <f t="shared" si="23"/>
        <v>2.25</v>
      </c>
      <c r="N35" s="70">
        <f t="shared" si="24"/>
        <v>12</v>
      </c>
      <c r="O35" s="70"/>
      <c r="P35" s="70"/>
      <c r="Q35" s="70">
        <v>57.5</v>
      </c>
      <c r="R35" s="84">
        <v>645</v>
      </c>
      <c r="S35" s="72"/>
      <c r="T35" s="252">
        <f t="shared" si="25"/>
        <v>0.57499999999999996</v>
      </c>
      <c r="U35" s="73"/>
      <c r="V35" s="73"/>
      <c r="W35" s="73"/>
      <c r="X35" s="73"/>
      <c r="Y35" s="65"/>
      <c r="Z35" s="65"/>
      <c r="AA35" s="61">
        <f>H22</f>
        <v>13</v>
      </c>
      <c r="AB35" s="61" t="str">
        <f>E22</f>
        <v>WIN-QYO-016 W</v>
      </c>
      <c r="AC35" s="74" t="s">
        <v>86</v>
      </c>
      <c r="AD35" s="61" t="str">
        <f t="shared" si="17"/>
        <v>HUA</v>
      </c>
      <c r="AE35" s="61">
        <f t="shared" si="18"/>
        <v>100</v>
      </c>
      <c r="AF35" s="61">
        <f t="shared" si="19"/>
        <v>57.5</v>
      </c>
    </row>
    <row r="36" spans="1:32" s="19" customFormat="1" ht="12.75" customHeight="1">
      <c r="A36" s="23" t="s">
        <v>2</v>
      </c>
      <c r="B36" s="26"/>
      <c r="C36" s="68"/>
      <c r="D36" s="68"/>
      <c r="E36" s="69">
        <f t="shared" si="21"/>
        <v>0</v>
      </c>
      <c r="F36" s="70">
        <f t="shared" si="22"/>
        <v>0</v>
      </c>
      <c r="G36" s="68"/>
      <c r="H36" s="68"/>
      <c r="I36" s="70"/>
      <c r="J36" s="70"/>
      <c r="K36" s="70"/>
      <c r="L36" s="70"/>
      <c r="M36" s="70">
        <f t="shared" si="23"/>
        <v>0</v>
      </c>
      <c r="N36" s="70">
        <f t="shared" si="24"/>
        <v>0</v>
      </c>
      <c r="O36" s="70"/>
      <c r="P36" s="70"/>
      <c r="Q36" s="70"/>
      <c r="R36" s="70"/>
      <c r="S36" s="72"/>
      <c r="T36" s="252" t="e">
        <f t="shared" si="25"/>
        <v>#DIV/0!</v>
      </c>
      <c r="U36" s="73"/>
      <c r="V36" s="73"/>
      <c r="W36" s="73"/>
      <c r="X36" s="73"/>
      <c r="Y36" s="65"/>
      <c r="Z36" s="65"/>
      <c r="AA36" s="61">
        <f>H22</f>
        <v>13</v>
      </c>
      <c r="AB36" s="61" t="str">
        <f>E22</f>
        <v>WIN-QYO-016 W</v>
      </c>
      <c r="AC36" s="74" t="s">
        <v>86</v>
      </c>
      <c r="AD36" s="61" t="str">
        <f t="shared" si="17"/>
        <v>HKG</v>
      </c>
      <c r="AE36" s="61">
        <f t="shared" si="18"/>
        <v>0</v>
      </c>
      <c r="AF36" s="61">
        <f t="shared" si="19"/>
        <v>0</v>
      </c>
    </row>
    <row r="37" spans="1:32" s="19" customFormat="1" ht="12.75" customHeight="1">
      <c r="A37" s="23" t="s">
        <v>3</v>
      </c>
      <c r="B37" s="1">
        <f>B16+7</f>
        <v>43181</v>
      </c>
      <c r="C37" s="68">
        <v>140</v>
      </c>
      <c r="D37" s="68">
        <v>1960</v>
      </c>
      <c r="E37" s="69">
        <f t="shared" si="21"/>
        <v>52</v>
      </c>
      <c r="F37" s="70">
        <f t="shared" si="22"/>
        <v>952</v>
      </c>
      <c r="G37" s="68">
        <f t="shared" ref="G37:H40" si="26">E37-C37</f>
        <v>-88</v>
      </c>
      <c r="H37" s="68">
        <f t="shared" si="26"/>
        <v>-1008</v>
      </c>
      <c r="I37" s="70"/>
      <c r="J37" s="70"/>
      <c r="K37" s="70"/>
      <c r="L37" s="70"/>
      <c r="M37" s="70">
        <f t="shared" si="23"/>
        <v>0</v>
      </c>
      <c r="N37" s="70">
        <f t="shared" si="24"/>
        <v>0</v>
      </c>
      <c r="O37" s="68"/>
      <c r="P37" s="68"/>
      <c r="Q37" s="70">
        <v>52</v>
      </c>
      <c r="R37" s="70">
        <v>952</v>
      </c>
      <c r="S37" s="72"/>
      <c r="T37" s="252">
        <f t="shared" si="25"/>
        <v>0.37142857142857144</v>
      </c>
      <c r="U37" s="73"/>
      <c r="V37" s="73"/>
      <c r="W37" s="73"/>
      <c r="X37" s="73"/>
      <c r="Y37" s="65"/>
      <c r="Z37" s="65"/>
      <c r="AA37" s="61">
        <f>H22</f>
        <v>13</v>
      </c>
      <c r="AB37" s="61" t="str">
        <f>E22</f>
        <v>WIN-QYO-016 W</v>
      </c>
      <c r="AC37" s="74" t="s">
        <v>86</v>
      </c>
      <c r="AD37" s="61" t="str">
        <f t="shared" si="17"/>
        <v>SGP</v>
      </c>
      <c r="AE37" s="61">
        <f t="shared" si="18"/>
        <v>140</v>
      </c>
      <c r="AF37" s="61">
        <f t="shared" si="19"/>
        <v>52</v>
      </c>
    </row>
    <row r="38" spans="1:32" s="19" customFormat="1" ht="12.75" customHeight="1">
      <c r="A38" s="23" t="s">
        <v>4</v>
      </c>
      <c r="B38" s="1">
        <f>B17+7</f>
        <v>43183</v>
      </c>
      <c r="C38" s="68">
        <v>30</v>
      </c>
      <c r="D38" s="68">
        <v>420</v>
      </c>
      <c r="E38" s="69">
        <f t="shared" si="21"/>
        <v>16.75</v>
      </c>
      <c r="F38" s="70">
        <f t="shared" si="22"/>
        <v>367</v>
      </c>
      <c r="G38" s="68">
        <f t="shared" si="26"/>
        <v>-13.25</v>
      </c>
      <c r="H38" s="68">
        <f t="shared" si="26"/>
        <v>-53</v>
      </c>
      <c r="I38" s="70"/>
      <c r="J38" s="70"/>
      <c r="K38" s="70"/>
      <c r="L38" s="70"/>
      <c r="M38" s="70">
        <f t="shared" si="23"/>
        <v>0</v>
      </c>
      <c r="N38" s="70">
        <f t="shared" si="24"/>
        <v>0</v>
      </c>
      <c r="O38" s="70"/>
      <c r="P38" s="70"/>
      <c r="Q38" s="70">
        <v>16.75</v>
      </c>
      <c r="R38" s="70">
        <v>367</v>
      </c>
      <c r="S38" s="72"/>
      <c r="T38" s="252">
        <f>E38/C38</f>
        <v>0.55833333333333335</v>
      </c>
      <c r="U38" s="73"/>
      <c r="V38" s="73"/>
      <c r="W38" s="73"/>
      <c r="X38" s="73"/>
      <c r="Y38" s="65"/>
      <c r="Z38" s="65"/>
      <c r="AA38" s="61">
        <f>H22</f>
        <v>13</v>
      </c>
      <c r="AB38" s="61" t="str">
        <f>E22</f>
        <v>WIN-QYO-016 W</v>
      </c>
      <c r="AC38" s="74" t="s">
        <v>86</v>
      </c>
      <c r="AD38" s="61" t="str">
        <f t="shared" si="17"/>
        <v>PKL</v>
      </c>
      <c r="AE38" s="61">
        <f t="shared" si="18"/>
        <v>30</v>
      </c>
      <c r="AF38" s="61">
        <f t="shared" si="19"/>
        <v>16.75</v>
      </c>
    </row>
    <row r="39" spans="1:32" s="19" customFormat="1" ht="12.75" customHeight="1">
      <c r="A39" s="23" t="s">
        <v>15</v>
      </c>
      <c r="B39" s="20"/>
      <c r="C39" s="68">
        <v>30</v>
      </c>
      <c r="D39" s="68">
        <v>420</v>
      </c>
      <c r="E39" s="69">
        <f t="shared" si="21"/>
        <v>37</v>
      </c>
      <c r="F39" s="70">
        <f t="shared" si="22"/>
        <v>433</v>
      </c>
      <c r="G39" s="68">
        <f t="shared" si="26"/>
        <v>7</v>
      </c>
      <c r="H39" s="68">
        <f t="shared" si="26"/>
        <v>13</v>
      </c>
      <c r="I39" s="70"/>
      <c r="J39" s="70"/>
      <c r="K39" s="70"/>
      <c r="L39" s="70"/>
      <c r="M39" s="70">
        <f t="shared" si="23"/>
        <v>0</v>
      </c>
      <c r="N39" s="70">
        <f t="shared" si="24"/>
        <v>0</v>
      </c>
      <c r="O39" s="71"/>
      <c r="P39" s="71"/>
      <c r="Q39" s="71">
        <v>37</v>
      </c>
      <c r="R39" s="71">
        <v>433</v>
      </c>
      <c r="S39" s="72"/>
      <c r="T39" s="73"/>
      <c r="U39" s="73"/>
      <c r="V39" s="73"/>
      <c r="W39" s="73"/>
      <c r="X39" s="73"/>
      <c r="Y39" s="65"/>
      <c r="Z39" s="65"/>
      <c r="AA39" s="61">
        <f>H22</f>
        <v>13</v>
      </c>
      <c r="AB39" s="61" t="str">
        <f>E22</f>
        <v>WIN-QYO-016 W</v>
      </c>
      <c r="AC39" s="74" t="s">
        <v>86</v>
      </c>
      <c r="AD39" s="61" t="str">
        <f t="shared" si="17"/>
        <v>T/S</v>
      </c>
      <c r="AE39" s="61">
        <f t="shared" si="18"/>
        <v>30</v>
      </c>
      <c r="AF39" s="61">
        <f t="shared" si="19"/>
        <v>37</v>
      </c>
    </row>
    <row r="40" spans="1:32" s="19" customFormat="1" ht="12.75" customHeight="1">
      <c r="A40" s="21" t="s">
        <v>36</v>
      </c>
      <c r="B40" s="22"/>
      <c r="C40" s="71">
        <v>425</v>
      </c>
      <c r="D40" s="71">
        <f>SUM(D26:D39)</f>
        <v>4900</v>
      </c>
      <c r="E40" s="78">
        <f>SUM(E26:E39)</f>
        <v>191.75</v>
      </c>
      <c r="F40" s="76">
        <f>SUM(F26:F39)</f>
        <v>2693</v>
      </c>
      <c r="G40" s="71">
        <f t="shared" si="26"/>
        <v>-233.25</v>
      </c>
      <c r="H40" s="71">
        <f t="shared" si="26"/>
        <v>-2207</v>
      </c>
      <c r="I40" s="70">
        <f t="shared" ref="I40:L40" si="27">SUM(I26:I39)</f>
        <v>83.5</v>
      </c>
      <c r="J40" s="70">
        <f t="shared" si="27"/>
        <v>633</v>
      </c>
      <c r="K40" s="70">
        <f t="shared" si="27"/>
        <v>49.75</v>
      </c>
      <c r="L40" s="70">
        <f t="shared" si="27"/>
        <v>794</v>
      </c>
      <c r="M40" s="70"/>
      <c r="N40" s="70"/>
      <c r="O40" s="70">
        <f t="shared" ref="O40:R40" si="28">SUM(O26:O39)</f>
        <v>28.5</v>
      </c>
      <c r="P40" s="70">
        <f t="shared" si="28"/>
        <v>296</v>
      </c>
      <c r="Q40" s="70">
        <f t="shared" si="28"/>
        <v>163.25</v>
      </c>
      <c r="R40" s="70">
        <f t="shared" si="28"/>
        <v>2397</v>
      </c>
      <c r="S40" s="72"/>
      <c r="T40" s="73"/>
      <c r="U40" s="73"/>
      <c r="V40" s="73"/>
      <c r="W40" s="73"/>
      <c r="X40" s="73"/>
      <c r="Y40" s="65"/>
      <c r="Z40" s="65"/>
      <c r="AA40" s="61"/>
      <c r="AB40" s="61"/>
      <c r="AC40" s="61"/>
      <c r="AD40" s="61"/>
      <c r="AE40" s="61"/>
      <c r="AF40" s="61"/>
    </row>
    <row r="41" spans="1:32" s="65" customFormat="1" ht="12.75" customHeight="1">
      <c r="A41" s="84">
        <f>D40/C40</f>
        <v>11.529411764705882</v>
      </c>
      <c r="C41" s="79">
        <f>F40-E41</f>
        <v>-1717</v>
      </c>
      <c r="E41" s="65">
        <f>D40*0.9</f>
        <v>4410</v>
      </c>
      <c r="F41" s="79">
        <f>E40-L41</f>
        <v>-190.75</v>
      </c>
      <c r="I41" s="80" t="s">
        <v>48</v>
      </c>
      <c r="J41" s="245">
        <f>E40/C40</f>
        <v>0.45117647058823529</v>
      </c>
      <c r="K41" s="80"/>
      <c r="L41" s="80">
        <f>C40*0.9</f>
        <v>382.5</v>
      </c>
      <c r="M41" s="80"/>
      <c r="N41" s="80"/>
      <c r="O41" s="80" t="s">
        <v>49</v>
      </c>
      <c r="P41" s="80"/>
      <c r="Q41" s="65">
        <f>P27+P28+P30+P31+P32+J27+J28+L27+L28+J30+R30</f>
        <v>1711</v>
      </c>
      <c r="R41" s="65">
        <v>16856</v>
      </c>
      <c r="AA41" s="81"/>
      <c r="AB41" s="81"/>
      <c r="AC41" s="81"/>
      <c r="AD41" s="81"/>
      <c r="AE41" s="81"/>
      <c r="AF41" s="81"/>
    </row>
    <row r="42" spans="1:32" s="19" customFormat="1" ht="12.75" customHeight="1">
      <c r="C42" s="65"/>
      <c r="D42" s="65"/>
      <c r="E42" s="65"/>
      <c r="F42" s="65"/>
      <c r="G42" s="65"/>
      <c r="H42" s="65"/>
      <c r="I42" s="80"/>
      <c r="J42" s="80"/>
      <c r="K42" s="80"/>
      <c r="L42" s="80"/>
      <c r="M42" s="80"/>
      <c r="N42" s="80"/>
      <c r="O42" s="80"/>
      <c r="P42" s="80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1"/>
      <c r="AB42" s="61"/>
      <c r="AC42" s="61"/>
      <c r="AD42" s="61"/>
      <c r="AE42" s="61"/>
      <c r="AF42" s="61"/>
    </row>
    <row r="43" spans="1:32" s="18" customFormat="1" ht="12.75" customHeight="1">
      <c r="A43" s="16" t="s">
        <v>86</v>
      </c>
      <c r="B43" s="17" t="s">
        <v>449</v>
      </c>
      <c r="C43" s="56"/>
      <c r="D43" s="57"/>
      <c r="E43" s="58" t="s">
        <v>473</v>
      </c>
      <c r="F43" s="57"/>
      <c r="G43" s="59" t="s">
        <v>37</v>
      </c>
      <c r="H43" s="60">
        <f>H22+1</f>
        <v>14</v>
      </c>
      <c r="I43" s="57"/>
      <c r="J43" s="57"/>
      <c r="K43" s="57"/>
      <c r="L43" s="57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2"/>
      <c r="Z43" s="62"/>
      <c r="AA43" s="62"/>
      <c r="AB43" s="62"/>
      <c r="AC43" s="62"/>
      <c r="AD43" s="63"/>
      <c r="AE43" s="63"/>
      <c r="AF43" s="63"/>
    </row>
    <row r="44" spans="1:32" s="19" customFormat="1" ht="12.75" customHeight="1">
      <c r="A44" s="340" t="s">
        <v>0</v>
      </c>
      <c r="B44" s="336" t="s">
        <v>1</v>
      </c>
      <c r="C44" s="331" t="s">
        <v>25</v>
      </c>
      <c r="D44" s="332"/>
      <c r="E44" s="331" t="s">
        <v>21</v>
      </c>
      <c r="F44" s="332"/>
      <c r="G44" s="335" t="s">
        <v>24</v>
      </c>
      <c r="H44" s="335"/>
      <c r="I44" s="328" t="s">
        <v>33</v>
      </c>
      <c r="J44" s="329"/>
      <c r="K44" s="329"/>
      <c r="L44" s="329"/>
      <c r="M44" s="329"/>
      <c r="N44" s="330"/>
      <c r="O44" s="331" t="s">
        <v>22</v>
      </c>
      <c r="P44" s="332"/>
      <c r="Q44" s="335" t="s">
        <v>23</v>
      </c>
      <c r="R44" s="335"/>
      <c r="S44" s="336" t="s">
        <v>27</v>
      </c>
      <c r="T44" s="64"/>
      <c r="U44" s="64"/>
      <c r="V44" s="64"/>
      <c r="W44" s="64"/>
      <c r="X44" s="64"/>
      <c r="Y44" s="339"/>
      <c r="Z44" s="85"/>
      <c r="AA44" s="61"/>
      <c r="AB44" s="61"/>
      <c r="AC44" s="74"/>
      <c r="AD44" s="61"/>
      <c r="AE44" s="61"/>
      <c r="AF44" s="61"/>
    </row>
    <row r="45" spans="1:32" s="19" customFormat="1" ht="12.75" customHeight="1">
      <c r="A45" s="341"/>
      <c r="B45" s="337"/>
      <c r="C45" s="333"/>
      <c r="D45" s="334"/>
      <c r="E45" s="333"/>
      <c r="F45" s="334"/>
      <c r="G45" s="335"/>
      <c r="H45" s="335"/>
      <c r="I45" s="66" t="s">
        <v>28</v>
      </c>
      <c r="J45" s="67" t="s">
        <v>3</v>
      </c>
      <c r="K45" s="66" t="s">
        <v>29</v>
      </c>
      <c r="L45" s="67" t="s">
        <v>4</v>
      </c>
      <c r="M45" s="328" t="s">
        <v>30</v>
      </c>
      <c r="N45" s="330"/>
      <c r="O45" s="333"/>
      <c r="P45" s="334"/>
      <c r="Q45" s="335"/>
      <c r="R45" s="335"/>
      <c r="S45" s="337"/>
      <c r="T45" s="64"/>
      <c r="U45" s="64"/>
      <c r="V45" s="64"/>
      <c r="W45" s="64"/>
      <c r="X45" s="64"/>
      <c r="Y45" s="339"/>
      <c r="Z45" s="85"/>
      <c r="AA45" s="61"/>
      <c r="AB45" s="61"/>
      <c r="AC45" s="74"/>
      <c r="AD45" s="61"/>
      <c r="AE45" s="61"/>
      <c r="AF45" s="61"/>
    </row>
    <row r="46" spans="1:32" s="19" customFormat="1" ht="12.75" customHeight="1">
      <c r="A46" s="342"/>
      <c r="B46" s="338"/>
      <c r="C46" s="68" t="s">
        <v>5</v>
      </c>
      <c r="D46" s="68" t="s">
        <v>6</v>
      </c>
      <c r="E46" s="67" t="s">
        <v>5</v>
      </c>
      <c r="F46" s="68" t="s">
        <v>6</v>
      </c>
      <c r="G46" s="68" t="s">
        <v>5</v>
      </c>
      <c r="H46" s="68" t="s">
        <v>6</v>
      </c>
      <c r="I46" s="67" t="s">
        <v>5</v>
      </c>
      <c r="J46" s="68" t="s">
        <v>6</v>
      </c>
      <c r="K46" s="67" t="s">
        <v>5</v>
      </c>
      <c r="L46" s="68" t="s">
        <v>6</v>
      </c>
      <c r="M46" s="68"/>
      <c r="N46" s="68"/>
      <c r="O46" s="67" t="s">
        <v>5</v>
      </c>
      <c r="P46" s="68" t="s">
        <v>6</v>
      </c>
      <c r="Q46" s="68" t="s">
        <v>5</v>
      </c>
      <c r="R46" s="68" t="s">
        <v>6</v>
      </c>
      <c r="S46" s="338"/>
      <c r="T46" s="64"/>
      <c r="U46" s="64"/>
      <c r="V46" s="64"/>
      <c r="W46" s="64"/>
      <c r="X46" s="64"/>
      <c r="Y46" s="339"/>
      <c r="Z46" s="85"/>
      <c r="AA46" s="61"/>
      <c r="AB46" s="61"/>
      <c r="AC46" s="74"/>
      <c r="AD46" s="61"/>
      <c r="AE46" s="61"/>
      <c r="AF46" s="61"/>
    </row>
    <row r="47" spans="1:32" s="19" customFormat="1" ht="12.75" customHeight="1">
      <c r="A47" s="21" t="s">
        <v>7</v>
      </c>
      <c r="B47" s="1" t="s">
        <v>18</v>
      </c>
      <c r="C47" s="68">
        <v>0</v>
      </c>
      <c r="D47" s="68">
        <v>0</v>
      </c>
      <c r="E47" s="69">
        <f t="shared" ref="E47:F47" si="29">O47+Q47</f>
        <v>0</v>
      </c>
      <c r="F47" s="70">
        <f t="shared" si="29"/>
        <v>0</v>
      </c>
      <c r="G47" s="68">
        <f t="shared" ref="G47:H56" si="30">E47-C47</f>
        <v>0</v>
      </c>
      <c r="H47" s="68">
        <f t="shared" si="30"/>
        <v>0</v>
      </c>
      <c r="I47" s="70"/>
      <c r="J47" s="70"/>
      <c r="K47" s="70"/>
      <c r="L47" s="70"/>
      <c r="M47" s="70">
        <f t="shared" ref="M47:N47" si="31">I47+K47</f>
        <v>0</v>
      </c>
      <c r="N47" s="70">
        <f t="shared" si="31"/>
        <v>0</v>
      </c>
      <c r="O47" s="71"/>
      <c r="P47" s="71"/>
      <c r="Q47" s="70"/>
      <c r="R47" s="70"/>
      <c r="S47" s="72"/>
      <c r="T47" s="252" t="e">
        <f>E47/C47</f>
        <v>#DIV/0!</v>
      </c>
      <c r="U47" s="73"/>
      <c r="V47" s="73"/>
      <c r="W47" s="73"/>
      <c r="X47" s="73"/>
      <c r="Y47" s="339"/>
      <c r="Z47" s="85"/>
      <c r="AA47" s="61">
        <f>H43</f>
        <v>14</v>
      </c>
      <c r="AB47" s="61" t="str">
        <f>E43</f>
        <v>WIN-QLT-015 W</v>
      </c>
      <c r="AC47" s="74" t="s">
        <v>86</v>
      </c>
      <c r="AD47" s="61" t="str">
        <f t="shared" ref="AD47:AD60" si="32">A47</f>
        <v>KR</v>
      </c>
      <c r="AE47" s="61">
        <f t="shared" ref="AE47:AE60" si="33">C47</f>
        <v>0</v>
      </c>
      <c r="AF47" s="61">
        <f t="shared" ref="AF47:AF60" si="34">E47</f>
        <v>0</v>
      </c>
    </row>
    <row r="48" spans="1:32" s="19" customFormat="1" ht="12.75" customHeight="1">
      <c r="A48" s="23" t="s">
        <v>13</v>
      </c>
      <c r="B48" s="1" t="s">
        <v>67</v>
      </c>
      <c r="C48" s="68">
        <v>0</v>
      </c>
      <c r="D48" s="68">
        <f t="shared" ref="D48:D49" si="35">C48*13</f>
        <v>0</v>
      </c>
      <c r="E48" s="69">
        <f t="shared" ref="E48:E60" si="36">O48+Q48</f>
        <v>0</v>
      </c>
      <c r="F48" s="70">
        <f t="shared" ref="F48:F60" si="37">P48+R48</f>
        <v>0</v>
      </c>
      <c r="G48" s="68">
        <f t="shared" si="30"/>
        <v>0</v>
      </c>
      <c r="H48" s="68">
        <f t="shared" si="30"/>
        <v>0</v>
      </c>
      <c r="I48" s="75"/>
      <c r="J48" s="75"/>
      <c r="K48" s="70"/>
      <c r="L48" s="70"/>
      <c r="M48" s="70">
        <f t="shared" ref="M48:M60" si="38">I48+K48</f>
        <v>0</v>
      </c>
      <c r="N48" s="70">
        <f t="shared" ref="N48:N60" si="39">J48+L48</f>
        <v>0</v>
      </c>
      <c r="O48" s="75"/>
      <c r="P48" s="75"/>
      <c r="Q48" s="71"/>
      <c r="R48" s="71"/>
      <c r="S48" s="72"/>
      <c r="T48" s="252" t="e">
        <f t="shared" ref="T48:T58" si="40">E48/C48</f>
        <v>#DIV/0!</v>
      </c>
      <c r="U48" s="73"/>
      <c r="V48" s="73"/>
      <c r="W48" s="73"/>
      <c r="X48" s="73"/>
      <c r="Y48" s="65"/>
      <c r="Z48" s="65"/>
      <c r="AA48" s="61">
        <f>H43</f>
        <v>14</v>
      </c>
      <c r="AB48" s="61" t="str">
        <f>E43</f>
        <v>WIN-QLT-015 W</v>
      </c>
      <c r="AC48" s="74" t="s">
        <v>86</v>
      </c>
      <c r="AD48" s="61" t="str">
        <f t="shared" si="32"/>
        <v>TAO</v>
      </c>
      <c r="AE48" s="61">
        <f t="shared" si="33"/>
        <v>0</v>
      </c>
      <c r="AF48" s="61">
        <f t="shared" si="34"/>
        <v>0</v>
      </c>
    </row>
    <row r="49" spans="1:32" s="19" customFormat="1" ht="12.75" customHeight="1">
      <c r="A49" s="23" t="s">
        <v>9</v>
      </c>
      <c r="B49" s="1">
        <f>B28+7</f>
        <v>43180</v>
      </c>
      <c r="C49" s="68">
        <v>0</v>
      </c>
      <c r="D49" s="68">
        <f t="shared" si="35"/>
        <v>0</v>
      </c>
      <c r="E49" s="69">
        <f t="shared" si="36"/>
        <v>11</v>
      </c>
      <c r="F49" s="70">
        <f t="shared" si="37"/>
        <v>217</v>
      </c>
      <c r="G49" s="68">
        <f t="shared" si="30"/>
        <v>11</v>
      </c>
      <c r="H49" s="68">
        <f t="shared" si="30"/>
        <v>217</v>
      </c>
      <c r="I49" s="75">
        <v>103.5</v>
      </c>
      <c r="J49" s="75">
        <v>1000</v>
      </c>
      <c r="K49" s="71">
        <v>21</v>
      </c>
      <c r="L49" s="71">
        <v>536</v>
      </c>
      <c r="M49" s="70">
        <f t="shared" si="38"/>
        <v>124.5</v>
      </c>
      <c r="N49" s="70">
        <f t="shared" si="39"/>
        <v>1536</v>
      </c>
      <c r="O49" s="75">
        <v>11</v>
      </c>
      <c r="P49" s="75">
        <v>217</v>
      </c>
      <c r="Q49" s="71"/>
      <c r="R49" s="71"/>
      <c r="S49" s="72"/>
      <c r="T49" s="252" t="e">
        <f t="shared" si="40"/>
        <v>#DIV/0!</v>
      </c>
      <c r="U49" s="73"/>
      <c r="V49" s="73"/>
      <c r="W49" s="73"/>
      <c r="X49" s="73"/>
      <c r="Y49" s="65"/>
      <c r="Z49" s="65"/>
      <c r="AA49" s="61">
        <f>H43</f>
        <v>14</v>
      </c>
      <c r="AB49" s="61" t="str">
        <f>E43</f>
        <v>WIN-QLT-015 W</v>
      </c>
      <c r="AC49" s="74" t="s">
        <v>86</v>
      </c>
      <c r="AD49" s="61" t="str">
        <f t="shared" si="32"/>
        <v>SHA</v>
      </c>
      <c r="AE49" s="61">
        <f t="shared" si="33"/>
        <v>0</v>
      </c>
      <c r="AF49" s="61">
        <f t="shared" si="34"/>
        <v>11</v>
      </c>
    </row>
    <row r="50" spans="1:32" s="19" customFormat="1" ht="12.75" customHeight="1">
      <c r="A50" s="23" t="s">
        <v>8</v>
      </c>
      <c r="B50" s="1">
        <f>B29+7</f>
        <v>43181</v>
      </c>
      <c r="C50" s="68">
        <v>0</v>
      </c>
      <c r="D50" s="68">
        <v>0</v>
      </c>
      <c r="E50" s="69">
        <f t="shared" si="36"/>
        <v>0</v>
      </c>
      <c r="F50" s="70">
        <f t="shared" si="37"/>
        <v>0</v>
      </c>
      <c r="G50" s="68">
        <f t="shared" si="30"/>
        <v>0</v>
      </c>
      <c r="H50" s="68">
        <f t="shared" si="30"/>
        <v>0</v>
      </c>
      <c r="I50" s="71"/>
      <c r="J50" s="71"/>
      <c r="K50" s="71"/>
      <c r="L50" s="71"/>
      <c r="M50" s="70">
        <f t="shared" si="38"/>
        <v>0</v>
      </c>
      <c r="N50" s="70">
        <f t="shared" si="39"/>
        <v>0</v>
      </c>
      <c r="O50" s="71"/>
      <c r="P50" s="71"/>
      <c r="Q50" s="71"/>
      <c r="R50" s="71"/>
      <c r="S50" s="72"/>
      <c r="T50" s="252" t="e">
        <f t="shared" si="40"/>
        <v>#DIV/0!</v>
      </c>
      <c r="U50" s="73"/>
      <c r="V50" s="73"/>
      <c r="W50" s="73"/>
      <c r="X50" s="73"/>
      <c r="Y50" s="65"/>
      <c r="Z50" s="65"/>
      <c r="AA50" s="61">
        <f>H43</f>
        <v>14</v>
      </c>
      <c r="AB50" s="61" t="str">
        <f>E43</f>
        <v>WIN-QLT-015 W</v>
      </c>
      <c r="AC50" s="74" t="s">
        <v>86</v>
      </c>
      <c r="AD50" s="61" t="str">
        <f t="shared" si="32"/>
        <v>NGB</v>
      </c>
      <c r="AE50" s="61">
        <f t="shared" si="33"/>
        <v>0</v>
      </c>
      <c r="AF50" s="61">
        <f t="shared" si="34"/>
        <v>0</v>
      </c>
    </row>
    <row r="51" spans="1:32" s="19" customFormat="1" ht="12.75" customHeight="1">
      <c r="A51" s="23" t="s">
        <v>10</v>
      </c>
      <c r="B51" s="1" t="s">
        <v>67</v>
      </c>
      <c r="C51" s="68">
        <v>50</v>
      </c>
      <c r="D51" s="68">
        <v>700</v>
      </c>
      <c r="E51" s="69">
        <f t="shared" si="36"/>
        <v>26.5</v>
      </c>
      <c r="F51" s="70">
        <f t="shared" si="37"/>
        <v>456</v>
      </c>
      <c r="G51" s="68">
        <f t="shared" si="30"/>
        <v>-23.5</v>
      </c>
      <c r="H51" s="68">
        <f t="shared" si="30"/>
        <v>-244</v>
      </c>
      <c r="I51" s="75"/>
      <c r="J51" s="75"/>
      <c r="K51" s="70"/>
      <c r="L51" s="70"/>
      <c r="M51" s="70">
        <f t="shared" si="38"/>
        <v>0</v>
      </c>
      <c r="N51" s="70">
        <f t="shared" si="39"/>
        <v>0</v>
      </c>
      <c r="O51" s="75">
        <v>26.5</v>
      </c>
      <c r="P51" s="75">
        <v>456</v>
      </c>
      <c r="Q51" s="70"/>
      <c r="R51" s="70"/>
      <c r="S51" s="72"/>
      <c r="T51" s="252">
        <f t="shared" si="40"/>
        <v>0.53</v>
      </c>
      <c r="U51" s="73"/>
      <c r="V51" s="73"/>
      <c r="W51" s="73"/>
      <c r="X51" s="73"/>
      <c r="Y51" s="65"/>
      <c r="Z51" s="65"/>
      <c r="AA51" s="61">
        <f>H43</f>
        <v>14</v>
      </c>
      <c r="AB51" s="61" t="str">
        <f>E43</f>
        <v>WIN-QLT-015 W</v>
      </c>
      <c r="AC51" s="74" t="s">
        <v>86</v>
      </c>
      <c r="AD51" s="61" t="str">
        <f t="shared" si="32"/>
        <v>WUH</v>
      </c>
      <c r="AE51" s="61">
        <f t="shared" si="33"/>
        <v>50</v>
      </c>
      <c r="AF51" s="61">
        <f t="shared" si="34"/>
        <v>26.5</v>
      </c>
    </row>
    <row r="52" spans="1:32" s="19" customFormat="1" ht="12.75" customHeight="1">
      <c r="A52" s="23" t="s">
        <v>11</v>
      </c>
      <c r="B52" s="1" t="s">
        <v>18</v>
      </c>
      <c r="C52" s="68">
        <v>0</v>
      </c>
      <c r="D52" s="68">
        <v>0</v>
      </c>
      <c r="E52" s="69">
        <f t="shared" si="36"/>
        <v>0</v>
      </c>
      <c r="F52" s="70">
        <f t="shared" si="37"/>
        <v>0</v>
      </c>
      <c r="G52" s="68">
        <f t="shared" si="30"/>
        <v>0</v>
      </c>
      <c r="H52" s="68">
        <f t="shared" si="30"/>
        <v>0</v>
      </c>
      <c r="I52" s="70"/>
      <c r="J52" s="70"/>
      <c r="K52" s="70"/>
      <c r="L52" s="70"/>
      <c r="M52" s="70">
        <f t="shared" si="38"/>
        <v>0</v>
      </c>
      <c r="N52" s="70">
        <f t="shared" si="39"/>
        <v>0</v>
      </c>
      <c r="O52" s="75"/>
      <c r="P52" s="75"/>
      <c r="Q52" s="70"/>
      <c r="R52" s="70"/>
      <c r="S52" s="72"/>
      <c r="T52" s="252" t="e">
        <f t="shared" si="40"/>
        <v>#DIV/0!</v>
      </c>
      <c r="U52" s="73"/>
      <c r="V52" s="73"/>
      <c r="W52" s="73"/>
      <c r="X52" s="73"/>
      <c r="Y52" s="65"/>
      <c r="Z52" s="65"/>
      <c r="AA52" s="61">
        <f>H43</f>
        <v>14</v>
      </c>
      <c r="AB52" s="61" t="str">
        <f>E43</f>
        <v>WIN-QLT-015 W</v>
      </c>
      <c r="AC52" s="74" t="s">
        <v>86</v>
      </c>
      <c r="AD52" s="61" t="str">
        <f t="shared" si="32"/>
        <v>DLC</v>
      </c>
      <c r="AE52" s="61">
        <f t="shared" si="33"/>
        <v>0</v>
      </c>
      <c r="AF52" s="61">
        <f t="shared" si="34"/>
        <v>0</v>
      </c>
    </row>
    <row r="53" spans="1:32" s="19" customFormat="1" ht="12.75" customHeight="1">
      <c r="A53" s="23" t="s">
        <v>12</v>
      </c>
      <c r="B53" s="1" t="s">
        <v>18</v>
      </c>
      <c r="C53" s="68">
        <v>0</v>
      </c>
      <c r="D53" s="68">
        <v>0</v>
      </c>
      <c r="E53" s="69">
        <f t="shared" si="36"/>
        <v>0</v>
      </c>
      <c r="F53" s="70">
        <f t="shared" si="37"/>
        <v>0</v>
      </c>
      <c r="G53" s="68">
        <f t="shared" si="30"/>
        <v>0</v>
      </c>
      <c r="H53" s="68">
        <f t="shared" si="30"/>
        <v>0</v>
      </c>
      <c r="I53" s="70"/>
      <c r="J53" s="70"/>
      <c r="K53" s="70"/>
      <c r="L53" s="70"/>
      <c r="M53" s="70">
        <f t="shared" si="38"/>
        <v>0</v>
      </c>
      <c r="N53" s="70">
        <f t="shared" si="39"/>
        <v>0</v>
      </c>
      <c r="O53" s="75"/>
      <c r="P53" s="75"/>
      <c r="Q53" s="76"/>
      <c r="R53" s="71"/>
      <c r="S53" s="72"/>
      <c r="T53" s="252" t="e">
        <f t="shared" si="40"/>
        <v>#DIV/0!</v>
      </c>
      <c r="U53" s="73"/>
      <c r="V53" s="73"/>
      <c r="W53" s="73"/>
      <c r="X53" s="73"/>
      <c r="Y53" s="65"/>
      <c r="Z53" s="65"/>
      <c r="AA53" s="61">
        <f>H43</f>
        <v>14</v>
      </c>
      <c r="AB53" s="61" t="str">
        <f>E43</f>
        <v>WIN-QLT-015 W</v>
      </c>
      <c r="AC53" s="74" t="s">
        <v>86</v>
      </c>
      <c r="AD53" s="61" t="str">
        <f t="shared" si="32"/>
        <v>TSN</v>
      </c>
      <c r="AE53" s="61">
        <f t="shared" si="33"/>
        <v>0</v>
      </c>
      <c r="AF53" s="61">
        <f t="shared" si="34"/>
        <v>0</v>
      </c>
    </row>
    <row r="54" spans="1:32" s="19" customFormat="1" ht="12.75" customHeight="1">
      <c r="A54" s="23" t="s">
        <v>14</v>
      </c>
      <c r="B54" s="1" t="s">
        <v>18</v>
      </c>
      <c r="C54" s="68">
        <v>0</v>
      </c>
      <c r="D54" s="68">
        <v>0</v>
      </c>
      <c r="E54" s="69">
        <f t="shared" si="36"/>
        <v>0</v>
      </c>
      <c r="F54" s="70">
        <f t="shared" si="37"/>
        <v>0</v>
      </c>
      <c r="G54" s="68">
        <f t="shared" si="30"/>
        <v>0</v>
      </c>
      <c r="H54" s="68">
        <f t="shared" si="30"/>
        <v>0</v>
      </c>
      <c r="I54" s="70"/>
      <c r="J54" s="70"/>
      <c r="K54" s="70"/>
      <c r="L54" s="70"/>
      <c r="M54" s="70">
        <f t="shared" si="38"/>
        <v>0</v>
      </c>
      <c r="N54" s="70">
        <f t="shared" si="39"/>
        <v>0</v>
      </c>
      <c r="O54" s="71"/>
      <c r="P54" s="71"/>
      <c r="Q54" s="70"/>
      <c r="R54" s="70"/>
      <c r="S54" s="72"/>
      <c r="T54" s="252" t="e">
        <f t="shared" si="40"/>
        <v>#DIV/0!</v>
      </c>
      <c r="U54" s="73"/>
      <c r="V54" s="73"/>
      <c r="W54" s="73"/>
      <c r="X54" s="73"/>
      <c r="Y54" s="65"/>
      <c r="Z54" s="65"/>
      <c r="AA54" s="61">
        <f>H43</f>
        <v>14</v>
      </c>
      <c r="AB54" s="61" t="str">
        <f>E43</f>
        <v>WIN-QLT-015 W</v>
      </c>
      <c r="AC54" s="74" t="s">
        <v>86</v>
      </c>
      <c r="AD54" s="61" t="str">
        <f t="shared" si="32"/>
        <v>XMN</v>
      </c>
      <c r="AE54" s="61">
        <f t="shared" si="33"/>
        <v>0</v>
      </c>
      <c r="AF54" s="61">
        <f t="shared" si="34"/>
        <v>0</v>
      </c>
    </row>
    <row r="55" spans="1:32" s="19" customFormat="1" ht="12.75" customHeight="1">
      <c r="A55" s="23" t="s">
        <v>19</v>
      </c>
      <c r="B55" s="1" t="s">
        <v>18</v>
      </c>
      <c r="C55" s="68">
        <v>0</v>
      </c>
      <c r="D55" s="68">
        <v>0</v>
      </c>
      <c r="E55" s="69">
        <f t="shared" si="36"/>
        <v>0</v>
      </c>
      <c r="F55" s="70">
        <f t="shared" si="37"/>
        <v>0</v>
      </c>
      <c r="G55" s="68">
        <f t="shared" si="30"/>
        <v>0</v>
      </c>
      <c r="H55" s="68">
        <f t="shared" si="30"/>
        <v>0</v>
      </c>
      <c r="I55" s="70"/>
      <c r="J55" s="70"/>
      <c r="K55" s="70"/>
      <c r="L55" s="70"/>
      <c r="M55" s="70">
        <f t="shared" si="38"/>
        <v>0</v>
      </c>
      <c r="N55" s="70">
        <f>J55+L55</f>
        <v>0</v>
      </c>
      <c r="O55" s="70"/>
      <c r="P55" s="70"/>
      <c r="Q55" s="70"/>
      <c r="R55" s="70"/>
      <c r="S55" s="72"/>
      <c r="T55" s="252" t="e">
        <f t="shared" si="40"/>
        <v>#DIV/0!</v>
      </c>
      <c r="U55" s="73"/>
      <c r="V55" s="73"/>
      <c r="W55" s="73"/>
      <c r="X55" s="73"/>
      <c r="Y55" s="65"/>
      <c r="Z55" s="65"/>
      <c r="AA55" s="61">
        <f>H43</f>
        <v>14</v>
      </c>
      <c r="AB55" s="61" t="str">
        <f>E43</f>
        <v>WIN-QLT-015 W</v>
      </c>
      <c r="AC55" s="74" t="s">
        <v>86</v>
      </c>
      <c r="AD55" s="61" t="str">
        <f t="shared" si="32"/>
        <v>TWC</v>
      </c>
      <c r="AE55" s="61">
        <f t="shared" si="33"/>
        <v>0</v>
      </c>
      <c r="AF55" s="61">
        <f t="shared" si="34"/>
        <v>0</v>
      </c>
    </row>
    <row r="56" spans="1:32" s="19" customFormat="1" ht="12.75" customHeight="1">
      <c r="A56" s="23" t="s">
        <v>16</v>
      </c>
      <c r="B56" s="1">
        <f>B35+7</f>
        <v>43184</v>
      </c>
      <c r="C56" s="68">
        <v>100</v>
      </c>
      <c r="D56" s="68">
        <v>1400</v>
      </c>
      <c r="E56" s="69">
        <f t="shared" si="36"/>
        <v>52</v>
      </c>
      <c r="F56" s="70">
        <f t="shared" si="37"/>
        <v>399</v>
      </c>
      <c r="G56" s="68">
        <f t="shared" si="30"/>
        <v>-48</v>
      </c>
      <c r="H56" s="68">
        <f t="shared" si="30"/>
        <v>-1001</v>
      </c>
      <c r="I56" s="70">
        <v>2.25</v>
      </c>
      <c r="J56" s="70">
        <v>9</v>
      </c>
      <c r="K56" s="70"/>
      <c r="L56" s="70"/>
      <c r="M56" s="70">
        <f t="shared" si="38"/>
        <v>2.25</v>
      </c>
      <c r="N56" s="70">
        <f t="shared" si="39"/>
        <v>9</v>
      </c>
      <c r="O56" s="70"/>
      <c r="P56" s="70"/>
      <c r="Q56" s="70">
        <v>52</v>
      </c>
      <c r="R56" s="84">
        <v>399</v>
      </c>
      <c r="S56" s="72"/>
      <c r="T56" s="252">
        <f t="shared" si="40"/>
        <v>0.52</v>
      </c>
      <c r="U56" s="73"/>
      <c r="V56" s="73"/>
      <c r="W56" s="73"/>
      <c r="X56" s="73"/>
      <c r="Y56" s="65"/>
      <c r="Z56" s="65"/>
      <c r="AA56" s="61">
        <f>H43</f>
        <v>14</v>
      </c>
      <c r="AB56" s="61" t="str">
        <f>E43</f>
        <v>WIN-QLT-015 W</v>
      </c>
      <c r="AC56" s="74" t="s">
        <v>86</v>
      </c>
      <c r="AD56" s="61" t="str">
        <f t="shared" si="32"/>
        <v>HUA</v>
      </c>
      <c r="AE56" s="61">
        <f t="shared" si="33"/>
        <v>100</v>
      </c>
      <c r="AF56" s="61">
        <f t="shared" si="34"/>
        <v>52</v>
      </c>
    </row>
    <row r="57" spans="1:32" s="19" customFormat="1" ht="12.75" customHeight="1">
      <c r="A57" s="23" t="s">
        <v>2</v>
      </c>
      <c r="B57" s="26"/>
      <c r="C57" s="68"/>
      <c r="D57" s="68"/>
      <c r="E57" s="69">
        <f t="shared" si="36"/>
        <v>0</v>
      </c>
      <c r="F57" s="70">
        <f t="shared" si="37"/>
        <v>0</v>
      </c>
      <c r="G57" s="68"/>
      <c r="H57" s="68"/>
      <c r="I57" s="70"/>
      <c r="J57" s="70"/>
      <c r="K57" s="70"/>
      <c r="L57" s="70"/>
      <c r="M57" s="70">
        <f t="shared" si="38"/>
        <v>0</v>
      </c>
      <c r="N57" s="70">
        <f t="shared" si="39"/>
        <v>0</v>
      </c>
      <c r="O57" s="70"/>
      <c r="P57" s="70"/>
      <c r="Q57" s="70"/>
      <c r="R57" s="70"/>
      <c r="S57" s="72"/>
      <c r="T57" s="252" t="e">
        <f t="shared" si="40"/>
        <v>#DIV/0!</v>
      </c>
      <c r="U57" s="73"/>
      <c r="V57" s="73"/>
      <c r="W57" s="73"/>
      <c r="X57" s="73"/>
      <c r="Y57" s="65"/>
      <c r="Z57" s="65"/>
      <c r="AA57" s="61">
        <f>H43</f>
        <v>14</v>
      </c>
      <c r="AB57" s="61" t="str">
        <f>E43</f>
        <v>WIN-QLT-015 W</v>
      </c>
      <c r="AC57" s="74" t="s">
        <v>86</v>
      </c>
      <c r="AD57" s="61" t="str">
        <f t="shared" si="32"/>
        <v>HKG</v>
      </c>
      <c r="AE57" s="61">
        <f t="shared" si="33"/>
        <v>0</v>
      </c>
      <c r="AF57" s="61">
        <f t="shared" si="34"/>
        <v>0</v>
      </c>
    </row>
    <row r="58" spans="1:32" s="19" customFormat="1" ht="12.75" customHeight="1">
      <c r="A58" s="23" t="s">
        <v>3</v>
      </c>
      <c r="B58" s="1">
        <f>B37+7</f>
        <v>43188</v>
      </c>
      <c r="C58" s="68">
        <v>140</v>
      </c>
      <c r="D58" s="68">
        <v>1960</v>
      </c>
      <c r="E58" s="69">
        <f t="shared" si="36"/>
        <v>98</v>
      </c>
      <c r="F58" s="70">
        <f t="shared" si="37"/>
        <v>1287</v>
      </c>
      <c r="G58" s="68">
        <f t="shared" ref="G58:H61" si="41">E58-C58</f>
        <v>-42</v>
      </c>
      <c r="H58" s="68">
        <f t="shared" si="41"/>
        <v>-673</v>
      </c>
      <c r="I58" s="70"/>
      <c r="J58" s="70"/>
      <c r="K58" s="70"/>
      <c r="L58" s="70"/>
      <c r="M58" s="70">
        <f t="shared" si="38"/>
        <v>0</v>
      </c>
      <c r="N58" s="70">
        <f t="shared" si="39"/>
        <v>0</v>
      </c>
      <c r="O58" s="68"/>
      <c r="P58" s="68"/>
      <c r="Q58" s="70">
        <v>98</v>
      </c>
      <c r="R58" s="70">
        <v>1287</v>
      </c>
      <c r="S58" s="72"/>
      <c r="T58" s="252">
        <f t="shared" si="40"/>
        <v>0.7</v>
      </c>
      <c r="U58" s="73"/>
      <c r="V58" s="73"/>
      <c r="W58" s="73"/>
      <c r="X58" s="73"/>
      <c r="Y58" s="65"/>
      <c r="Z58" s="65"/>
      <c r="AA58" s="61">
        <f>H43</f>
        <v>14</v>
      </c>
      <c r="AB58" s="61" t="str">
        <f>E43</f>
        <v>WIN-QLT-015 W</v>
      </c>
      <c r="AC58" s="74" t="s">
        <v>86</v>
      </c>
      <c r="AD58" s="61" t="str">
        <f t="shared" si="32"/>
        <v>SGP</v>
      </c>
      <c r="AE58" s="61">
        <f t="shared" si="33"/>
        <v>140</v>
      </c>
      <c r="AF58" s="61">
        <f t="shared" si="34"/>
        <v>98</v>
      </c>
    </row>
    <row r="59" spans="1:32" s="19" customFormat="1" ht="12.75" customHeight="1">
      <c r="A59" s="23" t="s">
        <v>4</v>
      </c>
      <c r="B59" s="1">
        <f>B38+7</f>
        <v>43190</v>
      </c>
      <c r="C59" s="68">
        <v>30</v>
      </c>
      <c r="D59" s="68">
        <v>420</v>
      </c>
      <c r="E59" s="69">
        <f t="shared" si="36"/>
        <v>21</v>
      </c>
      <c r="F59" s="70">
        <f t="shared" si="37"/>
        <v>530</v>
      </c>
      <c r="G59" s="68">
        <f t="shared" si="41"/>
        <v>-9</v>
      </c>
      <c r="H59" s="68">
        <f t="shared" si="41"/>
        <v>110</v>
      </c>
      <c r="I59" s="70"/>
      <c r="J59" s="70"/>
      <c r="K59" s="70"/>
      <c r="L59" s="70"/>
      <c r="M59" s="70">
        <f t="shared" si="38"/>
        <v>0</v>
      </c>
      <c r="N59" s="70">
        <f t="shared" si="39"/>
        <v>0</v>
      </c>
      <c r="O59" s="70"/>
      <c r="P59" s="70"/>
      <c r="Q59" s="70">
        <v>21</v>
      </c>
      <c r="R59" s="70">
        <v>530</v>
      </c>
      <c r="S59" s="72"/>
      <c r="T59" s="252">
        <f>E59/C59</f>
        <v>0.7</v>
      </c>
      <c r="U59" s="73"/>
      <c r="V59" s="73"/>
      <c r="W59" s="73"/>
      <c r="X59" s="73"/>
      <c r="Y59" s="65"/>
      <c r="Z59" s="65"/>
      <c r="AA59" s="61">
        <f>H43</f>
        <v>14</v>
      </c>
      <c r="AB59" s="61" t="str">
        <f>E43</f>
        <v>WIN-QLT-015 W</v>
      </c>
      <c r="AC59" s="74" t="s">
        <v>86</v>
      </c>
      <c r="AD59" s="61" t="str">
        <f t="shared" si="32"/>
        <v>PKL</v>
      </c>
      <c r="AE59" s="61">
        <f t="shared" si="33"/>
        <v>30</v>
      </c>
      <c r="AF59" s="61">
        <f t="shared" si="34"/>
        <v>21</v>
      </c>
    </row>
    <row r="60" spans="1:32" s="19" customFormat="1" ht="12.75" customHeight="1">
      <c r="A60" s="23" t="s">
        <v>15</v>
      </c>
      <c r="B60" s="20"/>
      <c r="C60" s="68">
        <v>30</v>
      </c>
      <c r="D60" s="68">
        <v>420</v>
      </c>
      <c r="E60" s="69">
        <f t="shared" si="36"/>
        <v>0</v>
      </c>
      <c r="F60" s="70">
        <f t="shared" si="37"/>
        <v>0</v>
      </c>
      <c r="G60" s="68">
        <f t="shared" si="41"/>
        <v>-30</v>
      </c>
      <c r="H60" s="68">
        <f t="shared" si="41"/>
        <v>-420</v>
      </c>
      <c r="I60" s="70"/>
      <c r="J60" s="70"/>
      <c r="K60" s="70"/>
      <c r="L60" s="70"/>
      <c r="M60" s="70">
        <f t="shared" si="38"/>
        <v>0</v>
      </c>
      <c r="N60" s="70">
        <f t="shared" si="39"/>
        <v>0</v>
      </c>
      <c r="O60" s="71"/>
      <c r="P60" s="71"/>
      <c r="Q60" s="71"/>
      <c r="R60" s="71"/>
      <c r="S60" s="72"/>
      <c r="T60" s="73"/>
      <c r="U60" s="73"/>
      <c r="V60" s="73"/>
      <c r="W60" s="73"/>
      <c r="X60" s="73"/>
      <c r="Y60" s="65"/>
      <c r="Z60" s="65"/>
      <c r="AA60" s="61">
        <f>H43</f>
        <v>14</v>
      </c>
      <c r="AB60" s="61" t="str">
        <f>E43</f>
        <v>WIN-QLT-015 W</v>
      </c>
      <c r="AC60" s="74" t="s">
        <v>86</v>
      </c>
      <c r="AD60" s="61" t="str">
        <f t="shared" si="32"/>
        <v>T/S</v>
      </c>
      <c r="AE60" s="61">
        <f t="shared" si="33"/>
        <v>30</v>
      </c>
      <c r="AF60" s="61">
        <f t="shared" si="34"/>
        <v>0</v>
      </c>
    </row>
    <row r="61" spans="1:32" s="19" customFormat="1" ht="12.75" customHeight="1">
      <c r="A61" s="21" t="s">
        <v>36</v>
      </c>
      <c r="B61" s="22"/>
      <c r="C61" s="71">
        <v>350</v>
      </c>
      <c r="D61" s="71">
        <f>SUM(D47:D60)</f>
        <v>4900</v>
      </c>
      <c r="E61" s="78">
        <f>SUM(E47:E60)</f>
        <v>208.5</v>
      </c>
      <c r="F61" s="76">
        <f>SUM(F47:F60)</f>
        <v>2889</v>
      </c>
      <c r="G61" s="71">
        <f t="shared" si="41"/>
        <v>-141.5</v>
      </c>
      <c r="H61" s="71">
        <f t="shared" si="41"/>
        <v>-2011</v>
      </c>
      <c r="I61" s="70">
        <f t="shared" ref="I61:L61" si="42">SUM(I47:I60)</f>
        <v>105.75</v>
      </c>
      <c r="J61" s="70">
        <f t="shared" si="42"/>
        <v>1009</v>
      </c>
      <c r="K61" s="70">
        <f t="shared" si="42"/>
        <v>21</v>
      </c>
      <c r="L61" s="70">
        <f t="shared" si="42"/>
        <v>536</v>
      </c>
      <c r="M61" s="70"/>
      <c r="N61" s="70"/>
      <c r="O61" s="70">
        <f t="shared" ref="O61:R61" si="43">SUM(O47:O60)</f>
        <v>37.5</v>
      </c>
      <c r="P61" s="70">
        <f t="shared" si="43"/>
        <v>673</v>
      </c>
      <c r="Q61" s="70">
        <f t="shared" si="43"/>
        <v>171</v>
      </c>
      <c r="R61" s="70">
        <f t="shared" si="43"/>
        <v>2216</v>
      </c>
      <c r="S61" s="72"/>
      <c r="T61" s="73"/>
      <c r="U61" s="73"/>
      <c r="V61" s="73"/>
      <c r="W61" s="73"/>
      <c r="X61" s="73"/>
      <c r="Y61" s="65"/>
      <c r="Z61" s="65"/>
      <c r="AA61" s="61"/>
      <c r="AB61" s="61"/>
      <c r="AC61" s="61"/>
      <c r="AD61" s="61"/>
      <c r="AE61" s="61"/>
      <c r="AF61" s="61"/>
    </row>
    <row r="62" spans="1:32" s="65" customFormat="1" ht="12.75" customHeight="1">
      <c r="A62" s="84">
        <f>D61/C61</f>
        <v>14</v>
      </c>
      <c r="C62" s="79">
        <f>F61-E62</f>
        <v>-1521</v>
      </c>
      <c r="E62" s="65">
        <f>D61*0.9</f>
        <v>4410</v>
      </c>
      <c r="F62" s="79">
        <f>E61-L62</f>
        <v>-106.5</v>
      </c>
      <c r="I62" s="80" t="s">
        <v>48</v>
      </c>
      <c r="J62" s="245">
        <f>E61/C61</f>
        <v>0.59571428571428575</v>
      </c>
      <c r="K62" s="80"/>
      <c r="L62" s="80">
        <f>C61*0.9</f>
        <v>315</v>
      </c>
      <c r="M62" s="80"/>
      <c r="N62" s="80"/>
      <c r="O62" s="80" t="s">
        <v>49</v>
      </c>
      <c r="P62" s="80"/>
      <c r="Q62" s="65">
        <f>P48+P49+P51+P52+P53+J48+J49+L48+L49+J51+R51</f>
        <v>2209</v>
      </c>
      <c r="R62" s="65">
        <v>16856</v>
      </c>
      <c r="AA62" s="81"/>
      <c r="AB62" s="81"/>
      <c r="AC62" s="81"/>
      <c r="AD62" s="81"/>
      <c r="AE62" s="81"/>
      <c r="AF62" s="81"/>
    </row>
    <row r="64" spans="1:32">
      <c r="A64" s="92" t="s">
        <v>485</v>
      </c>
    </row>
  </sheetData>
  <mergeCells count="36">
    <mergeCell ref="O44:P45"/>
    <mergeCell ref="Q44:R45"/>
    <mergeCell ref="S44:S46"/>
    <mergeCell ref="Y44:Y45"/>
    <mergeCell ref="M45:N45"/>
    <mergeCell ref="Y46:Y47"/>
    <mergeCell ref="I44:N44"/>
    <mergeCell ref="A44:A46"/>
    <mergeCell ref="B44:B46"/>
    <mergeCell ref="C44:D45"/>
    <mergeCell ref="E44:F45"/>
    <mergeCell ref="G44:H45"/>
    <mergeCell ref="O23:P24"/>
    <mergeCell ref="Q23:R24"/>
    <mergeCell ref="S23:S25"/>
    <mergeCell ref="Y23:Y24"/>
    <mergeCell ref="M24:N24"/>
    <mergeCell ref="Y25:Y26"/>
    <mergeCell ref="I23:N23"/>
    <mergeCell ref="A23:A25"/>
    <mergeCell ref="B23:B25"/>
    <mergeCell ref="C23:D24"/>
    <mergeCell ref="E23:F24"/>
    <mergeCell ref="G23:H24"/>
    <mergeCell ref="O2:P3"/>
    <mergeCell ref="Q2:R3"/>
    <mergeCell ref="S2:S4"/>
    <mergeCell ref="Y2:Y3"/>
    <mergeCell ref="M3:N3"/>
    <mergeCell ref="Y4:Y5"/>
    <mergeCell ref="I2:N2"/>
    <mergeCell ref="A2:A4"/>
    <mergeCell ref="B2:B4"/>
    <mergeCell ref="C2:D3"/>
    <mergeCell ref="E2:F3"/>
    <mergeCell ref="G2:H3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67"/>
  <sheetViews>
    <sheetView showZeros="0" topLeftCell="A124" workbookViewId="0">
      <selection activeCell="A136" sqref="A136:XFD136"/>
    </sheetView>
  </sheetViews>
  <sheetFormatPr defaultRowHeight="13.5"/>
  <cols>
    <col min="1" max="2" width="9" style="25"/>
    <col min="3" max="18" width="7.125" style="87" customWidth="1"/>
    <col min="19" max="19" width="12.375" style="87" customWidth="1"/>
    <col min="20" max="34" width="9" style="87"/>
    <col min="35" max="16384" width="9" style="25"/>
  </cols>
  <sheetData>
    <row r="1" spans="1:34" s="18" customFormat="1" ht="12.75" hidden="1" customHeight="1">
      <c r="A1" s="16" t="s">
        <v>90</v>
      </c>
      <c r="B1" s="17" t="s">
        <v>88</v>
      </c>
      <c r="C1" s="56"/>
      <c r="D1" s="57"/>
      <c r="E1" s="58" t="s">
        <v>474</v>
      </c>
      <c r="F1" s="57"/>
      <c r="G1" s="59" t="s">
        <v>37</v>
      </c>
      <c r="H1" s="60">
        <v>12</v>
      </c>
      <c r="I1" s="57"/>
      <c r="J1" s="57" t="s">
        <v>55</v>
      </c>
      <c r="K1" s="57"/>
      <c r="L1" s="57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2"/>
      <c r="Z1" s="62"/>
      <c r="AA1" s="62"/>
      <c r="AB1" s="62"/>
      <c r="AC1" s="62"/>
      <c r="AD1" s="63"/>
      <c r="AE1" s="63"/>
      <c r="AF1" s="63"/>
      <c r="AG1" s="63"/>
      <c r="AH1" s="63"/>
    </row>
    <row r="2" spans="1:34" s="19" customFormat="1" ht="12.75" hidden="1" customHeight="1">
      <c r="A2" s="340" t="s">
        <v>0</v>
      </c>
      <c r="B2" s="336" t="s">
        <v>1</v>
      </c>
      <c r="C2" s="331" t="s">
        <v>25</v>
      </c>
      <c r="D2" s="332"/>
      <c r="E2" s="331" t="s">
        <v>21</v>
      </c>
      <c r="F2" s="332"/>
      <c r="G2" s="335" t="s">
        <v>24</v>
      </c>
      <c r="H2" s="335"/>
      <c r="I2" s="328" t="s">
        <v>33</v>
      </c>
      <c r="J2" s="329"/>
      <c r="K2" s="329"/>
      <c r="L2" s="329"/>
      <c r="M2" s="329"/>
      <c r="N2" s="330"/>
      <c r="O2" s="331" t="s">
        <v>22</v>
      </c>
      <c r="P2" s="332"/>
      <c r="Q2" s="335" t="s">
        <v>23</v>
      </c>
      <c r="R2" s="335"/>
      <c r="S2" s="336" t="s">
        <v>27</v>
      </c>
      <c r="T2" s="64"/>
      <c r="U2" s="64"/>
      <c r="V2" s="64"/>
      <c r="W2" s="64"/>
      <c r="X2" s="64"/>
      <c r="Y2" s="339"/>
      <c r="Z2" s="85"/>
      <c r="AA2" s="61"/>
      <c r="AB2" s="61"/>
      <c r="AC2" s="61"/>
      <c r="AD2" s="61"/>
      <c r="AE2" s="61"/>
      <c r="AF2" s="61"/>
      <c r="AG2" s="65"/>
      <c r="AH2" s="65"/>
    </row>
    <row r="3" spans="1:34" s="19" customFormat="1" ht="12.75" hidden="1" customHeight="1">
      <c r="A3" s="341"/>
      <c r="B3" s="337"/>
      <c r="C3" s="333"/>
      <c r="D3" s="334"/>
      <c r="E3" s="333"/>
      <c r="F3" s="334"/>
      <c r="G3" s="335"/>
      <c r="H3" s="335"/>
      <c r="I3" s="66" t="s">
        <v>28</v>
      </c>
      <c r="J3" s="67" t="s">
        <v>3</v>
      </c>
      <c r="K3" s="66" t="s">
        <v>29</v>
      </c>
      <c r="L3" s="67" t="s">
        <v>4</v>
      </c>
      <c r="M3" s="328" t="s">
        <v>30</v>
      </c>
      <c r="N3" s="330"/>
      <c r="O3" s="333"/>
      <c r="P3" s="334"/>
      <c r="Q3" s="335"/>
      <c r="R3" s="335"/>
      <c r="S3" s="337"/>
      <c r="T3" s="64"/>
      <c r="U3" s="64"/>
      <c r="V3" s="64"/>
      <c r="W3" s="64"/>
      <c r="X3" s="64"/>
      <c r="Y3" s="339"/>
      <c r="Z3" s="85"/>
      <c r="AA3" s="61"/>
      <c r="AB3" s="61"/>
      <c r="AC3" s="61"/>
      <c r="AD3" s="61"/>
      <c r="AE3" s="61"/>
      <c r="AF3" s="61"/>
      <c r="AG3" s="65"/>
      <c r="AH3" s="65"/>
    </row>
    <row r="4" spans="1:34" s="19" customFormat="1" ht="12.75" hidden="1" customHeight="1">
      <c r="A4" s="342"/>
      <c r="B4" s="338"/>
      <c r="C4" s="68" t="s">
        <v>5</v>
      </c>
      <c r="D4" s="68" t="s">
        <v>6</v>
      </c>
      <c r="E4" s="67" t="s">
        <v>5</v>
      </c>
      <c r="F4" s="68" t="s">
        <v>6</v>
      </c>
      <c r="G4" s="68" t="s">
        <v>5</v>
      </c>
      <c r="H4" s="68" t="s">
        <v>6</v>
      </c>
      <c r="I4" s="67" t="s">
        <v>5</v>
      </c>
      <c r="J4" s="68" t="s">
        <v>6</v>
      </c>
      <c r="K4" s="67" t="s">
        <v>5</v>
      </c>
      <c r="L4" s="68" t="s">
        <v>6</v>
      </c>
      <c r="M4" s="68"/>
      <c r="N4" s="68"/>
      <c r="O4" s="67" t="s">
        <v>5</v>
      </c>
      <c r="P4" s="68" t="s">
        <v>6</v>
      </c>
      <c r="Q4" s="68" t="s">
        <v>5</v>
      </c>
      <c r="R4" s="68" t="s">
        <v>6</v>
      </c>
      <c r="S4" s="338"/>
      <c r="T4" s="64"/>
      <c r="U4" s="64"/>
      <c r="V4" s="64"/>
      <c r="W4" s="64"/>
      <c r="X4" s="64"/>
      <c r="Y4" s="339"/>
      <c r="Z4" s="85"/>
      <c r="AA4" s="61" t="s">
        <v>43</v>
      </c>
      <c r="AB4" s="61" t="s">
        <v>45</v>
      </c>
      <c r="AC4" s="61" t="s">
        <v>46</v>
      </c>
      <c r="AD4" s="61" t="s">
        <v>42</v>
      </c>
      <c r="AE4" s="61" t="s">
        <v>41</v>
      </c>
      <c r="AF4" s="61" t="s">
        <v>44</v>
      </c>
      <c r="AG4" s="65"/>
      <c r="AH4" s="65"/>
    </row>
    <row r="5" spans="1:34" s="19" customFormat="1" ht="12.75" hidden="1" customHeight="1">
      <c r="A5" s="21" t="s">
        <v>7</v>
      </c>
      <c r="B5" s="1">
        <v>43171</v>
      </c>
      <c r="C5" s="68">
        <v>150</v>
      </c>
      <c r="D5" s="68">
        <v>2100</v>
      </c>
      <c r="E5" s="69">
        <f t="shared" ref="E5:F11" si="0">O5+Q5</f>
        <v>142</v>
      </c>
      <c r="F5" s="70">
        <f t="shared" si="0"/>
        <v>2056</v>
      </c>
      <c r="G5" s="68">
        <f t="shared" ref="G5:H14" si="1">E5-C5</f>
        <v>-8</v>
      </c>
      <c r="H5" s="68">
        <f t="shared" si="1"/>
        <v>-44</v>
      </c>
      <c r="I5" s="70"/>
      <c r="J5" s="70"/>
      <c r="K5" s="70">
        <v>22</v>
      </c>
      <c r="L5" s="70">
        <v>262</v>
      </c>
      <c r="M5" s="70">
        <f t="shared" ref="M5:N5" si="2">I5+K5</f>
        <v>22</v>
      </c>
      <c r="N5" s="70">
        <f t="shared" si="2"/>
        <v>262</v>
      </c>
      <c r="O5" s="71">
        <v>142</v>
      </c>
      <c r="P5" s="71">
        <v>2056</v>
      </c>
      <c r="Q5" s="70"/>
      <c r="R5" s="70"/>
      <c r="S5" s="72"/>
      <c r="T5" s="252">
        <f>E5/C5</f>
        <v>0.94666666666666666</v>
      </c>
      <c r="U5" s="73"/>
      <c r="V5" s="73"/>
      <c r="W5" s="73"/>
      <c r="X5" s="73"/>
      <c r="Y5" s="339"/>
      <c r="Z5" s="85"/>
      <c r="AA5" s="61">
        <f>H1</f>
        <v>12</v>
      </c>
      <c r="AB5" s="61" t="str">
        <f>E1</f>
        <v>AIS-SGD-040 W</v>
      </c>
      <c r="AC5" s="74" t="s">
        <v>90</v>
      </c>
      <c r="AD5" s="61" t="str">
        <f t="shared" ref="AD5:AD18" si="3">A5</f>
        <v>KR</v>
      </c>
      <c r="AE5" s="61">
        <f t="shared" ref="AE5:AE18" si="4">C5</f>
        <v>150</v>
      </c>
      <c r="AF5" s="61">
        <f t="shared" ref="AF5:AF18" si="5">E5</f>
        <v>142</v>
      </c>
      <c r="AG5" s="65"/>
      <c r="AH5" s="65"/>
    </row>
    <row r="6" spans="1:34" s="19" customFormat="1" ht="12.75" hidden="1" customHeight="1">
      <c r="A6" s="23" t="s">
        <v>13</v>
      </c>
      <c r="B6" s="1">
        <v>43168</v>
      </c>
      <c r="C6" s="68">
        <v>250</v>
      </c>
      <c r="D6" s="68">
        <v>3500</v>
      </c>
      <c r="E6" s="69">
        <f t="shared" si="0"/>
        <v>64</v>
      </c>
      <c r="F6" s="70">
        <f t="shared" si="0"/>
        <v>783</v>
      </c>
      <c r="G6" s="68">
        <f t="shared" si="1"/>
        <v>-186</v>
      </c>
      <c r="H6" s="68">
        <f t="shared" si="1"/>
        <v>-2717</v>
      </c>
      <c r="I6" s="75"/>
      <c r="J6" s="75"/>
      <c r="K6" s="70">
        <v>82</v>
      </c>
      <c r="L6" s="70">
        <v>1201</v>
      </c>
      <c r="M6" s="70">
        <f t="shared" ref="M6:M18" si="6">I6+K6</f>
        <v>82</v>
      </c>
      <c r="N6" s="70">
        <f t="shared" ref="N6:N18" si="7">J6+L6</f>
        <v>1201</v>
      </c>
      <c r="O6" s="75">
        <v>64</v>
      </c>
      <c r="P6" s="75">
        <v>783</v>
      </c>
      <c r="Q6" s="71"/>
      <c r="R6" s="71"/>
      <c r="S6" s="72"/>
      <c r="T6" s="252">
        <f t="shared" ref="T6:T16" si="8">E6/C6</f>
        <v>0.25600000000000001</v>
      </c>
      <c r="U6" s="73"/>
      <c r="V6" s="73"/>
      <c r="W6" s="73"/>
      <c r="X6" s="73"/>
      <c r="Y6" s="65"/>
      <c r="Z6" s="65"/>
      <c r="AA6" s="61">
        <f>H1</f>
        <v>12</v>
      </c>
      <c r="AB6" s="61" t="str">
        <f>E1</f>
        <v>AIS-SGD-040 W</v>
      </c>
      <c r="AC6" s="74" t="s">
        <v>90</v>
      </c>
      <c r="AD6" s="61" t="str">
        <f t="shared" si="3"/>
        <v>TAO</v>
      </c>
      <c r="AE6" s="61">
        <f t="shared" si="4"/>
        <v>250</v>
      </c>
      <c r="AF6" s="61">
        <f t="shared" si="5"/>
        <v>64</v>
      </c>
      <c r="AG6" s="65"/>
      <c r="AH6" s="65"/>
    </row>
    <row r="7" spans="1:34" s="19" customFormat="1" ht="12.75" hidden="1" customHeight="1">
      <c r="A7" s="23" t="s">
        <v>9</v>
      </c>
      <c r="B7" s="1" t="s">
        <v>67</v>
      </c>
      <c r="C7" s="68">
        <v>0</v>
      </c>
      <c r="D7" s="68">
        <v>0</v>
      </c>
      <c r="E7" s="69">
        <f t="shared" si="0"/>
        <v>0</v>
      </c>
      <c r="F7" s="70">
        <f t="shared" si="0"/>
        <v>0</v>
      </c>
      <c r="G7" s="68">
        <f t="shared" si="1"/>
        <v>0</v>
      </c>
      <c r="H7" s="68">
        <f t="shared" si="1"/>
        <v>0</v>
      </c>
      <c r="I7" s="75"/>
      <c r="J7" s="75"/>
      <c r="K7" s="71"/>
      <c r="L7" s="71"/>
      <c r="M7" s="70">
        <f t="shared" si="6"/>
        <v>0</v>
      </c>
      <c r="N7" s="70">
        <f t="shared" si="7"/>
        <v>0</v>
      </c>
      <c r="O7" s="75"/>
      <c r="P7" s="75"/>
      <c r="Q7" s="71"/>
      <c r="R7" s="71"/>
      <c r="S7" s="72"/>
      <c r="T7" s="252" t="e">
        <f t="shared" si="8"/>
        <v>#DIV/0!</v>
      </c>
      <c r="U7" s="73"/>
      <c r="V7" s="73"/>
      <c r="W7" s="73"/>
      <c r="X7" s="73"/>
      <c r="Y7" s="65"/>
      <c r="Z7" s="65"/>
      <c r="AA7" s="61">
        <f>H1</f>
        <v>12</v>
      </c>
      <c r="AB7" s="61" t="str">
        <f>E1</f>
        <v>AIS-SGD-040 W</v>
      </c>
      <c r="AC7" s="74" t="s">
        <v>90</v>
      </c>
      <c r="AD7" s="61" t="str">
        <f t="shared" si="3"/>
        <v>SHA</v>
      </c>
      <c r="AE7" s="61">
        <f t="shared" si="4"/>
        <v>0</v>
      </c>
      <c r="AF7" s="61">
        <f t="shared" si="5"/>
        <v>0</v>
      </c>
      <c r="AG7" s="65"/>
      <c r="AH7" s="65"/>
    </row>
    <row r="8" spans="1:34" s="19" customFormat="1" ht="12.75" hidden="1" customHeight="1">
      <c r="A8" s="23" t="s">
        <v>8</v>
      </c>
      <c r="B8" s="1">
        <v>43173</v>
      </c>
      <c r="C8" s="68">
        <v>0</v>
      </c>
      <c r="D8" s="68">
        <v>0</v>
      </c>
      <c r="E8" s="69">
        <f t="shared" si="0"/>
        <v>38</v>
      </c>
      <c r="F8" s="70">
        <f t="shared" si="0"/>
        <v>309</v>
      </c>
      <c r="G8" s="68">
        <f t="shared" si="1"/>
        <v>38</v>
      </c>
      <c r="H8" s="68">
        <f t="shared" si="1"/>
        <v>309</v>
      </c>
      <c r="I8" s="71"/>
      <c r="J8" s="71"/>
      <c r="K8" s="71"/>
      <c r="L8" s="71"/>
      <c r="M8" s="70">
        <f t="shared" si="6"/>
        <v>0</v>
      </c>
      <c r="N8" s="70">
        <f t="shared" si="7"/>
        <v>0</v>
      </c>
      <c r="O8" s="71"/>
      <c r="P8" s="71"/>
      <c r="Q8" s="71">
        <v>38</v>
      </c>
      <c r="R8" s="71">
        <v>309</v>
      </c>
      <c r="S8" s="72"/>
      <c r="T8" s="252" t="e">
        <f t="shared" si="8"/>
        <v>#DIV/0!</v>
      </c>
      <c r="U8" s="73"/>
      <c r="V8" s="73"/>
      <c r="W8" s="73"/>
      <c r="X8" s="73"/>
      <c r="Y8" s="65"/>
      <c r="Z8" s="65"/>
      <c r="AA8" s="61">
        <f>H1</f>
        <v>12</v>
      </c>
      <c r="AB8" s="61" t="str">
        <f>E1</f>
        <v>AIS-SGD-040 W</v>
      </c>
      <c r="AC8" s="74" t="s">
        <v>90</v>
      </c>
      <c r="AD8" s="61" t="str">
        <f t="shared" si="3"/>
        <v>NGB</v>
      </c>
      <c r="AE8" s="61">
        <f t="shared" si="4"/>
        <v>0</v>
      </c>
      <c r="AF8" s="61">
        <f t="shared" si="5"/>
        <v>38</v>
      </c>
      <c r="AG8" s="65"/>
      <c r="AH8" s="65"/>
    </row>
    <row r="9" spans="1:34" s="19" customFormat="1" ht="12.75" hidden="1" customHeight="1">
      <c r="A9" s="23" t="s">
        <v>10</v>
      </c>
      <c r="B9" s="1" t="s">
        <v>67</v>
      </c>
      <c r="C9" s="68">
        <v>0</v>
      </c>
      <c r="D9" s="68">
        <v>0</v>
      </c>
      <c r="E9" s="69">
        <f t="shared" si="0"/>
        <v>0</v>
      </c>
      <c r="F9" s="70">
        <f t="shared" si="0"/>
        <v>0</v>
      </c>
      <c r="G9" s="68">
        <f t="shared" si="1"/>
        <v>0</v>
      </c>
      <c r="H9" s="68">
        <f t="shared" si="1"/>
        <v>0</v>
      </c>
      <c r="I9" s="75"/>
      <c r="J9" s="75"/>
      <c r="K9" s="70"/>
      <c r="L9" s="70"/>
      <c r="M9" s="70">
        <f t="shared" si="6"/>
        <v>0</v>
      </c>
      <c r="N9" s="70">
        <f t="shared" si="7"/>
        <v>0</v>
      </c>
      <c r="O9" s="75"/>
      <c r="P9" s="75"/>
      <c r="Q9" s="70"/>
      <c r="R9" s="70"/>
      <c r="S9" s="72"/>
      <c r="T9" s="252" t="e">
        <f t="shared" si="8"/>
        <v>#DIV/0!</v>
      </c>
      <c r="U9" s="73"/>
      <c r="V9" s="73"/>
      <c r="W9" s="73"/>
      <c r="X9" s="73"/>
      <c r="Y9" s="65"/>
      <c r="Z9" s="65"/>
      <c r="AA9" s="61">
        <f>H1</f>
        <v>12</v>
      </c>
      <c r="AB9" s="61" t="str">
        <f>E1</f>
        <v>AIS-SGD-040 W</v>
      </c>
      <c r="AC9" s="74" t="s">
        <v>90</v>
      </c>
      <c r="AD9" s="61" t="str">
        <f t="shared" si="3"/>
        <v>WUH</v>
      </c>
      <c r="AE9" s="61">
        <f t="shared" si="4"/>
        <v>0</v>
      </c>
      <c r="AF9" s="61">
        <f t="shared" si="5"/>
        <v>0</v>
      </c>
      <c r="AG9" s="65"/>
      <c r="AH9" s="65"/>
    </row>
    <row r="10" spans="1:34" s="19" customFormat="1" ht="12.75" hidden="1" customHeight="1">
      <c r="A10" s="23" t="s">
        <v>11</v>
      </c>
      <c r="B10" s="1" t="s">
        <v>18</v>
      </c>
      <c r="C10" s="68">
        <v>0</v>
      </c>
      <c r="D10" s="68">
        <v>0</v>
      </c>
      <c r="E10" s="69">
        <f t="shared" si="0"/>
        <v>0</v>
      </c>
      <c r="F10" s="70">
        <f t="shared" si="0"/>
        <v>0</v>
      </c>
      <c r="G10" s="68">
        <f t="shared" si="1"/>
        <v>0</v>
      </c>
      <c r="H10" s="68">
        <f t="shared" si="1"/>
        <v>0</v>
      </c>
      <c r="I10" s="70"/>
      <c r="J10" s="70"/>
      <c r="K10" s="70"/>
      <c r="L10" s="70"/>
      <c r="M10" s="70">
        <f t="shared" si="6"/>
        <v>0</v>
      </c>
      <c r="N10" s="70">
        <f t="shared" si="7"/>
        <v>0</v>
      </c>
      <c r="O10" s="75"/>
      <c r="P10" s="75"/>
      <c r="Q10" s="70"/>
      <c r="R10" s="70"/>
      <c r="S10" s="72"/>
      <c r="T10" s="252" t="e">
        <f t="shared" si="8"/>
        <v>#DIV/0!</v>
      </c>
      <c r="U10" s="73"/>
      <c r="V10" s="73"/>
      <c r="W10" s="73"/>
      <c r="X10" s="73"/>
      <c r="Y10" s="65"/>
      <c r="Z10" s="65"/>
      <c r="AA10" s="61">
        <f>H1</f>
        <v>12</v>
      </c>
      <c r="AB10" s="61" t="str">
        <f>E1</f>
        <v>AIS-SGD-040 W</v>
      </c>
      <c r="AC10" s="74" t="s">
        <v>90</v>
      </c>
      <c r="AD10" s="61" t="str">
        <f t="shared" si="3"/>
        <v>DLC</v>
      </c>
      <c r="AE10" s="61">
        <f t="shared" si="4"/>
        <v>0</v>
      </c>
      <c r="AF10" s="61">
        <f t="shared" si="5"/>
        <v>0</v>
      </c>
      <c r="AG10" s="65"/>
      <c r="AH10" s="65"/>
    </row>
    <row r="11" spans="1:34" s="19" customFormat="1" ht="12.75" hidden="1" customHeight="1">
      <c r="A11" s="23" t="s">
        <v>12</v>
      </c>
      <c r="B11" s="1" t="s">
        <v>18</v>
      </c>
      <c r="C11" s="68">
        <v>0</v>
      </c>
      <c r="D11" s="68">
        <v>0</v>
      </c>
      <c r="E11" s="69">
        <f t="shared" si="0"/>
        <v>38</v>
      </c>
      <c r="F11" s="70">
        <f t="shared" si="0"/>
        <v>533</v>
      </c>
      <c r="G11" s="68">
        <f t="shared" si="1"/>
        <v>38</v>
      </c>
      <c r="H11" s="68">
        <f t="shared" si="1"/>
        <v>533</v>
      </c>
      <c r="I11" s="70"/>
      <c r="J11" s="70"/>
      <c r="K11" s="70"/>
      <c r="L11" s="70"/>
      <c r="M11" s="70">
        <f t="shared" si="6"/>
        <v>0</v>
      </c>
      <c r="N11" s="70">
        <f t="shared" si="7"/>
        <v>0</v>
      </c>
      <c r="O11" s="75"/>
      <c r="P11" s="75"/>
      <c r="Q11" s="76">
        <v>38</v>
      </c>
      <c r="R11" s="71">
        <v>533</v>
      </c>
      <c r="S11" s="72"/>
      <c r="T11" s="252" t="e">
        <f t="shared" si="8"/>
        <v>#DIV/0!</v>
      </c>
      <c r="U11" s="73"/>
      <c r="V11" s="73"/>
      <c r="W11" s="73"/>
      <c r="X11" s="73"/>
      <c r="Y11" s="65"/>
      <c r="Z11" s="65"/>
      <c r="AA11" s="61">
        <f>H1</f>
        <v>12</v>
      </c>
      <c r="AB11" s="61" t="str">
        <f>E1</f>
        <v>AIS-SGD-040 W</v>
      </c>
      <c r="AC11" s="74" t="s">
        <v>90</v>
      </c>
      <c r="AD11" s="61" t="str">
        <f t="shared" si="3"/>
        <v>TSN</v>
      </c>
      <c r="AE11" s="61">
        <f t="shared" si="4"/>
        <v>0</v>
      </c>
      <c r="AF11" s="61">
        <f t="shared" si="5"/>
        <v>38</v>
      </c>
      <c r="AG11" s="65"/>
      <c r="AH11" s="65"/>
    </row>
    <row r="12" spans="1:34" s="19" customFormat="1" ht="12.75" hidden="1" customHeight="1">
      <c r="A12" s="23" t="s">
        <v>14</v>
      </c>
      <c r="B12" s="1" t="s">
        <v>18</v>
      </c>
      <c r="C12" s="68">
        <v>0</v>
      </c>
      <c r="D12" s="68">
        <v>0</v>
      </c>
      <c r="E12" s="69">
        <v>0</v>
      </c>
      <c r="F12" s="70">
        <v>0</v>
      </c>
      <c r="G12" s="68">
        <f t="shared" si="1"/>
        <v>0</v>
      </c>
      <c r="H12" s="68">
        <f t="shared" si="1"/>
        <v>0</v>
      </c>
      <c r="I12" s="70"/>
      <c r="J12" s="70"/>
      <c r="K12" s="70"/>
      <c r="L12" s="70"/>
      <c r="M12" s="70">
        <f t="shared" si="6"/>
        <v>0</v>
      </c>
      <c r="N12" s="70">
        <f t="shared" si="7"/>
        <v>0</v>
      </c>
      <c r="O12" s="71"/>
      <c r="P12" s="71"/>
      <c r="Q12" s="70"/>
      <c r="R12" s="70"/>
      <c r="S12" s="72"/>
      <c r="T12" s="252" t="e">
        <f t="shared" si="8"/>
        <v>#DIV/0!</v>
      </c>
      <c r="U12" s="73"/>
      <c r="V12" s="73"/>
      <c r="W12" s="73"/>
      <c r="X12" s="73"/>
      <c r="Y12" s="65"/>
      <c r="Z12" s="65"/>
      <c r="AA12" s="61">
        <f>H1</f>
        <v>12</v>
      </c>
      <c r="AB12" s="61" t="str">
        <f>E1</f>
        <v>AIS-SGD-040 W</v>
      </c>
      <c r="AC12" s="74" t="s">
        <v>90</v>
      </c>
      <c r="AD12" s="61" t="str">
        <f t="shared" si="3"/>
        <v>XMN</v>
      </c>
      <c r="AE12" s="61">
        <f t="shared" si="4"/>
        <v>0</v>
      </c>
      <c r="AF12" s="61">
        <f t="shared" si="5"/>
        <v>0</v>
      </c>
      <c r="AG12" s="65"/>
      <c r="AH12" s="65"/>
    </row>
    <row r="13" spans="1:34" s="19" customFormat="1" ht="12.75" hidden="1" customHeight="1">
      <c r="A13" s="23" t="s">
        <v>19</v>
      </c>
      <c r="B13" s="1" t="s">
        <v>18</v>
      </c>
      <c r="C13" s="68">
        <v>0</v>
      </c>
      <c r="D13" s="68">
        <v>0</v>
      </c>
      <c r="E13" s="69">
        <v>0</v>
      </c>
      <c r="F13" s="70">
        <v>0</v>
      </c>
      <c r="G13" s="68">
        <f t="shared" si="1"/>
        <v>0</v>
      </c>
      <c r="H13" s="68">
        <f t="shared" si="1"/>
        <v>0</v>
      </c>
      <c r="I13" s="70"/>
      <c r="J13" s="70"/>
      <c r="K13" s="70"/>
      <c r="L13" s="70"/>
      <c r="M13" s="70">
        <f t="shared" si="6"/>
        <v>0</v>
      </c>
      <c r="N13" s="70">
        <f t="shared" si="7"/>
        <v>0</v>
      </c>
      <c r="O13" s="70"/>
      <c r="P13" s="70"/>
      <c r="Q13" s="70"/>
      <c r="R13" s="70"/>
      <c r="S13" s="72"/>
      <c r="T13" s="252" t="e">
        <f t="shared" si="8"/>
        <v>#DIV/0!</v>
      </c>
      <c r="U13" s="73"/>
      <c r="V13" s="73"/>
      <c r="W13" s="73"/>
      <c r="X13" s="73"/>
      <c r="Y13" s="65"/>
      <c r="Z13" s="65"/>
      <c r="AA13" s="61">
        <f>H1</f>
        <v>12</v>
      </c>
      <c r="AB13" s="61" t="str">
        <f>E1</f>
        <v>AIS-SGD-040 W</v>
      </c>
      <c r="AC13" s="74" t="s">
        <v>90</v>
      </c>
      <c r="AD13" s="61" t="str">
        <f t="shared" si="3"/>
        <v>TWC</v>
      </c>
      <c r="AE13" s="61">
        <f t="shared" si="4"/>
        <v>0</v>
      </c>
      <c r="AF13" s="61">
        <f t="shared" si="5"/>
        <v>0</v>
      </c>
      <c r="AG13" s="65"/>
      <c r="AH13" s="65"/>
    </row>
    <row r="14" spans="1:34" s="19" customFormat="1" ht="12.75" hidden="1" customHeight="1">
      <c r="A14" s="23" t="s">
        <v>16</v>
      </c>
      <c r="B14" s="1">
        <v>43175</v>
      </c>
      <c r="C14" s="68">
        <v>0</v>
      </c>
      <c r="D14" s="68">
        <v>0</v>
      </c>
      <c r="E14" s="69">
        <f t="shared" ref="E14:F18" si="9">O14+Q14</f>
        <v>24</v>
      </c>
      <c r="F14" s="70">
        <f t="shared" si="9"/>
        <v>193</v>
      </c>
      <c r="G14" s="68">
        <f t="shared" si="1"/>
        <v>24</v>
      </c>
      <c r="H14" s="68">
        <f t="shared" si="1"/>
        <v>193</v>
      </c>
      <c r="I14" s="70"/>
      <c r="J14" s="70"/>
      <c r="K14" s="70"/>
      <c r="L14" s="70"/>
      <c r="M14" s="70">
        <f t="shared" si="6"/>
        <v>0</v>
      </c>
      <c r="N14" s="70">
        <f t="shared" si="7"/>
        <v>0</v>
      </c>
      <c r="O14" s="70"/>
      <c r="P14" s="70"/>
      <c r="Q14" s="70">
        <v>24</v>
      </c>
      <c r="R14" s="86">
        <v>193</v>
      </c>
      <c r="S14" s="72"/>
      <c r="T14" s="252" t="e">
        <f t="shared" si="8"/>
        <v>#DIV/0!</v>
      </c>
      <c r="U14" s="73"/>
      <c r="V14" s="73"/>
      <c r="W14" s="73"/>
      <c r="X14" s="73"/>
      <c r="Y14" s="65"/>
      <c r="Z14" s="65"/>
      <c r="AA14" s="61">
        <f>H1</f>
        <v>12</v>
      </c>
      <c r="AB14" s="61" t="str">
        <f>E1</f>
        <v>AIS-SGD-040 W</v>
      </c>
      <c r="AC14" s="74" t="s">
        <v>90</v>
      </c>
      <c r="AD14" s="61" t="str">
        <f t="shared" si="3"/>
        <v>HUA</v>
      </c>
      <c r="AE14" s="61">
        <f t="shared" si="4"/>
        <v>0</v>
      </c>
      <c r="AF14" s="61">
        <f t="shared" si="5"/>
        <v>24</v>
      </c>
      <c r="AG14" s="65"/>
      <c r="AH14" s="65"/>
    </row>
    <row r="15" spans="1:34" s="19" customFormat="1" ht="12.75" hidden="1" customHeight="1">
      <c r="A15" s="23" t="s">
        <v>2</v>
      </c>
      <c r="B15" s="26"/>
      <c r="C15" s="68"/>
      <c r="D15" s="68"/>
      <c r="E15" s="69">
        <f t="shared" si="9"/>
        <v>0</v>
      </c>
      <c r="F15" s="70">
        <f t="shared" si="9"/>
        <v>0</v>
      </c>
      <c r="G15" s="68"/>
      <c r="H15" s="68"/>
      <c r="I15" s="70"/>
      <c r="J15" s="70"/>
      <c r="K15" s="70"/>
      <c r="L15" s="70"/>
      <c r="M15" s="70">
        <f t="shared" si="6"/>
        <v>0</v>
      </c>
      <c r="N15" s="70">
        <f t="shared" si="7"/>
        <v>0</v>
      </c>
      <c r="O15" s="70"/>
      <c r="P15" s="70"/>
      <c r="Q15" s="70"/>
      <c r="R15" s="70"/>
      <c r="S15" s="72"/>
      <c r="T15" s="252" t="e">
        <f t="shared" si="8"/>
        <v>#DIV/0!</v>
      </c>
      <c r="U15" s="73"/>
      <c r="V15" s="73"/>
      <c r="W15" s="73"/>
      <c r="X15" s="73"/>
      <c r="Y15" s="65"/>
      <c r="Z15" s="65"/>
      <c r="AA15" s="61">
        <f>H1</f>
        <v>12</v>
      </c>
      <c r="AB15" s="61" t="str">
        <f>E1</f>
        <v>AIS-SGD-040 W</v>
      </c>
      <c r="AC15" s="74" t="s">
        <v>90</v>
      </c>
      <c r="AD15" s="61" t="str">
        <f t="shared" si="3"/>
        <v>HKG</v>
      </c>
      <c r="AE15" s="61">
        <f t="shared" si="4"/>
        <v>0</v>
      </c>
      <c r="AF15" s="61">
        <f t="shared" si="5"/>
        <v>0</v>
      </c>
      <c r="AG15" s="65"/>
      <c r="AH15" s="65"/>
    </row>
    <row r="16" spans="1:34" s="19" customFormat="1" ht="12.75" hidden="1" customHeight="1">
      <c r="A16" s="23" t="s">
        <v>3</v>
      </c>
      <c r="B16" s="1">
        <v>43180</v>
      </c>
      <c r="C16" s="68">
        <v>120</v>
      </c>
      <c r="D16" s="68">
        <v>1680</v>
      </c>
      <c r="E16" s="69">
        <f t="shared" si="9"/>
        <v>0</v>
      </c>
      <c r="F16" s="70">
        <f t="shared" si="9"/>
        <v>0</v>
      </c>
      <c r="G16" s="68">
        <f t="shared" ref="G16:H19" si="10">E16-C16</f>
        <v>-120</v>
      </c>
      <c r="H16" s="68">
        <f t="shared" si="10"/>
        <v>-1680</v>
      </c>
      <c r="I16" s="70"/>
      <c r="J16" s="70"/>
      <c r="K16" s="70"/>
      <c r="L16" s="70"/>
      <c r="M16" s="70">
        <f t="shared" si="6"/>
        <v>0</v>
      </c>
      <c r="N16" s="70">
        <f t="shared" si="7"/>
        <v>0</v>
      </c>
      <c r="O16" s="68"/>
      <c r="P16" s="68"/>
      <c r="Q16" s="70"/>
      <c r="R16" s="70"/>
      <c r="S16" s="77" t="s">
        <v>476</v>
      </c>
      <c r="T16" s="252">
        <f t="shared" si="8"/>
        <v>0</v>
      </c>
      <c r="U16" s="73"/>
      <c r="V16" s="73"/>
      <c r="W16" s="73"/>
      <c r="X16" s="73"/>
      <c r="Y16" s="65"/>
      <c r="Z16" s="65"/>
      <c r="AA16" s="61">
        <f>H1</f>
        <v>12</v>
      </c>
      <c r="AB16" s="61" t="str">
        <f>E1</f>
        <v>AIS-SGD-040 W</v>
      </c>
      <c r="AC16" s="74" t="s">
        <v>90</v>
      </c>
      <c r="AD16" s="61" t="str">
        <f t="shared" si="3"/>
        <v>SGP</v>
      </c>
      <c r="AE16" s="61">
        <f t="shared" si="4"/>
        <v>120</v>
      </c>
      <c r="AF16" s="61">
        <f t="shared" si="5"/>
        <v>0</v>
      </c>
      <c r="AG16" s="65"/>
      <c r="AH16" s="65"/>
    </row>
    <row r="17" spans="1:34" s="19" customFormat="1" ht="12.75" hidden="1" customHeight="1">
      <c r="A17" s="23" t="s">
        <v>4</v>
      </c>
      <c r="B17" s="1">
        <v>43181</v>
      </c>
      <c r="C17" s="68">
        <v>30</v>
      </c>
      <c r="D17" s="68">
        <v>420</v>
      </c>
      <c r="E17" s="69">
        <f t="shared" si="9"/>
        <v>27</v>
      </c>
      <c r="F17" s="70">
        <f t="shared" si="9"/>
        <v>461</v>
      </c>
      <c r="G17" s="68">
        <f t="shared" si="10"/>
        <v>-3</v>
      </c>
      <c r="H17" s="68">
        <f t="shared" si="10"/>
        <v>41</v>
      </c>
      <c r="I17" s="70"/>
      <c r="J17" s="70"/>
      <c r="K17" s="70"/>
      <c r="L17" s="70"/>
      <c r="M17" s="70">
        <f t="shared" si="6"/>
        <v>0</v>
      </c>
      <c r="N17" s="70">
        <f t="shared" si="7"/>
        <v>0</v>
      </c>
      <c r="O17" s="70"/>
      <c r="P17" s="70"/>
      <c r="Q17" s="70">
        <v>27</v>
      </c>
      <c r="R17" s="70">
        <v>461</v>
      </c>
      <c r="S17" s="72"/>
      <c r="T17" s="252">
        <f>E17/C17</f>
        <v>0.9</v>
      </c>
      <c r="U17" s="73"/>
      <c r="V17" s="73"/>
      <c r="W17" s="73"/>
      <c r="X17" s="73"/>
      <c r="Y17" s="65"/>
      <c r="Z17" s="65"/>
      <c r="AA17" s="61">
        <f>H1</f>
        <v>12</v>
      </c>
      <c r="AB17" s="61" t="str">
        <f>E1</f>
        <v>AIS-SGD-040 W</v>
      </c>
      <c r="AC17" s="74" t="s">
        <v>90</v>
      </c>
      <c r="AD17" s="61" t="str">
        <f t="shared" si="3"/>
        <v>PKL</v>
      </c>
      <c r="AE17" s="61">
        <f t="shared" si="4"/>
        <v>30</v>
      </c>
      <c r="AF17" s="61">
        <f t="shared" si="5"/>
        <v>27</v>
      </c>
      <c r="AG17" s="65"/>
      <c r="AH17" s="65"/>
    </row>
    <row r="18" spans="1:34" s="19" customFormat="1" ht="12.75" hidden="1" customHeight="1">
      <c r="A18" s="23" t="s">
        <v>31</v>
      </c>
      <c r="B18" s="20"/>
      <c r="C18" s="68"/>
      <c r="D18" s="68"/>
      <c r="E18" s="69">
        <f t="shared" si="9"/>
        <v>46</v>
      </c>
      <c r="F18" s="70">
        <f t="shared" si="9"/>
        <v>826</v>
      </c>
      <c r="G18" s="68">
        <f t="shared" si="10"/>
        <v>46</v>
      </c>
      <c r="H18" s="68">
        <f t="shared" si="10"/>
        <v>826</v>
      </c>
      <c r="I18" s="70"/>
      <c r="J18" s="70"/>
      <c r="K18" s="70"/>
      <c r="L18" s="70"/>
      <c r="M18" s="70">
        <f t="shared" si="6"/>
        <v>0</v>
      </c>
      <c r="N18" s="70">
        <f t="shared" si="7"/>
        <v>0</v>
      </c>
      <c r="O18" s="71"/>
      <c r="P18" s="71"/>
      <c r="Q18" s="71">
        <f>8+76-Q11</f>
        <v>46</v>
      </c>
      <c r="R18" s="71">
        <f>120+1239-R11</f>
        <v>826</v>
      </c>
      <c r="S18" s="72"/>
      <c r="T18" s="73"/>
      <c r="U18" s="73"/>
      <c r="V18" s="73"/>
      <c r="W18" s="73"/>
      <c r="X18" s="73"/>
      <c r="Y18" s="65"/>
      <c r="Z18" s="65"/>
      <c r="AA18" s="61">
        <f>H1</f>
        <v>12</v>
      </c>
      <c r="AB18" s="61" t="str">
        <f>E1</f>
        <v>AIS-SGD-040 W</v>
      </c>
      <c r="AC18" s="74" t="s">
        <v>90</v>
      </c>
      <c r="AD18" s="61" t="str">
        <f t="shared" si="3"/>
        <v>COSCO T/S</v>
      </c>
      <c r="AE18" s="61">
        <f t="shared" si="4"/>
        <v>0</v>
      </c>
      <c r="AF18" s="61">
        <f t="shared" si="5"/>
        <v>46</v>
      </c>
      <c r="AG18" s="65"/>
      <c r="AH18" s="65"/>
    </row>
    <row r="19" spans="1:34" s="19" customFormat="1" ht="12.75" hidden="1" customHeight="1">
      <c r="A19" s="23" t="s">
        <v>35</v>
      </c>
      <c r="B19" s="22"/>
      <c r="C19" s="71">
        <v>530</v>
      </c>
      <c r="D19" s="71">
        <f>SUM(D5:D18)</f>
        <v>7700</v>
      </c>
      <c r="E19" s="78">
        <f>SUM(E5:E18)</f>
        <v>379</v>
      </c>
      <c r="F19" s="76">
        <f>SUM(F5:F18)</f>
        <v>5161</v>
      </c>
      <c r="G19" s="71">
        <f t="shared" si="10"/>
        <v>-151</v>
      </c>
      <c r="H19" s="71">
        <f t="shared" si="10"/>
        <v>-2539</v>
      </c>
      <c r="I19" s="70">
        <f t="shared" ref="I19:N19" si="11">SUM(I5:I18)</f>
        <v>0</v>
      </c>
      <c r="J19" s="70">
        <f t="shared" si="11"/>
        <v>0</v>
      </c>
      <c r="K19" s="70">
        <f t="shared" si="11"/>
        <v>104</v>
      </c>
      <c r="L19" s="70">
        <f t="shared" si="11"/>
        <v>1463</v>
      </c>
      <c r="M19" s="70">
        <f t="shared" si="11"/>
        <v>104</v>
      </c>
      <c r="N19" s="70">
        <f t="shared" si="11"/>
        <v>1463</v>
      </c>
      <c r="O19" s="70">
        <f>SUM(O5:O18)</f>
        <v>206</v>
      </c>
      <c r="P19" s="70">
        <f t="shared" ref="P19:R19" si="12">SUM(P5:P18)</f>
        <v>2839</v>
      </c>
      <c r="Q19" s="70">
        <f t="shared" si="12"/>
        <v>173</v>
      </c>
      <c r="R19" s="70">
        <f t="shared" si="12"/>
        <v>2322</v>
      </c>
      <c r="S19" s="72"/>
      <c r="T19" s="73"/>
      <c r="U19" s="73"/>
      <c r="V19" s="73"/>
      <c r="W19" s="73"/>
      <c r="X19" s="73"/>
      <c r="Y19" s="65"/>
      <c r="Z19" s="65"/>
      <c r="AA19" s="61"/>
      <c r="AB19" s="61"/>
      <c r="AC19" s="74"/>
      <c r="AD19" s="61"/>
      <c r="AE19" s="61"/>
      <c r="AF19" s="61"/>
      <c r="AG19" s="65"/>
      <c r="AH19" s="65"/>
    </row>
    <row r="20" spans="1:34" s="65" customFormat="1" ht="12.75" hidden="1" customHeight="1">
      <c r="A20" s="84">
        <f>D19/C19</f>
        <v>14.528301886792454</v>
      </c>
      <c r="C20" s="79">
        <f>F19-E20</f>
        <v>-1769</v>
      </c>
      <c r="E20" s="65">
        <f>D19*0.9</f>
        <v>6930</v>
      </c>
      <c r="F20" s="79">
        <f>E19-L20</f>
        <v>-98</v>
      </c>
      <c r="I20" s="80" t="s">
        <v>48</v>
      </c>
      <c r="J20" s="245">
        <f>E19/C19</f>
        <v>0.71509433962264146</v>
      </c>
      <c r="K20" s="80"/>
      <c r="L20" s="80">
        <f>C19*0.9</f>
        <v>477</v>
      </c>
      <c r="M20" s="80"/>
      <c r="N20" s="80"/>
      <c r="O20" s="80" t="s">
        <v>49</v>
      </c>
      <c r="P20" s="80"/>
      <c r="Q20" s="65">
        <f>P6+P7+P9+P10+P11+J6+J7+L6+L7+J9+R9</f>
        <v>1984</v>
      </c>
      <c r="R20" s="65">
        <v>16856</v>
      </c>
      <c r="AA20" s="61"/>
      <c r="AB20" s="61"/>
      <c r="AC20" s="74"/>
      <c r="AD20" s="61"/>
      <c r="AE20" s="61"/>
      <c r="AF20" s="61"/>
    </row>
    <row r="21" spans="1:34" s="19" customFormat="1" ht="12.75" hidden="1" customHeight="1">
      <c r="C21" s="65"/>
      <c r="D21" s="65"/>
      <c r="E21" s="65"/>
      <c r="F21" s="65"/>
      <c r="G21" s="65"/>
      <c r="H21" s="65"/>
      <c r="I21" s="80"/>
      <c r="J21" s="80"/>
      <c r="K21" s="80"/>
      <c r="L21" s="80"/>
      <c r="M21" s="80"/>
      <c r="N21" s="80"/>
      <c r="O21" s="80"/>
      <c r="P21" s="80"/>
      <c r="Q21" s="65"/>
      <c r="R21" s="65">
        <f>R20-Q20</f>
        <v>14872</v>
      </c>
      <c r="S21" s="65"/>
      <c r="T21" s="65"/>
      <c r="U21" s="65"/>
      <c r="V21" s="65"/>
      <c r="W21" s="65"/>
      <c r="X21" s="65"/>
      <c r="Y21" s="65"/>
      <c r="Z21" s="65"/>
      <c r="AA21" s="61"/>
      <c r="AB21" s="61"/>
      <c r="AC21" s="74"/>
      <c r="AD21" s="61"/>
      <c r="AE21" s="61"/>
      <c r="AF21" s="61"/>
      <c r="AG21" s="65"/>
      <c r="AH21" s="65"/>
    </row>
    <row r="22" spans="1:34" s="18" customFormat="1" ht="12.75" hidden="1" customHeight="1">
      <c r="A22" s="16" t="s">
        <v>91</v>
      </c>
      <c r="B22" s="17" t="s">
        <v>92</v>
      </c>
      <c r="C22" s="56"/>
      <c r="D22" s="57"/>
      <c r="E22" s="58" t="s">
        <v>475</v>
      </c>
      <c r="F22" s="57"/>
      <c r="G22" s="59" t="s">
        <v>37</v>
      </c>
      <c r="H22" s="60">
        <f>H1+1</f>
        <v>13</v>
      </c>
      <c r="I22" s="57"/>
      <c r="J22" s="57"/>
      <c r="K22" s="57"/>
      <c r="L22" s="57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2"/>
      <c r="Z22" s="62"/>
      <c r="AA22" s="62"/>
      <c r="AB22" s="62"/>
      <c r="AC22" s="62"/>
      <c r="AD22" s="63"/>
      <c r="AE22" s="63"/>
      <c r="AF22" s="63"/>
      <c r="AG22" s="63"/>
      <c r="AH22" s="63"/>
    </row>
    <row r="23" spans="1:34" s="19" customFormat="1" ht="12.75" hidden="1" customHeight="1">
      <c r="A23" s="340" t="s">
        <v>0</v>
      </c>
      <c r="B23" s="336" t="s">
        <v>1</v>
      </c>
      <c r="C23" s="331" t="s">
        <v>25</v>
      </c>
      <c r="D23" s="332"/>
      <c r="E23" s="331" t="s">
        <v>21</v>
      </c>
      <c r="F23" s="332"/>
      <c r="G23" s="335" t="s">
        <v>24</v>
      </c>
      <c r="H23" s="335"/>
      <c r="I23" s="328" t="s">
        <v>33</v>
      </c>
      <c r="J23" s="329"/>
      <c r="K23" s="329"/>
      <c r="L23" s="329"/>
      <c r="M23" s="329"/>
      <c r="N23" s="330"/>
      <c r="O23" s="331" t="s">
        <v>22</v>
      </c>
      <c r="P23" s="332"/>
      <c r="Q23" s="335" t="s">
        <v>23</v>
      </c>
      <c r="R23" s="335"/>
      <c r="S23" s="336" t="s">
        <v>27</v>
      </c>
      <c r="T23" s="64"/>
      <c r="U23" s="64"/>
      <c r="V23" s="64"/>
      <c r="W23" s="64"/>
      <c r="X23" s="64"/>
      <c r="Y23" s="339"/>
      <c r="Z23" s="85"/>
      <c r="AA23" s="61"/>
      <c r="AB23" s="61"/>
      <c r="AC23" s="74"/>
      <c r="AD23" s="61"/>
      <c r="AE23" s="61"/>
      <c r="AF23" s="61"/>
      <c r="AG23" s="65"/>
      <c r="AH23" s="65"/>
    </row>
    <row r="24" spans="1:34" s="19" customFormat="1" ht="12.75" hidden="1" customHeight="1">
      <c r="A24" s="341"/>
      <c r="B24" s="337"/>
      <c r="C24" s="333"/>
      <c r="D24" s="334"/>
      <c r="E24" s="333"/>
      <c r="F24" s="334"/>
      <c r="G24" s="335"/>
      <c r="H24" s="335"/>
      <c r="I24" s="66" t="s">
        <v>28</v>
      </c>
      <c r="J24" s="67" t="s">
        <v>3</v>
      </c>
      <c r="K24" s="66" t="s">
        <v>29</v>
      </c>
      <c r="L24" s="67" t="s">
        <v>4</v>
      </c>
      <c r="M24" s="328" t="s">
        <v>30</v>
      </c>
      <c r="N24" s="330"/>
      <c r="O24" s="333"/>
      <c r="P24" s="334"/>
      <c r="Q24" s="335"/>
      <c r="R24" s="335"/>
      <c r="S24" s="337"/>
      <c r="T24" s="64"/>
      <c r="U24" s="64"/>
      <c r="V24" s="64"/>
      <c r="W24" s="64"/>
      <c r="X24" s="64"/>
      <c r="Y24" s="339"/>
      <c r="Z24" s="85"/>
      <c r="AA24" s="61"/>
      <c r="AB24" s="61"/>
      <c r="AC24" s="74"/>
      <c r="AD24" s="61"/>
      <c r="AE24" s="61"/>
      <c r="AF24" s="61"/>
      <c r="AG24" s="65"/>
      <c r="AH24" s="65"/>
    </row>
    <row r="25" spans="1:34" s="19" customFormat="1" ht="12.75" hidden="1" customHeight="1">
      <c r="A25" s="342"/>
      <c r="B25" s="338"/>
      <c r="C25" s="68" t="s">
        <v>5</v>
      </c>
      <c r="D25" s="68" t="s">
        <v>6</v>
      </c>
      <c r="E25" s="67" t="s">
        <v>5</v>
      </c>
      <c r="F25" s="68" t="s">
        <v>6</v>
      </c>
      <c r="G25" s="68" t="s">
        <v>5</v>
      </c>
      <c r="H25" s="68" t="s">
        <v>6</v>
      </c>
      <c r="I25" s="67" t="s">
        <v>5</v>
      </c>
      <c r="J25" s="68" t="s">
        <v>6</v>
      </c>
      <c r="K25" s="67" t="s">
        <v>5</v>
      </c>
      <c r="L25" s="68" t="s">
        <v>6</v>
      </c>
      <c r="M25" s="68"/>
      <c r="N25" s="68"/>
      <c r="O25" s="67" t="s">
        <v>5</v>
      </c>
      <c r="P25" s="68" t="s">
        <v>6</v>
      </c>
      <c r="Q25" s="68" t="s">
        <v>5</v>
      </c>
      <c r="R25" s="68" t="s">
        <v>6</v>
      </c>
      <c r="S25" s="338"/>
      <c r="T25" s="64"/>
      <c r="U25" s="64"/>
      <c r="V25" s="64"/>
      <c r="W25" s="64"/>
      <c r="X25" s="64"/>
      <c r="Y25" s="339"/>
      <c r="Z25" s="85"/>
      <c r="AA25" s="61" t="s">
        <v>43</v>
      </c>
      <c r="AB25" s="61" t="s">
        <v>45</v>
      </c>
      <c r="AC25" s="61" t="s">
        <v>46</v>
      </c>
      <c r="AD25" s="61" t="s">
        <v>42</v>
      </c>
      <c r="AE25" s="61" t="s">
        <v>41</v>
      </c>
      <c r="AF25" s="61" t="s">
        <v>44</v>
      </c>
      <c r="AG25" s="65"/>
      <c r="AH25" s="65"/>
    </row>
    <row r="26" spans="1:34" s="19" customFormat="1" ht="12.75" hidden="1" customHeight="1">
      <c r="A26" s="21" t="s">
        <v>7</v>
      </c>
      <c r="B26" s="1">
        <f>B5+7</f>
        <v>43178</v>
      </c>
      <c r="C26" s="68">
        <v>150</v>
      </c>
      <c r="D26" s="68">
        <v>2100</v>
      </c>
      <c r="E26" s="69">
        <f t="shared" ref="E26:F27" si="13">O26+Q26</f>
        <v>143</v>
      </c>
      <c r="F26" s="70">
        <f t="shared" si="13"/>
        <v>1701</v>
      </c>
      <c r="G26" s="68">
        <f t="shared" ref="G26:H35" si="14">E26-C26</f>
        <v>-7</v>
      </c>
      <c r="H26" s="68">
        <f t="shared" si="14"/>
        <v>-399</v>
      </c>
      <c r="I26" s="70">
        <v>31</v>
      </c>
      <c r="J26" s="70">
        <v>334</v>
      </c>
      <c r="K26" s="70">
        <v>5</v>
      </c>
      <c r="L26" s="70">
        <v>57</v>
      </c>
      <c r="M26" s="70">
        <f t="shared" ref="M26:N26" si="15">I26+K26</f>
        <v>36</v>
      </c>
      <c r="N26" s="70">
        <f t="shared" si="15"/>
        <v>391</v>
      </c>
      <c r="O26" s="71">
        <v>143</v>
      </c>
      <c r="P26" s="71">
        <v>1701</v>
      </c>
      <c r="Q26" s="70"/>
      <c r="R26" s="70"/>
      <c r="S26" s="72"/>
      <c r="T26" s="252">
        <f>E26/C26</f>
        <v>0.95333333333333337</v>
      </c>
      <c r="U26" s="73"/>
      <c r="V26" s="73"/>
      <c r="W26" s="73"/>
      <c r="X26" s="73"/>
      <c r="Y26" s="339"/>
      <c r="Z26" s="85"/>
      <c r="AA26" s="61">
        <f>H22</f>
        <v>13</v>
      </c>
      <c r="AB26" s="61" t="str">
        <f>E22</f>
        <v>AIS-R9M-014 W</v>
      </c>
      <c r="AC26" s="74" t="s">
        <v>90</v>
      </c>
      <c r="AD26" s="61" t="str">
        <f t="shared" ref="AD26:AD39" si="16">A26</f>
        <v>KR</v>
      </c>
      <c r="AE26" s="61">
        <f t="shared" ref="AE26:AE39" si="17">C26</f>
        <v>150</v>
      </c>
      <c r="AF26" s="61">
        <f t="shared" ref="AF26:AF39" si="18">E26</f>
        <v>143</v>
      </c>
      <c r="AG26" s="65"/>
      <c r="AH26" s="65"/>
    </row>
    <row r="27" spans="1:34" s="19" customFormat="1" ht="12.75" hidden="1" customHeight="1">
      <c r="A27" s="23" t="s">
        <v>13</v>
      </c>
      <c r="B27" s="1">
        <f>B6+7</f>
        <v>43175</v>
      </c>
      <c r="C27" s="68">
        <v>250</v>
      </c>
      <c r="D27" s="68">
        <v>3500</v>
      </c>
      <c r="E27" s="69">
        <f t="shared" si="13"/>
        <v>193</v>
      </c>
      <c r="F27" s="70">
        <f t="shared" si="13"/>
        <v>2258</v>
      </c>
      <c r="G27" s="68">
        <f t="shared" si="14"/>
        <v>-57</v>
      </c>
      <c r="H27" s="68">
        <f t="shared" si="14"/>
        <v>-1242</v>
      </c>
      <c r="I27" s="75">
        <v>4</v>
      </c>
      <c r="J27" s="75">
        <v>67</v>
      </c>
      <c r="K27" s="70">
        <v>34</v>
      </c>
      <c r="L27" s="70">
        <v>527</v>
      </c>
      <c r="M27" s="70">
        <f t="shared" ref="M27:M39" si="19">I27+K27</f>
        <v>38</v>
      </c>
      <c r="N27" s="70">
        <f t="shared" ref="N27:N39" si="20">J27+L27</f>
        <v>594</v>
      </c>
      <c r="O27" s="75">
        <v>193</v>
      </c>
      <c r="P27" s="75">
        <v>2258</v>
      </c>
      <c r="Q27" s="71"/>
      <c r="R27" s="71"/>
      <c r="S27" s="72"/>
      <c r="T27" s="252">
        <f t="shared" ref="T27:T37" si="21">E27/C27</f>
        <v>0.77200000000000002</v>
      </c>
      <c r="U27" s="73"/>
      <c r="V27" s="73"/>
      <c r="W27" s="73"/>
      <c r="X27" s="73"/>
      <c r="Y27" s="65"/>
      <c r="Z27" s="65"/>
      <c r="AA27" s="61">
        <f>H22</f>
        <v>13</v>
      </c>
      <c r="AB27" s="61" t="str">
        <f>E22</f>
        <v>AIS-R9M-014 W</v>
      </c>
      <c r="AC27" s="74" t="s">
        <v>90</v>
      </c>
      <c r="AD27" s="61" t="str">
        <f t="shared" si="16"/>
        <v>TAO</v>
      </c>
      <c r="AE27" s="61">
        <f t="shared" si="17"/>
        <v>250</v>
      </c>
      <c r="AF27" s="61">
        <f t="shared" si="18"/>
        <v>193</v>
      </c>
      <c r="AG27" s="65"/>
      <c r="AH27" s="65"/>
    </row>
    <row r="28" spans="1:34" s="19" customFormat="1" ht="12.75" hidden="1" customHeight="1">
      <c r="A28" s="23" t="s">
        <v>9</v>
      </c>
      <c r="B28" s="1" t="s">
        <v>18</v>
      </c>
      <c r="C28" s="68">
        <v>0</v>
      </c>
      <c r="D28" s="68">
        <v>0</v>
      </c>
      <c r="E28" s="69">
        <f t="shared" ref="E28:E36" si="22">O28+Q28</f>
        <v>0</v>
      </c>
      <c r="F28" s="70">
        <f t="shared" ref="F28:F36" si="23">P28+R28</f>
        <v>0</v>
      </c>
      <c r="G28" s="68">
        <f t="shared" si="14"/>
        <v>0</v>
      </c>
      <c r="H28" s="68">
        <f t="shared" si="14"/>
        <v>0</v>
      </c>
      <c r="I28" s="75"/>
      <c r="J28" s="75"/>
      <c r="K28" s="71"/>
      <c r="L28" s="71"/>
      <c r="M28" s="70">
        <f t="shared" si="19"/>
        <v>0</v>
      </c>
      <c r="N28" s="70">
        <f t="shared" si="20"/>
        <v>0</v>
      </c>
      <c r="O28" s="75"/>
      <c r="P28" s="75"/>
      <c r="Q28" s="71"/>
      <c r="R28" s="71"/>
      <c r="S28" s="72"/>
      <c r="T28" s="252" t="e">
        <f t="shared" si="21"/>
        <v>#DIV/0!</v>
      </c>
      <c r="U28" s="73"/>
      <c r="V28" s="73"/>
      <c r="W28" s="73"/>
      <c r="X28" s="73"/>
      <c r="Y28" s="65"/>
      <c r="Z28" s="65"/>
      <c r="AA28" s="61">
        <f>H22</f>
        <v>13</v>
      </c>
      <c r="AB28" s="61" t="str">
        <f>E22</f>
        <v>AIS-R9M-014 W</v>
      </c>
      <c r="AC28" s="74" t="s">
        <v>90</v>
      </c>
      <c r="AD28" s="61" t="str">
        <f t="shared" si="16"/>
        <v>SHA</v>
      </c>
      <c r="AE28" s="61">
        <f t="shared" si="17"/>
        <v>0</v>
      </c>
      <c r="AF28" s="61">
        <f t="shared" si="18"/>
        <v>0</v>
      </c>
      <c r="AG28" s="65"/>
      <c r="AH28" s="65"/>
    </row>
    <row r="29" spans="1:34" s="19" customFormat="1" ht="12.75" hidden="1" customHeight="1">
      <c r="A29" s="23" t="s">
        <v>8</v>
      </c>
      <c r="B29" s="1">
        <f>B8+7</f>
        <v>43180</v>
      </c>
      <c r="C29" s="68">
        <v>0</v>
      </c>
      <c r="D29" s="68">
        <v>0</v>
      </c>
      <c r="E29" s="69">
        <f t="shared" si="22"/>
        <v>0</v>
      </c>
      <c r="F29" s="70">
        <f t="shared" si="23"/>
        <v>0</v>
      </c>
      <c r="G29" s="68">
        <f t="shared" si="14"/>
        <v>0</v>
      </c>
      <c r="H29" s="68">
        <f t="shared" si="14"/>
        <v>0</v>
      </c>
      <c r="I29" s="71"/>
      <c r="J29" s="71"/>
      <c r="K29" s="71"/>
      <c r="L29" s="71"/>
      <c r="M29" s="70">
        <f t="shared" si="19"/>
        <v>0</v>
      </c>
      <c r="N29" s="70">
        <f t="shared" si="20"/>
        <v>0</v>
      </c>
      <c r="O29" s="71"/>
      <c r="P29" s="71"/>
      <c r="Q29" s="71"/>
      <c r="R29" s="71"/>
      <c r="S29" s="72"/>
      <c r="T29" s="252" t="e">
        <f t="shared" si="21"/>
        <v>#DIV/0!</v>
      </c>
      <c r="U29" s="73"/>
      <c r="V29" s="73"/>
      <c r="W29" s="73"/>
      <c r="X29" s="73"/>
      <c r="Y29" s="65"/>
      <c r="Z29" s="65"/>
      <c r="AA29" s="61">
        <f>H22</f>
        <v>13</v>
      </c>
      <c r="AB29" s="61" t="str">
        <f>E22</f>
        <v>AIS-R9M-014 W</v>
      </c>
      <c r="AC29" s="74" t="s">
        <v>90</v>
      </c>
      <c r="AD29" s="61" t="str">
        <f t="shared" si="16"/>
        <v>NGB</v>
      </c>
      <c r="AE29" s="61">
        <f t="shared" si="17"/>
        <v>0</v>
      </c>
      <c r="AF29" s="61">
        <f t="shared" si="18"/>
        <v>0</v>
      </c>
      <c r="AG29" s="65"/>
      <c r="AH29" s="65"/>
    </row>
    <row r="30" spans="1:34" s="19" customFormat="1" ht="12.75" hidden="1" customHeight="1">
      <c r="A30" s="23" t="s">
        <v>10</v>
      </c>
      <c r="B30" s="1" t="s">
        <v>67</v>
      </c>
      <c r="C30" s="68">
        <v>0</v>
      </c>
      <c r="D30" s="68">
        <v>0</v>
      </c>
      <c r="E30" s="69">
        <f t="shared" si="22"/>
        <v>0</v>
      </c>
      <c r="F30" s="70">
        <f t="shared" si="23"/>
        <v>0</v>
      </c>
      <c r="G30" s="68">
        <f t="shared" si="14"/>
        <v>0</v>
      </c>
      <c r="H30" s="68">
        <f t="shared" si="14"/>
        <v>0</v>
      </c>
      <c r="I30" s="75"/>
      <c r="J30" s="75"/>
      <c r="K30" s="70"/>
      <c r="L30" s="70"/>
      <c r="M30" s="70">
        <f t="shared" si="19"/>
        <v>0</v>
      </c>
      <c r="N30" s="70">
        <f t="shared" si="20"/>
        <v>0</v>
      </c>
      <c r="O30" s="75"/>
      <c r="P30" s="75"/>
      <c r="Q30" s="70"/>
      <c r="R30" s="70"/>
      <c r="S30" s="72"/>
      <c r="T30" s="252" t="e">
        <f t="shared" si="21"/>
        <v>#DIV/0!</v>
      </c>
      <c r="U30" s="73"/>
      <c r="V30" s="73"/>
      <c r="W30" s="73"/>
      <c r="X30" s="73"/>
      <c r="Y30" s="65"/>
      <c r="Z30" s="65"/>
      <c r="AA30" s="61">
        <f>H22</f>
        <v>13</v>
      </c>
      <c r="AB30" s="61" t="str">
        <f>E22</f>
        <v>AIS-R9M-014 W</v>
      </c>
      <c r="AC30" s="74" t="s">
        <v>90</v>
      </c>
      <c r="AD30" s="61" t="str">
        <f t="shared" si="16"/>
        <v>WUH</v>
      </c>
      <c r="AE30" s="61">
        <f t="shared" si="17"/>
        <v>0</v>
      </c>
      <c r="AF30" s="61">
        <f t="shared" si="18"/>
        <v>0</v>
      </c>
      <c r="AG30" s="65"/>
      <c r="AH30" s="65"/>
    </row>
    <row r="31" spans="1:34" s="19" customFormat="1" ht="12.75" hidden="1" customHeight="1">
      <c r="A31" s="23" t="s">
        <v>11</v>
      </c>
      <c r="B31" s="1" t="s">
        <v>18</v>
      </c>
      <c r="C31" s="68">
        <v>0</v>
      </c>
      <c r="D31" s="68">
        <v>0</v>
      </c>
      <c r="E31" s="69">
        <f t="shared" si="22"/>
        <v>0</v>
      </c>
      <c r="F31" s="70">
        <f t="shared" si="23"/>
        <v>0</v>
      </c>
      <c r="G31" s="68">
        <f t="shared" si="14"/>
        <v>0</v>
      </c>
      <c r="H31" s="68">
        <f t="shared" si="14"/>
        <v>0</v>
      </c>
      <c r="I31" s="70"/>
      <c r="J31" s="70"/>
      <c r="K31" s="70"/>
      <c r="L31" s="70"/>
      <c r="M31" s="70">
        <f t="shared" si="19"/>
        <v>0</v>
      </c>
      <c r="N31" s="70">
        <f t="shared" si="20"/>
        <v>0</v>
      </c>
      <c r="O31" s="75"/>
      <c r="P31" s="75"/>
      <c r="Q31" s="70"/>
      <c r="R31" s="70"/>
      <c r="S31" s="72"/>
      <c r="T31" s="252" t="e">
        <f t="shared" si="21"/>
        <v>#DIV/0!</v>
      </c>
      <c r="U31" s="73"/>
      <c r="V31" s="73"/>
      <c r="W31" s="73"/>
      <c r="X31" s="73"/>
      <c r="Y31" s="65"/>
      <c r="Z31" s="65"/>
      <c r="AA31" s="61">
        <f>H22</f>
        <v>13</v>
      </c>
      <c r="AB31" s="61" t="str">
        <f>E22</f>
        <v>AIS-R9M-014 W</v>
      </c>
      <c r="AC31" s="74" t="s">
        <v>90</v>
      </c>
      <c r="AD31" s="61" t="str">
        <f t="shared" si="16"/>
        <v>DLC</v>
      </c>
      <c r="AE31" s="61">
        <f t="shared" si="17"/>
        <v>0</v>
      </c>
      <c r="AF31" s="61">
        <f t="shared" si="18"/>
        <v>0</v>
      </c>
      <c r="AG31" s="65"/>
      <c r="AH31" s="65"/>
    </row>
    <row r="32" spans="1:34" s="19" customFormat="1" ht="12.75" hidden="1" customHeight="1">
      <c r="A32" s="23" t="s">
        <v>12</v>
      </c>
      <c r="B32" s="1" t="s">
        <v>18</v>
      </c>
      <c r="C32" s="68">
        <v>0</v>
      </c>
      <c r="D32" s="68">
        <v>0</v>
      </c>
      <c r="E32" s="69">
        <f t="shared" si="22"/>
        <v>0</v>
      </c>
      <c r="F32" s="70">
        <f t="shared" si="23"/>
        <v>0</v>
      </c>
      <c r="G32" s="68">
        <f t="shared" si="14"/>
        <v>0</v>
      </c>
      <c r="H32" s="68">
        <f t="shared" si="14"/>
        <v>0</v>
      </c>
      <c r="I32" s="70"/>
      <c r="J32" s="70"/>
      <c r="K32" s="70"/>
      <c r="L32" s="70"/>
      <c r="M32" s="70">
        <f t="shared" si="19"/>
        <v>0</v>
      </c>
      <c r="N32" s="70">
        <f t="shared" si="20"/>
        <v>0</v>
      </c>
      <c r="O32" s="75"/>
      <c r="P32" s="75"/>
      <c r="Q32" s="76"/>
      <c r="R32" s="71"/>
      <c r="S32" s="72"/>
      <c r="T32" s="252" t="e">
        <f t="shared" si="21"/>
        <v>#DIV/0!</v>
      </c>
      <c r="U32" s="73"/>
      <c r="V32" s="73"/>
      <c r="W32" s="73"/>
      <c r="X32" s="73"/>
      <c r="Y32" s="65"/>
      <c r="Z32" s="65"/>
      <c r="AA32" s="61">
        <f>H22</f>
        <v>13</v>
      </c>
      <c r="AB32" s="61" t="str">
        <f>E22</f>
        <v>AIS-R9M-014 W</v>
      </c>
      <c r="AC32" s="74" t="s">
        <v>90</v>
      </c>
      <c r="AD32" s="61" t="str">
        <f t="shared" si="16"/>
        <v>TSN</v>
      </c>
      <c r="AE32" s="61">
        <f t="shared" si="17"/>
        <v>0</v>
      </c>
      <c r="AF32" s="61">
        <f t="shared" si="18"/>
        <v>0</v>
      </c>
      <c r="AG32" s="65"/>
      <c r="AH32" s="65"/>
    </row>
    <row r="33" spans="1:34" s="19" customFormat="1" ht="12.75" hidden="1" customHeight="1">
      <c r="A33" s="23" t="s">
        <v>14</v>
      </c>
      <c r="B33" s="1" t="s">
        <v>18</v>
      </c>
      <c r="C33" s="68">
        <v>0</v>
      </c>
      <c r="D33" s="68">
        <v>0</v>
      </c>
      <c r="E33" s="69">
        <f t="shared" si="22"/>
        <v>0</v>
      </c>
      <c r="F33" s="70">
        <f t="shared" si="23"/>
        <v>0</v>
      </c>
      <c r="G33" s="68">
        <f t="shared" si="14"/>
        <v>0</v>
      </c>
      <c r="H33" s="68">
        <f t="shared" si="14"/>
        <v>0</v>
      </c>
      <c r="I33" s="70"/>
      <c r="J33" s="70"/>
      <c r="K33" s="70"/>
      <c r="L33" s="70"/>
      <c r="M33" s="70">
        <f t="shared" si="19"/>
        <v>0</v>
      </c>
      <c r="N33" s="70">
        <f t="shared" si="20"/>
        <v>0</v>
      </c>
      <c r="O33" s="71"/>
      <c r="P33" s="71"/>
      <c r="Q33" s="70"/>
      <c r="R33" s="70"/>
      <c r="S33" s="72"/>
      <c r="T33" s="252" t="e">
        <f t="shared" si="21"/>
        <v>#DIV/0!</v>
      </c>
      <c r="U33" s="73"/>
      <c r="V33" s="73"/>
      <c r="W33" s="73"/>
      <c r="X33" s="73"/>
      <c r="Y33" s="65"/>
      <c r="Z33" s="65"/>
      <c r="AA33" s="61">
        <f>H22</f>
        <v>13</v>
      </c>
      <c r="AB33" s="61" t="str">
        <f>E22</f>
        <v>AIS-R9M-014 W</v>
      </c>
      <c r="AC33" s="74" t="s">
        <v>90</v>
      </c>
      <c r="AD33" s="61" t="str">
        <f t="shared" si="16"/>
        <v>XMN</v>
      </c>
      <c r="AE33" s="61">
        <f t="shared" si="17"/>
        <v>0</v>
      </c>
      <c r="AF33" s="61">
        <f t="shared" si="18"/>
        <v>0</v>
      </c>
      <c r="AG33" s="65"/>
      <c r="AH33" s="65"/>
    </row>
    <row r="34" spans="1:34" s="19" customFormat="1" ht="12.75" hidden="1" customHeight="1">
      <c r="A34" s="23" t="s">
        <v>19</v>
      </c>
      <c r="B34" s="1" t="s">
        <v>18</v>
      </c>
      <c r="C34" s="68">
        <v>0</v>
      </c>
      <c r="D34" s="68">
        <v>0</v>
      </c>
      <c r="E34" s="69">
        <f t="shared" si="22"/>
        <v>0</v>
      </c>
      <c r="F34" s="70">
        <f t="shared" si="23"/>
        <v>0</v>
      </c>
      <c r="G34" s="68">
        <f t="shared" si="14"/>
        <v>0</v>
      </c>
      <c r="H34" s="68">
        <f t="shared" si="14"/>
        <v>0</v>
      </c>
      <c r="I34" s="70"/>
      <c r="J34" s="70"/>
      <c r="K34" s="70"/>
      <c r="L34" s="70"/>
      <c r="M34" s="70">
        <f t="shared" si="19"/>
        <v>0</v>
      </c>
      <c r="N34" s="70">
        <f t="shared" si="20"/>
        <v>0</v>
      </c>
      <c r="O34" s="70"/>
      <c r="P34" s="70"/>
      <c r="Q34" s="70"/>
      <c r="R34" s="70"/>
      <c r="S34" s="72"/>
      <c r="T34" s="252" t="e">
        <f t="shared" si="21"/>
        <v>#DIV/0!</v>
      </c>
      <c r="U34" s="73"/>
      <c r="V34" s="73"/>
      <c r="W34" s="73"/>
      <c r="X34" s="73"/>
      <c r="Y34" s="65"/>
      <c r="Z34" s="65"/>
      <c r="AA34" s="61">
        <f>H22</f>
        <v>13</v>
      </c>
      <c r="AB34" s="61" t="str">
        <f>E22</f>
        <v>AIS-R9M-014 W</v>
      </c>
      <c r="AC34" s="74" t="s">
        <v>90</v>
      </c>
      <c r="AD34" s="61" t="str">
        <f t="shared" si="16"/>
        <v>TWC</v>
      </c>
      <c r="AE34" s="61">
        <f t="shared" si="17"/>
        <v>0</v>
      </c>
      <c r="AF34" s="61">
        <f t="shared" si="18"/>
        <v>0</v>
      </c>
      <c r="AG34" s="65"/>
      <c r="AH34" s="65"/>
    </row>
    <row r="35" spans="1:34" s="19" customFormat="1" ht="12.75" hidden="1" customHeight="1">
      <c r="A35" s="23" t="s">
        <v>16</v>
      </c>
      <c r="B35" s="1">
        <f>B14+7</f>
        <v>43182</v>
      </c>
      <c r="C35" s="68">
        <v>0</v>
      </c>
      <c r="D35" s="68">
        <v>0</v>
      </c>
      <c r="E35" s="69">
        <f t="shared" si="22"/>
        <v>26</v>
      </c>
      <c r="F35" s="70">
        <f t="shared" si="23"/>
        <v>278</v>
      </c>
      <c r="G35" s="68">
        <f t="shared" si="14"/>
        <v>26</v>
      </c>
      <c r="H35" s="68">
        <f t="shared" si="14"/>
        <v>278</v>
      </c>
      <c r="I35" s="70"/>
      <c r="J35" s="70"/>
      <c r="K35" s="70"/>
      <c r="L35" s="70"/>
      <c r="M35" s="70">
        <f t="shared" si="19"/>
        <v>0</v>
      </c>
      <c r="N35" s="70">
        <f t="shared" si="20"/>
        <v>0</v>
      </c>
      <c r="O35" s="70"/>
      <c r="P35" s="70"/>
      <c r="Q35" s="70">
        <v>26</v>
      </c>
      <c r="R35" s="84">
        <v>278</v>
      </c>
      <c r="S35" s="72"/>
      <c r="T35" s="252" t="e">
        <f t="shared" si="21"/>
        <v>#DIV/0!</v>
      </c>
      <c r="U35" s="73"/>
      <c r="V35" s="73"/>
      <c r="W35" s="73"/>
      <c r="X35" s="73"/>
      <c r="Y35" s="65"/>
      <c r="Z35" s="65"/>
      <c r="AA35" s="61">
        <f>H22</f>
        <v>13</v>
      </c>
      <c r="AB35" s="61" t="str">
        <f>E22</f>
        <v>AIS-R9M-014 W</v>
      </c>
      <c r="AC35" s="74" t="s">
        <v>90</v>
      </c>
      <c r="AD35" s="61" t="str">
        <f t="shared" si="16"/>
        <v>HUA</v>
      </c>
      <c r="AE35" s="61">
        <f t="shared" si="17"/>
        <v>0</v>
      </c>
      <c r="AF35" s="61">
        <f t="shared" si="18"/>
        <v>26</v>
      </c>
      <c r="AG35" s="65"/>
      <c r="AH35" s="65"/>
    </row>
    <row r="36" spans="1:34" s="19" customFormat="1" ht="12.75" hidden="1" customHeight="1">
      <c r="A36" s="23" t="s">
        <v>2</v>
      </c>
      <c r="B36" s="26"/>
      <c r="C36" s="68"/>
      <c r="D36" s="68"/>
      <c r="E36" s="69">
        <f t="shared" si="22"/>
        <v>0</v>
      </c>
      <c r="F36" s="70">
        <f t="shared" si="23"/>
        <v>0</v>
      </c>
      <c r="G36" s="68"/>
      <c r="H36" s="68"/>
      <c r="I36" s="70"/>
      <c r="J36" s="70"/>
      <c r="K36" s="70"/>
      <c r="L36" s="70"/>
      <c r="M36" s="70">
        <f t="shared" si="19"/>
        <v>0</v>
      </c>
      <c r="N36" s="70">
        <f t="shared" si="20"/>
        <v>0</v>
      </c>
      <c r="O36" s="70"/>
      <c r="P36" s="70"/>
      <c r="Q36" s="70"/>
      <c r="R36" s="70"/>
      <c r="S36" s="72"/>
      <c r="T36" s="252" t="e">
        <f t="shared" si="21"/>
        <v>#DIV/0!</v>
      </c>
      <c r="U36" s="73"/>
      <c r="V36" s="73"/>
      <c r="W36" s="73"/>
      <c r="X36" s="73"/>
      <c r="Y36" s="65"/>
      <c r="Z36" s="65"/>
      <c r="AA36" s="61">
        <f>H22</f>
        <v>13</v>
      </c>
      <c r="AB36" s="61" t="str">
        <f>E22</f>
        <v>AIS-R9M-014 W</v>
      </c>
      <c r="AC36" s="74" t="s">
        <v>90</v>
      </c>
      <c r="AD36" s="61" t="str">
        <f t="shared" si="16"/>
        <v>HKG</v>
      </c>
      <c r="AE36" s="61">
        <f t="shared" si="17"/>
        <v>0</v>
      </c>
      <c r="AF36" s="61">
        <f t="shared" si="18"/>
        <v>0</v>
      </c>
      <c r="AG36" s="65"/>
      <c r="AH36" s="65"/>
    </row>
    <row r="37" spans="1:34" s="19" customFormat="1" ht="12.75" hidden="1" customHeight="1">
      <c r="A37" s="23" t="s">
        <v>3</v>
      </c>
      <c r="B37" s="1">
        <f>B16+7</f>
        <v>43187</v>
      </c>
      <c r="C37" s="68">
        <v>120</v>
      </c>
      <c r="D37" s="68">
        <v>1680</v>
      </c>
      <c r="E37" s="69">
        <f t="shared" ref="E37:F39" si="24">O37+Q37</f>
        <v>63</v>
      </c>
      <c r="F37" s="70">
        <f t="shared" si="24"/>
        <v>865</v>
      </c>
      <c r="G37" s="68">
        <f t="shared" ref="G37:H40" si="25">E37-C37</f>
        <v>-57</v>
      </c>
      <c r="H37" s="68">
        <f t="shared" si="25"/>
        <v>-815</v>
      </c>
      <c r="I37" s="70"/>
      <c r="J37" s="70"/>
      <c r="K37" s="70">
        <v>12</v>
      </c>
      <c r="L37" s="70">
        <v>180</v>
      </c>
      <c r="M37" s="70">
        <f t="shared" si="19"/>
        <v>12</v>
      </c>
      <c r="N37" s="70">
        <f t="shared" si="20"/>
        <v>180</v>
      </c>
      <c r="O37" s="68"/>
      <c r="P37" s="68"/>
      <c r="Q37" s="70">
        <v>63</v>
      </c>
      <c r="R37" s="70">
        <v>865</v>
      </c>
      <c r="S37" s="77"/>
      <c r="T37" s="252">
        <f t="shared" si="21"/>
        <v>0.52500000000000002</v>
      </c>
      <c r="U37" s="73"/>
      <c r="V37" s="73"/>
      <c r="W37" s="73"/>
      <c r="X37" s="73"/>
      <c r="Y37" s="65"/>
      <c r="Z37" s="65"/>
      <c r="AA37" s="61">
        <f>H22</f>
        <v>13</v>
      </c>
      <c r="AB37" s="61" t="str">
        <f>E22</f>
        <v>AIS-R9M-014 W</v>
      </c>
      <c r="AC37" s="74" t="s">
        <v>90</v>
      </c>
      <c r="AD37" s="61" t="str">
        <f t="shared" si="16"/>
        <v>SGP</v>
      </c>
      <c r="AE37" s="61">
        <f t="shared" si="17"/>
        <v>120</v>
      </c>
      <c r="AF37" s="61">
        <f t="shared" si="18"/>
        <v>63</v>
      </c>
      <c r="AG37" s="65"/>
      <c r="AH37" s="65"/>
    </row>
    <row r="38" spans="1:34" s="19" customFormat="1" ht="12.75" hidden="1" customHeight="1">
      <c r="A38" s="23" t="s">
        <v>4</v>
      </c>
      <c r="B38" s="1">
        <f>B17+7</f>
        <v>43188</v>
      </c>
      <c r="C38" s="68">
        <v>30</v>
      </c>
      <c r="D38" s="68">
        <v>420</v>
      </c>
      <c r="E38" s="69">
        <f t="shared" si="24"/>
        <v>0</v>
      </c>
      <c r="F38" s="70">
        <f t="shared" si="24"/>
        <v>0</v>
      </c>
      <c r="G38" s="68">
        <f t="shared" si="25"/>
        <v>-30</v>
      </c>
      <c r="H38" s="68">
        <f t="shared" si="25"/>
        <v>-420</v>
      </c>
      <c r="I38" s="70"/>
      <c r="J38" s="70"/>
      <c r="K38" s="70"/>
      <c r="L38" s="70"/>
      <c r="M38" s="70">
        <f t="shared" si="19"/>
        <v>0</v>
      </c>
      <c r="N38" s="70">
        <f t="shared" si="20"/>
        <v>0</v>
      </c>
      <c r="O38" s="70"/>
      <c r="P38" s="70"/>
      <c r="Q38" s="70"/>
      <c r="R38" s="70"/>
      <c r="S38" s="77" t="s">
        <v>483</v>
      </c>
      <c r="T38" s="252">
        <f>E38/C38</f>
        <v>0</v>
      </c>
      <c r="U38" s="73"/>
      <c r="V38" s="73"/>
      <c r="W38" s="73"/>
      <c r="X38" s="73"/>
      <c r="Y38" s="65"/>
      <c r="Z38" s="65"/>
      <c r="AA38" s="61">
        <f>H22</f>
        <v>13</v>
      </c>
      <c r="AB38" s="61" t="str">
        <f>E22</f>
        <v>AIS-R9M-014 W</v>
      </c>
      <c r="AC38" s="74" t="s">
        <v>90</v>
      </c>
      <c r="AD38" s="61" t="str">
        <f t="shared" si="16"/>
        <v>PKL</v>
      </c>
      <c r="AE38" s="61">
        <f t="shared" si="17"/>
        <v>30</v>
      </c>
      <c r="AF38" s="61">
        <f t="shared" si="18"/>
        <v>0</v>
      </c>
      <c r="AG38" s="65"/>
      <c r="AH38" s="65"/>
    </row>
    <row r="39" spans="1:34" s="19" customFormat="1" ht="12.75" hidden="1" customHeight="1">
      <c r="A39" s="23" t="s">
        <v>15</v>
      </c>
      <c r="B39" s="20"/>
      <c r="C39" s="68"/>
      <c r="D39" s="68"/>
      <c r="E39" s="69">
        <f t="shared" si="24"/>
        <v>54</v>
      </c>
      <c r="F39" s="70">
        <f t="shared" si="24"/>
        <v>764</v>
      </c>
      <c r="G39" s="68">
        <f t="shared" si="25"/>
        <v>54</v>
      </c>
      <c r="H39" s="68">
        <f t="shared" si="25"/>
        <v>764</v>
      </c>
      <c r="I39" s="70"/>
      <c r="J39" s="70"/>
      <c r="K39" s="70"/>
      <c r="L39" s="70"/>
      <c r="M39" s="70">
        <f t="shared" si="19"/>
        <v>0</v>
      </c>
      <c r="N39" s="70">
        <f t="shared" si="20"/>
        <v>0</v>
      </c>
      <c r="O39" s="71"/>
      <c r="P39" s="71"/>
      <c r="Q39" s="71">
        <v>54</v>
      </c>
      <c r="R39" s="71">
        <v>764</v>
      </c>
      <c r="S39" s="72"/>
      <c r="T39" s="73"/>
      <c r="U39" s="73"/>
      <c r="V39" s="73"/>
      <c r="W39" s="73"/>
      <c r="X39" s="73"/>
      <c r="Y39" s="65"/>
      <c r="Z39" s="65"/>
      <c r="AA39" s="61">
        <f>H22</f>
        <v>13</v>
      </c>
      <c r="AB39" s="61" t="str">
        <f>E22</f>
        <v>AIS-R9M-014 W</v>
      </c>
      <c r="AC39" s="74" t="s">
        <v>90</v>
      </c>
      <c r="AD39" s="61" t="str">
        <f t="shared" si="16"/>
        <v>T/S</v>
      </c>
      <c r="AE39" s="61">
        <f t="shared" si="17"/>
        <v>0</v>
      </c>
      <c r="AF39" s="61">
        <f t="shared" si="18"/>
        <v>54</v>
      </c>
      <c r="AG39" s="65"/>
      <c r="AH39" s="65"/>
    </row>
    <row r="40" spans="1:34" s="19" customFormat="1" ht="12.75" hidden="1" customHeight="1">
      <c r="A40" s="21" t="s">
        <v>36</v>
      </c>
      <c r="B40" s="22"/>
      <c r="C40" s="71">
        <v>530</v>
      </c>
      <c r="D40" s="71">
        <f>SUM(D26:D39)</f>
        <v>7700</v>
      </c>
      <c r="E40" s="78">
        <f>SUM(E26:E39)</f>
        <v>479</v>
      </c>
      <c r="F40" s="76">
        <f>SUM(F26:F39)</f>
        <v>5866</v>
      </c>
      <c r="G40" s="71">
        <f t="shared" si="25"/>
        <v>-51</v>
      </c>
      <c r="H40" s="71">
        <f t="shared" si="25"/>
        <v>-1834</v>
      </c>
      <c r="I40" s="70">
        <f t="shared" ref="I40:L40" si="26">SUM(I26:I39)</f>
        <v>35</v>
      </c>
      <c r="J40" s="70">
        <f t="shared" si="26"/>
        <v>401</v>
      </c>
      <c r="K40" s="70">
        <f t="shared" si="26"/>
        <v>51</v>
      </c>
      <c r="L40" s="70">
        <f t="shared" si="26"/>
        <v>764</v>
      </c>
      <c r="M40" s="70"/>
      <c r="N40" s="70"/>
      <c r="O40" s="70">
        <f t="shared" ref="O40:R40" si="27">SUM(O26:O39)</f>
        <v>336</v>
      </c>
      <c r="P40" s="70">
        <f t="shared" si="27"/>
        <v>3959</v>
      </c>
      <c r="Q40" s="70">
        <f t="shared" si="27"/>
        <v>143</v>
      </c>
      <c r="R40" s="70">
        <f t="shared" si="27"/>
        <v>1907</v>
      </c>
      <c r="S40" s="72"/>
      <c r="T40" s="73"/>
      <c r="U40" s="73"/>
      <c r="V40" s="73"/>
      <c r="W40" s="73"/>
      <c r="X40" s="73"/>
      <c r="Y40" s="65"/>
      <c r="Z40" s="65"/>
      <c r="AA40" s="61"/>
      <c r="AB40" s="61"/>
      <c r="AC40" s="61"/>
      <c r="AD40" s="61"/>
      <c r="AE40" s="61"/>
      <c r="AF40" s="61"/>
      <c r="AG40" s="65"/>
      <c r="AH40" s="65"/>
    </row>
    <row r="41" spans="1:34" s="65" customFormat="1" ht="12.75" hidden="1" customHeight="1">
      <c r="A41" s="84">
        <f>D40/C40</f>
        <v>14.528301886792454</v>
      </c>
      <c r="C41" s="79">
        <f>F40-E41</f>
        <v>-1064</v>
      </c>
      <c r="E41" s="65">
        <f>D40*0.9</f>
        <v>6930</v>
      </c>
      <c r="F41" s="79">
        <f>E40-L41</f>
        <v>2</v>
      </c>
      <c r="I41" s="80" t="s">
        <v>48</v>
      </c>
      <c r="J41" s="245">
        <f>E40/C40</f>
        <v>0.9037735849056604</v>
      </c>
      <c r="K41" s="80"/>
      <c r="L41" s="80">
        <f>C40*0.9</f>
        <v>477</v>
      </c>
      <c r="M41" s="80"/>
      <c r="N41" s="80"/>
      <c r="O41" s="80" t="s">
        <v>49</v>
      </c>
      <c r="P41" s="80"/>
      <c r="Q41" s="65">
        <f>P27+P28+P30+P31+P32+J27+J28+L27+L28+J30+R30</f>
        <v>2852</v>
      </c>
      <c r="R41" s="65">
        <v>16856</v>
      </c>
      <c r="AA41" s="81"/>
      <c r="AB41" s="81"/>
      <c r="AC41" s="81"/>
      <c r="AD41" s="81"/>
      <c r="AE41" s="81"/>
      <c r="AF41" s="81"/>
    </row>
    <row r="42" spans="1:34" s="19" customFormat="1" ht="12.75" hidden="1" customHeight="1">
      <c r="C42" s="65"/>
      <c r="D42" s="65"/>
      <c r="E42" s="65"/>
      <c r="F42" s="65"/>
      <c r="G42" s="65"/>
      <c r="H42" s="65"/>
      <c r="I42" s="80"/>
      <c r="J42" s="80"/>
      <c r="K42" s="80"/>
      <c r="L42" s="80"/>
      <c r="M42" s="80"/>
      <c r="N42" s="80"/>
      <c r="O42" s="80"/>
      <c r="P42" s="80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1"/>
      <c r="AB42" s="61"/>
      <c r="AC42" s="61"/>
      <c r="AD42" s="61"/>
      <c r="AE42" s="61"/>
      <c r="AF42" s="61"/>
      <c r="AG42" s="65"/>
      <c r="AH42" s="65"/>
    </row>
    <row r="43" spans="1:34" s="18" customFormat="1" ht="12.75" hidden="1" customHeight="1">
      <c r="A43" s="16" t="s">
        <v>90</v>
      </c>
      <c r="B43" s="17" t="s">
        <v>93</v>
      </c>
      <c r="C43" s="56"/>
      <c r="D43" s="57"/>
      <c r="E43" s="58" t="s">
        <v>552</v>
      </c>
      <c r="F43" s="57"/>
      <c r="G43" s="59" t="s">
        <v>37</v>
      </c>
      <c r="H43" s="60">
        <f>H22+1</f>
        <v>14</v>
      </c>
      <c r="I43" s="57"/>
      <c r="J43" s="57"/>
      <c r="K43" s="57"/>
      <c r="L43" s="57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2"/>
      <c r="Z43" s="62"/>
      <c r="AA43" s="62"/>
      <c r="AB43" s="62"/>
      <c r="AC43" s="62"/>
      <c r="AD43" s="63"/>
      <c r="AE43" s="63"/>
      <c r="AF43" s="63"/>
      <c r="AG43" s="63"/>
      <c r="AH43" s="63"/>
    </row>
    <row r="44" spans="1:34" s="19" customFormat="1" ht="12.75" hidden="1" customHeight="1">
      <c r="A44" s="340" t="s">
        <v>0</v>
      </c>
      <c r="B44" s="336" t="s">
        <v>1</v>
      </c>
      <c r="C44" s="331" t="s">
        <v>25</v>
      </c>
      <c r="D44" s="332"/>
      <c r="E44" s="331" t="s">
        <v>21</v>
      </c>
      <c r="F44" s="332"/>
      <c r="G44" s="335" t="s">
        <v>24</v>
      </c>
      <c r="H44" s="335"/>
      <c r="I44" s="328" t="s">
        <v>33</v>
      </c>
      <c r="J44" s="329"/>
      <c r="K44" s="329"/>
      <c r="L44" s="329"/>
      <c r="M44" s="329"/>
      <c r="N44" s="330"/>
      <c r="O44" s="331" t="s">
        <v>22</v>
      </c>
      <c r="P44" s="332"/>
      <c r="Q44" s="335" t="s">
        <v>23</v>
      </c>
      <c r="R44" s="335"/>
      <c r="S44" s="336" t="s">
        <v>27</v>
      </c>
      <c r="T44" s="64"/>
      <c r="U44" s="64"/>
      <c r="V44" s="64"/>
      <c r="W44" s="64"/>
      <c r="X44" s="64"/>
      <c r="Y44" s="339"/>
      <c r="Z44" s="85"/>
      <c r="AA44" s="61"/>
      <c r="AB44" s="61"/>
      <c r="AC44" s="74"/>
      <c r="AD44" s="61"/>
      <c r="AE44" s="61"/>
      <c r="AF44" s="61"/>
      <c r="AG44" s="65"/>
      <c r="AH44" s="65"/>
    </row>
    <row r="45" spans="1:34" s="19" customFormat="1" ht="12.75" hidden="1" customHeight="1">
      <c r="A45" s="341"/>
      <c r="B45" s="337"/>
      <c r="C45" s="333"/>
      <c r="D45" s="334"/>
      <c r="E45" s="333"/>
      <c r="F45" s="334"/>
      <c r="G45" s="335"/>
      <c r="H45" s="335"/>
      <c r="I45" s="66" t="s">
        <v>28</v>
      </c>
      <c r="J45" s="67" t="s">
        <v>3</v>
      </c>
      <c r="K45" s="66" t="s">
        <v>29</v>
      </c>
      <c r="L45" s="67" t="s">
        <v>4</v>
      </c>
      <c r="M45" s="328" t="s">
        <v>30</v>
      </c>
      <c r="N45" s="330"/>
      <c r="O45" s="333"/>
      <c r="P45" s="334"/>
      <c r="Q45" s="335"/>
      <c r="R45" s="335"/>
      <c r="S45" s="337"/>
      <c r="T45" s="64"/>
      <c r="U45" s="64"/>
      <c r="V45" s="64"/>
      <c r="W45" s="64"/>
      <c r="X45" s="64"/>
      <c r="Y45" s="339"/>
      <c r="Z45" s="85"/>
      <c r="AA45" s="61"/>
      <c r="AB45" s="61"/>
      <c r="AC45" s="74"/>
      <c r="AD45" s="61"/>
      <c r="AE45" s="61"/>
      <c r="AF45" s="61"/>
      <c r="AG45" s="65"/>
      <c r="AH45" s="65"/>
    </row>
    <row r="46" spans="1:34" s="19" customFormat="1" ht="12.75" hidden="1" customHeight="1">
      <c r="A46" s="342"/>
      <c r="B46" s="338"/>
      <c r="C46" s="68" t="s">
        <v>5</v>
      </c>
      <c r="D46" s="68" t="s">
        <v>6</v>
      </c>
      <c r="E46" s="67" t="s">
        <v>5</v>
      </c>
      <c r="F46" s="68" t="s">
        <v>6</v>
      </c>
      <c r="G46" s="68" t="s">
        <v>5</v>
      </c>
      <c r="H46" s="68" t="s">
        <v>6</v>
      </c>
      <c r="I46" s="67" t="s">
        <v>5</v>
      </c>
      <c r="J46" s="68" t="s">
        <v>6</v>
      </c>
      <c r="K46" s="67" t="s">
        <v>5</v>
      </c>
      <c r="L46" s="68" t="s">
        <v>6</v>
      </c>
      <c r="M46" s="68"/>
      <c r="N46" s="68"/>
      <c r="O46" s="67" t="s">
        <v>5</v>
      </c>
      <c r="P46" s="68" t="s">
        <v>6</v>
      </c>
      <c r="Q46" s="68" t="s">
        <v>5</v>
      </c>
      <c r="R46" s="68" t="s">
        <v>6</v>
      </c>
      <c r="S46" s="338"/>
      <c r="T46" s="64"/>
      <c r="U46" s="64"/>
      <c r="V46" s="64"/>
      <c r="W46" s="64"/>
      <c r="X46" s="64"/>
      <c r="Y46" s="339"/>
      <c r="Z46" s="85"/>
      <c r="AA46" s="61" t="s">
        <v>43</v>
      </c>
      <c r="AB46" s="61" t="s">
        <v>45</v>
      </c>
      <c r="AC46" s="61" t="s">
        <v>46</v>
      </c>
      <c r="AD46" s="61" t="s">
        <v>42</v>
      </c>
      <c r="AE46" s="61" t="s">
        <v>41</v>
      </c>
      <c r="AF46" s="61" t="s">
        <v>44</v>
      </c>
      <c r="AG46" s="65"/>
      <c r="AH46" s="65"/>
    </row>
    <row r="47" spans="1:34" s="19" customFormat="1" ht="12.75" hidden="1" customHeight="1">
      <c r="A47" s="21" t="s">
        <v>7</v>
      </c>
      <c r="B47" s="1">
        <f>B26+7</f>
        <v>43185</v>
      </c>
      <c r="C47" s="68">
        <v>150</v>
      </c>
      <c r="D47" s="68">
        <v>2100</v>
      </c>
      <c r="E47" s="69">
        <f t="shared" ref="E47:F48" si="28">O47+Q47</f>
        <v>134</v>
      </c>
      <c r="F47" s="70">
        <f t="shared" si="28"/>
        <v>2404</v>
      </c>
      <c r="G47" s="68">
        <f t="shared" ref="G47:H56" si="29">E47-C47</f>
        <v>-16</v>
      </c>
      <c r="H47" s="68">
        <f t="shared" si="29"/>
        <v>304</v>
      </c>
      <c r="I47" s="70">
        <v>21</v>
      </c>
      <c r="J47" s="70">
        <v>287</v>
      </c>
      <c r="K47" s="70">
        <v>26</v>
      </c>
      <c r="L47" s="70">
        <v>342</v>
      </c>
      <c r="M47" s="70">
        <f t="shared" ref="M47:N47" si="30">I47+K47</f>
        <v>47</v>
      </c>
      <c r="N47" s="70">
        <f t="shared" si="30"/>
        <v>629</v>
      </c>
      <c r="O47" s="71">
        <v>134</v>
      </c>
      <c r="P47" s="71">
        <v>2404</v>
      </c>
      <c r="Q47" s="70"/>
      <c r="R47" s="70"/>
      <c r="S47" s="72"/>
      <c r="T47" s="252">
        <f>E47/C47</f>
        <v>0.89333333333333331</v>
      </c>
      <c r="U47" s="73"/>
      <c r="V47" s="73"/>
      <c r="W47" s="73"/>
      <c r="X47" s="73"/>
      <c r="Y47" s="339"/>
      <c r="Z47" s="85"/>
      <c r="AA47" s="61">
        <f>H43</f>
        <v>14</v>
      </c>
      <c r="AB47" s="61" t="str">
        <f>E43</f>
        <v>AIS-Q9K-017 W</v>
      </c>
      <c r="AC47" s="74" t="s">
        <v>90</v>
      </c>
      <c r="AD47" s="61" t="str">
        <f t="shared" ref="AD47:AD60" si="31">A47</f>
        <v>KR</v>
      </c>
      <c r="AE47" s="61">
        <f t="shared" ref="AE47:AE60" si="32">C47</f>
        <v>150</v>
      </c>
      <c r="AF47" s="61">
        <f t="shared" ref="AF47:AF60" si="33">E47</f>
        <v>134</v>
      </c>
      <c r="AG47" s="65"/>
      <c r="AH47" s="65"/>
    </row>
    <row r="48" spans="1:34" s="19" customFormat="1" ht="12.75" hidden="1" customHeight="1">
      <c r="A48" s="23" t="s">
        <v>13</v>
      </c>
      <c r="B48" s="1">
        <f>B27+7</f>
        <v>43182</v>
      </c>
      <c r="C48" s="68">
        <v>250</v>
      </c>
      <c r="D48" s="68">
        <v>3500</v>
      </c>
      <c r="E48" s="69">
        <f t="shared" si="28"/>
        <v>141</v>
      </c>
      <c r="F48" s="70">
        <f t="shared" si="28"/>
        <v>1926</v>
      </c>
      <c r="G48" s="68">
        <f t="shared" si="29"/>
        <v>-109</v>
      </c>
      <c r="H48" s="68">
        <f t="shared" si="29"/>
        <v>-1574</v>
      </c>
      <c r="I48" s="75">
        <v>12</v>
      </c>
      <c r="J48" s="75">
        <v>182</v>
      </c>
      <c r="K48" s="70">
        <v>21</v>
      </c>
      <c r="L48" s="70">
        <v>287</v>
      </c>
      <c r="M48" s="70">
        <f t="shared" ref="M48:M60" si="34">I48+K48</f>
        <v>33</v>
      </c>
      <c r="N48" s="70">
        <f t="shared" ref="N48:N60" si="35">J48+L48</f>
        <v>469</v>
      </c>
      <c r="O48" s="75">
        <v>141</v>
      </c>
      <c r="P48" s="75">
        <v>1926</v>
      </c>
      <c r="Q48" s="71"/>
      <c r="R48" s="71"/>
      <c r="S48" s="72"/>
      <c r="T48" s="252">
        <f t="shared" ref="T48:T58" si="36">E48/C48</f>
        <v>0.56399999999999995</v>
      </c>
      <c r="U48" s="73">
        <v>80</v>
      </c>
      <c r="V48" s="73"/>
      <c r="W48" s="73"/>
      <c r="X48" s="73"/>
      <c r="Y48" s="65"/>
      <c r="Z48" s="65"/>
      <c r="AA48" s="61">
        <f>H43</f>
        <v>14</v>
      </c>
      <c r="AB48" s="61" t="str">
        <f>E43</f>
        <v>AIS-Q9K-017 W</v>
      </c>
      <c r="AC48" s="74" t="s">
        <v>90</v>
      </c>
      <c r="AD48" s="61" t="str">
        <f t="shared" si="31"/>
        <v>TAO</v>
      </c>
      <c r="AE48" s="61">
        <f t="shared" si="32"/>
        <v>250</v>
      </c>
      <c r="AF48" s="61">
        <f t="shared" si="33"/>
        <v>141</v>
      </c>
      <c r="AG48" s="65"/>
      <c r="AH48" s="65"/>
    </row>
    <row r="49" spans="1:34" s="19" customFormat="1" ht="12.75" hidden="1" customHeight="1">
      <c r="A49" s="23" t="s">
        <v>9</v>
      </c>
      <c r="B49" s="1" t="s">
        <v>18</v>
      </c>
      <c r="C49" s="68">
        <v>0</v>
      </c>
      <c r="D49" s="68">
        <v>0</v>
      </c>
      <c r="E49" s="69">
        <f t="shared" ref="E49:E57" si="37">O49+Q49</f>
        <v>0</v>
      </c>
      <c r="F49" s="70">
        <f t="shared" ref="F49:F57" si="38">P49+R49</f>
        <v>0</v>
      </c>
      <c r="G49" s="68">
        <f t="shared" si="29"/>
        <v>0</v>
      </c>
      <c r="H49" s="68">
        <f t="shared" si="29"/>
        <v>0</v>
      </c>
      <c r="I49" s="75"/>
      <c r="J49" s="75"/>
      <c r="K49" s="71"/>
      <c r="L49" s="71"/>
      <c r="M49" s="70">
        <f t="shared" si="34"/>
        <v>0</v>
      </c>
      <c r="N49" s="70">
        <f t="shared" si="35"/>
        <v>0</v>
      </c>
      <c r="O49" s="75"/>
      <c r="P49" s="75"/>
      <c r="Q49" s="71"/>
      <c r="R49" s="71"/>
      <c r="S49" s="72"/>
      <c r="T49" s="252" t="e">
        <f t="shared" si="36"/>
        <v>#DIV/0!</v>
      </c>
      <c r="U49" s="73"/>
      <c r="V49" s="73"/>
      <c r="W49" s="73"/>
      <c r="X49" s="73"/>
      <c r="Y49" s="65"/>
      <c r="Z49" s="65"/>
      <c r="AA49" s="61">
        <f>H43</f>
        <v>14</v>
      </c>
      <c r="AB49" s="61" t="str">
        <f>E43</f>
        <v>AIS-Q9K-017 W</v>
      </c>
      <c r="AC49" s="74" t="s">
        <v>90</v>
      </c>
      <c r="AD49" s="61" t="str">
        <f t="shared" si="31"/>
        <v>SHA</v>
      </c>
      <c r="AE49" s="61">
        <f t="shared" si="32"/>
        <v>0</v>
      </c>
      <c r="AF49" s="61">
        <f t="shared" si="33"/>
        <v>0</v>
      </c>
      <c r="AG49" s="65"/>
      <c r="AH49" s="65"/>
    </row>
    <row r="50" spans="1:34" s="19" customFormat="1" ht="12.75" hidden="1" customHeight="1">
      <c r="A50" s="23" t="s">
        <v>8</v>
      </c>
      <c r="B50" s="1">
        <f>B29+7</f>
        <v>43187</v>
      </c>
      <c r="C50" s="68">
        <v>0</v>
      </c>
      <c r="D50" s="68">
        <v>0</v>
      </c>
      <c r="E50" s="69">
        <f t="shared" si="37"/>
        <v>0</v>
      </c>
      <c r="F50" s="70">
        <f t="shared" si="38"/>
        <v>0</v>
      </c>
      <c r="G50" s="68">
        <f t="shared" si="29"/>
        <v>0</v>
      </c>
      <c r="H50" s="68">
        <f t="shared" si="29"/>
        <v>0</v>
      </c>
      <c r="I50" s="71"/>
      <c r="J50" s="71"/>
      <c r="K50" s="71"/>
      <c r="L50" s="71"/>
      <c r="M50" s="70">
        <f t="shared" si="34"/>
        <v>0</v>
      </c>
      <c r="N50" s="70">
        <f t="shared" si="35"/>
        <v>0</v>
      </c>
      <c r="O50" s="71"/>
      <c r="P50" s="71"/>
      <c r="Q50" s="71"/>
      <c r="R50" s="71"/>
      <c r="S50" s="72"/>
      <c r="T50" s="252" t="e">
        <f t="shared" si="36"/>
        <v>#DIV/0!</v>
      </c>
      <c r="U50" s="73"/>
      <c r="V50" s="73"/>
      <c r="W50" s="73"/>
      <c r="X50" s="73"/>
      <c r="Y50" s="65"/>
      <c r="Z50" s="65"/>
      <c r="AA50" s="61">
        <f>H43</f>
        <v>14</v>
      </c>
      <c r="AB50" s="61" t="str">
        <f>E43</f>
        <v>AIS-Q9K-017 W</v>
      </c>
      <c r="AC50" s="74" t="s">
        <v>90</v>
      </c>
      <c r="AD50" s="61" t="str">
        <f t="shared" si="31"/>
        <v>NGB</v>
      </c>
      <c r="AE50" s="61">
        <f t="shared" si="32"/>
        <v>0</v>
      </c>
      <c r="AF50" s="61">
        <f t="shared" si="33"/>
        <v>0</v>
      </c>
      <c r="AG50" s="65"/>
      <c r="AH50" s="65"/>
    </row>
    <row r="51" spans="1:34" s="19" customFormat="1" ht="12.75" hidden="1" customHeight="1">
      <c r="A51" s="23" t="s">
        <v>10</v>
      </c>
      <c r="B51" s="1" t="s">
        <v>67</v>
      </c>
      <c r="C51" s="68">
        <v>0</v>
      </c>
      <c r="D51" s="68">
        <v>0</v>
      </c>
      <c r="E51" s="69">
        <f t="shared" si="37"/>
        <v>0</v>
      </c>
      <c r="F51" s="70">
        <f t="shared" si="38"/>
        <v>0</v>
      </c>
      <c r="G51" s="68">
        <f t="shared" si="29"/>
        <v>0</v>
      </c>
      <c r="H51" s="68">
        <f t="shared" si="29"/>
        <v>0</v>
      </c>
      <c r="I51" s="75"/>
      <c r="J51" s="75"/>
      <c r="K51" s="70"/>
      <c r="L51" s="70"/>
      <c r="M51" s="70">
        <f t="shared" si="34"/>
        <v>0</v>
      </c>
      <c r="N51" s="70">
        <f t="shared" si="35"/>
        <v>0</v>
      </c>
      <c r="O51" s="75"/>
      <c r="P51" s="75"/>
      <c r="Q51" s="70"/>
      <c r="R51" s="70"/>
      <c r="S51" s="72"/>
      <c r="T51" s="252" t="e">
        <f t="shared" si="36"/>
        <v>#DIV/0!</v>
      </c>
      <c r="U51" s="73"/>
      <c r="V51" s="73"/>
      <c r="W51" s="73"/>
      <c r="X51" s="73"/>
      <c r="Y51" s="65"/>
      <c r="Z51" s="65"/>
      <c r="AA51" s="61">
        <f>H43</f>
        <v>14</v>
      </c>
      <c r="AB51" s="61" t="str">
        <f>E43</f>
        <v>AIS-Q9K-017 W</v>
      </c>
      <c r="AC51" s="74" t="s">
        <v>90</v>
      </c>
      <c r="AD51" s="61" t="str">
        <f t="shared" si="31"/>
        <v>WUH</v>
      </c>
      <c r="AE51" s="61">
        <f t="shared" si="32"/>
        <v>0</v>
      </c>
      <c r="AF51" s="61">
        <f t="shared" si="33"/>
        <v>0</v>
      </c>
      <c r="AG51" s="65"/>
      <c r="AH51" s="65"/>
    </row>
    <row r="52" spans="1:34" s="19" customFormat="1" ht="12.75" hidden="1" customHeight="1">
      <c r="A52" s="23" t="s">
        <v>11</v>
      </c>
      <c r="B52" s="1" t="s">
        <v>18</v>
      </c>
      <c r="C52" s="68">
        <v>0</v>
      </c>
      <c r="D52" s="68">
        <v>0</v>
      </c>
      <c r="E52" s="69">
        <f t="shared" si="37"/>
        <v>0</v>
      </c>
      <c r="F52" s="70">
        <f t="shared" si="38"/>
        <v>0</v>
      </c>
      <c r="G52" s="68">
        <f t="shared" si="29"/>
        <v>0</v>
      </c>
      <c r="H52" s="68">
        <f t="shared" si="29"/>
        <v>0</v>
      </c>
      <c r="I52" s="70"/>
      <c r="J52" s="70"/>
      <c r="K52" s="70"/>
      <c r="L52" s="70"/>
      <c r="M52" s="70">
        <f t="shared" si="34"/>
        <v>0</v>
      </c>
      <c r="N52" s="70">
        <f t="shared" si="35"/>
        <v>0</v>
      </c>
      <c r="O52" s="75"/>
      <c r="P52" s="75"/>
      <c r="Q52" s="70"/>
      <c r="R52" s="70"/>
      <c r="S52" s="72"/>
      <c r="T52" s="252" t="e">
        <f t="shared" si="36"/>
        <v>#DIV/0!</v>
      </c>
      <c r="U52" s="73"/>
      <c r="V52" s="73"/>
      <c r="W52" s="73"/>
      <c r="X52" s="73"/>
      <c r="Y52" s="65"/>
      <c r="Z52" s="65"/>
      <c r="AA52" s="61">
        <f>H43</f>
        <v>14</v>
      </c>
      <c r="AB52" s="61" t="str">
        <f>E43</f>
        <v>AIS-Q9K-017 W</v>
      </c>
      <c r="AC52" s="74" t="s">
        <v>90</v>
      </c>
      <c r="AD52" s="61" t="str">
        <f t="shared" si="31"/>
        <v>DLC</v>
      </c>
      <c r="AE52" s="61">
        <f t="shared" si="32"/>
        <v>0</v>
      </c>
      <c r="AF52" s="61">
        <f t="shared" si="33"/>
        <v>0</v>
      </c>
      <c r="AG52" s="65"/>
      <c r="AH52" s="65"/>
    </row>
    <row r="53" spans="1:34" s="19" customFormat="1" ht="12.75" hidden="1" customHeight="1">
      <c r="A53" s="23" t="s">
        <v>12</v>
      </c>
      <c r="B53" s="1" t="s">
        <v>18</v>
      </c>
      <c r="C53" s="68">
        <v>0</v>
      </c>
      <c r="D53" s="68">
        <v>0</v>
      </c>
      <c r="E53" s="69">
        <f t="shared" si="37"/>
        <v>0</v>
      </c>
      <c r="F53" s="70">
        <f t="shared" si="38"/>
        <v>0</v>
      </c>
      <c r="G53" s="68">
        <f t="shared" si="29"/>
        <v>0</v>
      </c>
      <c r="H53" s="68">
        <f t="shared" si="29"/>
        <v>0</v>
      </c>
      <c r="I53" s="70"/>
      <c r="J53" s="70"/>
      <c r="K53" s="70"/>
      <c r="L53" s="70"/>
      <c r="M53" s="70">
        <f t="shared" si="34"/>
        <v>0</v>
      </c>
      <c r="N53" s="70">
        <f t="shared" si="35"/>
        <v>0</v>
      </c>
      <c r="O53" s="75"/>
      <c r="P53" s="75"/>
      <c r="Q53" s="76"/>
      <c r="R53" s="71"/>
      <c r="S53" s="72"/>
      <c r="T53" s="252" t="e">
        <f t="shared" si="36"/>
        <v>#DIV/0!</v>
      </c>
      <c r="U53" s="73"/>
      <c r="V53" s="73"/>
      <c r="W53" s="73"/>
      <c r="X53" s="73"/>
      <c r="Y53" s="65"/>
      <c r="Z53" s="65"/>
      <c r="AA53" s="61">
        <f>H43</f>
        <v>14</v>
      </c>
      <c r="AB53" s="61" t="str">
        <f>E43</f>
        <v>AIS-Q9K-017 W</v>
      </c>
      <c r="AC53" s="74" t="s">
        <v>90</v>
      </c>
      <c r="AD53" s="61" t="str">
        <f t="shared" si="31"/>
        <v>TSN</v>
      </c>
      <c r="AE53" s="61">
        <f t="shared" si="32"/>
        <v>0</v>
      </c>
      <c r="AF53" s="61">
        <f t="shared" si="33"/>
        <v>0</v>
      </c>
      <c r="AG53" s="65"/>
      <c r="AH53" s="65"/>
    </row>
    <row r="54" spans="1:34" s="19" customFormat="1" ht="12.75" hidden="1" customHeight="1">
      <c r="A54" s="23" t="s">
        <v>14</v>
      </c>
      <c r="B54" s="1" t="s">
        <v>18</v>
      </c>
      <c r="C54" s="68">
        <v>0</v>
      </c>
      <c r="D54" s="68">
        <v>0</v>
      </c>
      <c r="E54" s="69">
        <f t="shared" si="37"/>
        <v>0</v>
      </c>
      <c r="F54" s="70">
        <f t="shared" si="38"/>
        <v>0</v>
      </c>
      <c r="G54" s="68">
        <f t="shared" si="29"/>
        <v>0</v>
      </c>
      <c r="H54" s="68">
        <f t="shared" si="29"/>
        <v>0</v>
      </c>
      <c r="I54" s="70"/>
      <c r="J54" s="70"/>
      <c r="K54" s="70"/>
      <c r="L54" s="70"/>
      <c r="M54" s="70">
        <f t="shared" si="34"/>
        <v>0</v>
      </c>
      <c r="N54" s="70">
        <f t="shared" si="35"/>
        <v>0</v>
      </c>
      <c r="O54" s="71"/>
      <c r="P54" s="71"/>
      <c r="Q54" s="70"/>
      <c r="R54" s="70"/>
      <c r="S54" s="72"/>
      <c r="T54" s="252" t="e">
        <f t="shared" si="36"/>
        <v>#DIV/0!</v>
      </c>
      <c r="U54" s="73"/>
      <c r="V54" s="73"/>
      <c r="W54" s="73"/>
      <c r="X54" s="73"/>
      <c r="Y54" s="65"/>
      <c r="Z54" s="65"/>
      <c r="AA54" s="61">
        <f>H43</f>
        <v>14</v>
      </c>
      <c r="AB54" s="61" t="str">
        <f>E43</f>
        <v>AIS-Q9K-017 W</v>
      </c>
      <c r="AC54" s="74" t="s">
        <v>90</v>
      </c>
      <c r="AD54" s="61" t="str">
        <f t="shared" si="31"/>
        <v>XMN</v>
      </c>
      <c r="AE54" s="61">
        <f t="shared" si="32"/>
        <v>0</v>
      </c>
      <c r="AF54" s="61">
        <f t="shared" si="33"/>
        <v>0</v>
      </c>
      <c r="AG54" s="65"/>
      <c r="AH54" s="65"/>
    </row>
    <row r="55" spans="1:34" s="19" customFormat="1" ht="12.75" hidden="1" customHeight="1">
      <c r="A55" s="23" t="s">
        <v>19</v>
      </c>
      <c r="B55" s="1" t="s">
        <v>18</v>
      </c>
      <c r="C55" s="68">
        <v>0</v>
      </c>
      <c r="D55" s="68">
        <v>0</v>
      </c>
      <c r="E55" s="69">
        <f t="shared" si="37"/>
        <v>0</v>
      </c>
      <c r="F55" s="70">
        <f t="shared" si="38"/>
        <v>0</v>
      </c>
      <c r="G55" s="68">
        <f t="shared" si="29"/>
        <v>0</v>
      </c>
      <c r="H55" s="68">
        <f t="shared" si="29"/>
        <v>0</v>
      </c>
      <c r="I55" s="70"/>
      <c r="J55" s="70"/>
      <c r="K55" s="70"/>
      <c r="L55" s="70"/>
      <c r="M55" s="70">
        <f t="shared" si="34"/>
        <v>0</v>
      </c>
      <c r="N55" s="70">
        <f t="shared" si="35"/>
        <v>0</v>
      </c>
      <c r="O55" s="70"/>
      <c r="P55" s="70"/>
      <c r="Q55" s="70"/>
      <c r="R55" s="70"/>
      <c r="S55" s="72"/>
      <c r="T55" s="252" t="e">
        <f t="shared" si="36"/>
        <v>#DIV/0!</v>
      </c>
      <c r="U55" s="73"/>
      <c r="V55" s="73"/>
      <c r="W55" s="73"/>
      <c r="X55" s="73"/>
      <c r="Y55" s="65"/>
      <c r="Z55" s="65"/>
      <c r="AA55" s="61">
        <f>H43</f>
        <v>14</v>
      </c>
      <c r="AB55" s="61" t="str">
        <f>E43</f>
        <v>AIS-Q9K-017 W</v>
      </c>
      <c r="AC55" s="74" t="s">
        <v>90</v>
      </c>
      <c r="AD55" s="61" t="str">
        <f t="shared" si="31"/>
        <v>TWC</v>
      </c>
      <c r="AE55" s="61">
        <f t="shared" si="32"/>
        <v>0</v>
      </c>
      <c r="AF55" s="61">
        <f t="shared" si="33"/>
        <v>0</v>
      </c>
      <c r="AG55" s="65"/>
      <c r="AH55" s="65"/>
    </row>
    <row r="56" spans="1:34" s="19" customFormat="1" ht="12.75" hidden="1" customHeight="1">
      <c r="A56" s="23" t="s">
        <v>16</v>
      </c>
      <c r="B56" s="1">
        <f>B35+7</f>
        <v>43189</v>
      </c>
      <c r="C56" s="68">
        <v>0</v>
      </c>
      <c r="D56" s="68">
        <v>0</v>
      </c>
      <c r="E56" s="69">
        <f t="shared" si="37"/>
        <v>139</v>
      </c>
      <c r="F56" s="70">
        <f t="shared" si="38"/>
        <v>1212</v>
      </c>
      <c r="G56" s="68">
        <f t="shared" si="29"/>
        <v>139</v>
      </c>
      <c r="H56" s="68">
        <f t="shared" si="29"/>
        <v>1212</v>
      </c>
      <c r="I56" s="70"/>
      <c r="J56" s="70"/>
      <c r="K56" s="70"/>
      <c r="L56" s="70"/>
      <c r="M56" s="70">
        <f t="shared" si="34"/>
        <v>0</v>
      </c>
      <c r="N56" s="70">
        <f t="shared" si="35"/>
        <v>0</v>
      </c>
      <c r="O56" s="70"/>
      <c r="P56" s="70"/>
      <c r="Q56" s="70">
        <v>139</v>
      </c>
      <c r="R56" s="84">
        <v>1212</v>
      </c>
      <c r="S56" s="72"/>
      <c r="T56" s="252" t="e">
        <f t="shared" si="36"/>
        <v>#DIV/0!</v>
      </c>
      <c r="U56" s="73"/>
      <c r="V56" s="73"/>
      <c r="W56" s="73"/>
      <c r="X56" s="73"/>
      <c r="Y56" s="65"/>
      <c r="Z56" s="65"/>
      <c r="AA56" s="61">
        <f>H43</f>
        <v>14</v>
      </c>
      <c r="AB56" s="61" t="str">
        <f>E43</f>
        <v>AIS-Q9K-017 W</v>
      </c>
      <c r="AC56" s="74" t="s">
        <v>90</v>
      </c>
      <c r="AD56" s="61" t="str">
        <f t="shared" si="31"/>
        <v>HUA</v>
      </c>
      <c r="AE56" s="61">
        <f t="shared" si="32"/>
        <v>0</v>
      </c>
      <c r="AF56" s="61">
        <f t="shared" si="33"/>
        <v>139</v>
      </c>
      <c r="AG56" s="65"/>
      <c r="AH56" s="65"/>
    </row>
    <row r="57" spans="1:34" s="19" customFormat="1" ht="12.75" hidden="1" customHeight="1">
      <c r="A57" s="23" t="s">
        <v>2</v>
      </c>
      <c r="B57" s="26"/>
      <c r="C57" s="68"/>
      <c r="D57" s="68"/>
      <c r="E57" s="69">
        <f t="shared" si="37"/>
        <v>0</v>
      </c>
      <c r="F57" s="70">
        <f t="shared" si="38"/>
        <v>0</v>
      </c>
      <c r="G57" s="68"/>
      <c r="H57" s="68"/>
      <c r="I57" s="70"/>
      <c r="J57" s="70"/>
      <c r="K57" s="70"/>
      <c r="L57" s="70"/>
      <c r="M57" s="70">
        <f t="shared" si="34"/>
        <v>0</v>
      </c>
      <c r="N57" s="70">
        <f t="shared" si="35"/>
        <v>0</v>
      </c>
      <c r="O57" s="70"/>
      <c r="P57" s="70"/>
      <c r="Q57" s="70"/>
      <c r="R57" s="70"/>
      <c r="S57" s="72"/>
      <c r="T57" s="252" t="e">
        <f t="shared" si="36"/>
        <v>#DIV/0!</v>
      </c>
      <c r="U57" s="73"/>
      <c r="V57" s="73"/>
      <c r="W57" s="73"/>
      <c r="X57" s="73"/>
      <c r="Y57" s="65"/>
      <c r="Z57" s="65"/>
      <c r="AA57" s="61">
        <f>H43</f>
        <v>14</v>
      </c>
      <c r="AB57" s="61" t="str">
        <f>E43</f>
        <v>AIS-Q9K-017 W</v>
      </c>
      <c r="AC57" s="74" t="s">
        <v>90</v>
      </c>
      <c r="AD57" s="61" t="str">
        <f t="shared" si="31"/>
        <v>HKG</v>
      </c>
      <c r="AE57" s="61">
        <f t="shared" si="32"/>
        <v>0</v>
      </c>
      <c r="AF57" s="61">
        <f t="shared" si="33"/>
        <v>0</v>
      </c>
      <c r="AG57" s="65"/>
      <c r="AH57" s="65"/>
    </row>
    <row r="58" spans="1:34" s="19" customFormat="1" ht="12.75" hidden="1" customHeight="1">
      <c r="A58" s="23" t="s">
        <v>3</v>
      </c>
      <c r="B58" s="1">
        <f>B37+7</f>
        <v>43194</v>
      </c>
      <c r="C58" s="68">
        <v>120</v>
      </c>
      <c r="D58" s="68">
        <v>1680</v>
      </c>
      <c r="E58" s="69">
        <f t="shared" ref="E58:F60" si="39">O58+Q58</f>
        <v>102</v>
      </c>
      <c r="F58" s="70">
        <f t="shared" si="39"/>
        <v>1500</v>
      </c>
      <c r="G58" s="68">
        <f t="shared" ref="G58:H61" si="40">E58-C58</f>
        <v>-18</v>
      </c>
      <c r="H58" s="68">
        <f t="shared" si="40"/>
        <v>-180</v>
      </c>
      <c r="I58" s="70"/>
      <c r="J58" s="70"/>
      <c r="K58" s="70"/>
      <c r="L58" s="70"/>
      <c r="M58" s="70">
        <f t="shared" si="34"/>
        <v>0</v>
      </c>
      <c r="N58" s="70">
        <f t="shared" si="35"/>
        <v>0</v>
      </c>
      <c r="O58" s="68"/>
      <c r="P58" s="68"/>
      <c r="Q58" s="70">
        <v>102</v>
      </c>
      <c r="R58" s="70">
        <v>1500</v>
      </c>
      <c r="S58" s="72"/>
      <c r="T58" s="252">
        <f t="shared" si="36"/>
        <v>0.85</v>
      </c>
      <c r="U58" s="73"/>
      <c r="V58" s="73"/>
      <c r="W58" s="73"/>
      <c r="X58" s="73"/>
      <c r="Y58" s="65"/>
      <c r="Z58" s="65"/>
      <c r="AA58" s="61">
        <f>H43</f>
        <v>14</v>
      </c>
      <c r="AB58" s="61" t="str">
        <f>E43</f>
        <v>AIS-Q9K-017 W</v>
      </c>
      <c r="AC58" s="74" t="s">
        <v>90</v>
      </c>
      <c r="AD58" s="61" t="str">
        <f t="shared" si="31"/>
        <v>SGP</v>
      </c>
      <c r="AE58" s="61">
        <f t="shared" si="32"/>
        <v>120</v>
      </c>
      <c r="AF58" s="61">
        <f t="shared" si="33"/>
        <v>102</v>
      </c>
      <c r="AG58" s="65"/>
      <c r="AH58" s="65"/>
    </row>
    <row r="59" spans="1:34" s="19" customFormat="1" ht="12.75" hidden="1" customHeight="1">
      <c r="A59" s="23" t="s">
        <v>4</v>
      </c>
      <c r="B59" s="1">
        <f>B38+7</f>
        <v>43195</v>
      </c>
      <c r="C59" s="68">
        <v>30</v>
      </c>
      <c r="D59" s="68">
        <v>420</v>
      </c>
      <c r="E59" s="69">
        <f t="shared" si="39"/>
        <v>57</v>
      </c>
      <c r="F59" s="70">
        <f t="shared" si="39"/>
        <v>952</v>
      </c>
      <c r="G59" s="68">
        <f t="shared" si="40"/>
        <v>27</v>
      </c>
      <c r="H59" s="68">
        <f t="shared" si="40"/>
        <v>532</v>
      </c>
      <c r="I59" s="70"/>
      <c r="J59" s="70"/>
      <c r="K59" s="70"/>
      <c r="L59" s="70"/>
      <c r="M59" s="70">
        <f t="shared" si="34"/>
        <v>0</v>
      </c>
      <c r="N59" s="70">
        <f t="shared" si="35"/>
        <v>0</v>
      </c>
      <c r="O59" s="70"/>
      <c r="P59" s="70"/>
      <c r="Q59" s="70">
        <v>57</v>
      </c>
      <c r="R59" s="70">
        <v>952</v>
      </c>
      <c r="S59" s="72"/>
      <c r="T59" s="252">
        <f>E59/C59</f>
        <v>1.9</v>
      </c>
      <c r="U59" s="73"/>
      <c r="V59" s="73"/>
      <c r="W59" s="73"/>
      <c r="X59" s="73"/>
      <c r="Y59" s="65"/>
      <c r="Z59" s="65"/>
      <c r="AA59" s="61">
        <f>H43</f>
        <v>14</v>
      </c>
      <c r="AB59" s="61" t="str">
        <f>E43</f>
        <v>AIS-Q9K-017 W</v>
      </c>
      <c r="AC59" s="74" t="s">
        <v>90</v>
      </c>
      <c r="AD59" s="61" t="str">
        <f t="shared" si="31"/>
        <v>PKL</v>
      </c>
      <c r="AE59" s="61">
        <f t="shared" si="32"/>
        <v>30</v>
      </c>
      <c r="AF59" s="61">
        <f t="shared" si="33"/>
        <v>57</v>
      </c>
      <c r="AG59" s="65"/>
      <c r="AH59" s="65"/>
    </row>
    <row r="60" spans="1:34" s="19" customFormat="1" ht="12.75" hidden="1" customHeight="1">
      <c r="A60" s="23" t="s">
        <v>15</v>
      </c>
      <c r="B60" s="20"/>
      <c r="C60" s="68"/>
      <c r="D60" s="68"/>
      <c r="E60" s="69">
        <f t="shared" si="39"/>
        <v>0</v>
      </c>
      <c r="F60" s="70">
        <f t="shared" si="39"/>
        <v>0</v>
      </c>
      <c r="G60" s="68">
        <f t="shared" si="40"/>
        <v>0</v>
      </c>
      <c r="H60" s="68">
        <f t="shared" si="40"/>
        <v>0</v>
      </c>
      <c r="I60" s="70"/>
      <c r="J60" s="70"/>
      <c r="K60" s="70"/>
      <c r="L60" s="70"/>
      <c r="M60" s="70">
        <f t="shared" si="34"/>
        <v>0</v>
      </c>
      <c r="N60" s="70">
        <f t="shared" si="35"/>
        <v>0</v>
      </c>
      <c r="O60" s="71"/>
      <c r="P60" s="71"/>
      <c r="Q60" s="71"/>
      <c r="R60" s="71"/>
      <c r="S60" s="72"/>
      <c r="T60" s="73"/>
      <c r="U60" s="73"/>
      <c r="V60" s="73"/>
      <c r="W60" s="73"/>
      <c r="X60" s="73"/>
      <c r="Y60" s="65"/>
      <c r="Z60" s="65"/>
      <c r="AA60" s="61">
        <f>H43</f>
        <v>14</v>
      </c>
      <c r="AB60" s="61" t="str">
        <f>E43</f>
        <v>AIS-Q9K-017 W</v>
      </c>
      <c r="AC60" s="74" t="s">
        <v>90</v>
      </c>
      <c r="AD60" s="61" t="str">
        <f t="shared" si="31"/>
        <v>T/S</v>
      </c>
      <c r="AE60" s="61">
        <f t="shared" si="32"/>
        <v>0</v>
      </c>
      <c r="AF60" s="61">
        <f t="shared" si="33"/>
        <v>0</v>
      </c>
      <c r="AG60" s="65"/>
      <c r="AH60" s="65"/>
    </row>
    <row r="61" spans="1:34" s="19" customFormat="1" ht="12.75" hidden="1" customHeight="1">
      <c r="A61" s="21" t="s">
        <v>36</v>
      </c>
      <c r="B61" s="22"/>
      <c r="C61" s="71">
        <v>530</v>
      </c>
      <c r="D61" s="71">
        <f>SUM(D47:D60)</f>
        <v>7700</v>
      </c>
      <c r="E61" s="78">
        <f>SUM(E47:E60)</f>
        <v>573</v>
      </c>
      <c r="F61" s="76">
        <f>SUM(F47:F60)</f>
        <v>7994</v>
      </c>
      <c r="G61" s="71">
        <f t="shared" si="40"/>
        <v>43</v>
      </c>
      <c r="H61" s="71">
        <f t="shared" si="40"/>
        <v>294</v>
      </c>
      <c r="I61" s="70">
        <f t="shared" ref="I61:L61" si="41">SUM(I47:I60)</f>
        <v>33</v>
      </c>
      <c r="J61" s="70">
        <f t="shared" si="41"/>
        <v>469</v>
      </c>
      <c r="K61" s="70">
        <f t="shared" si="41"/>
        <v>47</v>
      </c>
      <c r="L61" s="70">
        <f t="shared" si="41"/>
        <v>629</v>
      </c>
      <c r="M61" s="70"/>
      <c r="N61" s="70"/>
      <c r="O61" s="70">
        <f t="shared" ref="O61:R61" si="42">SUM(O47:O60)</f>
        <v>275</v>
      </c>
      <c r="P61" s="70">
        <f t="shared" si="42"/>
        <v>4330</v>
      </c>
      <c r="Q61" s="70">
        <f t="shared" si="42"/>
        <v>298</v>
      </c>
      <c r="R61" s="70">
        <f t="shared" si="42"/>
        <v>3664</v>
      </c>
      <c r="S61" s="72"/>
      <c r="T61" s="73"/>
      <c r="U61" s="73"/>
      <c r="V61" s="73"/>
      <c r="W61" s="73"/>
      <c r="X61" s="73"/>
      <c r="Y61" s="65"/>
      <c r="Z61" s="65"/>
      <c r="AA61" s="61"/>
      <c r="AB61" s="61"/>
      <c r="AC61" s="61"/>
      <c r="AD61" s="61"/>
      <c r="AE61" s="61"/>
      <c r="AF61" s="61"/>
      <c r="AG61" s="65"/>
      <c r="AH61" s="65"/>
    </row>
    <row r="62" spans="1:34" s="65" customFormat="1" ht="12.75" hidden="1" customHeight="1">
      <c r="A62" s="84">
        <f>D61/C61</f>
        <v>14.528301886792454</v>
      </c>
      <c r="C62" s="79">
        <f>F61-E62</f>
        <v>1064</v>
      </c>
      <c r="E62" s="65">
        <f>D61*0.9</f>
        <v>6930</v>
      </c>
      <c r="F62" s="79">
        <f>E61-L62</f>
        <v>96</v>
      </c>
      <c r="I62" s="80" t="s">
        <v>48</v>
      </c>
      <c r="J62" s="245">
        <f>E61/C61</f>
        <v>1.0811320754716982</v>
      </c>
      <c r="K62" s="80"/>
      <c r="L62" s="80">
        <f>C61*0.9</f>
        <v>477</v>
      </c>
      <c r="M62" s="80"/>
      <c r="N62" s="80"/>
      <c r="O62" s="82" t="s">
        <v>553</v>
      </c>
      <c r="P62" s="80"/>
      <c r="Q62" s="65">
        <f>O47+O48+O49+O50+O51+O52+O53+O54+O55+O56+Q47+Q48+Q49+Q50+Q51+Q52+Q54+Q55+Q56+Q57</f>
        <v>414</v>
      </c>
      <c r="R62" s="65">
        <f>P47+P48+P49+P50+P51+P53+P52+P54+P55+P56+P57+R47+R48+R49+R50+R51+R52+R53+R54+R55+R56+R57</f>
        <v>5542</v>
      </c>
      <c r="AA62" s="81"/>
      <c r="AB62" s="81"/>
      <c r="AC62" s="81"/>
      <c r="AD62" s="81"/>
      <c r="AE62" s="81"/>
      <c r="AF62" s="81"/>
    </row>
    <row r="63" spans="1:34" hidden="1"/>
    <row r="64" spans="1:34" s="63" customFormat="1" ht="12.75" hidden="1" customHeight="1">
      <c r="A64" s="59" t="s">
        <v>90</v>
      </c>
      <c r="B64" s="58" t="s">
        <v>523</v>
      </c>
      <c r="C64" s="56"/>
      <c r="D64" s="57"/>
      <c r="E64" s="58" t="s">
        <v>587</v>
      </c>
      <c r="F64" s="57"/>
      <c r="G64" s="59" t="s">
        <v>37</v>
      </c>
      <c r="H64" s="60">
        <f>H43+1</f>
        <v>15</v>
      </c>
      <c r="I64" s="57"/>
      <c r="J64" s="57"/>
      <c r="K64" s="57"/>
      <c r="L64" s="57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2"/>
      <c r="Z64" s="62"/>
      <c r="AA64" s="62"/>
      <c r="AB64" s="62"/>
      <c r="AC64" s="62"/>
    </row>
    <row r="65" spans="1:32" s="65" customFormat="1" ht="12.75" hidden="1" customHeight="1">
      <c r="A65" s="340" t="s">
        <v>0</v>
      </c>
      <c r="B65" s="336" t="s">
        <v>1</v>
      </c>
      <c r="C65" s="331" t="s">
        <v>25</v>
      </c>
      <c r="D65" s="332"/>
      <c r="E65" s="331" t="s">
        <v>21</v>
      </c>
      <c r="F65" s="332"/>
      <c r="G65" s="335" t="s">
        <v>24</v>
      </c>
      <c r="H65" s="335"/>
      <c r="I65" s="328" t="s">
        <v>33</v>
      </c>
      <c r="J65" s="329"/>
      <c r="K65" s="329"/>
      <c r="L65" s="329"/>
      <c r="M65" s="329"/>
      <c r="N65" s="330"/>
      <c r="O65" s="331" t="s">
        <v>22</v>
      </c>
      <c r="P65" s="332"/>
      <c r="Q65" s="335" t="s">
        <v>23</v>
      </c>
      <c r="R65" s="335"/>
      <c r="S65" s="336" t="s">
        <v>27</v>
      </c>
      <c r="T65" s="64"/>
      <c r="U65" s="64"/>
      <c r="V65" s="64"/>
      <c r="W65" s="64"/>
      <c r="X65" s="64"/>
      <c r="Y65" s="339"/>
      <c r="Z65" s="247"/>
      <c r="AA65" s="61"/>
      <c r="AB65" s="61"/>
      <c r="AC65" s="74"/>
      <c r="AD65" s="61"/>
      <c r="AE65" s="61"/>
      <c r="AF65" s="61"/>
    </row>
    <row r="66" spans="1:32" s="65" customFormat="1" ht="12.75" hidden="1" customHeight="1">
      <c r="A66" s="341"/>
      <c r="B66" s="337"/>
      <c r="C66" s="333"/>
      <c r="D66" s="334"/>
      <c r="E66" s="333"/>
      <c r="F66" s="334"/>
      <c r="G66" s="335"/>
      <c r="H66" s="335"/>
      <c r="I66" s="248" t="s">
        <v>28</v>
      </c>
      <c r="J66" s="249" t="s">
        <v>3</v>
      </c>
      <c r="K66" s="248" t="s">
        <v>29</v>
      </c>
      <c r="L66" s="249" t="s">
        <v>4</v>
      </c>
      <c r="M66" s="328" t="s">
        <v>30</v>
      </c>
      <c r="N66" s="330"/>
      <c r="O66" s="333"/>
      <c r="P66" s="334"/>
      <c r="Q66" s="335"/>
      <c r="R66" s="335"/>
      <c r="S66" s="337"/>
      <c r="T66" s="64"/>
      <c r="U66" s="64"/>
      <c r="V66" s="64"/>
      <c r="W66" s="64"/>
      <c r="X66" s="64"/>
      <c r="Y66" s="339"/>
      <c r="Z66" s="247"/>
      <c r="AA66" s="61"/>
      <c r="AB66" s="61"/>
      <c r="AC66" s="74"/>
      <c r="AD66" s="61"/>
      <c r="AE66" s="61"/>
      <c r="AF66" s="61"/>
    </row>
    <row r="67" spans="1:32" s="65" customFormat="1" ht="12.75" hidden="1" customHeight="1">
      <c r="A67" s="342"/>
      <c r="B67" s="338"/>
      <c r="C67" s="250" t="s">
        <v>5</v>
      </c>
      <c r="D67" s="250" t="s">
        <v>6</v>
      </c>
      <c r="E67" s="249" t="s">
        <v>5</v>
      </c>
      <c r="F67" s="250" t="s">
        <v>6</v>
      </c>
      <c r="G67" s="250" t="s">
        <v>5</v>
      </c>
      <c r="H67" s="250" t="s">
        <v>6</v>
      </c>
      <c r="I67" s="249" t="s">
        <v>5</v>
      </c>
      <c r="J67" s="250" t="s">
        <v>6</v>
      </c>
      <c r="K67" s="249" t="s">
        <v>5</v>
      </c>
      <c r="L67" s="250" t="s">
        <v>6</v>
      </c>
      <c r="M67" s="250"/>
      <c r="N67" s="250"/>
      <c r="O67" s="249" t="s">
        <v>5</v>
      </c>
      <c r="P67" s="250" t="s">
        <v>6</v>
      </c>
      <c r="Q67" s="250" t="s">
        <v>5</v>
      </c>
      <c r="R67" s="250" t="s">
        <v>6</v>
      </c>
      <c r="S67" s="338"/>
      <c r="T67" s="64"/>
      <c r="U67" s="64"/>
      <c r="V67" s="64"/>
      <c r="W67" s="64"/>
      <c r="X67" s="64"/>
      <c r="Y67" s="339"/>
      <c r="Z67" s="247"/>
      <c r="AA67" s="61" t="s">
        <v>43</v>
      </c>
      <c r="AB67" s="61" t="s">
        <v>45</v>
      </c>
      <c r="AC67" s="61" t="s">
        <v>46</v>
      </c>
      <c r="AD67" s="61" t="s">
        <v>42</v>
      </c>
      <c r="AE67" s="61" t="s">
        <v>41</v>
      </c>
      <c r="AF67" s="61" t="s">
        <v>44</v>
      </c>
    </row>
    <row r="68" spans="1:32" s="65" customFormat="1" ht="12.75" hidden="1" customHeight="1">
      <c r="A68" s="51" t="s">
        <v>7</v>
      </c>
      <c r="B68" s="1">
        <f>B47+7</f>
        <v>43192</v>
      </c>
      <c r="C68" s="250">
        <v>150</v>
      </c>
      <c r="D68" s="250">
        <v>2100</v>
      </c>
      <c r="E68" s="69">
        <f t="shared" ref="E68:E78" si="43">O68+Q68</f>
        <v>168</v>
      </c>
      <c r="F68" s="70">
        <f t="shared" ref="F68:F78" si="44">P68+R68</f>
        <v>2733</v>
      </c>
      <c r="G68" s="250">
        <f t="shared" ref="G68:G77" si="45">E68-C68</f>
        <v>18</v>
      </c>
      <c r="H68" s="250">
        <f t="shared" ref="H68:H77" si="46">F68-D68</f>
        <v>633</v>
      </c>
      <c r="I68" s="70">
        <v>25</v>
      </c>
      <c r="J68" s="70">
        <v>271</v>
      </c>
      <c r="K68" s="70"/>
      <c r="L68" s="70"/>
      <c r="M68" s="70">
        <f t="shared" ref="M68:M81" si="47">I68+K68</f>
        <v>25</v>
      </c>
      <c r="N68" s="70">
        <f t="shared" ref="N68:N81" si="48">J68+L68</f>
        <v>271</v>
      </c>
      <c r="O68" s="71">
        <v>168</v>
      </c>
      <c r="P68" s="71">
        <v>2733</v>
      </c>
      <c r="Q68" s="70"/>
      <c r="R68" s="70"/>
      <c r="S68" s="72"/>
      <c r="T68" s="252">
        <f>E68/C68</f>
        <v>1.1200000000000001</v>
      </c>
      <c r="U68" s="73"/>
      <c r="V68" s="73"/>
      <c r="W68" s="73"/>
      <c r="X68" s="73"/>
      <c r="Y68" s="339"/>
      <c r="Z68" s="247"/>
      <c r="AA68" s="61">
        <f>H64</f>
        <v>15</v>
      </c>
      <c r="AB68" s="61" t="str">
        <f>E64</f>
        <v>AIS-TDF-001 W</v>
      </c>
      <c r="AC68" s="74" t="s">
        <v>90</v>
      </c>
      <c r="AD68" s="61" t="str">
        <f t="shared" ref="AD68:AD81" si="49">A68</f>
        <v>KR</v>
      </c>
      <c r="AE68" s="61">
        <f t="shared" ref="AE68:AE81" si="50">C68</f>
        <v>150</v>
      </c>
      <c r="AF68" s="61">
        <f t="shared" ref="AF68:AF81" si="51">E68</f>
        <v>168</v>
      </c>
    </row>
    <row r="69" spans="1:32" s="65" customFormat="1" ht="12.75" hidden="1" customHeight="1">
      <c r="A69" s="52" t="s">
        <v>13</v>
      </c>
      <c r="B69" s="1">
        <f>B48+7</f>
        <v>43189</v>
      </c>
      <c r="C69" s="250">
        <v>200</v>
      </c>
      <c r="D69" s="250">
        <v>2800</v>
      </c>
      <c r="E69" s="69">
        <f t="shared" si="43"/>
        <v>273</v>
      </c>
      <c r="F69" s="70">
        <f t="shared" si="44"/>
        <v>3251</v>
      </c>
      <c r="G69" s="250">
        <f t="shared" si="45"/>
        <v>73</v>
      </c>
      <c r="H69" s="250">
        <f t="shared" si="46"/>
        <v>451</v>
      </c>
      <c r="I69" s="75">
        <v>24</v>
      </c>
      <c r="J69" s="75">
        <v>292</v>
      </c>
      <c r="K69" s="70"/>
      <c r="L69" s="70"/>
      <c r="M69" s="70">
        <f t="shared" si="47"/>
        <v>24</v>
      </c>
      <c r="N69" s="70">
        <f t="shared" si="48"/>
        <v>292</v>
      </c>
      <c r="O69" s="75">
        <f>203+70</f>
        <v>273</v>
      </c>
      <c r="P69" s="75">
        <v>3251</v>
      </c>
      <c r="Q69" s="71"/>
      <c r="R69" s="71"/>
      <c r="S69" s="72">
        <v>230</v>
      </c>
      <c r="T69" s="252">
        <f t="shared" ref="T69:T79" si="52">E69/C69</f>
        <v>1.365</v>
      </c>
      <c r="U69" s="73">
        <v>150</v>
      </c>
      <c r="V69" s="73"/>
      <c r="W69" s="73"/>
      <c r="X69" s="73"/>
      <c r="AA69" s="61">
        <f>H64</f>
        <v>15</v>
      </c>
      <c r="AB69" s="61" t="str">
        <f>E64</f>
        <v>AIS-TDF-001 W</v>
      </c>
      <c r="AC69" s="74" t="s">
        <v>90</v>
      </c>
      <c r="AD69" s="61" t="str">
        <f t="shared" si="49"/>
        <v>TAO</v>
      </c>
      <c r="AE69" s="61">
        <f t="shared" si="50"/>
        <v>200</v>
      </c>
      <c r="AF69" s="61">
        <f t="shared" si="51"/>
        <v>273</v>
      </c>
    </row>
    <row r="70" spans="1:32" s="65" customFormat="1" ht="12.75" hidden="1" customHeight="1">
      <c r="A70" s="52" t="s">
        <v>9</v>
      </c>
      <c r="B70" s="1" t="s">
        <v>18</v>
      </c>
      <c r="C70" s="250">
        <v>0</v>
      </c>
      <c r="D70" s="250">
        <v>0</v>
      </c>
      <c r="E70" s="69">
        <f t="shared" si="43"/>
        <v>0</v>
      </c>
      <c r="F70" s="70">
        <f t="shared" si="44"/>
        <v>0</v>
      </c>
      <c r="G70" s="250">
        <f t="shared" si="45"/>
        <v>0</v>
      </c>
      <c r="H70" s="250">
        <f t="shared" si="46"/>
        <v>0</v>
      </c>
      <c r="I70" s="75"/>
      <c r="J70" s="75"/>
      <c r="K70" s="71"/>
      <c r="L70" s="71"/>
      <c r="M70" s="70">
        <f t="shared" si="47"/>
        <v>0</v>
      </c>
      <c r="N70" s="70">
        <f t="shared" si="48"/>
        <v>0</v>
      </c>
      <c r="O70" s="75"/>
      <c r="P70" s="75"/>
      <c r="Q70" s="71"/>
      <c r="R70" s="71"/>
      <c r="S70" s="72">
        <v>0</v>
      </c>
      <c r="T70" s="252" t="e">
        <f t="shared" si="52"/>
        <v>#DIV/0!</v>
      </c>
      <c r="U70" s="73"/>
      <c r="V70" s="73"/>
      <c r="W70" s="73"/>
      <c r="X70" s="73"/>
      <c r="AA70" s="61">
        <f>H64</f>
        <v>15</v>
      </c>
      <c r="AB70" s="61" t="str">
        <f>E64</f>
        <v>AIS-TDF-001 W</v>
      </c>
      <c r="AC70" s="74" t="s">
        <v>90</v>
      </c>
      <c r="AD70" s="61" t="str">
        <f t="shared" si="49"/>
        <v>SHA</v>
      </c>
      <c r="AE70" s="61">
        <f t="shared" si="50"/>
        <v>0</v>
      </c>
      <c r="AF70" s="61">
        <f t="shared" si="51"/>
        <v>0</v>
      </c>
    </row>
    <row r="71" spans="1:32" s="65" customFormat="1" ht="12.75" hidden="1" customHeight="1">
      <c r="A71" s="52" t="s">
        <v>8</v>
      </c>
      <c r="B71" s="1">
        <f>B50+7</f>
        <v>43194</v>
      </c>
      <c r="C71" s="250">
        <v>0</v>
      </c>
      <c r="D71" s="250">
        <v>0</v>
      </c>
      <c r="E71" s="69">
        <f t="shared" si="43"/>
        <v>0</v>
      </c>
      <c r="F71" s="70">
        <f t="shared" si="44"/>
        <v>0</v>
      </c>
      <c r="G71" s="250">
        <f t="shared" si="45"/>
        <v>0</v>
      </c>
      <c r="H71" s="250">
        <f t="shared" si="46"/>
        <v>0</v>
      </c>
      <c r="I71" s="71">
        <v>2</v>
      </c>
      <c r="J71" s="71">
        <v>24</v>
      </c>
      <c r="K71" s="71">
        <v>41</v>
      </c>
      <c r="L71" s="71">
        <v>570</v>
      </c>
      <c r="M71" s="70">
        <f t="shared" si="47"/>
        <v>43</v>
      </c>
      <c r="N71" s="70">
        <f t="shared" si="48"/>
        <v>594</v>
      </c>
      <c r="O71" s="71"/>
      <c r="P71" s="71"/>
      <c r="Q71" s="71"/>
      <c r="R71" s="71"/>
      <c r="S71" s="72"/>
      <c r="T71" s="252" t="e">
        <f t="shared" si="52"/>
        <v>#DIV/0!</v>
      </c>
      <c r="U71" s="73"/>
      <c r="V71" s="73"/>
      <c r="W71" s="73"/>
      <c r="X71" s="73"/>
      <c r="AA71" s="61">
        <f>H64</f>
        <v>15</v>
      </c>
      <c r="AB71" s="61" t="str">
        <f>E64</f>
        <v>AIS-TDF-001 W</v>
      </c>
      <c r="AC71" s="74" t="s">
        <v>90</v>
      </c>
      <c r="AD71" s="61" t="str">
        <f t="shared" si="49"/>
        <v>NGB</v>
      </c>
      <c r="AE71" s="61">
        <f t="shared" si="50"/>
        <v>0</v>
      </c>
      <c r="AF71" s="61">
        <f t="shared" si="51"/>
        <v>0</v>
      </c>
    </row>
    <row r="72" spans="1:32" s="65" customFormat="1" ht="12.75" hidden="1" customHeight="1">
      <c r="A72" s="52" t="s">
        <v>10</v>
      </c>
      <c r="B72" s="1" t="s">
        <v>18</v>
      </c>
      <c r="C72" s="250">
        <v>0</v>
      </c>
      <c r="D72" s="250">
        <v>0</v>
      </c>
      <c r="E72" s="69">
        <f t="shared" si="43"/>
        <v>0</v>
      </c>
      <c r="F72" s="70">
        <f t="shared" si="44"/>
        <v>0</v>
      </c>
      <c r="G72" s="250">
        <f t="shared" si="45"/>
        <v>0</v>
      </c>
      <c r="H72" s="250">
        <f t="shared" si="46"/>
        <v>0</v>
      </c>
      <c r="I72" s="75"/>
      <c r="J72" s="75"/>
      <c r="K72" s="70"/>
      <c r="L72" s="70"/>
      <c r="M72" s="70">
        <f t="shared" si="47"/>
        <v>0</v>
      </c>
      <c r="N72" s="70">
        <f t="shared" si="48"/>
        <v>0</v>
      </c>
      <c r="O72" s="75"/>
      <c r="P72" s="75"/>
      <c r="Q72" s="70"/>
      <c r="R72" s="70"/>
      <c r="S72" s="72"/>
      <c r="T72" s="252" t="e">
        <f t="shared" si="52"/>
        <v>#DIV/0!</v>
      </c>
      <c r="U72" s="73"/>
      <c r="V72" s="73"/>
      <c r="W72" s="73"/>
      <c r="X72" s="73"/>
      <c r="AA72" s="61">
        <f>H64</f>
        <v>15</v>
      </c>
      <c r="AB72" s="61" t="str">
        <f>E64</f>
        <v>AIS-TDF-001 W</v>
      </c>
      <c r="AC72" s="74" t="s">
        <v>90</v>
      </c>
      <c r="AD72" s="61" t="str">
        <f t="shared" si="49"/>
        <v>WUH</v>
      </c>
      <c r="AE72" s="61">
        <f t="shared" si="50"/>
        <v>0</v>
      </c>
      <c r="AF72" s="61">
        <f t="shared" si="51"/>
        <v>0</v>
      </c>
    </row>
    <row r="73" spans="1:32" s="65" customFormat="1" ht="12.75" hidden="1" customHeight="1">
      <c r="A73" s="52" t="s">
        <v>11</v>
      </c>
      <c r="B73" s="1" t="s">
        <v>18</v>
      </c>
      <c r="C73" s="250">
        <v>0</v>
      </c>
      <c r="D73" s="250">
        <v>0</v>
      </c>
      <c r="E73" s="69">
        <f t="shared" si="43"/>
        <v>0</v>
      </c>
      <c r="F73" s="70">
        <f t="shared" si="44"/>
        <v>0</v>
      </c>
      <c r="G73" s="250">
        <f t="shared" si="45"/>
        <v>0</v>
      </c>
      <c r="H73" s="250">
        <f t="shared" si="46"/>
        <v>0</v>
      </c>
      <c r="I73" s="70"/>
      <c r="J73" s="70"/>
      <c r="K73" s="70"/>
      <c r="L73" s="70"/>
      <c r="M73" s="70">
        <f t="shared" si="47"/>
        <v>0</v>
      </c>
      <c r="N73" s="70">
        <f t="shared" si="48"/>
        <v>0</v>
      </c>
      <c r="O73" s="75"/>
      <c r="P73" s="75"/>
      <c r="Q73" s="70"/>
      <c r="R73" s="70"/>
      <c r="S73" s="72"/>
      <c r="T73" s="252" t="e">
        <f t="shared" si="52"/>
        <v>#DIV/0!</v>
      </c>
      <c r="U73" s="73"/>
      <c r="V73" s="73"/>
      <c r="W73" s="73"/>
      <c r="X73" s="73"/>
      <c r="AA73" s="61">
        <f>H64</f>
        <v>15</v>
      </c>
      <c r="AB73" s="61" t="str">
        <f>E64</f>
        <v>AIS-TDF-001 W</v>
      </c>
      <c r="AC73" s="74" t="s">
        <v>90</v>
      </c>
      <c r="AD73" s="61" t="str">
        <f t="shared" si="49"/>
        <v>DLC</v>
      </c>
      <c r="AE73" s="61">
        <f t="shared" si="50"/>
        <v>0</v>
      </c>
      <c r="AF73" s="61">
        <f t="shared" si="51"/>
        <v>0</v>
      </c>
    </row>
    <row r="74" spans="1:32" s="65" customFormat="1" ht="12.75" hidden="1" customHeight="1">
      <c r="A74" s="52" t="s">
        <v>12</v>
      </c>
      <c r="B74" s="1" t="s">
        <v>18</v>
      </c>
      <c r="C74" s="250">
        <v>0</v>
      </c>
      <c r="D74" s="250">
        <v>0</v>
      </c>
      <c r="E74" s="69">
        <f t="shared" si="43"/>
        <v>0</v>
      </c>
      <c r="F74" s="70">
        <f t="shared" si="44"/>
        <v>0</v>
      </c>
      <c r="G74" s="250">
        <f t="shared" si="45"/>
        <v>0</v>
      </c>
      <c r="H74" s="250">
        <f t="shared" si="46"/>
        <v>0</v>
      </c>
      <c r="I74" s="70"/>
      <c r="J74" s="70"/>
      <c r="K74" s="70"/>
      <c r="L74" s="70"/>
      <c r="M74" s="70">
        <f t="shared" si="47"/>
        <v>0</v>
      </c>
      <c r="N74" s="70">
        <f t="shared" si="48"/>
        <v>0</v>
      </c>
      <c r="O74" s="75"/>
      <c r="P74" s="75"/>
      <c r="Q74" s="76"/>
      <c r="R74" s="71"/>
      <c r="S74" s="72"/>
      <c r="T74" s="252" t="e">
        <f t="shared" si="52"/>
        <v>#DIV/0!</v>
      </c>
      <c r="U74" s="73"/>
      <c r="V74" s="73"/>
      <c r="W74" s="73"/>
      <c r="X74" s="73"/>
      <c r="AA74" s="61">
        <f>H64</f>
        <v>15</v>
      </c>
      <c r="AB74" s="61" t="str">
        <f>E64</f>
        <v>AIS-TDF-001 W</v>
      </c>
      <c r="AC74" s="74" t="s">
        <v>90</v>
      </c>
      <c r="AD74" s="61" t="str">
        <f t="shared" si="49"/>
        <v>TSN</v>
      </c>
      <c r="AE74" s="61">
        <f t="shared" si="50"/>
        <v>0</v>
      </c>
      <c r="AF74" s="61">
        <f t="shared" si="51"/>
        <v>0</v>
      </c>
    </row>
    <row r="75" spans="1:32" s="65" customFormat="1" ht="12.75" hidden="1" customHeight="1">
      <c r="A75" s="52" t="s">
        <v>14</v>
      </c>
      <c r="B75" s="1" t="s">
        <v>18</v>
      </c>
      <c r="C75" s="250">
        <v>0</v>
      </c>
      <c r="D75" s="250">
        <v>0</v>
      </c>
      <c r="E75" s="69">
        <f t="shared" si="43"/>
        <v>0</v>
      </c>
      <c r="F75" s="70">
        <f t="shared" si="44"/>
        <v>0</v>
      </c>
      <c r="G75" s="250">
        <f t="shared" si="45"/>
        <v>0</v>
      </c>
      <c r="H75" s="250">
        <f t="shared" si="46"/>
        <v>0</v>
      </c>
      <c r="I75" s="70"/>
      <c r="J75" s="70"/>
      <c r="K75" s="70"/>
      <c r="L75" s="70"/>
      <c r="M75" s="70">
        <f t="shared" si="47"/>
        <v>0</v>
      </c>
      <c r="N75" s="70">
        <f t="shared" si="48"/>
        <v>0</v>
      </c>
      <c r="O75" s="71"/>
      <c r="P75" s="71"/>
      <c r="Q75" s="70"/>
      <c r="R75" s="70"/>
      <c r="S75" s="72"/>
      <c r="T75" s="252" t="e">
        <f t="shared" si="52"/>
        <v>#DIV/0!</v>
      </c>
      <c r="U75" s="73"/>
      <c r="V75" s="73"/>
      <c r="W75" s="73"/>
      <c r="X75" s="73"/>
      <c r="AA75" s="61">
        <f>H64</f>
        <v>15</v>
      </c>
      <c r="AB75" s="61" t="str">
        <f>E64</f>
        <v>AIS-TDF-001 W</v>
      </c>
      <c r="AC75" s="74" t="s">
        <v>90</v>
      </c>
      <c r="AD75" s="61" t="str">
        <f t="shared" si="49"/>
        <v>XMN</v>
      </c>
      <c r="AE75" s="61">
        <f t="shared" si="50"/>
        <v>0</v>
      </c>
      <c r="AF75" s="61">
        <f t="shared" si="51"/>
        <v>0</v>
      </c>
    </row>
    <row r="76" spans="1:32" s="65" customFormat="1" ht="12.75" hidden="1" customHeight="1">
      <c r="A76" s="52" t="s">
        <v>19</v>
      </c>
      <c r="B76" s="1" t="s">
        <v>18</v>
      </c>
      <c r="C76" s="250">
        <v>0</v>
      </c>
      <c r="D76" s="250">
        <v>0</v>
      </c>
      <c r="E76" s="69">
        <f t="shared" si="43"/>
        <v>0</v>
      </c>
      <c r="F76" s="70">
        <f t="shared" si="44"/>
        <v>0</v>
      </c>
      <c r="G76" s="250">
        <f t="shared" si="45"/>
        <v>0</v>
      </c>
      <c r="H76" s="250">
        <f t="shared" si="46"/>
        <v>0</v>
      </c>
      <c r="I76" s="70"/>
      <c r="J76" s="70"/>
      <c r="K76" s="70"/>
      <c r="L76" s="70"/>
      <c r="M76" s="70">
        <f t="shared" si="47"/>
        <v>0</v>
      </c>
      <c r="N76" s="70">
        <f t="shared" si="48"/>
        <v>0</v>
      </c>
      <c r="O76" s="70"/>
      <c r="P76" s="70"/>
      <c r="Q76" s="70"/>
      <c r="R76" s="70"/>
      <c r="S76" s="72"/>
      <c r="T76" s="252" t="e">
        <f t="shared" si="52"/>
        <v>#DIV/0!</v>
      </c>
      <c r="U76" s="73"/>
      <c r="V76" s="73"/>
      <c r="W76" s="73"/>
      <c r="X76" s="73"/>
      <c r="AA76" s="61">
        <f>H64</f>
        <v>15</v>
      </c>
      <c r="AB76" s="61" t="str">
        <f>E64</f>
        <v>AIS-TDF-001 W</v>
      </c>
      <c r="AC76" s="74" t="s">
        <v>90</v>
      </c>
      <c r="AD76" s="61" t="str">
        <f t="shared" si="49"/>
        <v>TWC</v>
      </c>
      <c r="AE76" s="61">
        <f t="shared" si="50"/>
        <v>0</v>
      </c>
      <c r="AF76" s="61">
        <f t="shared" si="51"/>
        <v>0</v>
      </c>
    </row>
    <row r="77" spans="1:32" s="65" customFormat="1" ht="12.75" hidden="1" customHeight="1">
      <c r="A77" s="52" t="s">
        <v>16</v>
      </c>
      <c r="B77" s="1">
        <f>B56+7</f>
        <v>43196</v>
      </c>
      <c r="C77" s="250">
        <v>50</v>
      </c>
      <c r="D77" s="250">
        <v>700</v>
      </c>
      <c r="E77" s="69">
        <f t="shared" si="43"/>
        <v>193</v>
      </c>
      <c r="F77" s="70">
        <f t="shared" si="44"/>
        <v>2500</v>
      </c>
      <c r="G77" s="250">
        <f t="shared" si="45"/>
        <v>143</v>
      </c>
      <c r="H77" s="250">
        <f t="shared" si="46"/>
        <v>1800</v>
      </c>
      <c r="I77" s="70"/>
      <c r="J77" s="70"/>
      <c r="K77" s="70"/>
      <c r="L77" s="70"/>
      <c r="M77" s="70">
        <f t="shared" si="47"/>
        <v>0</v>
      </c>
      <c r="N77" s="70">
        <f t="shared" si="48"/>
        <v>0</v>
      </c>
      <c r="O77" s="70"/>
      <c r="P77" s="70"/>
      <c r="Q77" s="70">
        <v>193</v>
      </c>
      <c r="R77" s="84">
        <v>2500</v>
      </c>
      <c r="S77" s="72">
        <v>150</v>
      </c>
      <c r="T77" s="252">
        <f t="shared" si="52"/>
        <v>3.86</v>
      </c>
      <c r="U77" s="73"/>
      <c r="V77" s="73"/>
      <c r="W77" s="73"/>
      <c r="X77" s="73"/>
      <c r="AA77" s="61">
        <f>H64</f>
        <v>15</v>
      </c>
      <c r="AB77" s="61" t="str">
        <f>E64</f>
        <v>AIS-TDF-001 W</v>
      </c>
      <c r="AC77" s="74" t="s">
        <v>90</v>
      </c>
      <c r="AD77" s="61" t="str">
        <f t="shared" si="49"/>
        <v>HUA</v>
      </c>
      <c r="AE77" s="61">
        <f t="shared" si="50"/>
        <v>50</v>
      </c>
      <c r="AF77" s="61">
        <f t="shared" si="51"/>
        <v>193</v>
      </c>
    </row>
    <row r="78" spans="1:32" s="65" customFormat="1" ht="12.75" hidden="1" customHeight="1">
      <c r="A78" s="52" t="s">
        <v>2</v>
      </c>
      <c r="B78" s="26"/>
      <c r="C78" s="250"/>
      <c r="D78" s="250"/>
      <c r="E78" s="69">
        <f t="shared" si="43"/>
        <v>0</v>
      </c>
      <c r="F78" s="70">
        <f t="shared" si="44"/>
        <v>0</v>
      </c>
      <c r="G78" s="250"/>
      <c r="H78" s="250"/>
      <c r="I78" s="70"/>
      <c r="J78" s="70"/>
      <c r="K78" s="70"/>
      <c r="L78" s="70"/>
      <c r="M78" s="70">
        <f t="shared" si="47"/>
        <v>0</v>
      </c>
      <c r="N78" s="70">
        <f t="shared" si="48"/>
        <v>0</v>
      </c>
      <c r="O78" s="70"/>
      <c r="P78" s="70"/>
      <c r="Q78" s="70"/>
      <c r="R78" s="70"/>
      <c r="S78" s="72"/>
      <c r="T78" s="252" t="e">
        <f t="shared" si="52"/>
        <v>#DIV/0!</v>
      </c>
      <c r="U78" s="73"/>
      <c r="V78" s="73"/>
      <c r="W78" s="73"/>
      <c r="X78" s="73"/>
      <c r="AA78" s="61">
        <f>H64</f>
        <v>15</v>
      </c>
      <c r="AB78" s="61" t="str">
        <f>E64</f>
        <v>AIS-TDF-001 W</v>
      </c>
      <c r="AC78" s="74" t="s">
        <v>90</v>
      </c>
      <c r="AD78" s="61" t="str">
        <f t="shared" si="49"/>
        <v>HKG</v>
      </c>
      <c r="AE78" s="61">
        <f t="shared" si="50"/>
        <v>0</v>
      </c>
      <c r="AF78" s="61">
        <f t="shared" si="51"/>
        <v>0</v>
      </c>
    </row>
    <row r="79" spans="1:32" s="65" customFormat="1" ht="12.75" hidden="1" customHeight="1">
      <c r="A79" s="52" t="s">
        <v>3</v>
      </c>
      <c r="B79" s="1">
        <f>B58+7</f>
        <v>43201</v>
      </c>
      <c r="C79" s="250">
        <v>120</v>
      </c>
      <c r="D79" s="250">
        <v>1680</v>
      </c>
      <c r="E79" s="69">
        <f t="shared" ref="E79:F81" si="53">O79+Q79</f>
        <v>123</v>
      </c>
      <c r="F79" s="70">
        <f t="shared" si="53"/>
        <v>1728</v>
      </c>
      <c r="G79" s="250">
        <f t="shared" ref="G79:G82" si="54">E79-C79</f>
        <v>3</v>
      </c>
      <c r="H79" s="250">
        <f t="shared" ref="H79:H82" si="55">F79-D79</f>
        <v>48</v>
      </c>
      <c r="I79" s="70"/>
      <c r="J79" s="70"/>
      <c r="K79" s="70"/>
      <c r="L79" s="70"/>
      <c r="M79" s="70">
        <f t="shared" si="47"/>
        <v>0</v>
      </c>
      <c r="N79" s="70">
        <f t="shared" si="48"/>
        <v>0</v>
      </c>
      <c r="O79" s="250"/>
      <c r="P79" s="250"/>
      <c r="Q79" s="70">
        <v>123</v>
      </c>
      <c r="R79" s="70">
        <v>1728</v>
      </c>
      <c r="S79" s="72"/>
      <c r="T79" s="252">
        <f t="shared" si="52"/>
        <v>1.0249999999999999</v>
      </c>
      <c r="U79" s="73"/>
      <c r="V79" s="73"/>
      <c r="W79" s="73"/>
      <c r="X79" s="73"/>
      <c r="AA79" s="61">
        <f>H64</f>
        <v>15</v>
      </c>
      <c r="AB79" s="61" t="str">
        <f>E64</f>
        <v>AIS-TDF-001 W</v>
      </c>
      <c r="AC79" s="74" t="s">
        <v>90</v>
      </c>
      <c r="AD79" s="61" t="str">
        <f t="shared" si="49"/>
        <v>SGP</v>
      </c>
      <c r="AE79" s="61">
        <f t="shared" si="50"/>
        <v>120</v>
      </c>
      <c r="AF79" s="61">
        <f t="shared" si="51"/>
        <v>123</v>
      </c>
    </row>
    <row r="80" spans="1:32" s="65" customFormat="1" ht="12.75" hidden="1" customHeight="1">
      <c r="A80" s="52" t="s">
        <v>4</v>
      </c>
      <c r="B80" s="1">
        <f>B59+7</f>
        <v>43202</v>
      </c>
      <c r="C80" s="250">
        <v>30</v>
      </c>
      <c r="D80" s="250">
        <v>420</v>
      </c>
      <c r="E80" s="69">
        <f t="shared" si="53"/>
        <v>0</v>
      </c>
      <c r="F80" s="70">
        <f t="shared" si="53"/>
        <v>0</v>
      </c>
      <c r="G80" s="250">
        <f t="shared" si="54"/>
        <v>-30</v>
      </c>
      <c r="H80" s="250">
        <f t="shared" si="55"/>
        <v>-420</v>
      </c>
      <c r="I80" s="70"/>
      <c r="J80" s="70"/>
      <c r="K80" s="70"/>
      <c r="L80" s="70"/>
      <c r="M80" s="70">
        <f t="shared" si="47"/>
        <v>0</v>
      </c>
      <c r="N80" s="70">
        <f t="shared" si="48"/>
        <v>0</v>
      </c>
      <c r="O80" s="70"/>
      <c r="P80" s="70"/>
      <c r="Q80" s="70"/>
      <c r="R80" s="70"/>
      <c r="S80" s="77" t="s">
        <v>600</v>
      </c>
      <c r="T80" s="252">
        <f>E80/C80</f>
        <v>0</v>
      </c>
      <c r="U80" s="73"/>
      <c r="V80" s="73"/>
      <c r="W80" s="73"/>
      <c r="X80" s="73"/>
      <c r="AA80" s="61">
        <f>H64</f>
        <v>15</v>
      </c>
      <c r="AB80" s="61" t="str">
        <f>E64</f>
        <v>AIS-TDF-001 W</v>
      </c>
      <c r="AC80" s="74" t="s">
        <v>90</v>
      </c>
      <c r="AD80" s="61" t="str">
        <f t="shared" si="49"/>
        <v>PKL</v>
      </c>
      <c r="AE80" s="61">
        <f t="shared" si="50"/>
        <v>30</v>
      </c>
      <c r="AF80" s="61">
        <f t="shared" si="51"/>
        <v>0</v>
      </c>
    </row>
    <row r="81" spans="1:32" s="65" customFormat="1" ht="12.75" hidden="1" customHeight="1">
      <c r="A81" s="52" t="s">
        <v>15</v>
      </c>
      <c r="B81" s="250"/>
      <c r="C81" s="250"/>
      <c r="D81" s="250"/>
      <c r="E81" s="69">
        <f t="shared" si="53"/>
        <v>0</v>
      </c>
      <c r="F81" s="70">
        <f t="shared" si="53"/>
        <v>0</v>
      </c>
      <c r="G81" s="250">
        <f t="shared" si="54"/>
        <v>0</v>
      </c>
      <c r="H81" s="250">
        <f t="shared" si="55"/>
        <v>0</v>
      </c>
      <c r="I81" s="70"/>
      <c r="J81" s="70"/>
      <c r="K81" s="70"/>
      <c r="L81" s="70"/>
      <c r="M81" s="70">
        <f t="shared" si="47"/>
        <v>0</v>
      </c>
      <c r="N81" s="70">
        <f t="shared" si="48"/>
        <v>0</v>
      </c>
      <c r="O81" s="71"/>
      <c r="P81" s="71"/>
      <c r="Q81" s="71"/>
      <c r="R81" s="71"/>
      <c r="S81" s="72"/>
      <c r="T81" s="73"/>
      <c r="U81" s="73"/>
      <c r="V81" s="73"/>
      <c r="W81" s="73"/>
      <c r="X81" s="73"/>
      <c r="AA81" s="61">
        <f>H64</f>
        <v>15</v>
      </c>
      <c r="AB81" s="61" t="str">
        <f>E64</f>
        <v>AIS-TDF-001 W</v>
      </c>
      <c r="AC81" s="74" t="s">
        <v>90</v>
      </c>
      <c r="AD81" s="61" t="str">
        <f t="shared" si="49"/>
        <v>T/S</v>
      </c>
      <c r="AE81" s="61">
        <f t="shared" si="50"/>
        <v>0</v>
      </c>
      <c r="AF81" s="61">
        <f t="shared" si="51"/>
        <v>0</v>
      </c>
    </row>
    <row r="82" spans="1:32" s="65" customFormat="1" ht="12.75" hidden="1" customHeight="1">
      <c r="A82" s="51" t="s">
        <v>36</v>
      </c>
      <c r="B82" s="72"/>
      <c r="C82" s="71">
        <v>530</v>
      </c>
      <c r="D82" s="71">
        <f>SUM(D68:D81)</f>
        <v>7700</v>
      </c>
      <c r="E82" s="78">
        <f>SUM(E68:E81)</f>
        <v>757</v>
      </c>
      <c r="F82" s="76">
        <f>SUM(F68:F81)</f>
        <v>10212</v>
      </c>
      <c r="G82" s="71">
        <f t="shared" si="54"/>
        <v>227</v>
      </c>
      <c r="H82" s="71">
        <f t="shared" si="55"/>
        <v>2512</v>
      </c>
      <c r="I82" s="70">
        <f t="shared" ref="I82:L82" si="56">SUM(I68:I81)</f>
        <v>51</v>
      </c>
      <c r="J82" s="70">
        <f t="shared" si="56"/>
        <v>587</v>
      </c>
      <c r="K82" s="70">
        <f t="shared" si="56"/>
        <v>41</v>
      </c>
      <c r="L82" s="70">
        <f t="shared" si="56"/>
        <v>570</v>
      </c>
      <c r="M82" s="70"/>
      <c r="N82" s="70"/>
      <c r="O82" s="70">
        <f t="shared" ref="O82:R82" si="57">SUM(O68:O81)</f>
        <v>441</v>
      </c>
      <c r="P82" s="70">
        <f t="shared" si="57"/>
        <v>5984</v>
      </c>
      <c r="Q82" s="70">
        <f t="shared" si="57"/>
        <v>316</v>
      </c>
      <c r="R82" s="70">
        <f t="shared" si="57"/>
        <v>4228</v>
      </c>
      <c r="S82" s="72"/>
      <c r="T82" s="73"/>
      <c r="U82" s="73"/>
      <c r="V82" s="73"/>
      <c r="W82" s="73"/>
      <c r="X82" s="73"/>
      <c r="AA82" s="61"/>
      <c r="AB82" s="61"/>
      <c r="AC82" s="61"/>
      <c r="AD82" s="61"/>
      <c r="AE82" s="61"/>
      <c r="AF82" s="61"/>
    </row>
    <row r="83" spans="1:32" s="65" customFormat="1" ht="12.75" hidden="1" customHeight="1">
      <c r="A83" s="84">
        <f>D82/C82</f>
        <v>14.528301886792454</v>
      </c>
      <c r="C83" s="246">
        <f>F82-E83</f>
        <v>3282</v>
      </c>
      <c r="E83" s="65">
        <f>D82*0.9</f>
        <v>6930</v>
      </c>
      <c r="F83" s="246">
        <f>E82-L83</f>
        <v>280</v>
      </c>
      <c r="I83" s="80" t="s">
        <v>48</v>
      </c>
      <c r="J83" s="245">
        <f>E82/C82</f>
        <v>1.4283018867924528</v>
      </c>
      <c r="K83" s="80"/>
      <c r="L83" s="80">
        <f>C82*0.9</f>
        <v>477</v>
      </c>
      <c r="M83" s="80"/>
      <c r="N83" s="80"/>
      <c r="O83" s="82" t="s">
        <v>553</v>
      </c>
      <c r="P83" s="80"/>
      <c r="Q83" s="65">
        <f>O68+O69+O70+O71+O72+O73+O74+O75+O76+O77+Q68+Q69+Q70+Q71+Q72+Q73+Q75+Q76+Q77+Q78</f>
        <v>634</v>
      </c>
      <c r="R83" s="65">
        <f>P68+P69+P70+P71+P72+P74+P73+P75+P76+P77+P78+R68+R69+R70+R71+R72+R73+R74+R75+R76+R77+R78</f>
        <v>8484</v>
      </c>
      <c r="AA83" s="81"/>
      <c r="AB83" s="81"/>
      <c r="AC83" s="81"/>
      <c r="AD83" s="81"/>
      <c r="AE83" s="81"/>
      <c r="AF83" s="81"/>
    </row>
    <row r="84" spans="1:32" hidden="1"/>
    <row r="85" spans="1:32" s="63" customFormat="1" ht="12.75" customHeight="1">
      <c r="A85" s="59" t="s">
        <v>90</v>
      </c>
      <c r="B85" s="58" t="s">
        <v>542</v>
      </c>
      <c r="C85" s="56"/>
      <c r="D85" s="57"/>
      <c r="E85" s="58" t="s">
        <v>634</v>
      </c>
      <c r="F85" s="57"/>
      <c r="G85" s="59" t="s">
        <v>37</v>
      </c>
      <c r="H85" s="60">
        <f>H64+1</f>
        <v>16</v>
      </c>
      <c r="I85" s="57"/>
      <c r="J85" s="57"/>
      <c r="K85" s="57"/>
      <c r="L85" s="57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2"/>
      <c r="Z85" s="62"/>
      <c r="AA85" s="62"/>
      <c r="AB85" s="62"/>
      <c r="AC85" s="62"/>
    </row>
    <row r="86" spans="1:32" s="65" customFormat="1" ht="12.75" customHeight="1">
      <c r="A86" s="340" t="s">
        <v>0</v>
      </c>
      <c r="B86" s="336" t="s">
        <v>1</v>
      </c>
      <c r="C86" s="331" t="s">
        <v>25</v>
      </c>
      <c r="D86" s="332"/>
      <c r="E86" s="331" t="s">
        <v>21</v>
      </c>
      <c r="F86" s="332"/>
      <c r="G86" s="335" t="s">
        <v>24</v>
      </c>
      <c r="H86" s="335"/>
      <c r="I86" s="328" t="s">
        <v>33</v>
      </c>
      <c r="J86" s="329"/>
      <c r="K86" s="329"/>
      <c r="L86" s="329"/>
      <c r="M86" s="329"/>
      <c r="N86" s="330"/>
      <c r="O86" s="331" t="s">
        <v>22</v>
      </c>
      <c r="P86" s="332"/>
      <c r="Q86" s="335" t="s">
        <v>23</v>
      </c>
      <c r="R86" s="335"/>
      <c r="S86" s="336" t="s">
        <v>27</v>
      </c>
      <c r="T86" s="64"/>
      <c r="U86" s="64"/>
      <c r="V86" s="64"/>
      <c r="W86" s="64"/>
      <c r="X86" s="64"/>
      <c r="Y86" s="339"/>
      <c r="Z86" s="282"/>
      <c r="AA86" s="61"/>
      <c r="AB86" s="61"/>
      <c r="AC86" s="74"/>
      <c r="AD86" s="61"/>
      <c r="AE86" s="61"/>
      <c r="AF86" s="61"/>
    </row>
    <row r="87" spans="1:32" s="65" customFormat="1" ht="12.75" customHeight="1">
      <c r="A87" s="341"/>
      <c r="B87" s="337"/>
      <c r="C87" s="333"/>
      <c r="D87" s="334"/>
      <c r="E87" s="333"/>
      <c r="F87" s="334"/>
      <c r="G87" s="335"/>
      <c r="H87" s="335"/>
      <c r="I87" s="283" t="s">
        <v>28</v>
      </c>
      <c r="J87" s="284" t="s">
        <v>3</v>
      </c>
      <c r="K87" s="283" t="s">
        <v>29</v>
      </c>
      <c r="L87" s="284" t="s">
        <v>4</v>
      </c>
      <c r="M87" s="328" t="s">
        <v>30</v>
      </c>
      <c r="N87" s="330"/>
      <c r="O87" s="333"/>
      <c r="P87" s="334"/>
      <c r="Q87" s="335"/>
      <c r="R87" s="335"/>
      <c r="S87" s="337"/>
      <c r="T87" s="64"/>
      <c r="U87" s="64"/>
      <c r="V87" s="64"/>
      <c r="W87" s="64"/>
      <c r="X87" s="64"/>
      <c r="Y87" s="339"/>
      <c r="Z87" s="282"/>
      <c r="AA87" s="61"/>
      <c r="AB87" s="61"/>
      <c r="AC87" s="74"/>
      <c r="AD87" s="61"/>
      <c r="AE87" s="61"/>
      <c r="AF87" s="61"/>
    </row>
    <row r="88" spans="1:32" s="65" customFormat="1" ht="12.75" customHeight="1">
      <c r="A88" s="342"/>
      <c r="B88" s="338"/>
      <c r="C88" s="285" t="s">
        <v>5</v>
      </c>
      <c r="D88" s="285" t="s">
        <v>6</v>
      </c>
      <c r="E88" s="284" t="s">
        <v>5</v>
      </c>
      <c r="F88" s="285" t="s">
        <v>6</v>
      </c>
      <c r="G88" s="285" t="s">
        <v>5</v>
      </c>
      <c r="H88" s="285" t="s">
        <v>6</v>
      </c>
      <c r="I88" s="284" t="s">
        <v>5</v>
      </c>
      <c r="J88" s="285" t="s">
        <v>6</v>
      </c>
      <c r="K88" s="284" t="s">
        <v>5</v>
      </c>
      <c r="L88" s="285" t="s">
        <v>6</v>
      </c>
      <c r="M88" s="285"/>
      <c r="N88" s="285"/>
      <c r="O88" s="284" t="s">
        <v>5</v>
      </c>
      <c r="P88" s="285" t="s">
        <v>6</v>
      </c>
      <c r="Q88" s="285" t="s">
        <v>5</v>
      </c>
      <c r="R88" s="285" t="s">
        <v>6</v>
      </c>
      <c r="S88" s="338"/>
      <c r="T88" s="64"/>
      <c r="U88" s="64"/>
      <c r="V88" s="64"/>
      <c r="W88" s="64"/>
      <c r="X88" s="64"/>
      <c r="Y88" s="339"/>
      <c r="Z88" s="282"/>
      <c r="AA88" s="61" t="s">
        <v>43</v>
      </c>
      <c r="AB88" s="61" t="s">
        <v>45</v>
      </c>
      <c r="AC88" s="61" t="s">
        <v>46</v>
      </c>
      <c r="AD88" s="61" t="s">
        <v>42</v>
      </c>
      <c r="AE88" s="61" t="s">
        <v>41</v>
      </c>
      <c r="AF88" s="61" t="s">
        <v>44</v>
      </c>
    </row>
    <row r="89" spans="1:32" s="65" customFormat="1" ht="12.75" customHeight="1">
      <c r="A89" s="51" t="s">
        <v>7</v>
      </c>
      <c r="B89" s="1">
        <f>B68+7</f>
        <v>43199</v>
      </c>
      <c r="C89" s="301">
        <v>150</v>
      </c>
      <c r="D89" s="301">
        <v>2100</v>
      </c>
      <c r="E89" s="69">
        <f t="shared" ref="E89:E102" si="58">O89+Q89</f>
        <v>120</v>
      </c>
      <c r="F89" s="70">
        <f t="shared" ref="F89:F102" si="59">P89+R89</f>
        <v>1840</v>
      </c>
      <c r="G89" s="285">
        <f t="shared" ref="G89:G98" si="60">E89-C89</f>
        <v>-30</v>
      </c>
      <c r="H89" s="285">
        <f t="shared" ref="H89:H98" si="61">F89-D89</f>
        <v>-260</v>
      </c>
      <c r="I89" s="70">
        <v>25</v>
      </c>
      <c r="J89" s="70">
        <v>206</v>
      </c>
      <c r="K89" s="70">
        <v>10</v>
      </c>
      <c r="L89" s="70">
        <v>109</v>
      </c>
      <c r="M89" s="70">
        <f t="shared" ref="M89:M102" si="62">I89+K89</f>
        <v>35</v>
      </c>
      <c r="N89" s="70">
        <f t="shared" ref="N89:N102" si="63">J89+L89</f>
        <v>315</v>
      </c>
      <c r="O89" s="71">
        <v>120</v>
      </c>
      <c r="P89" s="71">
        <v>1840</v>
      </c>
      <c r="Q89" s="70"/>
      <c r="R89" s="70"/>
      <c r="S89" s="72"/>
      <c r="T89" s="252">
        <f>E89/C89</f>
        <v>0.8</v>
      </c>
      <c r="U89" s="73"/>
      <c r="V89" s="73"/>
      <c r="W89" s="73"/>
      <c r="X89" s="73"/>
      <c r="Y89" s="339"/>
      <c r="Z89" s="282"/>
      <c r="AA89" s="61">
        <f>H85</f>
        <v>16</v>
      </c>
      <c r="AB89" s="61" t="str">
        <f>E85</f>
        <v>AIS-S2K-016 W</v>
      </c>
      <c r="AC89" s="74" t="s">
        <v>90</v>
      </c>
      <c r="AD89" s="61" t="str">
        <f t="shared" ref="AD89:AD102" si="64">A89</f>
        <v>KR</v>
      </c>
      <c r="AE89" s="61">
        <f t="shared" ref="AE89:AE102" si="65">C89</f>
        <v>150</v>
      </c>
      <c r="AF89" s="61">
        <f t="shared" ref="AF89:AF102" si="66">E89</f>
        <v>120</v>
      </c>
    </row>
    <row r="90" spans="1:32" s="65" customFormat="1" ht="12.75" customHeight="1">
      <c r="A90" s="52" t="s">
        <v>13</v>
      </c>
      <c r="B90" s="1">
        <f>B69+7</f>
        <v>43196</v>
      </c>
      <c r="C90" s="301">
        <v>200</v>
      </c>
      <c r="D90" s="301">
        <v>2800</v>
      </c>
      <c r="E90" s="69">
        <f t="shared" si="58"/>
        <v>227</v>
      </c>
      <c r="F90" s="70">
        <f t="shared" si="59"/>
        <v>2589</v>
      </c>
      <c r="G90" s="285">
        <f t="shared" si="60"/>
        <v>27</v>
      </c>
      <c r="H90" s="285">
        <f t="shared" si="61"/>
        <v>-211</v>
      </c>
      <c r="I90" s="75">
        <v>34</v>
      </c>
      <c r="J90" s="75">
        <v>521</v>
      </c>
      <c r="K90" s="70">
        <v>11</v>
      </c>
      <c r="L90" s="70">
        <v>140</v>
      </c>
      <c r="M90" s="70">
        <f t="shared" si="62"/>
        <v>45</v>
      </c>
      <c r="N90" s="70">
        <f t="shared" si="63"/>
        <v>661</v>
      </c>
      <c r="O90" s="75">
        <v>227</v>
      </c>
      <c r="P90" s="75">
        <v>2589</v>
      </c>
      <c r="Q90" s="71"/>
      <c r="R90" s="71"/>
      <c r="S90" s="72"/>
      <c r="T90" s="252">
        <f t="shared" ref="T90:T100" si="67">E90/C90</f>
        <v>1.135</v>
      </c>
      <c r="U90" s="73"/>
      <c r="V90" s="73"/>
      <c r="W90" s="73"/>
      <c r="X90" s="73"/>
      <c r="AA90" s="61">
        <f>H85</f>
        <v>16</v>
      </c>
      <c r="AB90" s="61" t="str">
        <f>E85</f>
        <v>AIS-S2K-016 W</v>
      </c>
      <c r="AC90" s="74" t="s">
        <v>90</v>
      </c>
      <c r="AD90" s="61" t="str">
        <f t="shared" si="64"/>
        <v>TAO</v>
      </c>
      <c r="AE90" s="61">
        <f t="shared" si="65"/>
        <v>200</v>
      </c>
      <c r="AF90" s="61">
        <f t="shared" si="66"/>
        <v>227</v>
      </c>
    </row>
    <row r="91" spans="1:32" s="65" customFormat="1" ht="12.75" customHeight="1">
      <c r="A91" s="52" t="s">
        <v>9</v>
      </c>
      <c r="B91" s="1" t="s">
        <v>18</v>
      </c>
      <c r="C91" s="301">
        <v>0</v>
      </c>
      <c r="D91" s="301">
        <v>0</v>
      </c>
      <c r="E91" s="69">
        <f t="shared" si="58"/>
        <v>0</v>
      </c>
      <c r="F91" s="70">
        <f t="shared" si="59"/>
        <v>0</v>
      </c>
      <c r="G91" s="285">
        <f t="shared" si="60"/>
        <v>0</v>
      </c>
      <c r="H91" s="285">
        <f t="shared" si="61"/>
        <v>0</v>
      </c>
      <c r="I91" s="75"/>
      <c r="J91" s="75"/>
      <c r="K91" s="71"/>
      <c r="L91" s="71"/>
      <c r="M91" s="70">
        <f t="shared" si="62"/>
        <v>0</v>
      </c>
      <c r="N91" s="70">
        <f t="shared" si="63"/>
        <v>0</v>
      </c>
      <c r="O91" s="75"/>
      <c r="P91" s="75"/>
      <c r="Q91" s="71"/>
      <c r="R91" s="71"/>
      <c r="S91" s="72"/>
      <c r="T91" s="252" t="e">
        <f t="shared" si="67"/>
        <v>#DIV/0!</v>
      </c>
      <c r="U91" s="73"/>
      <c r="V91" s="73"/>
      <c r="W91" s="73"/>
      <c r="X91" s="73"/>
      <c r="AA91" s="61">
        <f>H85</f>
        <v>16</v>
      </c>
      <c r="AB91" s="61" t="str">
        <f>E85</f>
        <v>AIS-S2K-016 W</v>
      </c>
      <c r="AC91" s="74" t="s">
        <v>90</v>
      </c>
      <c r="AD91" s="61" t="str">
        <f t="shared" si="64"/>
        <v>SHA</v>
      </c>
      <c r="AE91" s="61">
        <f t="shared" si="65"/>
        <v>0</v>
      </c>
      <c r="AF91" s="61">
        <f t="shared" si="66"/>
        <v>0</v>
      </c>
    </row>
    <row r="92" spans="1:32" s="65" customFormat="1" ht="12.75" customHeight="1">
      <c r="A92" s="52" t="s">
        <v>8</v>
      </c>
      <c r="B92" s="1">
        <f>B71+7</f>
        <v>43201</v>
      </c>
      <c r="C92" s="301">
        <v>0</v>
      </c>
      <c r="D92" s="301">
        <v>0</v>
      </c>
      <c r="E92" s="69">
        <f t="shared" si="58"/>
        <v>0</v>
      </c>
      <c r="F92" s="70">
        <f t="shared" si="59"/>
        <v>0</v>
      </c>
      <c r="G92" s="285">
        <f t="shared" si="60"/>
        <v>0</v>
      </c>
      <c r="H92" s="285">
        <f t="shared" si="61"/>
        <v>0</v>
      </c>
      <c r="I92" s="71"/>
      <c r="J92" s="71"/>
      <c r="K92" s="71">
        <v>2</v>
      </c>
      <c r="L92" s="71">
        <v>27</v>
      </c>
      <c r="M92" s="70">
        <f t="shared" si="62"/>
        <v>2</v>
      </c>
      <c r="N92" s="70">
        <f t="shared" si="63"/>
        <v>27</v>
      </c>
      <c r="O92" s="71"/>
      <c r="P92" s="71"/>
      <c r="Q92" s="71"/>
      <c r="R92" s="71"/>
      <c r="S92" s="72"/>
      <c r="T92" s="252" t="e">
        <f t="shared" si="67"/>
        <v>#DIV/0!</v>
      </c>
      <c r="U92" s="73"/>
      <c r="V92" s="73"/>
      <c r="W92" s="73"/>
      <c r="X92" s="73"/>
      <c r="AA92" s="61">
        <f>H85</f>
        <v>16</v>
      </c>
      <c r="AB92" s="61" t="str">
        <f>E85</f>
        <v>AIS-S2K-016 W</v>
      </c>
      <c r="AC92" s="74" t="s">
        <v>90</v>
      </c>
      <c r="AD92" s="61" t="str">
        <f t="shared" si="64"/>
        <v>NGB</v>
      </c>
      <c r="AE92" s="61">
        <f t="shared" si="65"/>
        <v>0</v>
      </c>
      <c r="AF92" s="61">
        <f t="shared" si="66"/>
        <v>0</v>
      </c>
    </row>
    <row r="93" spans="1:32" s="65" customFormat="1" ht="12.75" customHeight="1">
      <c r="A93" s="52" t="s">
        <v>10</v>
      </c>
      <c r="B93" s="1" t="s">
        <v>18</v>
      </c>
      <c r="C93" s="301">
        <v>0</v>
      </c>
      <c r="D93" s="301">
        <v>0</v>
      </c>
      <c r="E93" s="69">
        <f t="shared" si="58"/>
        <v>0</v>
      </c>
      <c r="F93" s="70">
        <f t="shared" si="59"/>
        <v>0</v>
      </c>
      <c r="G93" s="285">
        <f t="shared" si="60"/>
        <v>0</v>
      </c>
      <c r="H93" s="285">
        <f t="shared" si="61"/>
        <v>0</v>
      </c>
      <c r="I93" s="75"/>
      <c r="J93" s="75"/>
      <c r="K93" s="70"/>
      <c r="L93" s="70"/>
      <c r="M93" s="70">
        <f t="shared" si="62"/>
        <v>0</v>
      </c>
      <c r="N93" s="70">
        <f t="shared" si="63"/>
        <v>0</v>
      </c>
      <c r="O93" s="75"/>
      <c r="P93" s="75"/>
      <c r="Q93" s="70"/>
      <c r="R93" s="70"/>
      <c r="S93" s="72"/>
      <c r="T93" s="252" t="e">
        <f t="shared" si="67"/>
        <v>#DIV/0!</v>
      </c>
      <c r="U93" s="73"/>
      <c r="V93" s="73"/>
      <c r="W93" s="73"/>
      <c r="X93" s="73"/>
      <c r="AA93" s="61">
        <f>H85</f>
        <v>16</v>
      </c>
      <c r="AB93" s="61" t="str">
        <f>E85</f>
        <v>AIS-S2K-016 W</v>
      </c>
      <c r="AC93" s="74" t="s">
        <v>90</v>
      </c>
      <c r="AD93" s="61" t="str">
        <f t="shared" si="64"/>
        <v>WUH</v>
      </c>
      <c r="AE93" s="61">
        <f t="shared" si="65"/>
        <v>0</v>
      </c>
      <c r="AF93" s="61">
        <f t="shared" si="66"/>
        <v>0</v>
      </c>
    </row>
    <row r="94" spans="1:32" s="65" customFormat="1" ht="12.75" customHeight="1">
      <c r="A94" s="52" t="s">
        <v>11</v>
      </c>
      <c r="B94" s="1" t="s">
        <v>18</v>
      </c>
      <c r="C94" s="301">
        <v>0</v>
      </c>
      <c r="D94" s="301">
        <v>0</v>
      </c>
      <c r="E94" s="69">
        <f t="shared" si="58"/>
        <v>0</v>
      </c>
      <c r="F94" s="70">
        <f t="shared" si="59"/>
        <v>0</v>
      </c>
      <c r="G94" s="285">
        <f t="shared" si="60"/>
        <v>0</v>
      </c>
      <c r="H94" s="285">
        <f t="shared" si="61"/>
        <v>0</v>
      </c>
      <c r="I94" s="70"/>
      <c r="J94" s="70"/>
      <c r="K94" s="70"/>
      <c r="L94" s="70"/>
      <c r="M94" s="70">
        <f t="shared" si="62"/>
        <v>0</v>
      </c>
      <c r="N94" s="70">
        <f t="shared" si="63"/>
        <v>0</v>
      </c>
      <c r="O94" s="75"/>
      <c r="P94" s="75"/>
      <c r="Q94" s="70"/>
      <c r="R94" s="70"/>
      <c r="S94" s="72"/>
      <c r="T94" s="252" t="e">
        <f t="shared" si="67"/>
        <v>#DIV/0!</v>
      </c>
      <c r="U94" s="73"/>
      <c r="V94" s="73"/>
      <c r="W94" s="73"/>
      <c r="X94" s="73"/>
      <c r="AA94" s="61">
        <f>H85</f>
        <v>16</v>
      </c>
      <c r="AB94" s="61" t="str">
        <f>E85</f>
        <v>AIS-S2K-016 W</v>
      </c>
      <c r="AC94" s="74" t="s">
        <v>90</v>
      </c>
      <c r="AD94" s="61" t="str">
        <f t="shared" si="64"/>
        <v>DLC</v>
      </c>
      <c r="AE94" s="61">
        <f t="shared" si="65"/>
        <v>0</v>
      </c>
      <c r="AF94" s="61">
        <f t="shared" si="66"/>
        <v>0</v>
      </c>
    </row>
    <row r="95" spans="1:32" s="65" customFormat="1" ht="12.75" customHeight="1">
      <c r="A95" s="52" t="s">
        <v>12</v>
      </c>
      <c r="B95" s="1" t="s">
        <v>18</v>
      </c>
      <c r="C95" s="301">
        <v>0</v>
      </c>
      <c r="D95" s="301">
        <v>0</v>
      </c>
      <c r="E95" s="69">
        <f t="shared" si="58"/>
        <v>0</v>
      </c>
      <c r="F95" s="70">
        <f t="shared" si="59"/>
        <v>0</v>
      </c>
      <c r="G95" s="285">
        <f t="shared" si="60"/>
        <v>0</v>
      </c>
      <c r="H95" s="285">
        <f t="shared" si="61"/>
        <v>0</v>
      </c>
      <c r="I95" s="70"/>
      <c r="J95" s="70"/>
      <c r="K95" s="70"/>
      <c r="L95" s="70"/>
      <c r="M95" s="70">
        <f t="shared" si="62"/>
        <v>0</v>
      </c>
      <c r="N95" s="70">
        <f t="shared" si="63"/>
        <v>0</v>
      </c>
      <c r="O95" s="75"/>
      <c r="P95" s="75"/>
      <c r="Q95" s="76"/>
      <c r="R95" s="71"/>
      <c r="S95" s="72"/>
      <c r="T95" s="252" t="e">
        <f t="shared" si="67"/>
        <v>#DIV/0!</v>
      </c>
      <c r="U95" s="73"/>
      <c r="V95" s="73"/>
      <c r="W95" s="73"/>
      <c r="X95" s="73"/>
      <c r="AA95" s="61">
        <f>H85</f>
        <v>16</v>
      </c>
      <c r="AB95" s="61" t="str">
        <f>E85</f>
        <v>AIS-S2K-016 W</v>
      </c>
      <c r="AC95" s="74" t="s">
        <v>90</v>
      </c>
      <c r="AD95" s="61" t="str">
        <f t="shared" si="64"/>
        <v>TSN</v>
      </c>
      <c r="AE95" s="61">
        <f t="shared" si="65"/>
        <v>0</v>
      </c>
      <c r="AF95" s="61">
        <f t="shared" si="66"/>
        <v>0</v>
      </c>
    </row>
    <row r="96" spans="1:32" s="65" customFormat="1" ht="12.75" customHeight="1">
      <c r="A96" s="52" t="s">
        <v>14</v>
      </c>
      <c r="B96" s="1" t="s">
        <v>18</v>
      </c>
      <c r="C96" s="301">
        <v>0</v>
      </c>
      <c r="D96" s="301">
        <v>0</v>
      </c>
      <c r="E96" s="69">
        <f t="shared" si="58"/>
        <v>0</v>
      </c>
      <c r="F96" s="70">
        <f t="shared" si="59"/>
        <v>0</v>
      </c>
      <c r="G96" s="285">
        <f t="shared" si="60"/>
        <v>0</v>
      </c>
      <c r="H96" s="285">
        <f t="shared" si="61"/>
        <v>0</v>
      </c>
      <c r="I96" s="70"/>
      <c r="J96" s="70"/>
      <c r="K96" s="70"/>
      <c r="L96" s="70"/>
      <c r="M96" s="70">
        <f t="shared" si="62"/>
        <v>0</v>
      </c>
      <c r="N96" s="70">
        <f t="shared" si="63"/>
        <v>0</v>
      </c>
      <c r="O96" s="71"/>
      <c r="P96" s="71"/>
      <c r="Q96" s="70"/>
      <c r="R96" s="70"/>
      <c r="S96" s="72"/>
      <c r="T96" s="252" t="e">
        <f t="shared" si="67"/>
        <v>#DIV/0!</v>
      </c>
      <c r="U96" s="73"/>
      <c r="V96" s="73"/>
      <c r="W96" s="73"/>
      <c r="X96" s="73"/>
      <c r="AA96" s="61">
        <f>H85</f>
        <v>16</v>
      </c>
      <c r="AB96" s="61" t="str">
        <f>E85</f>
        <v>AIS-S2K-016 W</v>
      </c>
      <c r="AC96" s="74" t="s">
        <v>90</v>
      </c>
      <c r="AD96" s="61" t="str">
        <f t="shared" si="64"/>
        <v>XMN</v>
      </c>
      <c r="AE96" s="61">
        <f t="shared" si="65"/>
        <v>0</v>
      </c>
      <c r="AF96" s="61">
        <f t="shared" si="66"/>
        <v>0</v>
      </c>
    </row>
    <row r="97" spans="1:32" s="65" customFormat="1" ht="12.75" customHeight="1">
      <c r="A97" s="52" t="s">
        <v>19</v>
      </c>
      <c r="B97" s="1" t="s">
        <v>18</v>
      </c>
      <c r="C97" s="301">
        <v>0</v>
      </c>
      <c r="D97" s="301">
        <v>0</v>
      </c>
      <c r="E97" s="69">
        <f t="shared" si="58"/>
        <v>0</v>
      </c>
      <c r="F97" s="70">
        <f t="shared" si="59"/>
        <v>0</v>
      </c>
      <c r="G97" s="285">
        <f t="shared" si="60"/>
        <v>0</v>
      </c>
      <c r="H97" s="285">
        <f t="shared" si="61"/>
        <v>0</v>
      </c>
      <c r="I97" s="70"/>
      <c r="J97" s="70"/>
      <c r="K97" s="70"/>
      <c r="L97" s="70"/>
      <c r="M97" s="70">
        <f t="shared" si="62"/>
        <v>0</v>
      </c>
      <c r="N97" s="70">
        <f t="shared" si="63"/>
        <v>0</v>
      </c>
      <c r="O97" s="70"/>
      <c r="P97" s="70"/>
      <c r="Q97" s="70"/>
      <c r="R97" s="70"/>
      <c r="S97" s="72"/>
      <c r="T97" s="252" t="e">
        <f t="shared" si="67"/>
        <v>#DIV/0!</v>
      </c>
      <c r="U97" s="73"/>
      <c r="V97" s="73"/>
      <c r="W97" s="73"/>
      <c r="X97" s="73"/>
      <c r="AA97" s="61">
        <f>H85</f>
        <v>16</v>
      </c>
      <c r="AB97" s="61" t="str">
        <f>E85</f>
        <v>AIS-S2K-016 W</v>
      </c>
      <c r="AC97" s="74" t="s">
        <v>90</v>
      </c>
      <c r="AD97" s="61" t="str">
        <f t="shared" si="64"/>
        <v>TWC</v>
      </c>
      <c r="AE97" s="61">
        <f t="shared" si="65"/>
        <v>0</v>
      </c>
      <c r="AF97" s="61">
        <f t="shared" si="66"/>
        <v>0</v>
      </c>
    </row>
    <row r="98" spans="1:32" s="65" customFormat="1" ht="12.75" customHeight="1">
      <c r="A98" s="52" t="s">
        <v>16</v>
      </c>
      <c r="B98" s="1">
        <f>B77+7</f>
        <v>43203</v>
      </c>
      <c r="C98" s="301">
        <v>50</v>
      </c>
      <c r="D98" s="301">
        <v>700</v>
      </c>
      <c r="E98" s="69">
        <f t="shared" si="58"/>
        <v>35</v>
      </c>
      <c r="F98" s="70">
        <f t="shared" si="59"/>
        <v>443</v>
      </c>
      <c r="G98" s="285">
        <f t="shared" si="60"/>
        <v>-15</v>
      </c>
      <c r="H98" s="285">
        <f t="shared" si="61"/>
        <v>-257</v>
      </c>
      <c r="I98" s="70"/>
      <c r="J98" s="70"/>
      <c r="K98" s="70"/>
      <c r="L98" s="70"/>
      <c r="M98" s="70">
        <f t="shared" si="62"/>
        <v>0</v>
      </c>
      <c r="N98" s="70">
        <f t="shared" si="63"/>
        <v>0</v>
      </c>
      <c r="O98" s="70"/>
      <c r="P98" s="70"/>
      <c r="Q98" s="70">
        <v>35</v>
      </c>
      <c r="R98" s="84">
        <v>443</v>
      </c>
      <c r="S98" s="72"/>
      <c r="T98" s="252">
        <f t="shared" si="67"/>
        <v>0.7</v>
      </c>
      <c r="U98" s="73"/>
      <c r="V98" s="73"/>
      <c r="W98" s="73"/>
      <c r="X98" s="73"/>
      <c r="AA98" s="61">
        <f>H85</f>
        <v>16</v>
      </c>
      <c r="AB98" s="61" t="str">
        <f>E85</f>
        <v>AIS-S2K-016 W</v>
      </c>
      <c r="AC98" s="74" t="s">
        <v>90</v>
      </c>
      <c r="AD98" s="61" t="str">
        <f t="shared" si="64"/>
        <v>HUA</v>
      </c>
      <c r="AE98" s="61">
        <f t="shared" si="65"/>
        <v>50</v>
      </c>
      <c r="AF98" s="61">
        <f t="shared" si="66"/>
        <v>35</v>
      </c>
    </row>
    <row r="99" spans="1:32" s="65" customFormat="1" ht="12.75" customHeight="1">
      <c r="A99" s="52" t="s">
        <v>2</v>
      </c>
      <c r="B99" s="26"/>
      <c r="C99" s="285"/>
      <c r="D99" s="285"/>
      <c r="E99" s="69">
        <f t="shared" si="58"/>
        <v>0</v>
      </c>
      <c r="F99" s="70">
        <f t="shared" si="59"/>
        <v>0</v>
      </c>
      <c r="G99" s="285"/>
      <c r="H99" s="285"/>
      <c r="I99" s="70"/>
      <c r="J99" s="70"/>
      <c r="K99" s="70"/>
      <c r="L99" s="70"/>
      <c r="M99" s="70">
        <f t="shared" si="62"/>
        <v>0</v>
      </c>
      <c r="N99" s="70">
        <f t="shared" si="63"/>
        <v>0</v>
      </c>
      <c r="O99" s="70"/>
      <c r="P99" s="70"/>
      <c r="Q99" s="70"/>
      <c r="R99" s="70"/>
      <c r="S99" s="72"/>
      <c r="T99" s="252" t="e">
        <f t="shared" si="67"/>
        <v>#DIV/0!</v>
      </c>
      <c r="U99" s="73"/>
      <c r="V99" s="73"/>
      <c r="W99" s="73"/>
      <c r="X99" s="73"/>
      <c r="AA99" s="61">
        <f>H85</f>
        <v>16</v>
      </c>
      <c r="AB99" s="61" t="str">
        <f>E85</f>
        <v>AIS-S2K-016 W</v>
      </c>
      <c r="AC99" s="74" t="s">
        <v>90</v>
      </c>
      <c r="AD99" s="61" t="str">
        <f t="shared" si="64"/>
        <v>HKG</v>
      </c>
      <c r="AE99" s="61">
        <f t="shared" si="65"/>
        <v>0</v>
      </c>
      <c r="AF99" s="61">
        <f t="shared" si="66"/>
        <v>0</v>
      </c>
    </row>
    <row r="100" spans="1:32" s="65" customFormat="1" ht="12.75" customHeight="1">
      <c r="A100" s="52" t="s">
        <v>3</v>
      </c>
      <c r="B100" s="1">
        <f>B79+7</f>
        <v>43208</v>
      </c>
      <c r="C100" s="285">
        <v>120</v>
      </c>
      <c r="D100" s="285">
        <v>1680</v>
      </c>
      <c r="E100" s="69">
        <f t="shared" si="58"/>
        <v>59</v>
      </c>
      <c r="F100" s="70">
        <f t="shared" si="59"/>
        <v>775</v>
      </c>
      <c r="G100" s="285">
        <f t="shared" ref="G100:G103" si="68">E100-C100</f>
        <v>-61</v>
      </c>
      <c r="H100" s="285">
        <f t="shared" ref="H100:H103" si="69">F100-D100</f>
        <v>-905</v>
      </c>
      <c r="I100" s="70"/>
      <c r="J100" s="70"/>
      <c r="K100" s="70"/>
      <c r="L100" s="70"/>
      <c r="M100" s="70">
        <f t="shared" si="62"/>
        <v>0</v>
      </c>
      <c r="N100" s="70">
        <f t="shared" si="63"/>
        <v>0</v>
      </c>
      <c r="O100" s="285"/>
      <c r="P100" s="285"/>
      <c r="Q100" s="70">
        <v>59</v>
      </c>
      <c r="R100" s="70">
        <v>775</v>
      </c>
      <c r="S100" s="72"/>
      <c r="T100" s="252">
        <f t="shared" si="67"/>
        <v>0.49166666666666664</v>
      </c>
      <c r="U100" s="73"/>
      <c r="V100" s="73"/>
      <c r="W100" s="73"/>
      <c r="X100" s="73"/>
      <c r="AA100" s="61">
        <f>H85</f>
        <v>16</v>
      </c>
      <c r="AB100" s="61" t="str">
        <f>E85</f>
        <v>AIS-S2K-016 W</v>
      </c>
      <c r="AC100" s="74" t="s">
        <v>90</v>
      </c>
      <c r="AD100" s="61" t="str">
        <f t="shared" si="64"/>
        <v>SGP</v>
      </c>
      <c r="AE100" s="61">
        <f t="shared" si="65"/>
        <v>120</v>
      </c>
      <c r="AF100" s="61">
        <f t="shared" si="66"/>
        <v>59</v>
      </c>
    </row>
    <row r="101" spans="1:32" s="65" customFormat="1" ht="12.75" customHeight="1">
      <c r="A101" s="52" t="s">
        <v>4</v>
      </c>
      <c r="B101" s="1">
        <f>B80+7</f>
        <v>43209</v>
      </c>
      <c r="C101" s="285">
        <v>30</v>
      </c>
      <c r="D101" s="285">
        <v>420</v>
      </c>
      <c r="E101" s="69">
        <f t="shared" si="58"/>
        <v>88</v>
      </c>
      <c r="F101" s="70">
        <f t="shared" si="59"/>
        <v>1133</v>
      </c>
      <c r="G101" s="285">
        <f t="shared" si="68"/>
        <v>58</v>
      </c>
      <c r="H101" s="285">
        <f t="shared" si="69"/>
        <v>713</v>
      </c>
      <c r="I101" s="70"/>
      <c r="J101" s="70"/>
      <c r="K101" s="70"/>
      <c r="L101" s="70"/>
      <c r="M101" s="70">
        <f t="shared" si="62"/>
        <v>0</v>
      </c>
      <c r="N101" s="70">
        <f t="shared" si="63"/>
        <v>0</v>
      </c>
      <c r="O101" s="70"/>
      <c r="P101" s="70"/>
      <c r="Q101" s="70">
        <v>88</v>
      </c>
      <c r="R101" s="70">
        <v>1133</v>
      </c>
      <c r="S101" s="72"/>
      <c r="T101" s="252">
        <f>E101/C101</f>
        <v>2.9333333333333331</v>
      </c>
      <c r="U101" s="73"/>
      <c r="V101" s="73"/>
      <c r="W101" s="73"/>
      <c r="X101" s="73"/>
      <c r="AA101" s="61">
        <f>H85</f>
        <v>16</v>
      </c>
      <c r="AB101" s="61" t="str">
        <f>E85</f>
        <v>AIS-S2K-016 W</v>
      </c>
      <c r="AC101" s="74" t="s">
        <v>90</v>
      </c>
      <c r="AD101" s="61" t="str">
        <f t="shared" si="64"/>
        <v>PKL</v>
      </c>
      <c r="AE101" s="61">
        <f t="shared" si="65"/>
        <v>30</v>
      </c>
      <c r="AF101" s="61">
        <f t="shared" si="66"/>
        <v>88</v>
      </c>
    </row>
    <row r="102" spans="1:32" s="65" customFormat="1" ht="12.75" customHeight="1">
      <c r="A102" s="52" t="s">
        <v>15</v>
      </c>
      <c r="B102" s="285"/>
      <c r="C102" s="285"/>
      <c r="D102" s="285"/>
      <c r="E102" s="69">
        <f t="shared" si="58"/>
        <v>0</v>
      </c>
      <c r="F102" s="70">
        <f t="shared" si="59"/>
        <v>0</v>
      </c>
      <c r="G102" s="285">
        <f t="shared" si="68"/>
        <v>0</v>
      </c>
      <c r="H102" s="285">
        <f t="shared" si="69"/>
        <v>0</v>
      </c>
      <c r="I102" s="70"/>
      <c r="J102" s="70"/>
      <c r="K102" s="70"/>
      <c r="L102" s="70"/>
      <c r="M102" s="70">
        <f t="shared" si="62"/>
        <v>0</v>
      </c>
      <c r="N102" s="70">
        <f t="shared" si="63"/>
        <v>0</v>
      </c>
      <c r="O102" s="71"/>
      <c r="P102" s="71"/>
      <c r="Q102" s="71"/>
      <c r="R102" s="71"/>
      <c r="S102" s="72"/>
      <c r="T102" s="73"/>
      <c r="U102" s="73"/>
      <c r="V102" s="73"/>
      <c r="W102" s="73"/>
      <c r="X102" s="73"/>
      <c r="AA102" s="61">
        <f>H85</f>
        <v>16</v>
      </c>
      <c r="AB102" s="61" t="str">
        <f>E85</f>
        <v>AIS-S2K-016 W</v>
      </c>
      <c r="AC102" s="74" t="s">
        <v>90</v>
      </c>
      <c r="AD102" s="61" t="str">
        <f t="shared" si="64"/>
        <v>T/S</v>
      </c>
      <c r="AE102" s="61">
        <f t="shared" si="65"/>
        <v>0</v>
      </c>
      <c r="AF102" s="61">
        <f t="shared" si="66"/>
        <v>0</v>
      </c>
    </row>
    <row r="103" spans="1:32" s="65" customFormat="1" ht="12.75" customHeight="1">
      <c r="A103" s="51" t="s">
        <v>36</v>
      </c>
      <c r="B103" s="72"/>
      <c r="C103" s="71">
        <v>530</v>
      </c>
      <c r="D103" s="71">
        <f>SUM(D89:D102)</f>
        <v>7700</v>
      </c>
      <c r="E103" s="78">
        <f>SUM(E89:E102)</f>
        <v>529</v>
      </c>
      <c r="F103" s="76">
        <f>SUM(F89:F102)</f>
        <v>6780</v>
      </c>
      <c r="G103" s="71">
        <f t="shared" si="68"/>
        <v>-1</v>
      </c>
      <c r="H103" s="71">
        <f t="shared" si="69"/>
        <v>-920</v>
      </c>
      <c r="I103" s="70">
        <f t="shared" ref="I103:L103" si="70">SUM(I89:I102)</f>
        <v>59</v>
      </c>
      <c r="J103" s="70">
        <f t="shared" si="70"/>
        <v>727</v>
      </c>
      <c r="K103" s="70">
        <f t="shared" si="70"/>
        <v>23</v>
      </c>
      <c r="L103" s="70">
        <f t="shared" si="70"/>
        <v>276</v>
      </c>
      <c r="M103" s="70"/>
      <c r="N103" s="70"/>
      <c r="O103" s="70">
        <f t="shared" ref="O103:R103" si="71">SUM(O89:O102)</f>
        <v>347</v>
      </c>
      <c r="P103" s="70">
        <f t="shared" si="71"/>
        <v>4429</v>
      </c>
      <c r="Q103" s="70">
        <f t="shared" si="71"/>
        <v>182</v>
      </c>
      <c r="R103" s="70">
        <f t="shared" si="71"/>
        <v>2351</v>
      </c>
      <c r="S103" s="72"/>
      <c r="T103" s="73"/>
      <c r="U103" s="73"/>
      <c r="V103" s="73"/>
      <c r="W103" s="73"/>
      <c r="X103" s="73"/>
      <c r="AA103" s="61"/>
      <c r="AB103" s="61"/>
      <c r="AC103" s="61"/>
      <c r="AD103" s="61"/>
      <c r="AE103" s="61"/>
      <c r="AF103" s="61"/>
    </row>
    <row r="104" spans="1:32" s="65" customFormat="1" ht="12.75" customHeight="1">
      <c r="A104" s="84">
        <f>D103/C103</f>
        <v>14.528301886792454</v>
      </c>
      <c r="C104" s="281">
        <f>F103-E104</f>
        <v>-150</v>
      </c>
      <c r="E104" s="65">
        <f>D103*0.9</f>
        <v>6930</v>
      </c>
      <c r="F104" s="281">
        <f>E103-L104</f>
        <v>52</v>
      </c>
      <c r="I104" s="80" t="s">
        <v>48</v>
      </c>
      <c r="J104" s="245">
        <f>E103/C103</f>
        <v>0.99811320754716981</v>
      </c>
      <c r="K104" s="80"/>
      <c r="L104" s="80">
        <f>C103*0.9</f>
        <v>477</v>
      </c>
      <c r="M104" s="80"/>
      <c r="N104" s="80"/>
      <c r="O104" s="82" t="s">
        <v>553</v>
      </c>
      <c r="P104" s="80"/>
      <c r="Q104" s="65">
        <f>O89+O90+O91+O92+O93+O94+O95+O96+O97+O98+Q89+Q90+Q91+Q92+Q93+Q94+Q96+Q97+Q98+Q99</f>
        <v>382</v>
      </c>
      <c r="R104" s="65">
        <f>P89+P90+P91+P92+P93+P95+P94+P96+P97+P98+P99+R89+R90+R91+R92+R93+R94+R95+R96+R97+R98+R99</f>
        <v>4872</v>
      </c>
      <c r="AA104" s="81"/>
      <c r="AB104" s="81"/>
      <c r="AC104" s="81"/>
      <c r="AD104" s="81"/>
      <c r="AE104" s="81"/>
      <c r="AF104" s="81"/>
    </row>
    <row r="106" spans="1:32" s="63" customFormat="1" ht="12.75" customHeight="1">
      <c r="A106" s="59" t="s">
        <v>90</v>
      </c>
      <c r="B106" s="58" t="s">
        <v>585</v>
      </c>
      <c r="C106" s="56"/>
      <c r="D106" s="57"/>
      <c r="E106" s="58" t="s">
        <v>586</v>
      </c>
      <c r="F106" s="57"/>
      <c r="G106" s="59" t="s">
        <v>37</v>
      </c>
      <c r="H106" s="60">
        <f>H85+1</f>
        <v>17</v>
      </c>
      <c r="I106" s="57"/>
      <c r="J106" s="57"/>
      <c r="K106" s="57"/>
      <c r="L106" s="57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2"/>
      <c r="Z106" s="62"/>
      <c r="AA106" s="62"/>
      <c r="AB106" s="62"/>
      <c r="AC106" s="62"/>
    </row>
    <row r="107" spans="1:32" s="65" customFormat="1" ht="12.75" customHeight="1">
      <c r="A107" s="340" t="s">
        <v>0</v>
      </c>
      <c r="B107" s="336" t="s">
        <v>1</v>
      </c>
      <c r="C107" s="331" t="s">
        <v>25</v>
      </c>
      <c r="D107" s="332"/>
      <c r="E107" s="331" t="s">
        <v>21</v>
      </c>
      <c r="F107" s="332"/>
      <c r="G107" s="335" t="s">
        <v>24</v>
      </c>
      <c r="H107" s="335"/>
      <c r="I107" s="328" t="s">
        <v>33</v>
      </c>
      <c r="J107" s="329"/>
      <c r="K107" s="329"/>
      <c r="L107" s="329"/>
      <c r="M107" s="329"/>
      <c r="N107" s="330"/>
      <c r="O107" s="331" t="s">
        <v>22</v>
      </c>
      <c r="P107" s="332"/>
      <c r="Q107" s="335" t="s">
        <v>23</v>
      </c>
      <c r="R107" s="335"/>
      <c r="S107" s="336" t="s">
        <v>27</v>
      </c>
      <c r="T107" s="64"/>
      <c r="U107" s="64"/>
      <c r="V107" s="64"/>
      <c r="W107" s="64"/>
      <c r="X107" s="64"/>
      <c r="Y107" s="339"/>
      <c r="Z107" s="297"/>
      <c r="AA107" s="61"/>
      <c r="AB107" s="61"/>
      <c r="AC107" s="74"/>
      <c r="AD107" s="61"/>
      <c r="AE107" s="61"/>
      <c r="AF107" s="61"/>
    </row>
    <row r="108" spans="1:32" s="65" customFormat="1" ht="12.75" customHeight="1">
      <c r="A108" s="341"/>
      <c r="B108" s="337"/>
      <c r="C108" s="333"/>
      <c r="D108" s="334"/>
      <c r="E108" s="333"/>
      <c r="F108" s="334"/>
      <c r="G108" s="335"/>
      <c r="H108" s="335"/>
      <c r="I108" s="293" t="s">
        <v>28</v>
      </c>
      <c r="J108" s="294" t="s">
        <v>3</v>
      </c>
      <c r="K108" s="293" t="s">
        <v>29</v>
      </c>
      <c r="L108" s="294" t="s">
        <v>4</v>
      </c>
      <c r="M108" s="328" t="s">
        <v>30</v>
      </c>
      <c r="N108" s="330"/>
      <c r="O108" s="333"/>
      <c r="P108" s="334"/>
      <c r="Q108" s="335"/>
      <c r="R108" s="335"/>
      <c r="S108" s="337"/>
      <c r="T108" s="64"/>
      <c r="U108" s="64"/>
      <c r="V108" s="64"/>
      <c r="W108" s="64"/>
      <c r="X108" s="64"/>
      <c r="Y108" s="339"/>
      <c r="Z108" s="297"/>
      <c r="AA108" s="61"/>
      <c r="AB108" s="61"/>
      <c r="AC108" s="74"/>
      <c r="AD108" s="61"/>
      <c r="AE108" s="61"/>
      <c r="AF108" s="61"/>
    </row>
    <row r="109" spans="1:32" s="65" customFormat="1" ht="12.75" customHeight="1">
      <c r="A109" s="342"/>
      <c r="B109" s="338"/>
      <c r="C109" s="295" t="s">
        <v>5</v>
      </c>
      <c r="D109" s="295" t="s">
        <v>6</v>
      </c>
      <c r="E109" s="294" t="s">
        <v>5</v>
      </c>
      <c r="F109" s="295" t="s">
        <v>6</v>
      </c>
      <c r="G109" s="295" t="s">
        <v>5</v>
      </c>
      <c r="H109" s="295" t="s">
        <v>6</v>
      </c>
      <c r="I109" s="294" t="s">
        <v>5</v>
      </c>
      <c r="J109" s="295" t="s">
        <v>6</v>
      </c>
      <c r="K109" s="294" t="s">
        <v>5</v>
      </c>
      <c r="L109" s="295" t="s">
        <v>6</v>
      </c>
      <c r="M109" s="295"/>
      <c r="N109" s="295"/>
      <c r="O109" s="294" t="s">
        <v>5</v>
      </c>
      <c r="P109" s="295" t="s">
        <v>6</v>
      </c>
      <c r="Q109" s="295" t="s">
        <v>5</v>
      </c>
      <c r="R109" s="295" t="s">
        <v>6</v>
      </c>
      <c r="S109" s="338"/>
      <c r="T109" s="64"/>
      <c r="U109" s="64"/>
      <c r="V109" s="64"/>
      <c r="W109" s="64"/>
      <c r="X109" s="64"/>
      <c r="Y109" s="339"/>
      <c r="Z109" s="297"/>
      <c r="AA109" s="61" t="s">
        <v>43</v>
      </c>
      <c r="AB109" s="61" t="s">
        <v>45</v>
      </c>
      <c r="AC109" s="61" t="s">
        <v>46</v>
      </c>
      <c r="AD109" s="61" t="s">
        <v>42</v>
      </c>
      <c r="AE109" s="61" t="s">
        <v>41</v>
      </c>
      <c r="AF109" s="61" t="s">
        <v>44</v>
      </c>
    </row>
    <row r="110" spans="1:32" s="65" customFormat="1" ht="12.75" customHeight="1">
      <c r="A110" s="51" t="s">
        <v>7</v>
      </c>
      <c r="B110" s="1">
        <f>B89+7</f>
        <v>43206</v>
      </c>
      <c r="C110" s="301">
        <v>150</v>
      </c>
      <c r="D110" s="301">
        <v>2100</v>
      </c>
      <c r="E110" s="69">
        <f t="shared" ref="E110:E123" si="72">O110+Q110</f>
        <v>143</v>
      </c>
      <c r="F110" s="70">
        <f t="shared" ref="F110:F123" si="73">P110+R110</f>
        <v>2437</v>
      </c>
      <c r="G110" s="295">
        <f t="shared" ref="G110:G119" si="74">E110-C110</f>
        <v>-7</v>
      </c>
      <c r="H110" s="295">
        <f t="shared" ref="H110:H119" si="75">F110-D110</f>
        <v>337</v>
      </c>
      <c r="I110" s="70">
        <v>49</v>
      </c>
      <c r="J110" s="70">
        <v>531</v>
      </c>
      <c r="K110" s="70">
        <f>17+5</f>
        <v>22</v>
      </c>
      <c r="L110" s="70">
        <f>328+49</f>
        <v>377</v>
      </c>
      <c r="M110" s="70">
        <f t="shared" ref="M110:M123" si="76">I110+K110</f>
        <v>71</v>
      </c>
      <c r="N110" s="70">
        <f t="shared" ref="N110:N123" si="77">J110+L110</f>
        <v>908</v>
      </c>
      <c r="O110" s="71">
        <v>143</v>
      </c>
      <c r="P110" s="71">
        <v>2437</v>
      </c>
      <c r="Q110" s="70"/>
      <c r="R110" s="70"/>
      <c r="S110" s="72"/>
      <c r="T110" s="252">
        <f>E110/C110</f>
        <v>0.95333333333333337</v>
      </c>
      <c r="U110" s="73"/>
      <c r="V110" s="73"/>
      <c r="W110" s="73"/>
      <c r="X110" s="73"/>
      <c r="Y110" s="339"/>
      <c r="Z110" s="297"/>
      <c r="AA110" s="61">
        <f>H106</f>
        <v>17</v>
      </c>
      <c r="AB110" s="61" t="str">
        <f>E106</f>
        <v>AIS-S1K-017 W/AIS-QDI-015 W</v>
      </c>
      <c r="AC110" s="74" t="s">
        <v>90</v>
      </c>
      <c r="AD110" s="61" t="str">
        <f t="shared" ref="AD110:AD123" si="78">A110</f>
        <v>KR</v>
      </c>
      <c r="AE110" s="61">
        <f t="shared" ref="AE110:AE123" si="79">C110</f>
        <v>150</v>
      </c>
      <c r="AF110" s="61">
        <f t="shared" ref="AF110:AF123" si="80">E110</f>
        <v>143</v>
      </c>
    </row>
    <row r="111" spans="1:32" s="65" customFormat="1" ht="12.75" customHeight="1">
      <c r="A111" s="52" t="s">
        <v>13</v>
      </c>
      <c r="B111" s="1">
        <f>B90+7</f>
        <v>43203</v>
      </c>
      <c r="C111" s="301">
        <v>200</v>
      </c>
      <c r="D111" s="301">
        <v>2800</v>
      </c>
      <c r="E111" s="69">
        <f t="shared" si="72"/>
        <v>164</v>
      </c>
      <c r="F111" s="70">
        <f t="shared" si="73"/>
        <v>2903</v>
      </c>
      <c r="G111" s="295">
        <f t="shared" si="74"/>
        <v>-36</v>
      </c>
      <c r="H111" s="295">
        <f t="shared" si="75"/>
        <v>103</v>
      </c>
      <c r="I111" s="75"/>
      <c r="J111" s="75"/>
      <c r="K111" s="70"/>
      <c r="L111" s="70"/>
      <c r="M111" s="70">
        <f t="shared" si="76"/>
        <v>0</v>
      </c>
      <c r="N111" s="70">
        <f t="shared" si="77"/>
        <v>0</v>
      </c>
      <c r="O111" s="75">
        <v>164</v>
      </c>
      <c r="P111" s="75">
        <v>2903</v>
      </c>
      <c r="Q111" s="71"/>
      <c r="R111" s="71"/>
      <c r="S111" s="72"/>
      <c r="T111" s="252">
        <f t="shared" ref="T111:T121" si="81">E111/C111</f>
        <v>0.82</v>
      </c>
      <c r="U111" s="73"/>
      <c r="V111" s="73"/>
      <c r="W111" s="73"/>
      <c r="X111" s="73"/>
      <c r="AA111" s="61">
        <f>H106</f>
        <v>17</v>
      </c>
      <c r="AB111" s="61" t="str">
        <f>E106</f>
        <v>AIS-S1K-017 W/AIS-QDI-015 W</v>
      </c>
      <c r="AC111" s="74" t="s">
        <v>90</v>
      </c>
      <c r="AD111" s="61" t="str">
        <f t="shared" si="78"/>
        <v>TAO</v>
      </c>
      <c r="AE111" s="61">
        <f t="shared" si="79"/>
        <v>200</v>
      </c>
      <c r="AF111" s="61">
        <f t="shared" si="80"/>
        <v>164</v>
      </c>
    </row>
    <row r="112" spans="1:32" s="65" customFormat="1" ht="12.75" customHeight="1">
      <c r="A112" s="52" t="s">
        <v>9</v>
      </c>
      <c r="B112" s="1" t="s">
        <v>18</v>
      </c>
      <c r="C112" s="301">
        <v>0</v>
      </c>
      <c r="D112" s="301">
        <v>0</v>
      </c>
      <c r="E112" s="69">
        <f t="shared" si="72"/>
        <v>0</v>
      </c>
      <c r="F112" s="70">
        <f t="shared" si="73"/>
        <v>0</v>
      </c>
      <c r="G112" s="295">
        <f t="shared" si="74"/>
        <v>0</v>
      </c>
      <c r="H112" s="295">
        <f t="shared" si="75"/>
        <v>0</v>
      </c>
      <c r="I112" s="75"/>
      <c r="J112" s="75"/>
      <c r="K112" s="71"/>
      <c r="L112" s="71"/>
      <c r="M112" s="70">
        <f t="shared" si="76"/>
        <v>0</v>
      </c>
      <c r="N112" s="70">
        <f t="shared" si="77"/>
        <v>0</v>
      </c>
      <c r="O112" s="75"/>
      <c r="P112" s="75"/>
      <c r="Q112" s="71"/>
      <c r="R112" s="71"/>
      <c r="S112" s="72"/>
      <c r="T112" s="252" t="e">
        <f t="shared" si="81"/>
        <v>#DIV/0!</v>
      </c>
      <c r="U112" s="73"/>
      <c r="V112" s="73"/>
      <c r="W112" s="73"/>
      <c r="X112" s="73"/>
      <c r="AA112" s="61">
        <f>H106</f>
        <v>17</v>
      </c>
      <c r="AB112" s="61" t="str">
        <f>E106</f>
        <v>AIS-S1K-017 W/AIS-QDI-015 W</v>
      </c>
      <c r="AC112" s="74" t="s">
        <v>90</v>
      </c>
      <c r="AD112" s="61" t="str">
        <f t="shared" si="78"/>
        <v>SHA</v>
      </c>
      <c r="AE112" s="61">
        <f t="shared" si="79"/>
        <v>0</v>
      </c>
      <c r="AF112" s="61">
        <f t="shared" si="80"/>
        <v>0</v>
      </c>
    </row>
    <row r="113" spans="1:32" s="65" customFormat="1" ht="12.75" customHeight="1">
      <c r="A113" s="52" t="s">
        <v>8</v>
      </c>
      <c r="B113" s="1">
        <f>B92+7</f>
        <v>43208</v>
      </c>
      <c r="C113" s="301">
        <v>0</v>
      </c>
      <c r="D113" s="301">
        <v>0</v>
      </c>
      <c r="E113" s="69">
        <f t="shared" si="72"/>
        <v>0</v>
      </c>
      <c r="F113" s="70">
        <f t="shared" si="73"/>
        <v>0</v>
      </c>
      <c r="G113" s="295">
        <f t="shared" si="74"/>
        <v>0</v>
      </c>
      <c r="H113" s="295">
        <f t="shared" si="75"/>
        <v>0</v>
      </c>
      <c r="I113" s="71"/>
      <c r="J113" s="71"/>
      <c r="K113" s="71">
        <v>3</v>
      </c>
      <c r="L113" s="71">
        <v>42</v>
      </c>
      <c r="M113" s="70">
        <f t="shared" si="76"/>
        <v>3</v>
      </c>
      <c r="N113" s="70">
        <f t="shared" si="77"/>
        <v>42</v>
      </c>
      <c r="O113" s="71"/>
      <c r="P113" s="71"/>
      <c r="Q113" s="71"/>
      <c r="R113" s="71"/>
      <c r="S113" s="72"/>
      <c r="T113" s="252" t="e">
        <f t="shared" si="81"/>
        <v>#DIV/0!</v>
      </c>
      <c r="U113" s="73"/>
      <c r="V113" s="73"/>
      <c r="W113" s="73"/>
      <c r="X113" s="73"/>
      <c r="AA113" s="61">
        <f>H106</f>
        <v>17</v>
      </c>
      <c r="AB113" s="61" t="str">
        <f>E106</f>
        <v>AIS-S1K-017 W/AIS-QDI-015 W</v>
      </c>
      <c r="AC113" s="74" t="s">
        <v>90</v>
      </c>
      <c r="AD113" s="61" t="str">
        <f t="shared" si="78"/>
        <v>NGB</v>
      </c>
      <c r="AE113" s="61">
        <f t="shared" si="79"/>
        <v>0</v>
      </c>
      <c r="AF113" s="61">
        <f t="shared" si="80"/>
        <v>0</v>
      </c>
    </row>
    <row r="114" spans="1:32" s="65" customFormat="1" ht="12.75" customHeight="1">
      <c r="A114" s="52" t="s">
        <v>10</v>
      </c>
      <c r="B114" s="1" t="s">
        <v>18</v>
      </c>
      <c r="C114" s="301">
        <v>0</v>
      </c>
      <c r="D114" s="301">
        <v>0</v>
      </c>
      <c r="E114" s="69">
        <f t="shared" si="72"/>
        <v>0</v>
      </c>
      <c r="F114" s="70">
        <f t="shared" si="73"/>
        <v>0</v>
      </c>
      <c r="G114" s="295">
        <f t="shared" si="74"/>
        <v>0</v>
      </c>
      <c r="H114" s="295">
        <f t="shared" si="75"/>
        <v>0</v>
      </c>
      <c r="I114" s="75"/>
      <c r="J114" s="75"/>
      <c r="K114" s="70"/>
      <c r="L114" s="70"/>
      <c r="M114" s="70">
        <f t="shared" si="76"/>
        <v>0</v>
      </c>
      <c r="N114" s="70">
        <f t="shared" si="77"/>
        <v>0</v>
      </c>
      <c r="O114" s="75"/>
      <c r="P114" s="75"/>
      <c r="Q114" s="70"/>
      <c r="R114" s="70"/>
      <c r="S114" s="72"/>
      <c r="T114" s="252" t="e">
        <f t="shared" si="81"/>
        <v>#DIV/0!</v>
      </c>
      <c r="U114" s="73"/>
      <c r="V114" s="73"/>
      <c r="W114" s="73"/>
      <c r="X114" s="73"/>
      <c r="AA114" s="61">
        <f>H106</f>
        <v>17</v>
      </c>
      <c r="AB114" s="61" t="str">
        <f>E106</f>
        <v>AIS-S1K-017 W/AIS-QDI-015 W</v>
      </c>
      <c r="AC114" s="74" t="s">
        <v>90</v>
      </c>
      <c r="AD114" s="61" t="str">
        <f t="shared" si="78"/>
        <v>WUH</v>
      </c>
      <c r="AE114" s="61">
        <f t="shared" si="79"/>
        <v>0</v>
      </c>
      <c r="AF114" s="61">
        <f t="shared" si="80"/>
        <v>0</v>
      </c>
    </row>
    <row r="115" spans="1:32" s="65" customFormat="1" ht="12.75" customHeight="1">
      <c r="A115" s="52" t="s">
        <v>11</v>
      </c>
      <c r="B115" s="1" t="s">
        <v>18</v>
      </c>
      <c r="C115" s="301">
        <v>0</v>
      </c>
      <c r="D115" s="301">
        <v>0</v>
      </c>
      <c r="E115" s="69">
        <f t="shared" si="72"/>
        <v>0</v>
      </c>
      <c r="F115" s="70">
        <f t="shared" si="73"/>
        <v>0</v>
      </c>
      <c r="G115" s="295">
        <f t="shared" si="74"/>
        <v>0</v>
      </c>
      <c r="H115" s="295">
        <f t="shared" si="75"/>
        <v>0</v>
      </c>
      <c r="I115" s="70"/>
      <c r="J115" s="70"/>
      <c r="K115" s="70"/>
      <c r="L115" s="70"/>
      <c r="M115" s="70">
        <f t="shared" si="76"/>
        <v>0</v>
      </c>
      <c r="N115" s="70">
        <f t="shared" si="77"/>
        <v>0</v>
      </c>
      <c r="O115" s="75"/>
      <c r="P115" s="75"/>
      <c r="Q115" s="70"/>
      <c r="R115" s="70"/>
      <c r="S115" s="72"/>
      <c r="T115" s="252" t="e">
        <f t="shared" si="81"/>
        <v>#DIV/0!</v>
      </c>
      <c r="U115" s="73"/>
      <c r="V115" s="73"/>
      <c r="W115" s="73"/>
      <c r="X115" s="73"/>
      <c r="AA115" s="61">
        <f>H106</f>
        <v>17</v>
      </c>
      <c r="AB115" s="61" t="str">
        <f>E106</f>
        <v>AIS-S1K-017 W/AIS-QDI-015 W</v>
      </c>
      <c r="AC115" s="74" t="s">
        <v>90</v>
      </c>
      <c r="AD115" s="61" t="str">
        <f t="shared" si="78"/>
        <v>DLC</v>
      </c>
      <c r="AE115" s="61">
        <f t="shared" si="79"/>
        <v>0</v>
      </c>
      <c r="AF115" s="61">
        <f t="shared" si="80"/>
        <v>0</v>
      </c>
    </row>
    <row r="116" spans="1:32" s="65" customFormat="1" ht="12.75" customHeight="1">
      <c r="A116" s="52" t="s">
        <v>12</v>
      </c>
      <c r="B116" s="1" t="s">
        <v>18</v>
      </c>
      <c r="C116" s="301">
        <v>0</v>
      </c>
      <c r="D116" s="301">
        <v>0</v>
      </c>
      <c r="E116" s="69">
        <f t="shared" si="72"/>
        <v>0</v>
      </c>
      <c r="F116" s="70">
        <f t="shared" si="73"/>
        <v>0</v>
      </c>
      <c r="G116" s="295">
        <f t="shared" si="74"/>
        <v>0</v>
      </c>
      <c r="H116" s="295">
        <f t="shared" si="75"/>
        <v>0</v>
      </c>
      <c r="I116" s="70"/>
      <c r="J116" s="70"/>
      <c r="K116" s="70"/>
      <c r="L116" s="70"/>
      <c r="M116" s="70">
        <f t="shared" si="76"/>
        <v>0</v>
      </c>
      <c r="N116" s="70">
        <f t="shared" si="77"/>
        <v>0</v>
      </c>
      <c r="O116" s="75"/>
      <c r="P116" s="75"/>
      <c r="Q116" s="76"/>
      <c r="R116" s="71"/>
      <c r="S116" s="72"/>
      <c r="T116" s="252" t="e">
        <f t="shared" si="81"/>
        <v>#DIV/0!</v>
      </c>
      <c r="U116" s="73"/>
      <c r="V116" s="73"/>
      <c r="W116" s="73"/>
      <c r="X116" s="73"/>
      <c r="AA116" s="61">
        <f>H106</f>
        <v>17</v>
      </c>
      <c r="AB116" s="61" t="str">
        <f>E106</f>
        <v>AIS-S1K-017 W/AIS-QDI-015 W</v>
      </c>
      <c r="AC116" s="74" t="s">
        <v>90</v>
      </c>
      <c r="AD116" s="61" t="str">
        <f t="shared" si="78"/>
        <v>TSN</v>
      </c>
      <c r="AE116" s="61">
        <f t="shared" si="79"/>
        <v>0</v>
      </c>
      <c r="AF116" s="61">
        <f t="shared" si="80"/>
        <v>0</v>
      </c>
    </row>
    <row r="117" spans="1:32" s="65" customFormat="1" ht="12.75" customHeight="1">
      <c r="A117" s="52" t="s">
        <v>14</v>
      </c>
      <c r="B117" s="1" t="s">
        <v>18</v>
      </c>
      <c r="C117" s="301">
        <v>0</v>
      </c>
      <c r="D117" s="301">
        <v>0</v>
      </c>
      <c r="E117" s="69">
        <f t="shared" si="72"/>
        <v>0</v>
      </c>
      <c r="F117" s="70">
        <f t="shared" si="73"/>
        <v>0</v>
      </c>
      <c r="G117" s="295">
        <f t="shared" si="74"/>
        <v>0</v>
      </c>
      <c r="H117" s="295">
        <f t="shared" si="75"/>
        <v>0</v>
      </c>
      <c r="I117" s="70"/>
      <c r="J117" s="70"/>
      <c r="K117" s="70"/>
      <c r="L117" s="70"/>
      <c r="M117" s="70">
        <f t="shared" si="76"/>
        <v>0</v>
      </c>
      <c r="N117" s="70">
        <f t="shared" si="77"/>
        <v>0</v>
      </c>
      <c r="O117" s="71"/>
      <c r="P117" s="71"/>
      <c r="Q117" s="70"/>
      <c r="R117" s="70"/>
      <c r="S117" s="72"/>
      <c r="T117" s="252" t="e">
        <f t="shared" si="81"/>
        <v>#DIV/0!</v>
      </c>
      <c r="U117" s="73"/>
      <c r="V117" s="73"/>
      <c r="W117" s="73"/>
      <c r="X117" s="73"/>
      <c r="AA117" s="61">
        <f>H106</f>
        <v>17</v>
      </c>
      <c r="AB117" s="61" t="str">
        <f>E106</f>
        <v>AIS-S1K-017 W/AIS-QDI-015 W</v>
      </c>
      <c r="AC117" s="74" t="s">
        <v>90</v>
      </c>
      <c r="AD117" s="61" t="str">
        <f t="shared" si="78"/>
        <v>XMN</v>
      </c>
      <c r="AE117" s="61">
        <f t="shared" si="79"/>
        <v>0</v>
      </c>
      <c r="AF117" s="61">
        <f t="shared" si="80"/>
        <v>0</v>
      </c>
    </row>
    <row r="118" spans="1:32" s="65" customFormat="1" ht="12.75" customHeight="1">
      <c r="A118" s="52" t="s">
        <v>19</v>
      </c>
      <c r="B118" s="1" t="s">
        <v>18</v>
      </c>
      <c r="C118" s="301">
        <v>0</v>
      </c>
      <c r="D118" s="301">
        <v>0</v>
      </c>
      <c r="E118" s="69">
        <f t="shared" si="72"/>
        <v>0</v>
      </c>
      <c r="F118" s="70">
        <f t="shared" si="73"/>
        <v>0</v>
      </c>
      <c r="G118" s="295">
        <f t="shared" si="74"/>
        <v>0</v>
      </c>
      <c r="H118" s="295">
        <f t="shared" si="75"/>
        <v>0</v>
      </c>
      <c r="I118" s="70"/>
      <c r="J118" s="70"/>
      <c r="K118" s="70"/>
      <c r="L118" s="70"/>
      <c r="M118" s="70">
        <f t="shared" si="76"/>
        <v>0</v>
      </c>
      <c r="N118" s="70">
        <f t="shared" si="77"/>
        <v>0</v>
      </c>
      <c r="O118" s="70"/>
      <c r="P118" s="70"/>
      <c r="Q118" s="70"/>
      <c r="R118" s="70"/>
      <c r="S118" s="72"/>
      <c r="T118" s="252" t="e">
        <f t="shared" si="81"/>
        <v>#DIV/0!</v>
      </c>
      <c r="U118" s="73"/>
      <c r="V118" s="73"/>
      <c r="W118" s="73"/>
      <c r="X118" s="73"/>
      <c r="AA118" s="61">
        <f>H106</f>
        <v>17</v>
      </c>
      <c r="AB118" s="61" t="str">
        <f>E106</f>
        <v>AIS-S1K-017 W/AIS-QDI-015 W</v>
      </c>
      <c r="AC118" s="74" t="s">
        <v>90</v>
      </c>
      <c r="AD118" s="61" t="str">
        <f t="shared" si="78"/>
        <v>TWC</v>
      </c>
      <c r="AE118" s="61">
        <f t="shared" si="79"/>
        <v>0</v>
      </c>
      <c r="AF118" s="61">
        <f t="shared" si="80"/>
        <v>0</v>
      </c>
    </row>
    <row r="119" spans="1:32" s="65" customFormat="1" ht="12.75" customHeight="1">
      <c r="A119" s="52" t="s">
        <v>16</v>
      </c>
      <c r="B119" s="1">
        <f>B98+7</f>
        <v>43210</v>
      </c>
      <c r="C119" s="301">
        <v>50</v>
      </c>
      <c r="D119" s="301">
        <v>700</v>
      </c>
      <c r="E119" s="69">
        <f t="shared" si="72"/>
        <v>48</v>
      </c>
      <c r="F119" s="70">
        <f t="shared" si="73"/>
        <v>446</v>
      </c>
      <c r="G119" s="295">
        <f t="shared" si="74"/>
        <v>-2</v>
      </c>
      <c r="H119" s="295">
        <f t="shared" si="75"/>
        <v>-254</v>
      </c>
      <c r="I119" s="70"/>
      <c r="J119" s="70"/>
      <c r="K119" s="70"/>
      <c r="L119" s="70"/>
      <c r="M119" s="70">
        <f t="shared" si="76"/>
        <v>0</v>
      </c>
      <c r="N119" s="70">
        <f t="shared" si="77"/>
        <v>0</v>
      </c>
      <c r="O119" s="70"/>
      <c r="P119" s="70"/>
      <c r="Q119" s="70">
        <v>48</v>
      </c>
      <c r="R119" s="84">
        <v>446</v>
      </c>
      <c r="S119" s="72"/>
      <c r="T119" s="252">
        <f t="shared" si="81"/>
        <v>0.96</v>
      </c>
      <c r="U119" s="73"/>
      <c r="V119" s="73"/>
      <c r="W119" s="73"/>
      <c r="X119" s="73"/>
      <c r="AA119" s="61">
        <f>H106</f>
        <v>17</v>
      </c>
      <c r="AB119" s="61" t="str">
        <f>E106</f>
        <v>AIS-S1K-017 W/AIS-QDI-015 W</v>
      </c>
      <c r="AC119" s="74" t="s">
        <v>90</v>
      </c>
      <c r="AD119" s="61" t="str">
        <f t="shared" si="78"/>
        <v>HUA</v>
      </c>
      <c r="AE119" s="61">
        <f t="shared" si="79"/>
        <v>50</v>
      </c>
      <c r="AF119" s="61">
        <f t="shared" si="80"/>
        <v>48</v>
      </c>
    </row>
    <row r="120" spans="1:32" s="65" customFormat="1" ht="12.75" customHeight="1">
      <c r="A120" s="52" t="s">
        <v>2</v>
      </c>
      <c r="B120" s="26"/>
      <c r="C120" s="295"/>
      <c r="D120" s="295"/>
      <c r="E120" s="69">
        <f t="shared" si="72"/>
        <v>0</v>
      </c>
      <c r="F120" s="70">
        <f t="shared" si="73"/>
        <v>0</v>
      </c>
      <c r="G120" s="295"/>
      <c r="H120" s="295"/>
      <c r="I120" s="70"/>
      <c r="J120" s="70"/>
      <c r="K120" s="70"/>
      <c r="L120" s="70"/>
      <c r="M120" s="70">
        <f t="shared" si="76"/>
        <v>0</v>
      </c>
      <c r="N120" s="70">
        <f t="shared" si="77"/>
        <v>0</v>
      </c>
      <c r="O120" s="70"/>
      <c r="P120" s="70"/>
      <c r="Q120" s="70"/>
      <c r="R120" s="70"/>
      <c r="S120" s="72"/>
      <c r="T120" s="252" t="e">
        <f t="shared" si="81"/>
        <v>#DIV/0!</v>
      </c>
      <c r="U120" s="73"/>
      <c r="V120" s="73"/>
      <c r="W120" s="73"/>
      <c r="X120" s="73"/>
      <c r="AA120" s="61">
        <f>H106</f>
        <v>17</v>
      </c>
      <c r="AB120" s="61" t="str">
        <f>E106</f>
        <v>AIS-S1K-017 W/AIS-QDI-015 W</v>
      </c>
      <c r="AC120" s="74" t="s">
        <v>90</v>
      </c>
      <c r="AD120" s="61" t="str">
        <f t="shared" si="78"/>
        <v>HKG</v>
      </c>
      <c r="AE120" s="61">
        <f t="shared" si="79"/>
        <v>0</v>
      </c>
      <c r="AF120" s="61">
        <f t="shared" si="80"/>
        <v>0</v>
      </c>
    </row>
    <row r="121" spans="1:32" s="65" customFormat="1" ht="12.75" customHeight="1">
      <c r="A121" s="52" t="s">
        <v>3</v>
      </c>
      <c r="B121" s="1">
        <f>B100+7</f>
        <v>43215</v>
      </c>
      <c r="C121" s="295">
        <v>120</v>
      </c>
      <c r="D121" s="295">
        <v>1680</v>
      </c>
      <c r="E121" s="69">
        <f t="shared" si="72"/>
        <v>120</v>
      </c>
      <c r="F121" s="70">
        <f t="shared" si="73"/>
        <v>1680</v>
      </c>
      <c r="G121" s="295">
        <f t="shared" ref="G121:G124" si="82">E121-C121</f>
        <v>0</v>
      </c>
      <c r="H121" s="295">
        <f t="shared" ref="H121:H124" si="83">F121-D121</f>
        <v>0</v>
      </c>
      <c r="I121" s="70"/>
      <c r="J121" s="70"/>
      <c r="K121" s="70"/>
      <c r="L121" s="70"/>
      <c r="M121" s="70">
        <f t="shared" si="76"/>
        <v>0</v>
      </c>
      <c r="N121" s="70">
        <f t="shared" si="77"/>
        <v>0</v>
      </c>
      <c r="O121" s="295"/>
      <c r="P121" s="295"/>
      <c r="Q121" s="70">
        <v>120</v>
      </c>
      <c r="R121" s="70">
        <v>1680</v>
      </c>
      <c r="S121" s="72"/>
      <c r="T121" s="252">
        <f t="shared" si="81"/>
        <v>1</v>
      </c>
      <c r="U121" s="73"/>
      <c r="V121" s="73"/>
      <c r="W121" s="73"/>
      <c r="X121" s="73"/>
      <c r="AA121" s="61">
        <f>H106</f>
        <v>17</v>
      </c>
      <c r="AB121" s="61" t="str">
        <f>E106</f>
        <v>AIS-S1K-017 W/AIS-QDI-015 W</v>
      </c>
      <c r="AC121" s="74" t="s">
        <v>90</v>
      </c>
      <c r="AD121" s="61" t="str">
        <f t="shared" si="78"/>
        <v>SGP</v>
      </c>
      <c r="AE121" s="61">
        <f t="shared" si="79"/>
        <v>120</v>
      </c>
      <c r="AF121" s="61">
        <f t="shared" si="80"/>
        <v>120</v>
      </c>
    </row>
    <row r="122" spans="1:32" s="65" customFormat="1" ht="12.75" customHeight="1">
      <c r="A122" s="52" t="s">
        <v>4</v>
      </c>
      <c r="B122" s="1">
        <f>B101+7</f>
        <v>43216</v>
      </c>
      <c r="C122" s="295">
        <v>30</v>
      </c>
      <c r="D122" s="295">
        <v>420</v>
      </c>
      <c r="E122" s="69">
        <f t="shared" si="72"/>
        <v>30</v>
      </c>
      <c r="F122" s="70">
        <f t="shared" si="73"/>
        <v>420</v>
      </c>
      <c r="G122" s="295">
        <f t="shared" si="82"/>
        <v>0</v>
      </c>
      <c r="H122" s="295">
        <f t="shared" si="83"/>
        <v>0</v>
      </c>
      <c r="I122" s="70"/>
      <c r="J122" s="70"/>
      <c r="K122" s="70"/>
      <c r="L122" s="70"/>
      <c r="M122" s="70">
        <f t="shared" si="76"/>
        <v>0</v>
      </c>
      <c r="N122" s="70">
        <f t="shared" si="77"/>
        <v>0</v>
      </c>
      <c r="O122" s="70"/>
      <c r="P122" s="70"/>
      <c r="Q122" s="70">
        <v>30</v>
      </c>
      <c r="R122" s="70">
        <v>420</v>
      </c>
      <c r="S122" s="72"/>
      <c r="T122" s="252">
        <f>E122/C122</f>
        <v>1</v>
      </c>
      <c r="U122" s="73"/>
      <c r="V122" s="73"/>
      <c r="W122" s="73"/>
      <c r="X122" s="73"/>
      <c r="AA122" s="61">
        <f>H106</f>
        <v>17</v>
      </c>
      <c r="AB122" s="61" t="str">
        <f>E106</f>
        <v>AIS-S1K-017 W/AIS-QDI-015 W</v>
      </c>
      <c r="AC122" s="74" t="s">
        <v>90</v>
      </c>
      <c r="AD122" s="61" t="str">
        <f t="shared" si="78"/>
        <v>PKL</v>
      </c>
      <c r="AE122" s="61">
        <f t="shared" si="79"/>
        <v>30</v>
      </c>
      <c r="AF122" s="61">
        <f t="shared" si="80"/>
        <v>30</v>
      </c>
    </row>
    <row r="123" spans="1:32" s="65" customFormat="1" ht="12.75" customHeight="1">
      <c r="A123" s="52" t="s">
        <v>15</v>
      </c>
      <c r="B123" s="295"/>
      <c r="C123" s="295"/>
      <c r="D123" s="295"/>
      <c r="E123" s="69">
        <f t="shared" si="72"/>
        <v>0</v>
      </c>
      <c r="F123" s="70">
        <f t="shared" si="73"/>
        <v>0</v>
      </c>
      <c r="G123" s="295">
        <f t="shared" si="82"/>
        <v>0</v>
      </c>
      <c r="H123" s="295">
        <f t="shared" si="83"/>
        <v>0</v>
      </c>
      <c r="I123" s="70"/>
      <c r="J123" s="70"/>
      <c r="K123" s="70"/>
      <c r="L123" s="70"/>
      <c r="M123" s="70">
        <f t="shared" si="76"/>
        <v>0</v>
      </c>
      <c r="N123" s="70">
        <f t="shared" si="77"/>
        <v>0</v>
      </c>
      <c r="O123" s="71"/>
      <c r="P123" s="71"/>
      <c r="Q123" s="71"/>
      <c r="R123" s="71"/>
      <c r="S123" s="72"/>
      <c r="T123" s="73"/>
      <c r="U123" s="73"/>
      <c r="V123" s="73"/>
      <c r="W123" s="73"/>
      <c r="X123" s="73"/>
      <c r="AA123" s="61">
        <f>H106</f>
        <v>17</v>
      </c>
      <c r="AB123" s="61" t="str">
        <f>E106</f>
        <v>AIS-S1K-017 W/AIS-QDI-015 W</v>
      </c>
      <c r="AC123" s="74" t="s">
        <v>90</v>
      </c>
      <c r="AD123" s="61" t="str">
        <f t="shared" si="78"/>
        <v>T/S</v>
      </c>
      <c r="AE123" s="61">
        <f t="shared" si="79"/>
        <v>0</v>
      </c>
      <c r="AF123" s="61">
        <f t="shared" si="80"/>
        <v>0</v>
      </c>
    </row>
    <row r="124" spans="1:32" s="65" customFormat="1" ht="12.75" customHeight="1">
      <c r="A124" s="51" t="s">
        <v>36</v>
      </c>
      <c r="B124" s="72"/>
      <c r="C124" s="71">
        <v>530</v>
      </c>
      <c r="D124" s="71">
        <f>SUM(D110:D123)</f>
        <v>7700</v>
      </c>
      <c r="E124" s="78">
        <f>SUM(E110:E123)</f>
        <v>505</v>
      </c>
      <c r="F124" s="76">
        <f>SUM(F110:F123)</f>
        <v>7886</v>
      </c>
      <c r="G124" s="71">
        <f t="shared" si="82"/>
        <v>-25</v>
      </c>
      <c r="H124" s="71">
        <f t="shared" si="83"/>
        <v>186</v>
      </c>
      <c r="I124" s="70">
        <f t="shared" ref="I124:L124" si="84">SUM(I110:I123)</f>
        <v>49</v>
      </c>
      <c r="J124" s="70">
        <f t="shared" si="84"/>
        <v>531</v>
      </c>
      <c r="K124" s="70">
        <f t="shared" si="84"/>
        <v>25</v>
      </c>
      <c r="L124" s="70">
        <f t="shared" si="84"/>
        <v>419</v>
      </c>
      <c r="M124" s="70"/>
      <c r="N124" s="70"/>
      <c r="O124" s="70">
        <f t="shared" ref="O124:R124" si="85">SUM(O110:O123)</f>
        <v>307</v>
      </c>
      <c r="P124" s="70">
        <f t="shared" si="85"/>
        <v>5340</v>
      </c>
      <c r="Q124" s="70">
        <f t="shared" si="85"/>
        <v>198</v>
      </c>
      <c r="R124" s="70">
        <f t="shared" si="85"/>
        <v>2546</v>
      </c>
      <c r="S124" s="72"/>
      <c r="T124" s="73"/>
      <c r="U124" s="73"/>
      <c r="V124" s="73"/>
      <c r="W124" s="73"/>
      <c r="X124" s="73"/>
      <c r="AA124" s="61"/>
      <c r="AB124" s="61"/>
      <c r="AC124" s="61"/>
      <c r="AD124" s="61"/>
      <c r="AE124" s="61"/>
      <c r="AF124" s="61"/>
    </row>
    <row r="125" spans="1:32" s="65" customFormat="1" ht="12.75" customHeight="1">
      <c r="A125" s="84">
        <f>D124/C124</f>
        <v>14.528301886792454</v>
      </c>
      <c r="C125" s="296">
        <f>F124-E125</f>
        <v>956</v>
      </c>
      <c r="E125" s="65">
        <f>D124*0.9</f>
        <v>6930</v>
      </c>
      <c r="F125" s="296">
        <f>E124-L125</f>
        <v>28</v>
      </c>
      <c r="I125" s="80" t="s">
        <v>48</v>
      </c>
      <c r="J125" s="245">
        <f>E124/C124</f>
        <v>0.95283018867924529</v>
      </c>
      <c r="K125" s="80"/>
      <c r="L125" s="80">
        <f>C124*0.9</f>
        <v>477</v>
      </c>
      <c r="M125" s="80"/>
      <c r="N125" s="80"/>
      <c r="O125" s="82" t="s">
        <v>553</v>
      </c>
      <c r="P125" s="80"/>
      <c r="Q125" s="65">
        <f>O110+O111+O112+O113+O114+O115+O116+O117+O118+O119+Q110+Q111+Q112+Q113+Q114+Q115+Q117+Q118+Q119+Q120</f>
        <v>355</v>
      </c>
      <c r="R125" s="65">
        <f>P110+P111+P112+P113+P114+P116+P115+P117+P118+P119+P120+R110+R111+R112+R113+R114+R115+R116+R117+R118+R119+R120</f>
        <v>5786</v>
      </c>
      <c r="AA125" s="81"/>
      <c r="AB125" s="81"/>
      <c r="AC125" s="81"/>
      <c r="AD125" s="81"/>
      <c r="AE125" s="81"/>
      <c r="AF125" s="81"/>
    </row>
    <row r="127" spans="1:32" s="63" customFormat="1" ht="12.75" customHeight="1">
      <c r="A127" s="59" t="s">
        <v>90</v>
      </c>
      <c r="B127" s="58" t="s">
        <v>605</v>
      </c>
      <c r="C127" s="56"/>
      <c r="D127" s="57"/>
      <c r="E127" s="58" t="s">
        <v>623</v>
      </c>
      <c r="F127" s="57"/>
      <c r="G127" s="59" t="s">
        <v>37</v>
      </c>
      <c r="H127" s="60">
        <f>H106+1</f>
        <v>18</v>
      </c>
      <c r="I127" s="57"/>
      <c r="J127" s="57"/>
      <c r="K127" s="57"/>
      <c r="L127" s="57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2"/>
      <c r="Z127" s="62"/>
      <c r="AA127" s="62"/>
      <c r="AB127" s="62"/>
      <c r="AC127" s="62"/>
    </row>
    <row r="128" spans="1:32" s="65" customFormat="1" ht="12.75" customHeight="1">
      <c r="A128" s="340" t="s">
        <v>0</v>
      </c>
      <c r="B128" s="336" t="s">
        <v>1</v>
      </c>
      <c r="C128" s="331" t="s">
        <v>25</v>
      </c>
      <c r="D128" s="332"/>
      <c r="E128" s="331" t="s">
        <v>21</v>
      </c>
      <c r="F128" s="332"/>
      <c r="G128" s="335" t="s">
        <v>24</v>
      </c>
      <c r="H128" s="335"/>
      <c r="I128" s="328" t="s">
        <v>33</v>
      </c>
      <c r="J128" s="329"/>
      <c r="K128" s="329"/>
      <c r="L128" s="329"/>
      <c r="M128" s="329"/>
      <c r="N128" s="330"/>
      <c r="O128" s="331" t="s">
        <v>22</v>
      </c>
      <c r="P128" s="332"/>
      <c r="Q128" s="335" t="s">
        <v>23</v>
      </c>
      <c r="R128" s="335"/>
      <c r="S128" s="336" t="s">
        <v>27</v>
      </c>
      <c r="T128" s="64"/>
      <c r="U128" s="64"/>
      <c r="V128" s="64"/>
      <c r="W128" s="64"/>
      <c r="X128" s="64"/>
      <c r="Y128" s="339"/>
      <c r="Z128" s="308"/>
      <c r="AA128" s="61"/>
      <c r="AB128" s="61"/>
      <c r="AC128" s="74"/>
      <c r="AD128" s="61"/>
      <c r="AE128" s="61"/>
      <c r="AF128" s="61"/>
    </row>
    <row r="129" spans="1:32" s="65" customFormat="1" ht="12.75" customHeight="1">
      <c r="A129" s="341"/>
      <c r="B129" s="337"/>
      <c r="C129" s="333"/>
      <c r="D129" s="334"/>
      <c r="E129" s="333"/>
      <c r="F129" s="334"/>
      <c r="G129" s="335"/>
      <c r="H129" s="335"/>
      <c r="I129" s="304" t="s">
        <v>28</v>
      </c>
      <c r="J129" s="305" t="s">
        <v>3</v>
      </c>
      <c r="K129" s="304" t="s">
        <v>29</v>
      </c>
      <c r="L129" s="305" t="s">
        <v>4</v>
      </c>
      <c r="M129" s="328" t="s">
        <v>30</v>
      </c>
      <c r="N129" s="330"/>
      <c r="O129" s="333"/>
      <c r="P129" s="334"/>
      <c r="Q129" s="335"/>
      <c r="R129" s="335"/>
      <c r="S129" s="337"/>
      <c r="T129" s="64"/>
      <c r="U129" s="64"/>
      <c r="V129" s="64"/>
      <c r="W129" s="64"/>
      <c r="X129" s="64"/>
      <c r="Y129" s="339"/>
      <c r="Z129" s="308"/>
      <c r="AA129" s="61"/>
      <c r="AB129" s="61"/>
      <c r="AC129" s="74"/>
      <c r="AD129" s="61"/>
      <c r="AE129" s="61"/>
      <c r="AF129" s="61"/>
    </row>
    <row r="130" spans="1:32" s="65" customFormat="1" ht="12.75" customHeight="1">
      <c r="A130" s="342"/>
      <c r="B130" s="338"/>
      <c r="C130" s="306" t="s">
        <v>5</v>
      </c>
      <c r="D130" s="306" t="s">
        <v>6</v>
      </c>
      <c r="E130" s="305" t="s">
        <v>5</v>
      </c>
      <c r="F130" s="306" t="s">
        <v>6</v>
      </c>
      <c r="G130" s="306" t="s">
        <v>5</v>
      </c>
      <c r="H130" s="306" t="s">
        <v>6</v>
      </c>
      <c r="I130" s="305" t="s">
        <v>5</v>
      </c>
      <c r="J130" s="306" t="s">
        <v>6</v>
      </c>
      <c r="K130" s="305" t="s">
        <v>5</v>
      </c>
      <c r="L130" s="306" t="s">
        <v>6</v>
      </c>
      <c r="M130" s="306"/>
      <c r="N130" s="306"/>
      <c r="O130" s="305" t="s">
        <v>5</v>
      </c>
      <c r="P130" s="306" t="s">
        <v>6</v>
      </c>
      <c r="Q130" s="306" t="s">
        <v>5</v>
      </c>
      <c r="R130" s="306" t="s">
        <v>6</v>
      </c>
      <c r="S130" s="338"/>
      <c r="T130" s="64"/>
      <c r="U130" s="64"/>
      <c r="V130" s="64"/>
      <c r="W130" s="64"/>
      <c r="X130" s="64"/>
      <c r="Y130" s="339"/>
      <c r="Z130" s="308"/>
      <c r="AA130" s="61" t="s">
        <v>43</v>
      </c>
      <c r="AB130" s="61" t="s">
        <v>45</v>
      </c>
      <c r="AC130" s="61" t="s">
        <v>46</v>
      </c>
      <c r="AD130" s="61" t="s">
        <v>42</v>
      </c>
      <c r="AE130" s="61" t="s">
        <v>41</v>
      </c>
      <c r="AF130" s="61" t="s">
        <v>44</v>
      </c>
    </row>
    <row r="131" spans="1:32" s="65" customFormat="1" ht="12.75" customHeight="1">
      <c r="A131" s="51" t="s">
        <v>7</v>
      </c>
      <c r="B131" s="1">
        <f>B110+7</f>
        <v>43213</v>
      </c>
      <c r="C131" s="306">
        <v>150</v>
      </c>
      <c r="D131" s="306">
        <v>2100</v>
      </c>
      <c r="E131" s="69">
        <f t="shared" ref="E131:E144" si="86">O131+Q131</f>
        <v>230</v>
      </c>
      <c r="F131" s="70">
        <f t="shared" ref="F131:F144" si="87">P131+R131</f>
        <v>3680</v>
      </c>
      <c r="G131" s="306">
        <f t="shared" ref="G131:G140" si="88">E131-C131</f>
        <v>80</v>
      </c>
      <c r="H131" s="306">
        <f t="shared" ref="H131:H140" si="89">F131-D131</f>
        <v>1580</v>
      </c>
      <c r="I131" s="70">
        <v>39</v>
      </c>
      <c r="J131" s="70">
        <v>922</v>
      </c>
      <c r="K131" s="70">
        <v>22</v>
      </c>
      <c r="L131" s="70">
        <v>280</v>
      </c>
      <c r="M131" s="70">
        <f t="shared" ref="M131:M144" si="90">I131+K131</f>
        <v>61</v>
      </c>
      <c r="N131" s="70">
        <f t="shared" ref="N131:N144" si="91">J131+L131</f>
        <v>1202</v>
      </c>
      <c r="O131" s="71">
        <v>230</v>
      </c>
      <c r="P131" s="71">
        <v>3680</v>
      </c>
      <c r="Q131" s="70"/>
      <c r="R131" s="70"/>
      <c r="S131" s="72"/>
      <c r="T131" s="252">
        <f>E131/C131</f>
        <v>1.5333333333333334</v>
      </c>
      <c r="U131" s="73"/>
      <c r="V131" s="73"/>
      <c r="W131" s="73"/>
      <c r="X131" s="73"/>
      <c r="Y131" s="339"/>
      <c r="Z131" s="308"/>
      <c r="AA131" s="61">
        <f>H127</f>
        <v>18</v>
      </c>
      <c r="AB131" s="61" t="str">
        <f>E127</f>
        <v>AIS-SGD-041 W</v>
      </c>
      <c r="AC131" s="74" t="s">
        <v>90</v>
      </c>
      <c r="AD131" s="61" t="str">
        <f t="shared" ref="AD131:AD144" si="92">A131</f>
        <v>KR</v>
      </c>
      <c r="AE131" s="61">
        <f t="shared" ref="AE131:AE144" si="93">C131</f>
        <v>150</v>
      </c>
      <c r="AF131" s="61">
        <f t="shared" ref="AF131:AF144" si="94">E131</f>
        <v>230</v>
      </c>
    </row>
    <row r="132" spans="1:32" s="65" customFormat="1" ht="12.75" customHeight="1">
      <c r="A132" s="52" t="s">
        <v>13</v>
      </c>
      <c r="B132" s="1">
        <f>B111+7</f>
        <v>43210</v>
      </c>
      <c r="C132" s="306">
        <v>200</v>
      </c>
      <c r="D132" s="306">
        <v>2800</v>
      </c>
      <c r="E132" s="69">
        <f t="shared" si="86"/>
        <v>247</v>
      </c>
      <c r="F132" s="70">
        <f t="shared" si="87"/>
        <v>3151</v>
      </c>
      <c r="G132" s="306">
        <f t="shared" si="88"/>
        <v>47</v>
      </c>
      <c r="H132" s="306">
        <f t="shared" si="89"/>
        <v>351</v>
      </c>
      <c r="I132" s="75">
        <v>37</v>
      </c>
      <c r="J132" s="75">
        <v>447</v>
      </c>
      <c r="K132" s="70">
        <v>4</v>
      </c>
      <c r="L132" s="70">
        <v>47</v>
      </c>
      <c r="M132" s="70">
        <f t="shared" si="90"/>
        <v>41</v>
      </c>
      <c r="N132" s="70">
        <f t="shared" si="91"/>
        <v>494</v>
      </c>
      <c r="O132" s="75">
        <v>247</v>
      </c>
      <c r="P132" s="75">
        <v>3151</v>
      </c>
      <c r="Q132" s="71"/>
      <c r="R132" s="71"/>
      <c r="S132" s="72"/>
      <c r="T132" s="252">
        <f t="shared" ref="T132:T142" si="95">E132/C132</f>
        <v>1.2350000000000001</v>
      </c>
      <c r="U132" s="73"/>
      <c r="V132" s="73"/>
      <c r="W132" s="73"/>
      <c r="X132" s="73"/>
      <c r="AA132" s="61">
        <f>H127</f>
        <v>18</v>
      </c>
      <c r="AB132" s="61" t="str">
        <f>E127</f>
        <v>AIS-SGD-041 W</v>
      </c>
      <c r="AC132" s="74" t="s">
        <v>90</v>
      </c>
      <c r="AD132" s="61" t="str">
        <f t="shared" si="92"/>
        <v>TAO</v>
      </c>
      <c r="AE132" s="61">
        <f t="shared" si="93"/>
        <v>200</v>
      </c>
      <c r="AF132" s="61">
        <f t="shared" si="94"/>
        <v>247</v>
      </c>
    </row>
    <row r="133" spans="1:32" s="65" customFormat="1" ht="12.75" customHeight="1">
      <c r="A133" s="52" t="s">
        <v>9</v>
      </c>
      <c r="B133" s="1" t="s">
        <v>18</v>
      </c>
      <c r="C133" s="306">
        <v>0</v>
      </c>
      <c r="D133" s="306">
        <v>0</v>
      </c>
      <c r="E133" s="69">
        <f t="shared" si="86"/>
        <v>0</v>
      </c>
      <c r="F133" s="70">
        <f t="shared" si="87"/>
        <v>0</v>
      </c>
      <c r="G133" s="306">
        <f t="shared" si="88"/>
        <v>0</v>
      </c>
      <c r="H133" s="306">
        <f t="shared" si="89"/>
        <v>0</v>
      </c>
      <c r="I133" s="75"/>
      <c r="J133" s="75"/>
      <c r="K133" s="71"/>
      <c r="L133" s="71"/>
      <c r="M133" s="70">
        <f t="shared" si="90"/>
        <v>0</v>
      </c>
      <c r="N133" s="70">
        <f t="shared" si="91"/>
        <v>0</v>
      </c>
      <c r="O133" s="75"/>
      <c r="P133" s="75"/>
      <c r="Q133" s="71"/>
      <c r="R133" s="71"/>
      <c r="S133" s="72"/>
      <c r="T133" s="252" t="e">
        <f t="shared" si="95"/>
        <v>#DIV/0!</v>
      </c>
      <c r="U133" s="73"/>
      <c r="V133" s="73"/>
      <c r="W133" s="73"/>
      <c r="X133" s="73"/>
      <c r="AA133" s="61">
        <f>H127</f>
        <v>18</v>
      </c>
      <c r="AB133" s="61" t="str">
        <f>E127</f>
        <v>AIS-SGD-041 W</v>
      </c>
      <c r="AC133" s="74" t="s">
        <v>90</v>
      </c>
      <c r="AD133" s="61" t="str">
        <f t="shared" si="92"/>
        <v>SHA</v>
      </c>
      <c r="AE133" s="61">
        <f t="shared" si="93"/>
        <v>0</v>
      </c>
      <c r="AF133" s="61">
        <f t="shared" si="94"/>
        <v>0</v>
      </c>
    </row>
    <row r="134" spans="1:32" s="65" customFormat="1" ht="12.75" customHeight="1">
      <c r="A134" s="52" t="s">
        <v>8</v>
      </c>
      <c r="B134" s="1">
        <f>B113+7</f>
        <v>43215</v>
      </c>
      <c r="C134" s="306">
        <v>0</v>
      </c>
      <c r="D134" s="306">
        <v>0</v>
      </c>
      <c r="E134" s="69">
        <f t="shared" si="86"/>
        <v>9</v>
      </c>
      <c r="F134" s="70">
        <f t="shared" si="87"/>
        <v>94</v>
      </c>
      <c r="G134" s="306">
        <f t="shared" si="88"/>
        <v>9</v>
      </c>
      <c r="H134" s="306">
        <f t="shared" si="89"/>
        <v>94</v>
      </c>
      <c r="I134" s="71"/>
      <c r="J134" s="71"/>
      <c r="K134" s="71">
        <v>7</v>
      </c>
      <c r="L134" s="71">
        <v>149</v>
      </c>
      <c r="M134" s="70">
        <f t="shared" si="90"/>
        <v>7</v>
      </c>
      <c r="N134" s="70">
        <f t="shared" si="91"/>
        <v>149</v>
      </c>
      <c r="O134" s="71">
        <v>9</v>
      </c>
      <c r="P134" s="71">
        <v>94</v>
      </c>
      <c r="Q134" s="71"/>
      <c r="R134" s="71"/>
      <c r="S134" s="72"/>
      <c r="T134" s="252" t="e">
        <f t="shared" si="95"/>
        <v>#DIV/0!</v>
      </c>
      <c r="U134" s="73"/>
      <c r="V134" s="73"/>
      <c r="W134" s="73"/>
      <c r="X134" s="73"/>
      <c r="AA134" s="61">
        <f>H127</f>
        <v>18</v>
      </c>
      <c r="AB134" s="61" t="str">
        <f>E127</f>
        <v>AIS-SGD-041 W</v>
      </c>
      <c r="AC134" s="74" t="s">
        <v>90</v>
      </c>
      <c r="AD134" s="61" t="str">
        <f t="shared" si="92"/>
        <v>NGB</v>
      </c>
      <c r="AE134" s="61">
        <f t="shared" si="93"/>
        <v>0</v>
      </c>
      <c r="AF134" s="61">
        <f t="shared" si="94"/>
        <v>9</v>
      </c>
    </row>
    <row r="135" spans="1:32" s="65" customFormat="1" ht="12.75" customHeight="1">
      <c r="A135" s="52" t="s">
        <v>10</v>
      </c>
      <c r="B135" s="1" t="s">
        <v>18</v>
      </c>
      <c r="C135" s="306">
        <v>0</v>
      </c>
      <c r="D135" s="306">
        <v>0</v>
      </c>
      <c r="E135" s="69">
        <f t="shared" si="86"/>
        <v>0</v>
      </c>
      <c r="F135" s="70">
        <f t="shared" si="87"/>
        <v>0</v>
      </c>
      <c r="G135" s="306">
        <f t="shared" si="88"/>
        <v>0</v>
      </c>
      <c r="H135" s="306">
        <f t="shared" si="89"/>
        <v>0</v>
      </c>
      <c r="I135" s="75"/>
      <c r="J135" s="75"/>
      <c r="K135" s="70"/>
      <c r="L135" s="70"/>
      <c r="M135" s="70">
        <f t="shared" si="90"/>
        <v>0</v>
      </c>
      <c r="N135" s="70">
        <f t="shared" si="91"/>
        <v>0</v>
      </c>
      <c r="O135" s="75"/>
      <c r="P135" s="75"/>
      <c r="Q135" s="70"/>
      <c r="R135" s="70"/>
      <c r="S135" s="72"/>
      <c r="T135" s="252" t="e">
        <f t="shared" si="95"/>
        <v>#DIV/0!</v>
      </c>
      <c r="U135" s="73"/>
      <c r="V135" s="73"/>
      <c r="W135" s="73"/>
      <c r="X135" s="73"/>
      <c r="AA135" s="61">
        <f>H127</f>
        <v>18</v>
      </c>
      <c r="AB135" s="61" t="str">
        <f>E127</f>
        <v>AIS-SGD-041 W</v>
      </c>
      <c r="AC135" s="74" t="s">
        <v>90</v>
      </c>
      <c r="AD135" s="61" t="str">
        <f t="shared" si="92"/>
        <v>WUH</v>
      </c>
      <c r="AE135" s="61">
        <f t="shared" si="93"/>
        <v>0</v>
      </c>
      <c r="AF135" s="61">
        <f t="shared" si="94"/>
        <v>0</v>
      </c>
    </row>
    <row r="136" spans="1:32" s="65" customFormat="1" ht="12.75" customHeight="1">
      <c r="A136" s="52" t="s">
        <v>11</v>
      </c>
      <c r="B136" s="1" t="s">
        <v>18</v>
      </c>
      <c r="C136" s="306">
        <v>0</v>
      </c>
      <c r="D136" s="306">
        <v>0</v>
      </c>
      <c r="E136" s="69">
        <f t="shared" si="86"/>
        <v>15</v>
      </c>
      <c r="F136" s="70">
        <f t="shared" si="87"/>
        <v>454</v>
      </c>
      <c r="G136" s="306">
        <f t="shared" si="88"/>
        <v>15</v>
      </c>
      <c r="H136" s="306">
        <f t="shared" si="89"/>
        <v>454</v>
      </c>
      <c r="I136" s="70"/>
      <c r="J136" s="70"/>
      <c r="K136" s="70"/>
      <c r="L136" s="70"/>
      <c r="M136" s="70">
        <f t="shared" si="90"/>
        <v>0</v>
      </c>
      <c r="N136" s="70">
        <f t="shared" si="91"/>
        <v>0</v>
      </c>
      <c r="O136" s="75">
        <v>15</v>
      </c>
      <c r="P136" s="75">
        <v>454</v>
      </c>
      <c r="Q136" s="70"/>
      <c r="R136" s="70"/>
      <c r="S136" s="72"/>
      <c r="T136" s="252" t="e">
        <f t="shared" si="95"/>
        <v>#DIV/0!</v>
      </c>
      <c r="U136" s="73"/>
      <c r="V136" s="73"/>
      <c r="W136" s="73"/>
      <c r="X136" s="73"/>
      <c r="AA136" s="61">
        <f>H127</f>
        <v>18</v>
      </c>
      <c r="AB136" s="61" t="str">
        <f>E127</f>
        <v>AIS-SGD-041 W</v>
      </c>
      <c r="AC136" s="74" t="s">
        <v>90</v>
      </c>
      <c r="AD136" s="61" t="str">
        <f t="shared" si="92"/>
        <v>DLC</v>
      </c>
      <c r="AE136" s="61">
        <f t="shared" si="93"/>
        <v>0</v>
      </c>
      <c r="AF136" s="61">
        <f t="shared" si="94"/>
        <v>15</v>
      </c>
    </row>
    <row r="137" spans="1:32" s="65" customFormat="1" ht="12.75" customHeight="1">
      <c r="A137" s="52" t="s">
        <v>12</v>
      </c>
      <c r="B137" s="1" t="s">
        <v>18</v>
      </c>
      <c r="C137" s="306">
        <v>0</v>
      </c>
      <c r="D137" s="306">
        <v>0</v>
      </c>
      <c r="E137" s="69">
        <f t="shared" si="86"/>
        <v>0</v>
      </c>
      <c r="F137" s="70">
        <f t="shared" si="87"/>
        <v>0</v>
      </c>
      <c r="G137" s="306">
        <f t="shared" si="88"/>
        <v>0</v>
      </c>
      <c r="H137" s="306">
        <f t="shared" si="89"/>
        <v>0</v>
      </c>
      <c r="I137" s="70"/>
      <c r="J137" s="70"/>
      <c r="K137" s="70"/>
      <c r="L137" s="70"/>
      <c r="M137" s="70">
        <f t="shared" si="90"/>
        <v>0</v>
      </c>
      <c r="N137" s="70">
        <f t="shared" si="91"/>
        <v>0</v>
      </c>
      <c r="O137" s="75"/>
      <c r="P137" s="75"/>
      <c r="Q137" s="76"/>
      <c r="R137" s="71"/>
      <c r="S137" s="72"/>
      <c r="T137" s="252" t="e">
        <f t="shared" si="95"/>
        <v>#DIV/0!</v>
      </c>
      <c r="U137" s="73"/>
      <c r="V137" s="73"/>
      <c r="W137" s="73"/>
      <c r="X137" s="73"/>
      <c r="AA137" s="61">
        <f>H127</f>
        <v>18</v>
      </c>
      <c r="AB137" s="61" t="str">
        <f>E127</f>
        <v>AIS-SGD-041 W</v>
      </c>
      <c r="AC137" s="74" t="s">
        <v>90</v>
      </c>
      <c r="AD137" s="61" t="str">
        <f t="shared" si="92"/>
        <v>TSN</v>
      </c>
      <c r="AE137" s="61">
        <f t="shared" si="93"/>
        <v>0</v>
      </c>
      <c r="AF137" s="61">
        <f t="shared" si="94"/>
        <v>0</v>
      </c>
    </row>
    <row r="138" spans="1:32" s="65" customFormat="1" ht="12.75" customHeight="1">
      <c r="A138" s="52" t="s">
        <v>14</v>
      </c>
      <c r="B138" s="1" t="s">
        <v>18</v>
      </c>
      <c r="C138" s="306">
        <v>0</v>
      </c>
      <c r="D138" s="306">
        <v>0</v>
      </c>
      <c r="E138" s="69">
        <f t="shared" si="86"/>
        <v>0</v>
      </c>
      <c r="F138" s="70">
        <f t="shared" si="87"/>
        <v>0</v>
      </c>
      <c r="G138" s="306">
        <f t="shared" si="88"/>
        <v>0</v>
      </c>
      <c r="H138" s="306">
        <f t="shared" si="89"/>
        <v>0</v>
      </c>
      <c r="I138" s="70"/>
      <c r="J138" s="70"/>
      <c r="K138" s="70"/>
      <c r="L138" s="70"/>
      <c r="M138" s="70">
        <f t="shared" si="90"/>
        <v>0</v>
      </c>
      <c r="N138" s="70">
        <f t="shared" si="91"/>
        <v>0</v>
      </c>
      <c r="O138" s="71"/>
      <c r="P138" s="71"/>
      <c r="Q138" s="70"/>
      <c r="R138" s="70"/>
      <c r="S138" s="72"/>
      <c r="T138" s="252" t="e">
        <f t="shared" si="95"/>
        <v>#DIV/0!</v>
      </c>
      <c r="U138" s="73"/>
      <c r="V138" s="73"/>
      <c r="W138" s="73"/>
      <c r="X138" s="73"/>
      <c r="AA138" s="61">
        <f>H127</f>
        <v>18</v>
      </c>
      <c r="AB138" s="61" t="str">
        <f>E127</f>
        <v>AIS-SGD-041 W</v>
      </c>
      <c r="AC138" s="74" t="s">
        <v>90</v>
      </c>
      <c r="AD138" s="61" t="str">
        <f t="shared" si="92"/>
        <v>XMN</v>
      </c>
      <c r="AE138" s="61">
        <f t="shared" si="93"/>
        <v>0</v>
      </c>
      <c r="AF138" s="61">
        <f t="shared" si="94"/>
        <v>0</v>
      </c>
    </row>
    <row r="139" spans="1:32" s="65" customFormat="1" ht="12.75" customHeight="1">
      <c r="A139" s="52" t="s">
        <v>19</v>
      </c>
      <c r="B139" s="1" t="s">
        <v>18</v>
      </c>
      <c r="C139" s="306">
        <v>0</v>
      </c>
      <c r="D139" s="306">
        <v>0</v>
      </c>
      <c r="E139" s="69">
        <f t="shared" si="86"/>
        <v>0</v>
      </c>
      <c r="F139" s="70">
        <f t="shared" si="87"/>
        <v>0</v>
      </c>
      <c r="G139" s="306">
        <f t="shared" si="88"/>
        <v>0</v>
      </c>
      <c r="H139" s="306">
        <f t="shared" si="89"/>
        <v>0</v>
      </c>
      <c r="I139" s="70"/>
      <c r="J139" s="70"/>
      <c r="K139" s="70"/>
      <c r="L139" s="70"/>
      <c r="M139" s="70">
        <f t="shared" si="90"/>
        <v>0</v>
      </c>
      <c r="N139" s="70">
        <f t="shared" si="91"/>
        <v>0</v>
      </c>
      <c r="O139" s="70"/>
      <c r="P139" s="70"/>
      <c r="Q139" s="70"/>
      <c r="R139" s="70"/>
      <c r="S139" s="72"/>
      <c r="T139" s="252" t="e">
        <f t="shared" si="95"/>
        <v>#DIV/0!</v>
      </c>
      <c r="U139" s="73"/>
      <c r="V139" s="73"/>
      <c r="W139" s="73"/>
      <c r="X139" s="73"/>
      <c r="AA139" s="61">
        <f>H127</f>
        <v>18</v>
      </c>
      <c r="AB139" s="61" t="str">
        <f>E127</f>
        <v>AIS-SGD-041 W</v>
      </c>
      <c r="AC139" s="74" t="s">
        <v>90</v>
      </c>
      <c r="AD139" s="61" t="str">
        <f t="shared" si="92"/>
        <v>TWC</v>
      </c>
      <c r="AE139" s="61">
        <f t="shared" si="93"/>
        <v>0</v>
      </c>
      <c r="AF139" s="61">
        <f t="shared" si="94"/>
        <v>0</v>
      </c>
    </row>
    <row r="140" spans="1:32" s="65" customFormat="1" ht="12.75" customHeight="1">
      <c r="A140" s="52" t="s">
        <v>16</v>
      </c>
      <c r="B140" s="1">
        <f>B119+7</f>
        <v>43217</v>
      </c>
      <c r="C140" s="306">
        <v>50</v>
      </c>
      <c r="D140" s="306">
        <v>700</v>
      </c>
      <c r="E140" s="69">
        <f t="shared" si="86"/>
        <v>20</v>
      </c>
      <c r="F140" s="70">
        <f t="shared" si="87"/>
        <v>170</v>
      </c>
      <c r="G140" s="306">
        <f t="shared" si="88"/>
        <v>-30</v>
      </c>
      <c r="H140" s="306">
        <f t="shared" si="89"/>
        <v>-530</v>
      </c>
      <c r="I140" s="70"/>
      <c r="J140" s="70"/>
      <c r="K140" s="70"/>
      <c r="L140" s="70"/>
      <c r="M140" s="70">
        <f t="shared" si="90"/>
        <v>0</v>
      </c>
      <c r="N140" s="70">
        <f t="shared" si="91"/>
        <v>0</v>
      </c>
      <c r="O140" s="70"/>
      <c r="P140" s="70"/>
      <c r="Q140" s="70">
        <v>20</v>
      </c>
      <c r="R140" s="84">
        <v>170</v>
      </c>
      <c r="S140" s="72"/>
      <c r="T140" s="252">
        <f t="shared" si="95"/>
        <v>0.4</v>
      </c>
      <c r="U140" s="73"/>
      <c r="V140" s="73"/>
      <c r="W140" s="73"/>
      <c r="X140" s="73"/>
      <c r="AA140" s="61">
        <f>H127</f>
        <v>18</v>
      </c>
      <c r="AB140" s="61" t="str">
        <f>E127</f>
        <v>AIS-SGD-041 W</v>
      </c>
      <c r="AC140" s="74" t="s">
        <v>90</v>
      </c>
      <c r="AD140" s="61" t="str">
        <f t="shared" si="92"/>
        <v>HUA</v>
      </c>
      <c r="AE140" s="61">
        <f t="shared" si="93"/>
        <v>50</v>
      </c>
      <c r="AF140" s="61">
        <f t="shared" si="94"/>
        <v>20</v>
      </c>
    </row>
    <row r="141" spans="1:32" s="65" customFormat="1" ht="12.75" customHeight="1">
      <c r="A141" s="52" t="s">
        <v>2</v>
      </c>
      <c r="B141" s="26"/>
      <c r="C141" s="306"/>
      <c r="D141" s="306"/>
      <c r="E141" s="69">
        <f t="shared" si="86"/>
        <v>0</v>
      </c>
      <c r="F141" s="70">
        <f t="shared" si="87"/>
        <v>0</v>
      </c>
      <c r="G141" s="306"/>
      <c r="H141" s="306"/>
      <c r="I141" s="70"/>
      <c r="J141" s="70"/>
      <c r="K141" s="70"/>
      <c r="L141" s="70"/>
      <c r="M141" s="70">
        <f t="shared" si="90"/>
        <v>0</v>
      </c>
      <c r="N141" s="70">
        <f t="shared" si="91"/>
        <v>0</v>
      </c>
      <c r="O141" s="70"/>
      <c r="P141" s="70"/>
      <c r="Q141" s="70"/>
      <c r="R141" s="70"/>
      <c r="S141" s="72"/>
      <c r="T141" s="252" t="e">
        <f t="shared" si="95"/>
        <v>#DIV/0!</v>
      </c>
      <c r="U141" s="73"/>
      <c r="V141" s="73"/>
      <c r="W141" s="73"/>
      <c r="X141" s="73"/>
      <c r="AA141" s="61">
        <f>H127</f>
        <v>18</v>
      </c>
      <c r="AB141" s="61" t="str">
        <f>E127</f>
        <v>AIS-SGD-041 W</v>
      </c>
      <c r="AC141" s="74" t="s">
        <v>90</v>
      </c>
      <c r="AD141" s="61" t="str">
        <f t="shared" si="92"/>
        <v>HKG</v>
      </c>
      <c r="AE141" s="61">
        <f t="shared" si="93"/>
        <v>0</v>
      </c>
      <c r="AF141" s="61">
        <f t="shared" si="94"/>
        <v>0</v>
      </c>
    </row>
    <row r="142" spans="1:32" s="65" customFormat="1" ht="12.75" customHeight="1">
      <c r="A142" s="52" t="s">
        <v>3</v>
      </c>
      <c r="B142" s="1">
        <f>B121+7</f>
        <v>43222</v>
      </c>
      <c r="C142" s="306">
        <v>120</v>
      </c>
      <c r="D142" s="306">
        <v>1680</v>
      </c>
      <c r="E142" s="69">
        <f t="shared" si="86"/>
        <v>120</v>
      </c>
      <c r="F142" s="70">
        <f t="shared" si="87"/>
        <v>1680</v>
      </c>
      <c r="G142" s="306">
        <f t="shared" ref="G142:G145" si="96">E142-C142</f>
        <v>0</v>
      </c>
      <c r="H142" s="306">
        <f t="shared" ref="H142:H145" si="97">F142-D142</f>
        <v>0</v>
      </c>
      <c r="I142" s="70"/>
      <c r="J142" s="70"/>
      <c r="K142" s="70"/>
      <c r="L142" s="70"/>
      <c r="M142" s="70">
        <f t="shared" si="90"/>
        <v>0</v>
      </c>
      <c r="N142" s="70">
        <f t="shared" si="91"/>
        <v>0</v>
      </c>
      <c r="O142" s="306"/>
      <c r="P142" s="306"/>
      <c r="Q142" s="70">
        <v>120</v>
      </c>
      <c r="R142" s="70">
        <v>1680</v>
      </c>
      <c r="S142" s="72"/>
      <c r="T142" s="252">
        <f t="shared" si="95"/>
        <v>1</v>
      </c>
      <c r="U142" s="73"/>
      <c r="V142" s="73"/>
      <c r="W142" s="73"/>
      <c r="X142" s="73"/>
      <c r="AA142" s="61">
        <f>H127</f>
        <v>18</v>
      </c>
      <c r="AB142" s="61" t="str">
        <f>E127</f>
        <v>AIS-SGD-041 W</v>
      </c>
      <c r="AC142" s="74" t="s">
        <v>90</v>
      </c>
      <c r="AD142" s="61" t="str">
        <f t="shared" si="92"/>
        <v>SGP</v>
      </c>
      <c r="AE142" s="61">
        <f t="shared" si="93"/>
        <v>120</v>
      </c>
      <c r="AF142" s="61">
        <f t="shared" si="94"/>
        <v>120</v>
      </c>
    </row>
    <row r="143" spans="1:32" s="65" customFormat="1" ht="12.75" customHeight="1">
      <c r="A143" s="52" t="s">
        <v>4</v>
      </c>
      <c r="B143" s="1">
        <f>B122+7</f>
        <v>43223</v>
      </c>
      <c r="C143" s="306">
        <v>30</v>
      </c>
      <c r="D143" s="306">
        <v>420</v>
      </c>
      <c r="E143" s="69">
        <f t="shared" si="86"/>
        <v>30</v>
      </c>
      <c r="F143" s="70">
        <f t="shared" si="87"/>
        <v>420</v>
      </c>
      <c r="G143" s="306">
        <f t="shared" si="96"/>
        <v>0</v>
      </c>
      <c r="H143" s="306">
        <f t="shared" si="97"/>
        <v>0</v>
      </c>
      <c r="I143" s="70"/>
      <c r="J143" s="70"/>
      <c r="K143" s="70"/>
      <c r="L143" s="70"/>
      <c r="M143" s="70">
        <f t="shared" si="90"/>
        <v>0</v>
      </c>
      <c r="N143" s="70">
        <f t="shared" si="91"/>
        <v>0</v>
      </c>
      <c r="O143" s="70"/>
      <c r="P143" s="70"/>
      <c r="Q143" s="70">
        <v>30</v>
      </c>
      <c r="R143" s="70">
        <v>420</v>
      </c>
      <c r="S143" s="72"/>
      <c r="T143" s="252">
        <f>E143/C143</f>
        <v>1</v>
      </c>
      <c r="U143" s="73"/>
      <c r="V143" s="73"/>
      <c r="W143" s="73"/>
      <c r="X143" s="73"/>
      <c r="AA143" s="61">
        <f>H127</f>
        <v>18</v>
      </c>
      <c r="AB143" s="61" t="str">
        <f>E127</f>
        <v>AIS-SGD-041 W</v>
      </c>
      <c r="AC143" s="74" t="s">
        <v>90</v>
      </c>
      <c r="AD143" s="61" t="str">
        <f t="shared" si="92"/>
        <v>PKL</v>
      </c>
      <c r="AE143" s="61">
        <f t="shared" si="93"/>
        <v>30</v>
      </c>
      <c r="AF143" s="61">
        <f t="shared" si="94"/>
        <v>30</v>
      </c>
    </row>
    <row r="144" spans="1:32" s="65" customFormat="1" ht="12.75" customHeight="1">
      <c r="A144" s="52" t="s">
        <v>15</v>
      </c>
      <c r="B144" s="306"/>
      <c r="C144" s="306"/>
      <c r="D144" s="306"/>
      <c r="E144" s="69">
        <f t="shared" si="86"/>
        <v>0</v>
      </c>
      <c r="F144" s="70">
        <f t="shared" si="87"/>
        <v>0</v>
      </c>
      <c r="G144" s="306">
        <f t="shared" si="96"/>
        <v>0</v>
      </c>
      <c r="H144" s="306">
        <f t="shared" si="97"/>
        <v>0</v>
      </c>
      <c r="I144" s="70"/>
      <c r="J144" s="70"/>
      <c r="K144" s="70"/>
      <c r="L144" s="70"/>
      <c r="M144" s="70">
        <f t="shared" si="90"/>
        <v>0</v>
      </c>
      <c r="N144" s="70">
        <f t="shared" si="91"/>
        <v>0</v>
      </c>
      <c r="O144" s="71"/>
      <c r="P144" s="71"/>
      <c r="Q144" s="71"/>
      <c r="R144" s="71"/>
      <c r="S144" s="72"/>
      <c r="T144" s="73"/>
      <c r="U144" s="73"/>
      <c r="V144" s="73"/>
      <c r="W144" s="73"/>
      <c r="X144" s="73"/>
      <c r="AA144" s="61">
        <f>H127</f>
        <v>18</v>
      </c>
      <c r="AB144" s="61" t="str">
        <f>E127</f>
        <v>AIS-SGD-041 W</v>
      </c>
      <c r="AC144" s="74" t="s">
        <v>90</v>
      </c>
      <c r="AD144" s="61" t="str">
        <f t="shared" si="92"/>
        <v>T/S</v>
      </c>
      <c r="AE144" s="61">
        <f t="shared" si="93"/>
        <v>0</v>
      </c>
      <c r="AF144" s="61">
        <f t="shared" si="94"/>
        <v>0</v>
      </c>
    </row>
    <row r="145" spans="1:32" s="65" customFormat="1" ht="12.75" customHeight="1">
      <c r="A145" s="51" t="s">
        <v>36</v>
      </c>
      <c r="B145" s="72"/>
      <c r="C145" s="71">
        <v>530</v>
      </c>
      <c r="D145" s="71">
        <f>SUM(D131:D144)</f>
        <v>7700</v>
      </c>
      <c r="E145" s="78">
        <f>SUM(E131:E144)</f>
        <v>671</v>
      </c>
      <c r="F145" s="76">
        <f>SUM(F131:F144)</f>
        <v>9649</v>
      </c>
      <c r="G145" s="71">
        <f t="shared" si="96"/>
        <v>141</v>
      </c>
      <c r="H145" s="71">
        <f t="shared" si="97"/>
        <v>1949</v>
      </c>
      <c r="I145" s="70">
        <f t="shared" ref="I145:L145" si="98">SUM(I131:I144)</f>
        <v>76</v>
      </c>
      <c r="J145" s="70">
        <f t="shared" si="98"/>
        <v>1369</v>
      </c>
      <c r="K145" s="70">
        <f t="shared" si="98"/>
        <v>33</v>
      </c>
      <c r="L145" s="70">
        <f t="shared" si="98"/>
        <v>476</v>
      </c>
      <c r="M145" s="70"/>
      <c r="N145" s="70"/>
      <c r="O145" s="70">
        <f t="shared" ref="O145:R145" si="99">SUM(O131:O144)</f>
        <v>501</v>
      </c>
      <c r="P145" s="70">
        <f t="shared" si="99"/>
        <v>7379</v>
      </c>
      <c r="Q145" s="70">
        <f t="shared" si="99"/>
        <v>170</v>
      </c>
      <c r="R145" s="70">
        <f t="shared" si="99"/>
        <v>2270</v>
      </c>
      <c r="S145" s="72"/>
      <c r="T145" s="73"/>
      <c r="U145" s="73"/>
      <c r="V145" s="73"/>
      <c r="W145" s="73"/>
      <c r="X145" s="73"/>
      <c r="AA145" s="61"/>
      <c r="AB145" s="61"/>
      <c r="AC145" s="61"/>
      <c r="AD145" s="61"/>
      <c r="AE145" s="61"/>
      <c r="AF145" s="61"/>
    </row>
    <row r="146" spans="1:32" s="65" customFormat="1" ht="12.75" customHeight="1">
      <c r="A146" s="84">
        <f>D145/C145</f>
        <v>14.528301886792454</v>
      </c>
      <c r="C146" s="307">
        <f>F145-E146</f>
        <v>2719</v>
      </c>
      <c r="E146" s="65">
        <f>D145*0.9</f>
        <v>6930</v>
      </c>
      <c r="F146" s="307">
        <f>E145-L146</f>
        <v>194</v>
      </c>
      <c r="I146" s="80" t="s">
        <v>48</v>
      </c>
      <c r="J146" s="245">
        <f>E145/C145</f>
        <v>1.2660377358490567</v>
      </c>
      <c r="K146" s="80"/>
      <c r="L146" s="80">
        <f>C145*0.9</f>
        <v>477</v>
      </c>
      <c r="M146" s="80"/>
      <c r="N146" s="80"/>
      <c r="O146" s="82" t="s">
        <v>553</v>
      </c>
      <c r="P146" s="80"/>
      <c r="Q146" s="65">
        <f>O131+O132+O133+O134+O135+O136+O137+O138+O139+O140+Q131+Q132+Q133+Q134+Q135+Q136+Q138+Q139+Q140+Q141</f>
        <v>521</v>
      </c>
      <c r="R146" s="65">
        <f>P131+P132+P133+P134+P135+P137+P136+P138+P139+P140+P141+R131+R132+R133+R134+R135+R136+R137+R138+R139+R140+R141</f>
        <v>7549</v>
      </c>
      <c r="AA146" s="81"/>
      <c r="AB146" s="81"/>
      <c r="AC146" s="81"/>
      <c r="AD146" s="81"/>
      <c r="AE146" s="81"/>
      <c r="AF146" s="81"/>
    </row>
    <row r="148" spans="1:32" s="63" customFormat="1" ht="12.75" customHeight="1">
      <c r="A148" s="59" t="s">
        <v>90</v>
      </c>
      <c r="B148" s="58" t="s">
        <v>628</v>
      </c>
      <c r="C148" s="56"/>
      <c r="D148" s="57"/>
      <c r="E148" s="58" t="s">
        <v>629</v>
      </c>
      <c r="F148" s="57"/>
      <c r="G148" s="59" t="s">
        <v>37</v>
      </c>
      <c r="H148" s="60">
        <f>H127+1</f>
        <v>19</v>
      </c>
      <c r="I148" s="57"/>
      <c r="J148" s="57"/>
      <c r="K148" s="57"/>
      <c r="L148" s="57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2"/>
      <c r="Z148" s="62"/>
      <c r="AA148" s="62"/>
      <c r="AB148" s="62"/>
      <c r="AC148" s="62"/>
    </row>
    <row r="149" spans="1:32" s="65" customFormat="1" ht="12.75" customHeight="1">
      <c r="A149" s="340" t="s">
        <v>0</v>
      </c>
      <c r="B149" s="336" t="s">
        <v>1</v>
      </c>
      <c r="C149" s="331" t="s">
        <v>25</v>
      </c>
      <c r="D149" s="332"/>
      <c r="E149" s="331" t="s">
        <v>21</v>
      </c>
      <c r="F149" s="332"/>
      <c r="G149" s="335" t="s">
        <v>24</v>
      </c>
      <c r="H149" s="335"/>
      <c r="I149" s="328" t="s">
        <v>33</v>
      </c>
      <c r="J149" s="329"/>
      <c r="K149" s="329"/>
      <c r="L149" s="329"/>
      <c r="M149" s="329"/>
      <c r="N149" s="330"/>
      <c r="O149" s="331" t="s">
        <v>22</v>
      </c>
      <c r="P149" s="332"/>
      <c r="Q149" s="335" t="s">
        <v>23</v>
      </c>
      <c r="R149" s="335"/>
      <c r="S149" s="336" t="s">
        <v>27</v>
      </c>
      <c r="T149" s="64"/>
      <c r="U149" s="64"/>
      <c r="V149" s="64"/>
      <c r="W149" s="64"/>
      <c r="X149" s="64"/>
      <c r="Y149" s="339"/>
      <c r="Z149" s="327"/>
      <c r="AA149" s="61"/>
      <c r="AB149" s="61"/>
      <c r="AC149" s="74"/>
      <c r="AD149" s="61"/>
      <c r="AE149" s="61"/>
      <c r="AF149" s="61"/>
    </row>
    <row r="150" spans="1:32" s="65" customFormat="1" ht="12.75" customHeight="1">
      <c r="A150" s="341"/>
      <c r="B150" s="337"/>
      <c r="C150" s="333"/>
      <c r="D150" s="334"/>
      <c r="E150" s="333"/>
      <c r="F150" s="334"/>
      <c r="G150" s="335"/>
      <c r="H150" s="335"/>
      <c r="I150" s="323" t="s">
        <v>28</v>
      </c>
      <c r="J150" s="324" t="s">
        <v>3</v>
      </c>
      <c r="K150" s="323" t="s">
        <v>29</v>
      </c>
      <c r="L150" s="324" t="s">
        <v>4</v>
      </c>
      <c r="M150" s="328" t="s">
        <v>30</v>
      </c>
      <c r="N150" s="330"/>
      <c r="O150" s="333"/>
      <c r="P150" s="334"/>
      <c r="Q150" s="335"/>
      <c r="R150" s="335"/>
      <c r="S150" s="337"/>
      <c r="T150" s="64"/>
      <c r="U150" s="64"/>
      <c r="V150" s="64"/>
      <c r="W150" s="64"/>
      <c r="X150" s="64"/>
      <c r="Y150" s="339"/>
      <c r="Z150" s="327"/>
      <c r="AA150" s="61"/>
      <c r="AB150" s="61"/>
      <c r="AC150" s="74"/>
      <c r="AD150" s="61"/>
      <c r="AE150" s="61"/>
      <c r="AF150" s="61"/>
    </row>
    <row r="151" spans="1:32" s="65" customFormat="1" ht="12.75" customHeight="1">
      <c r="A151" s="342"/>
      <c r="B151" s="338"/>
      <c r="C151" s="325" t="s">
        <v>5</v>
      </c>
      <c r="D151" s="325" t="s">
        <v>6</v>
      </c>
      <c r="E151" s="324" t="s">
        <v>5</v>
      </c>
      <c r="F151" s="325" t="s">
        <v>6</v>
      </c>
      <c r="G151" s="325" t="s">
        <v>5</v>
      </c>
      <c r="H151" s="325" t="s">
        <v>6</v>
      </c>
      <c r="I151" s="324" t="s">
        <v>5</v>
      </c>
      <c r="J151" s="325" t="s">
        <v>6</v>
      </c>
      <c r="K151" s="324" t="s">
        <v>5</v>
      </c>
      <c r="L151" s="325" t="s">
        <v>6</v>
      </c>
      <c r="M151" s="325"/>
      <c r="N151" s="325"/>
      <c r="O151" s="324" t="s">
        <v>5</v>
      </c>
      <c r="P151" s="325" t="s">
        <v>6</v>
      </c>
      <c r="Q151" s="325" t="s">
        <v>5</v>
      </c>
      <c r="R151" s="325" t="s">
        <v>6</v>
      </c>
      <c r="S151" s="338"/>
      <c r="T151" s="64"/>
      <c r="U151" s="64"/>
      <c r="V151" s="64"/>
      <c r="W151" s="64"/>
      <c r="X151" s="64"/>
      <c r="Y151" s="339"/>
      <c r="Z151" s="327"/>
      <c r="AA151" s="61" t="s">
        <v>43</v>
      </c>
      <c r="AB151" s="61" t="s">
        <v>45</v>
      </c>
      <c r="AC151" s="61" t="s">
        <v>46</v>
      </c>
      <c r="AD151" s="61" t="s">
        <v>42</v>
      </c>
      <c r="AE151" s="61" t="s">
        <v>41</v>
      </c>
      <c r="AF151" s="61" t="s">
        <v>44</v>
      </c>
    </row>
    <row r="152" spans="1:32" s="65" customFormat="1" ht="12.75" customHeight="1">
      <c r="A152" s="51" t="s">
        <v>7</v>
      </c>
      <c r="B152" s="1">
        <f>B131+7</f>
        <v>43220</v>
      </c>
      <c r="C152" s="325">
        <v>150</v>
      </c>
      <c r="D152" s="325">
        <v>2100</v>
      </c>
      <c r="E152" s="69">
        <f t="shared" ref="E152:E165" si="100">O152+Q152</f>
        <v>168</v>
      </c>
      <c r="F152" s="70">
        <f t="shared" ref="F152:F165" si="101">P152+R152</f>
        <v>3720</v>
      </c>
      <c r="G152" s="325">
        <f t="shared" ref="G152:G161" si="102">E152-C152</f>
        <v>18</v>
      </c>
      <c r="H152" s="325">
        <f t="shared" ref="H152:H161" si="103">F152-D152</f>
        <v>1620</v>
      </c>
      <c r="I152" s="70">
        <v>15</v>
      </c>
      <c r="J152" s="70">
        <v>190</v>
      </c>
      <c r="K152" s="70">
        <v>12</v>
      </c>
      <c r="L152" s="70">
        <v>178</v>
      </c>
      <c r="M152" s="70">
        <f t="shared" ref="M152:M165" si="104">I152+K152</f>
        <v>27</v>
      </c>
      <c r="N152" s="70">
        <f t="shared" ref="N152:N165" si="105">J152+L152</f>
        <v>368</v>
      </c>
      <c r="O152" s="71">
        <v>168</v>
      </c>
      <c r="P152" s="71">
        <v>3720</v>
      </c>
      <c r="Q152" s="70"/>
      <c r="R152" s="70"/>
      <c r="S152" s="72"/>
      <c r="T152" s="252">
        <f>E152/C152</f>
        <v>1.1200000000000001</v>
      </c>
      <c r="U152" s="73"/>
      <c r="V152" s="73"/>
      <c r="W152" s="73"/>
      <c r="X152" s="73"/>
      <c r="Y152" s="339"/>
      <c r="Z152" s="327"/>
      <c r="AA152" s="61">
        <f>H148</f>
        <v>19</v>
      </c>
      <c r="AB152" s="61" t="str">
        <f>E148</f>
        <v>AIS-R9M-015 W</v>
      </c>
      <c r="AC152" s="74" t="s">
        <v>90</v>
      </c>
      <c r="AD152" s="61" t="str">
        <f t="shared" ref="AD152:AD165" si="106">A152</f>
        <v>KR</v>
      </c>
      <c r="AE152" s="61">
        <f t="shared" ref="AE152:AE165" si="107">C152</f>
        <v>150</v>
      </c>
      <c r="AF152" s="61">
        <f t="shared" ref="AF152:AF165" si="108">E152</f>
        <v>168</v>
      </c>
    </row>
    <row r="153" spans="1:32" s="65" customFormat="1" ht="12.75" customHeight="1">
      <c r="A153" s="52" t="s">
        <v>13</v>
      </c>
      <c r="B153" s="1">
        <f>B132+7</f>
        <v>43217</v>
      </c>
      <c r="C153" s="325">
        <v>200</v>
      </c>
      <c r="D153" s="325">
        <v>2800</v>
      </c>
      <c r="E153" s="69">
        <f t="shared" si="100"/>
        <v>70</v>
      </c>
      <c r="F153" s="70">
        <f t="shared" si="101"/>
        <v>1063</v>
      </c>
      <c r="G153" s="325">
        <f t="shared" si="102"/>
        <v>-130</v>
      </c>
      <c r="H153" s="325">
        <f t="shared" si="103"/>
        <v>-1737</v>
      </c>
      <c r="I153" s="75">
        <v>8</v>
      </c>
      <c r="J153" s="75">
        <v>71</v>
      </c>
      <c r="K153" s="70">
        <v>6</v>
      </c>
      <c r="L153" s="70">
        <v>71</v>
      </c>
      <c r="M153" s="70">
        <f t="shared" si="104"/>
        <v>14</v>
      </c>
      <c r="N153" s="70">
        <f t="shared" si="105"/>
        <v>142</v>
      </c>
      <c r="O153" s="75">
        <v>70</v>
      </c>
      <c r="P153" s="75">
        <v>1063</v>
      </c>
      <c r="Q153" s="71"/>
      <c r="R153" s="71"/>
      <c r="S153" s="72"/>
      <c r="T153" s="252">
        <f t="shared" ref="T153:T163" si="109">E153/C153</f>
        <v>0.35</v>
      </c>
      <c r="U153" s="73"/>
      <c r="V153" s="73"/>
      <c r="W153" s="73"/>
      <c r="X153" s="73"/>
      <c r="AA153" s="61">
        <f>H148</f>
        <v>19</v>
      </c>
      <c r="AB153" s="61" t="str">
        <f>E148</f>
        <v>AIS-R9M-015 W</v>
      </c>
      <c r="AC153" s="74" t="s">
        <v>90</v>
      </c>
      <c r="AD153" s="61" t="str">
        <f t="shared" si="106"/>
        <v>TAO</v>
      </c>
      <c r="AE153" s="61">
        <f t="shared" si="107"/>
        <v>200</v>
      </c>
      <c r="AF153" s="61">
        <f t="shared" si="108"/>
        <v>70</v>
      </c>
    </row>
    <row r="154" spans="1:32" s="65" customFormat="1" ht="12.75" customHeight="1">
      <c r="A154" s="52" t="s">
        <v>9</v>
      </c>
      <c r="B154" s="1" t="s">
        <v>18</v>
      </c>
      <c r="C154" s="325">
        <v>0</v>
      </c>
      <c r="D154" s="325">
        <v>0</v>
      </c>
      <c r="E154" s="69">
        <f t="shared" si="100"/>
        <v>0</v>
      </c>
      <c r="F154" s="70">
        <f t="shared" si="101"/>
        <v>0</v>
      </c>
      <c r="G154" s="325">
        <f t="shared" si="102"/>
        <v>0</v>
      </c>
      <c r="H154" s="325">
        <f t="shared" si="103"/>
        <v>0</v>
      </c>
      <c r="I154" s="75"/>
      <c r="J154" s="75"/>
      <c r="K154" s="71"/>
      <c r="L154" s="71"/>
      <c r="M154" s="70">
        <f t="shared" si="104"/>
        <v>0</v>
      </c>
      <c r="N154" s="70">
        <f t="shared" si="105"/>
        <v>0</v>
      </c>
      <c r="O154" s="75"/>
      <c r="P154" s="75"/>
      <c r="Q154" s="71"/>
      <c r="R154" s="71"/>
      <c r="S154" s="72"/>
      <c r="T154" s="252" t="e">
        <f t="shared" si="109"/>
        <v>#DIV/0!</v>
      </c>
      <c r="U154" s="73"/>
      <c r="V154" s="73"/>
      <c r="W154" s="73"/>
      <c r="X154" s="73"/>
      <c r="AA154" s="61">
        <f>H148</f>
        <v>19</v>
      </c>
      <c r="AB154" s="61" t="str">
        <f>E148</f>
        <v>AIS-R9M-015 W</v>
      </c>
      <c r="AC154" s="74" t="s">
        <v>90</v>
      </c>
      <c r="AD154" s="61" t="str">
        <f t="shared" si="106"/>
        <v>SHA</v>
      </c>
      <c r="AE154" s="61">
        <f t="shared" si="107"/>
        <v>0</v>
      </c>
      <c r="AF154" s="61">
        <f t="shared" si="108"/>
        <v>0</v>
      </c>
    </row>
    <row r="155" spans="1:32" s="65" customFormat="1" ht="12.75" customHeight="1">
      <c r="A155" s="52" t="s">
        <v>8</v>
      </c>
      <c r="B155" s="1">
        <f>B134+7</f>
        <v>43222</v>
      </c>
      <c r="C155" s="325">
        <v>0</v>
      </c>
      <c r="D155" s="325">
        <v>0</v>
      </c>
      <c r="E155" s="69">
        <f t="shared" si="100"/>
        <v>0</v>
      </c>
      <c r="F155" s="70">
        <f t="shared" si="101"/>
        <v>0</v>
      </c>
      <c r="G155" s="325">
        <f t="shared" si="102"/>
        <v>0</v>
      </c>
      <c r="H155" s="325">
        <f t="shared" si="103"/>
        <v>0</v>
      </c>
      <c r="I155" s="71"/>
      <c r="J155" s="71"/>
      <c r="K155" s="71"/>
      <c r="L155" s="71"/>
      <c r="M155" s="70">
        <f t="shared" si="104"/>
        <v>0</v>
      </c>
      <c r="N155" s="70">
        <f t="shared" si="105"/>
        <v>0</v>
      </c>
      <c r="O155" s="71"/>
      <c r="P155" s="71"/>
      <c r="Q155" s="71"/>
      <c r="R155" s="71"/>
      <c r="S155" s="72"/>
      <c r="T155" s="252" t="e">
        <f t="shared" si="109"/>
        <v>#DIV/0!</v>
      </c>
      <c r="U155" s="73"/>
      <c r="V155" s="73"/>
      <c r="W155" s="73"/>
      <c r="X155" s="73"/>
      <c r="AA155" s="61">
        <f>H148</f>
        <v>19</v>
      </c>
      <c r="AB155" s="61" t="str">
        <f>E148</f>
        <v>AIS-R9M-015 W</v>
      </c>
      <c r="AC155" s="74" t="s">
        <v>90</v>
      </c>
      <c r="AD155" s="61" t="str">
        <f t="shared" si="106"/>
        <v>NGB</v>
      </c>
      <c r="AE155" s="61">
        <f t="shared" si="107"/>
        <v>0</v>
      </c>
      <c r="AF155" s="61">
        <f t="shared" si="108"/>
        <v>0</v>
      </c>
    </row>
    <row r="156" spans="1:32" s="65" customFormat="1" ht="12.75" customHeight="1">
      <c r="A156" s="52" t="s">
        <v>10</v>
      </c>
      <c r="B156" s="1" t="s">
        <v>18</v>
      </c>
      <c r="C156" s="325">
        <v>0</v>
      </c>
      <c r="D156" s="325">
        <v>0</v>
      </c>
      <c r="E156" s="69">
        <f t="shared" si="100"/>
        <v>0</v>
      </c>
      <c r="F156" s="70">
        <f t="shared" si="101"/>
        <v>0</v>
      </c>
      <c r="G156" s="325">
        <f t="shared" si="102"/>
        <v>0</v>
      </c>
      <c r="H156" s="325">
        <f t="shared" si="103"/>
        <v>0</v>
      </c>
      <c r="I156" s="75"/>
      <c r="J156" s="75"/>
      <c r="K156" s="70"/>
      <c r="L156" s="70"/>
      <c r="M156" s="70">
        <f t="shared" si="104"/>
        <v>0</v>
      </c>
      <c r="N156" s="70">
        <f t="shared" si="105"/>
        <v>0</v>
      </c>
      <c r="O156" s="75"/>
      <c r="P156" s="75"/>
      <c r="Q156" s="70"/>
      <c r="R156" s="70"/>
      <c r="S156" s="72"/>
      <c r="T156" s="252" t="e">
        <f t="shared" si="109"/>
        <v>#DIV/0!</v>
      </c>
      <c r="U156" s="73"/>
      <c r="V156" s="73"/>
      <c r="W156" s="73"/>
      <c r="X156" s="73"/>
      <c r="AA156" s="61">
        <f>H148</f>
        <v>19</v>
      </c>
      <c r="AB156" s="61" t="str">
        <f>E148</f>
        <v>AIS-R9M-015 W</v>
      </c>
      <c r="AC156" s="74" t="s">
        <v>90</v>
      </c>
      <c r="AD156" s="61" t="str">
        <f t="shared" si="106"/>
        <v>WUH</v>
      </c>
      <c r="AE156" s="61">
        <f t="shared" si="107"/>
        <v>0</v>
      </c>
      <c r="AF156" s="61">
        <f t="shared" si="108"/>
        <v>0</v>
      </c>
    </row>
    <row r="157" spans="1:32" s="65" customFormat="1" ht="12.75" customHeight="1">
      <c r="A157" s="52" t="s">
        <v>11</v>
      </c>
      <c r="B157" s="1" t="s">
        <v>18</v>
      </c>
      <c r="C157" s="325">
        <v>0</v>
      </c>
      <c r="D157" s="325">
        <v>0</v>
      </c>
      <c r="E157" s="69">
        <f t="shared" si="100"/>
        <v>0</v>
      </c>
      <c r="F157" s="70">
        <f t="shared" si="101"/>
        <v>0</v>
      </c>
      <c r="G157" s="325">
        <f t="shared" si="102"/>
        <v>0</v>
      </c>
      <c r="H157" s="325">
        <f t="shared" si="103"/>
        <v>0</v>
      </c>
      <c r="I157" s="70"/>
      <c r="J157" s="70"/>
      <c r="K157" s="70"/>
      <c r="L157" s="70"/>
      <c r="M157" s="70">
        <f t="shared" si="104"/>
        <v>0</v>
      </c>
      <c r="N157" s="70">
        <f t="shared" si="105"/>
        <v>0</v>
      </c>
      <c r="O157" s="75"/>
      <c r="P157" s="75"/>
      <c r="Q157" s="70"/>
      <c r="R157" s="70"/>
      <c r="S157" s="72"/>
      <c r="T157" s="252" t="e">
        <f t="shared" si="109"/>
        <v>#DIV/0!</v>
      </c>
      <c r="U157" s="73"/>
      <c r="V157" s="73"/>
      <c r="W157" s="73"/>
      <c r="X157" s="73"/>
      <c r="AA157" s="61">
        <f>H148</f>
        <v>19</v>
      </c>
      <c r="AB157" s="61" t="str">
        <f>E148</f>
        <v>AIS-R9M-015 W</v>
      </c>
      <c r="AC157" s="74" t="s">
        <v>90</v>
      </c>
      <c r="AD157" s="61" t="str">
        <f t="shared" si="106"/>
        <v>DLC</v>
      </c>
      <c r="AE157" s="61">
        <f t="shared" si="107"/>
        <v>0</v>
      </c>
      <c r="AF157" s="61">
        <f t="shared" si="108"/>
        <v>0</v>
      </c>
    </row>
    <row r="158" spans="1:32" s="65" customFormat="1" ht="12.75" customHeight="1">
      <c r="A158" s="52" t="s">
        <v>12</v>
      </c>
      <c r="B158" s="1" t="s">
        <v>18</v>
      </c>
      <c r="C158" s="325">
        <v>0</v>
      </c>
      <c r="D158" s="325">
        <v>0</v>
      </c>
      <c r="E158" s="69">
        <f t="shared" si="100"/>
        <v>0</v>
      </c>
      <c r="F158" s="70">
        <f t="shared" si="101"/>
        <v>0</v>
      </c>
      <c r="G158" s="325">
        <f t="shared" si="102"/>
        <v>0</v>
      </c>
      <c r="H158" s="325">
        <f t="shared" si="103"/>
        <v>0</v>
      </c>
      <c r="I158" s="70"/>
      <c r="J158" s="70"/>
      <c r="K158" s="70"/>
      <c r="L158" s="70"/>
      <c r="M158" s="70">
        <f t="shared" si="104"/>
        <v>0</v>
      </c>
      <c r="N158" s="70">
        <f t="shared" si="105"/>
        <v>0</v>
      </c>
      <c r="O158" s="75"/>
      <c r="P158" s="75"/>
      <c r="Q158" s="76"/>
      <c r="R158" s="71"/>
      <c r="S158" s="72"/>
      <c r="T158" s="252" t="e">
        <f t="shared" si="109"/>
        <v>#DIV/0!</v>
      </c>
      <c r="U158" s="73"/>
      <c r="V158" s="73"/>
      <c r="W158" s="73"/>
      <c r="X158" s="73"/>
      <c r="AA158" s="61">
        <f>H148</f>
        <v>19</v>
      </c>
      <c r="AB158" s="61" t="str">
        <f>E148</f>
        <v>AIS-R9M-015 W</v>
      </c>
      <c r="AC158" s="74" t="s">
        <v>90</v>
      </c>
      <c r="AD158" s="61" t="str">
        <f t="shared" si="106"/>
        <v>TSN</v>
      </c>
      <c r="AE158" s="61">
        <f t="shared" si="107"/>
        <v>0</v>
      </c>
      <c r="AF158" s="61">
        <f t="shared" si="108"/>
        <v>0</v>
      </c>
    </row>
    <row r="159" spans="1:32" s="65" customFormat="1" ht="12.75" customHeight="1">
      <c r="A159" s="52" t="s">
        <v>14</v>
      </c>
      <c r="B159" s="1" t="s">
        <v>18</v>
      </c>
      <c r="C159" s="325">
        <v>0</v>
      </c>
      <c r="D159" s="325">
        <v>0</v>
      </c>
      <c r="E159" s="69">
        <f t="shared" si="100"/>
        <v>0</v>
      </c>
      <c r="F159" s="70">
        <f t="shared" si="101"/>
        <v>0</v>
      </c>
      <c r="G159" s="325">
        <f t="shared" si="102"/>
        <v>0</v>
      </c>
      <c r="H159" s="325">
        <f t="shared" si="103"/>
        <v>0</v>
      </c>
      <c r="I159" s="70"/>
      <c r="J159" s="70"/>
      <c r="K159" s="70"/>
      <c r="L159" s="70"/>
      <c r="M159" s="70">
        <f t="shared" si="104"/>
        <v>0</v>
      </c>
      <c r="N159" s="70">
        <f t="shared" si="105"/>
        <v>0</v>
      </c>
      <c r="O159" s="71"/>
      <c r="P159" s="71"/>
      <c r="Q159" s="70"/>
      <c r="R159" s="70"/>
      <c r="S159" s="72"/>
      <c r="T159" s="252" t="e">
        <f t="shared" si="109"/>
        <v>#DIV/0!</v>
      </c>
      <c r="U159" s="73"/>
      <c r="V159" s="73"/>
      <c r="W159" s="73"/>
      <c r="X159" s="73"/>
      <c r="AA159" s="61">
        <f>H148</f>
        <v>19</v>
      </c>
      <c r="AB159" s="61" t="str">
        <f>E148</f>
        <v>AIS-R9M-015 W</v>
      </c>
      <c r="AC159" s="74" t="s">
        <v>90</v>
      </c>
      <c r="AD159" s="61" t="str">
        <f t="shared" si="106"/>
        <v>XMN</v>
      </c>
      <c r="AE159" s="61">
        <f t="shared" si="107"/>
        <v>0</v>
      </c>
      <c r="AF159" s="61">
        <f t="shared" si="108"/>
        <v>0</v>
      </c>
    </row>
    <row r="160" spans="1:32" s="65" customFormat="1" ht="12.75" customHeight="1">
      <c r="A160" s="52" t="s">
        <v>19</v>
      </c>
      <c r="B160" s="1" t="s">
        <v>18</v>
      </c>
      <c r="C160" s="325">
        <v>0</v>
      </c>
      <c r="D160" s="325">
        <v>0</v>
      </c>
      <c r="E160" s="69">
        <f t="shared" si="100"/>
        <v>0</v>
      </c>
      <c r="F160" s="70">
        <f t="shared" si="101"/>
        <v>0</v>
      </c>
      <c r="G160" s="325">
        <f t="shared" si="102"/>
        <v>0</v>
      </c>
      <c r="H160" s="325">
        <f t="shared" si="103"/>
        <v>0</v>
      </c>
      <c r="I160" s="70"/>
      <c r="J160" s="70"/>
      <c r="K160" s="70"/>
      <c r="L160" s="70"/>
      <c r="M160" s="70">
        <f t="shared" si="104"/>
        <v>0</v>
      </c>
      <c r="N160" s="70">
        <f t="shared" si="105"/>
        <v>0</v>
      </c>
      <c r="O160" s="70"/>
      <c r="P160" s="70"/>
      <c r="Q160" s="70"/>
      <c r="R160" s="70"/>
      <c r="S160" s="72"/>
      <c r="T160" s="252" t="e">
        <f t="shared" si="109"/>
        <v>#DIV/0!</v>
      </c>
      <c r="U160" s="73"/>
      <c r="V160" s="73"/>
      <c r="W160" s="73"/>
      <c r="X160" s="73"/>
      <c r="AA160" s="61">
        <f>H148</f>
        <v>19</v>
      </c>
      <c r="AB160" s="61" t="str">
        <f>E148</f>
        <v>AIS-R9M-015 W</v>
      </c>
      <c r="AC160" s="74" t="s">
        <v>90</v>
      </c>
      <c r="AD160" s="61" t="str">
        <f t="shared" si="106"/>
        <v>TWC</v>
      </c>
      <c r="AE160" s="61">
        <f t="shared" si="107"/>
        <v>0</v>
      </c>
      <c r="AF160" s="61">
        <f t="shared" si="108"/>
        <v>0</v>
      </c>
    </row>
    <row r="161" spans="1:32" s="65" customFormat="1" ht="12.75" customHeight="1">
      <c r="A161" s="52" t="s">
        <v>16</v>
      </c>
      <c r="B161" s="1">
        <f>B140+7</f>
        <v>43224</v>
      </c>
      <c r="C161" s="325">
        <v>50</v>
      </c>
      <c r="D161" s="325">
        <v>700</v>
      </c>
      <c r="E161" s="69">
        <f t="shared" si="100"/>
        <v>0</v>
      </c>
      <c r="F161" s="70">
        <f t="shared" si="101"/>
        <v>0</v>
      </c>
      <c r="G161" s="325">
        <f t="shared" si="102"/>
        <v>-50</v>
      </c>
      <c r="H161" s="325">
        <f t="shared" si="103"/>
        <v>-700</v>
      </c>
      <c r="I161" s="70"/>
      <c r="J161" s="70"/>
      <c r="K161" s="70"/>
      <c r="L161" s="70"/>
      <c r="M161" s="70">
        <f t="shared" si="104"/>
        <v>0</v>
      </c>
      <c r="N161" s="70">
        <f t="shared" si="105"/>
        <v>0</v>
      </c>
      <c r="O161" s="70"/>
      <c r="P161" s="70"/>
      <c r="Q161" s="70"/>
      <c r="R161" s="84"/>
      <c r="S161" s="72"/>
      <c r="T161" s="252">
        <f t="shared" si="109"/>
        <v>0</v>
      </c>
      <c r="U161" s="73"/>
      <c r="V161" s="73"/>
      <c r="W161" s="73"/>
      <c r="X161" s="73"/>
      <c r="AA161" s="61">
        <f>H148</f>
        <v>19</v>
      </c>
      <c r="AB161" s="61" t="str">
        <f>E148</f>
        <v>AIS-R9M-015 W</v>
      </c>
      <c r="AC161" s="74" t="s">
        <v>90</v>
      </c>
      <c r="AD161" s="61" t="str">
        <f t="shared" si="106"/>
        <v>HUA</v>
      </c>
      <c r="AE161" s="61">
        <f t="shared" si="107"/>
        <v>50</v>
      </c>
      <c r="AF161" s="61">
        <f t="shared" si="108"/>
        <v>0</v>
      </c>
    </row>
    <row r="162" spans="1:32" s="65" customFormat="1" ht="12.75" customHeight="1">
      <c r="A162" s="52" t="s">
        <v>2</v>
      </c>
      <c r="B162" s="26"/>
      <c r="C162" s="325"/>
      <c r="D162" s="325"/>
      <c r="E162" s="69">
        <f t="shared" si="100"/>
        <v>0</v>
      </c>
      <c r="F162" s="70">
        <f t="shared" si="101"/>
        <v>0</v>
      </c>
      <c r="G162" s="325"/>
      <c r="H162" s="325"/>
      <c r="I162" s="70"/>
      <c r="J162" s="70"/>
      <c r="K162" s="70"/>
      <c r="L162" s="70"/>
      <c r="M162" s="70">
        <f t="shared" si="104"/>
        <v>0</v>
      </c>
      <c r="N162" s="70">
        <f t="shared" si="105"/>
        <v>0</v>
      </c>
      <c r="O162" s="70"/>
      <c r="P162" s="70"/>
      <c r="Q162" s="70"/>
      <c r="R162" s="70"/>
      <c r="S162" s="72"/>
      <c r="T162" s="252" t="e">
        <f t="shared" si="109"/>
        <v>#DIV/0!</v>
      </c>
      <c r="U162" s="73"/>
      <c r="V162" s="73"/>
      <c r="W162" s="73"/>
      <c r="X162" s="73"/>
      <c r="AA162" s="61">
        <f>H148</f>
        <v>19</v>
      </c>
      <c r="AB162" s="61" t="str">
        <f>E148</f>
        <v>AIS-R9M-015 W</v>
      </c>
      <c r="AC162" s="74" t="s">
        <v>90</v>
      </c>
      <c r="AD162" s="61" t="str">
        <f t="shared" si="106"/>
        <v>HKG</v>
      </c>
      <c r="AE162" s="61">
        <f t="shared" si="107"/>
        <v>0</v>
      </c>
      <c r="AF162" s="61">
        <f t="shared" si="108"/>
        <v>0</v>
      </c>
    </row>
    <row r="163" spans="1:32" s="65" customFormat="1" ht="12.75" customHeight="1">
      <c r="A163" s="52" t="s">
        <v>3</v>
      </c>
      <c r="B163" s="1">
        <f>B142+7</f>
        <v>43229</v>
      </c>
      <c r="C163" s="325">
        <v>120</v>
      </c>
      <c r="D163" s="325">
        <v>1680</v>
      </c>
      <c r="E163" s="69">
        <f t="shared" si="100"/>
        <v>120</v>
      </c>
      <c r="F163" s="70">
        <f t="shared" si="101"/>
        <v>1680</v>
      </c>
      <c r="G163" s="325">
        <f t="shared" ref="G163:G166" si="110">E163-C163</f>
        <v>0</v>
      </c>
      <c r="H163" s="325">
        <f t="shared" ref="H163:H166" si="111">F163-D163</f>
        <v>0</v>
      </c>
      <c r="I163" s="70"/>
      <c r="J163" s="70"/>
      <c r="K163" s="70"/>
      <c r="L163" s="70"/>
      <c r="M163" s="70">
        <f t="shared" si="104"/>
        <v>0</v>
      </c>
      <c r="N163" s="70">
        <f t="shared" si="105"/>
        <v>0</v>
      </c>
      <c r="O163" s="325"/>
      <c r="P163" s="325"/>
      <c r="Q163" s="70">
        <v>120</v>
      </c>
      <c r="R163" s="70">
        <v>1680</v>
      </c>
      <c r="S163" s="72"/>
      <c r="T163" s="252">
        <f t="shared" si="109"/>
        <v>1</v>
      </c>
      <c r="U163" s="73"/>
      <c r="V163" s="73"/>
      <c r="W163" s="73"/>
      <c r="X163" s="73"/>
      <c r="AA163" s="61">
        <f>H148</f>
        <v>19</v>
      </c>
      <c r="AB163" s="61" t="str">
        <f>E148</f>
        <v>AIS-R9M-015 W</v>
      </c>
      <c r="AC163" s="74" t="s">
        <v>90</v>
      </c>
      <c r="AD163" s="61" t="str">
        <f t="shared" si="106"/>
        <v>SGP</v>
      </c>
      <c r="AE163" s="61">
        <f t="shared" si="107"/>
        <v>120</v>
      </c>
      <c r="AF163" s="61">
        <f t="shared" si="108"/>
        <v>120</v>
      </c>
    </row>
    <row r="164" spans="1:32" s="65" customFormat="1" ht="12.75" customHeight="1">
      <c r="A164" s="52" t="s">
        <v>4</v>
      </c>
      <c r="B164" s="1">
        <f>B143+7</f>
        <v>43230</v>
      </c>
      <c r="C164" s="325">
        <v>30</v>
      </c>
      <c r="D164" s="325">
        <v>420</v>
      </c>
      <c r="E164" s="69">
        <f t="shared" si="100"/>
        <v>30</v>
      </c>
      <c r="F164" s="70">
        <f t="shared" si="101"/>
        <v>420</v>
      </c>
      <c r="G164" s="325">
        <f t="shared" si="110"/>
        <v>0</v>
      </c>
      <c r="H164" s="325">
        <f t="shared" si="111"/>
        <v>0</v>
      </c>
      <c r="I164" s="70"/>
      <c r="J164" s="70"/>
      <c r="K164" s="70"/>
      <c r="L164" s="70"/>
      <c r="M164" s="70">
        <f t="shared" si="104"/>
        <v>0</v>
      </c>
      <c r="N164" s="70">
        <f t="shared" si="105"/>
        <v>0</v>
      </c>
      <c r="O164" s="70"/>
      <c r="P164" s="70"/>
      <c r="Q164" s="70">
        <v>30</v>
      </c>
      <c r="R164" s="70">
        <v>420</v>
      </c>
      <c r="S164" s="72"/>
      <c r="T164" s="252">
        <f>E164/C164</f>
        <v>1</v>
      </c>
      <c r="U164" s="73"/>
      <c r="V164" s="73"/>
      <c r="W164" s="73"/>
      <c r="X164" s="73"/>
      <c r="AA164" s="61">
        <f>H148</f>
        <v>19</v>
      </c>
      <c r="AB164" s="61" t="str">
        <f>E148</f>
        <v>AIS-R9M-015 W</v>
      </c>
      <c r="AC164" s="74" t="s">
        <v>90</v>
      </c>
      <c r="AD164" s="61" t="str">
        <f t="shared" si="106"/>
        <v>PKL</v>
      </c>
      <c r="AE164" s="61">
        <f t="shared" si="107"/>
        <v>30</v>
      </c>
      <c r="AF164" s="61">
        <f t="shared" si="108"/>
        <v>30</v>
      </c>
    </row>
    <row r="165" spans="1:32" s="65" customFormat="1" ht="12.75" customHeight="1">
      <c r="A165" s="52" t="s">
        <v>15</v>
      </c>
      <c r="B165" s="325"/>
      <c r="C165" s="325"/>
      <c r="D165" s="325"/>
      <c r="E165" s="69">
        <f t="shared" si="100"/>
        <v>0</v>
      </c>
      <c r="F165" s="70">
        <f t="shared" si="101"/>
        <v>0</v>
      </c>
      <c r="G165" s="325">
        <f t="shared" si="110"/>
        <v>0</v>
      </c>
      <c r="H165" s="325">
        <f t="shared" si="111"/>
        <v>0</v>
      </c>
      <c r="I165" s="70"/>
      <c r="J165" s="70"/>
      <c r="K165" s="70"/>
      <c r="L165" s="70"/>
      <c r="M165" s="70">
        <f t="shared" si="104"/>
        <v>0</v>
      </c>
      <c r="N165" s="70">
        <f t="shared" si="105"/>
        <v>0</v>
      </c>
      <c r="O165" s="71"/>
      <c r="P165" s="71"/>
      <c r="Q165" s="71"/>
      <c r="R165" s="71"/>
      <c r="S165" s="72"/>
      <c r="T165" s="73"/>
      <c r="U165" s="73"/>
      <c r="V165" s="73"/>
      <c r="W165" s="73"/>
      <c r="X165" s="73"/>
      <c r="AA165" s="61">
        <f>H148</f>
        <v>19</v>
      </c>
      <c r="AB165" s="61" t="str">
        <f>E148</f>
        <v>AIS-R9M-015 W</v>
      </c>
      <c r="AC165" s="74" t="s">
        <v>90</v>
      </c>
      <c r="AD165" s="61" t="str">
        <f t="shared" si="106"/>
        <v>T/S</v>
      </c>
      <c r="AE165" s="61">
        <f t="shared" si="107"/>
        <v>0</v>
      </c>
      <c r="AF165" s="61">
        <f t="shared" si="108"/>
        <v>0</v>
      </c>
    </row>
    <row r="166" spans="1:32" s="65" customFormat="1" ht="12.75" customHeight="1">
      <c r="A166" s="51" t="s">
        <v>36</v>
      </c>
      <c r="B166" s="72"/>
      <c r="C166" s="71">
        <v>530</v>
      </c>
      <c r="D166" s="71">
        <f>SUM(D152:D165)</f>
        <v>7700</v>
      </c>
      <c r="E166" s="78">
        <f>SUM(E152:E165)</f>
        <v>388</v>
      </c>
      <c r="F166" s="76">
        <f>SUM(F152:F165)</f>
        <v>6883</v>
      </c>
      <c r="G166" s="71">
        <f t="shared" si="110"/>
        <v>-142</v>
      </c>
      <c r="H166" s="71">
        <f t="shared" si="111"/>
        <v>-817</v>
      </c>
      <c r="I166" s="70">
        <f t="shared" ref="I166:L166" si="112">SUM(I152:I165)</f>
        <v>23</v>
      </c>
      <c r="J166" s="70">
        <f t="shared" si="112"/>
        <v>261</v>
      </c>
      <c r="K166" s="70">
        <f t="shared" si="112"/>
        <v>18</v>
      </c>
      <c r="L166" s="70">
        <f t="shared" si="112"/>
        <v>249</v>
      </c>
      <c r="M166" s="70"/>
      <c r="N166" s="70"/>
      <c r="O166" s="70">
        <f t="shared" ref="O166:R166" si="113">SUM(O152:O165)</f>
        <v>238</v>
      </c>
      <c r="P166" s="70">
        <f t="shared" si="113"/>
        <v>4783</v>
      </c>
      <c r="Q166" s="70">
        <f t="shared" si="113"/>
        <v>150</v>
      </c>
      <c r="R166" s="70">
        <f t="shared" si="113"/>
        <v>2100</v>
      </c>
      <c r="S166" s="72"/>
      <c r="T166" s="73"/>
      <c r="U166" s="73"/>
      <c r="V166" s="73"/>
      <c r="W166" s="73"/>
      <c r="X166" s="73"/>
      <c r="AA166" s="61"/>
      <c r="AB166" s="61"/>
      <c r="AC166" s="61"/>
      <c r="AD166" s="61"/>
      <c r="AE166" s="61"/>
      <c r="AF166" s="61"/>
    </row>
    <row r="167" spans="1:32" s="65" customFormat="1" ht="12.75" customHeight="1">
      <c r="A167" s="84">
        <f>D166/C166</f>
        <v>14.528301886792454</v>
      </c>
      <c r="C167" s="326">
        <f>F166-E167</f>
        <v>-47</v>
      </c>
      <c r="E167" s="65">
        <f>D166*0.9</f>
        <v>6930</v>
      </c>
      <c r="F167" s="326">
        <f>E166-L167</f>
        <v>-89</v>
      </c>
      <c r="I167" s="80" t="s">
        <v>48</v>
      </c>
      <c r="J167" s="245">
        <f>E166/C166</f>
        <v>0.73207547169811316</v>
      </c>
      <c r="K167" s="80"/>
      <c r="L167" s="80">
        <f>C166*0.9</f>
        <v>477</v>
      </c>
      <c r="M167" s="80"/>
      <c r="N167" s="80"/>
      <c r="O167" s="82" t="s">
        <v>553</v>
      </c>
      <c r="P167" s="80"/>
      <c r="Q167" s="65">
        <f>O152+O153+O154+O155+O156+O157+O158+O159+O160+O161+Q152+Q153+Q154+Q155+Q156+Q157+Q159+Q160+Q161+Q162</f>
        <v>238</v>
      </c>
      <c r="R167" s="65">
        <f>P152+P153+P154+P155+P156+P158+P157+P159+P160+P161+P162+R152+R153+R154+R155+R156+R157+R158+R159+R160+R161+R162</f>
        <v>4783</v>
      </c>
      <c r="AA167" s="81"/>
      <c r="AB167" s="81"/>
      <c r="AC167" s="81"/>
      <c r="AD167" s="81"/>
      <c r="AE167" s="81"/>
      <c r="AF167" s="81"/>
    </row>
  </sheetData>
  <mergeCells count="96">
    <mergeCell ref="I128:N128"/>
    <mergeCell ref="O128:P129"/>
    <mergeCell ref="Q128:R129"/>
    <mergeCell ref="S128:S130"/>
    <mergeCell ref="Y128:Y129"/>
    <mergeCell ref="M129:N129"/>
    <mergeCell ref="Y130:Y131"/>
    <mergeCell ref="A128:A130"/>
    <mergeCell ref="B128:B130"/>
    <mergeCell ref="C128:D129"/>
    <mergeCell ref="E128:F129"/>
    <mergeCell ref="G128:H129"/>
    <mergeCell ref="O44:P45"/>
    <mergeCell ref="Q44:R45"/>
    <mergeCell ref="S44:S46"/>
    <mergeCell ref="Y44:Y45"/>
    <mergeCell ref="M45:N45"/>
    <mergeCell ref="Y46:Y47"/>
    <mergeCell ref="I44:N44"/>
    <mergeCell ref="A44:A46"/>
    <mergeCell ref="B44:B46"/>
    <mergeCell ref="C44:D45"/>
    <mergeCell ref="E44:F45"/>
    <mergeCell ref="G44:H45"/>
    <mergeCell ref="O23:P24"/>
    <mergeCell ref="Q23:R24"/>
    <mergeCell ref="S23:S25"/>
    <mergeCell ref="Y23:Y24"/>
    <mergeCell ref="M24:N24"/>
    <mergeCell ref="Y25:Y26"/>
    <mergeCell ref="I23:N23"/>
    <mergeCell ref="A23:A25"/>
    <mergeCell ref="B23:B25"/>
    <mergeCell ref="C23:D24"/>
    <mergeCell ref="E23:F24"/>
    <mergeCell ref="G23:H24"/>
    <mergeCell ref="O2:P3"/>
    <mergeCell ref="Q2:R3"/>
    <mergeCell ref="S2:S4"/>
    <mergeCell ref="Y2:Y3"/>
    <mergeCell ref="M3:N3"/>
    <mergeCell ref="Y4:Y5"/>
    <mergeCell ref="I2:N2"/>
    <mergeCell ref="A2:A4"/>
    <mergeCell ref="B2:B4"/>
    <mergeCell ref="C2:D3"/>
    <mergeCell ref="E2:F3"/>
    <mergeCell ref="G2:H3"/>
    <mergeCell ref="A65:A67"/>
    <mergeCell ref="B65:B67"/>
    <mergeCell ref="C65:D66"/>
    <mergeCell ref="E65:F66"/>
    <mergeCell ref="G65:H66"/>
    <mergeCell ref="I65:N65"/>
    <mergeCell ref="O65:P66"/>
    <mergeCell ref="Q65:R66"/>
    <mergeCell ref="S65:S67"/>
    <mergeCell ref="Y65:Y66"/>
    <mergeCell ref="M66:N66"/>
    <mergeCell ref="Y67:Y68"/>
    <mergeCell ref="A86:A88"/>
    <mergeCell ref="B86:B88"/>
    <mergeCell ref="C86:D87"/>
    <mergeCell ref="E86:F87"/>
    <mergeCell ref="G86:H87"/>
    <mergeCell ref="I86:N86"/>
    <mergeCell ref="O86:P87"/>
    <mergeCell ref="Q86:R87"/>
    <mergeCell ref="S86:S88"/>
    <mergeCell ref="Y86:Y87"/>
    <mergeCell ref="M87:N87"/>
    <mergeCell ref="Y88:Y89"/>
    <mergeCell ref="A107:A109"/>
    <mergeCell ref="B107:B109"/>
    <mergeCell ref="C107:D108"/>
    <mergeCell ref="E107:F108"/>
    <mergeCell ref="G107:H108"/>
    <mergeCell ref="I107:N107"/>
    <mergeCell ref="O107:P108"/>
    <mergeCell ref="Q107:R108"/>
    <mergeCell ref="S107:S109"/>
    <mergeCell ref="Y107:Y108"/>
    <mergeCell ref="M108:N108"/>
    <mergeCell ref="Y109:Y110"/>
    <mergeCell ref="A149:A151"/>
    <mergeCell ref="B149:B151"/>
    <mergeCell ref="C149:D150"/>
    <mergeCell ref="E149:F150"/>
    <mergeCell ref="G149:H150"/>
    <mergeCell ref="I149:N149"/>
    <mergeCell ref="O149:P150"/>
    <mergeCell ref="Q149:R150"/>
    <mergeCell ref="S149:S151"/>
    <mergeCell ref="Y149:Y150"/>
    <mergeCell ref="M150:N150"/>
    <mergeCell ref="Y151:Y152"/>
  </mergeCells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67"/>
  <sheetViews>
    <sheetView topLeftCell="A127" workbookViewId="0">
      <selection activeCell="K161" sqref="K161"/>
    </sheetView>
  </sheetViews>
  <sheetFormatPr defaultRowHeight="13.5"/>
  <cols>
    <col min="1" max="2" width="9" style="25"/>
    <col min="3" max="18" width="6.375" style="87" customWidth="1"/>
    <col min="19" max="40" width="9" style="87"/>
    <col min="41" max="16384" width="9" style="25"/>
  </cols>
  <sheetData>
    <row r="1" spans="1:40" s="18" customFormat="1" ht="12.75" hidden="1" customHeight="1">
      <c r="A1" s="45" t="s">
        <v>95</v>
      </c>
      <c r="B1" s="44" t="s">
        <v>96</v>
      </c>
      <c r="C1" s="56"/>
      <c r="D1" s="57"/>
      <c r="E1" s="58" t="s">
        <v>477</v>
      </c>
      <c r="F1" s="57"/>
      <c r="G1" s="59" t="s">
        <v>37</v>
      </c>
      <c r="H1" s="60">
        <v>12</v>
      </c>
      <c r="I1" s="57"/>
      <c r="J1" s="57" t="s">
        <v>55</v>
      </c>
      <c r="K1" s="57"/>
      <c r="L1" s="57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2"/>
      <c r="Z1" s="62"/>
      <c r="AA1" s="62"/>
      <c r="AB1" s="62"/>
      <c r="AC1" s="62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</row>
    <row r="2" spans="1:40" s="19" customFormat="1" ht="12.75" hidden="1" customHeight="1">
      <c r="A2" s="340" t="s">
        <v>0</v>
      </c>
      <c r="B2" s="336" t="s">
        <v>1</v>
      </c>
      <c r="C2" s="331" t="s">
        <v>25</v>
      </c>
      <c r="D2" s="332"/>
      <c r="E2" s="331" t="s">
        <v>21</v>
      </c>
      <c r="F2" s="332"/>
      <c r="G2" s="335" t="s">
        <v>24</v>
      </c>
      <c r="H2" s="335"/>
      <c r="I2" s="328" t="s">
        <v>33</v>
      </c>
      <c r="J2" s="329"/>
      <c r="K2" s="329"/>
      <c r="L2" s="329"/>
      <c r="M2" s="329"/>
      <c r="N2" s="330"/>
      <c r="O2" s="331" t="s">
        <v>22</v>
      </c>
      <c r="P2" s="332"/>
      <c r="Q2" s="335" t="s">
        <v>23</v>
      </c>
      <c r="R2" s="335"/>
      <c r="S2" s="336" t="s">
        <v>27</v>
      </c>
      <c r="T2" s="64"/>
      <c r="U2" s="64"/>
      <c r="V2" s="64"/>
      <c r="W2" s="64"/>
      <c r="X2" s="64"/>
      <c r="Y2" s="339"/>
      <c r="Z2" s="85"/>
      <c r="AA2" s="61"/>
      <c r="AB2" s="61"/>
      <c r="AC2" s="61"/>
      <c r="AD2" s="61"/>
      <c r="AE2" s="61"/>
      <c r="AF2" s="61"/>
      <c r="AG2" s="65"/>
      <c r="AH2" s="65"/>
      <c r="AI2" s="65"/>
      <c r="AJ2" s="65"/>
      <c r="AK2" s="65"/>
      <c r="AL2" s="65"/>
      <c r="AM2" s="65"/>
      <c r="AN2" s="65"/>
    </row>
    <row r="3" spans="1:40" s="19" customFormat="1" ht="12.75" hidden="1" customHeight="1">
      <c r="A3" s="341"/>
      <c r="B3" s="337"/>
      <c r="C3" s="333"/>
      <c r="D3" s="334"/>
      <c r="E3" s="333"/>
      <c r="F3" s="334"/>
      <c r="G3" s="335"/>
      <c r="H3" s="335"/>
      <c r="I3" s="66" t="s">
        <v>28</v>
      </c>
      <c r="J3" s="67" t="s">
        <v>3</v>
      </c>
      <c r="K3" s="66" t="s">
        <v>29</v>
      </c>
      <c r="L3" s="67" t="s">
        <v>4</v>
      </c>
      <c r="M3" s="328" t="s">
        <v>30</v>
      </c>
      <c r="N3" s="330"/>
      <c r="O3" s="333"/>
      <c r="P3" s="334"/>
      <c r="Q3" s="335"/>
      <c r="R3" s="335"/>
      <c r="S3" s="337"/>
      <c r="T3" s="64"/>
      <c r="U3" s="64"/>
      <c r="V3" s="64"/>
      <c r="W3" s="64"/>
      <c r="X3" s="64"/>
      <c r="Y3" s="339"/>
      <c r="Z3" s="85"/>
      <c r="AA3" s="61"/>
      <c r="AB3" s="61"/>
      <c r="AC3" s="61"/>
      <c r="AD3" s="61"/>
      <c r="AE3" s="61"/>
      <c r="AF3" s="61"/>
      <c r="AG3" s="65"/>
      <c r="AH3" s="65"/>
      <c r="AI3" s="65"/>
      <c r="AJ3" s="65"/>
      <c r="AK3" s="65"/>
      <c r="AL3" s="65"/>
      <c r="AM3" s="65"/>
      <c r="AN3" s="65"/>
    </row>
    <row r="4" spans="1:40" s="19" customFormat="1" ht="12.75" hidden="1" customHeight="1">
      <c r="A4" s="342"/>
      <c r="B4" s="338"/>
      <c r="C4" s="68" t="s">
        <v>5</v>
      </c>
      <c r="D4" s="68" t="s">
        <v>6</v>
      </c>
      <c r="E4" s="67" t="s">
        <v>5</v>
      </c>
      <c r="F4" s="68" t="s">
        <v>6</v>
      </c>
      <c r="G4" s="68" t="s">
        <v>5</v>
      </c>
      <c r="H4" s="68" t="s">
        <v>6</v>
      </c>
      <c r="I4" s="67" t="s">
        <v>5</v>
      </c>
      <c r="J4" s="68" t="s">
        <v>6</v>
      </c>
      <c r="K4" s="67" t="s">
        <v>5</v>
      </c>
      <c r="L4" s="68" t="s">
        <v>6</v>
      </c>
      <c r="M4" s="68"/>
      <c r="N4" s="68"/>
      <c r="O4" s="67" t="s">
        <v>5</v>
      </c>
      <c r="P4" s="68" t="s">
        <v>6</v>
      </c>
      <c r="Q4" s="68" t="s">
        <v>5</v>
      </c>
      <c r="R4" s="68" t="s">
        <v>6</v>
      </c>
      <c r="S4" s="338"/>
      <c r="T4" s="64"/>
      <c r="U4" s="64"/>
      <c r="V4" s="64"/>
      <c r="W4" s="64"/>
      <c r="X4" s="64"/>
      <c r="Y4" s="339"/>
      <c r="Z4" s="85"/>
      <c r="AA4" s="61" t="s">
        <v>43</v>
      </c>
      <c r="AB4" s="61" t="s">
        <v>45</v>
      </c>
      <c r="AC4" s="61" t="s">
        <v>46</v>
      </c>
      <c r="AD4" s="61" t="s">
        <v>42</v>
      </c>
      <c r="AE4" s="61" t="s">
        <v>41</v>
      </c>
      <c r="AF4" s="61" t="s">
        <v>44</v>
      </c>
      <c r="AG4" s="65"/>
      <c r="AH4" s="65"/>
      <c r="AI4" s="65"/>
      <c r="AJ4" s="65"/>
      <c r="AK4" s="65"/>
      <c r="AL4" s="65"/>
      <c r="AM4" s="65"/>
      <c r="AN4" s="65"/>
    </row>
    <row r="5" spans="1:40" s="19" customFormat="1" ht="12.75" hidden="1" customHeight="1">
      <c r="A5" s="51" t="s">
        <v>7</v>
      </c>
      <c r="B5" s="1">
        <v>43161</v>
      </c>
      <c r="C5" s="68">
        <v>50</v>
      </c>
      <c r="D5" s="68">
        <v>700</v>
      </c>
      <c r="E5" s="69">
        <f t="shared" ref="E5:F11" si="0">O5+Q5</f>
        <v>93</v>
      </c>
      <c r="F5" s="70">
        <f t="shared" si="0"/>
        <v>1182</v>
      </c>
      <c r="G5" s="68">
        <f t="shared" ref="G5:H14" si="1">E5-C5</f>
        <v>43</v>
      </c>
      <c r="H5" s="68">
        <f t="shared" si="1"/>
        <v>482</v>
      </c>
      <c r="I5" s="70">
        <v>2</v>
      </c>
      <c r="J5" s="70">
        <v>12</v>
      </c>
      <c r="K5" s="70"/>
      <c r="L5" s="70"/>
      <c r="M5" s="70">
        <f t="shared" ref="M5:N5" si="2">I5+K5</f>
        <v>2</v>
      </c>
      <c r="N5" s="70">
        <f t="shared" si="2"/>
        <v>12</v>
      </c>
      <c r="O5" s="71">
        <v>93</v>
      </c>
      <c r="P5" s="71">
        <v>1182</v>
      </c>
      <c r="Q5" s="70"/>
      <c r="R5" s="70"/>
      <c r="S5" s="72"/>
      <c r="T5" s="252">
        <f>E5/C5</f>
        <v>1.86</v>
      </c>
      <c r="U5" s="73"/>
      <c r="V5" s="73"/>
      <c r="W5" s="73"/>
      <c r="X5" s="73"/>
      <c r="Y5" s="339"/>
      <c r="Z5" s="85"/>
      <c r="AA5" s="61">
        <f>H1</f>
        <v>12</v>
      </c>
      <c r="AB5" s="61" t="str">
        <f>E1</f>
        <v>FCS-QZX-012 W</v>
      </c>
      <c r="AC5" s="74" t="s">
        <v>100</v>
      </c>
      <c r="AD5" s="61" t="str">
        <f t="shared" ref="AD5:AD18" si="3">A5</f>
        <v>KR</v>
      </c>
      <c r="AE5" s="61">
        <f t="shared" ref="AE5:AE18" si="4">C5</f>
        <v>50</v>
      </c>
      <c r="AF5" s="61">
        <f t="shared" ref="AF5:AF18" si="5">E5</f>
        <v>93</v>
      </c>
      <c r="AG5" s="65"/>
      <c r="AH5" s="65"/>
      <c r="AI5" s="65"/>
      <c r="AJ5" s="65"/>
      <c r="AK5" s="65"/>
      <c r="AL5" s="65"/>
      <c r="AM5" s="65"/>
      <c r="AN5" s="65"/>
    </row>
    <row r="6" spans="1:40" s="19" customFormat="1" ht="12.75" hidden="1" customHeight="1">
      <c r="A6" s="52" t="s">
        <v>13</v>
      </c>
      <c r="B6" s="1">
        <v>43163</v>
      </c>
      <c r="C6" s="68">
        <v>100</v>
      </c>
      <c r="D6" s="68">
        <v>1400</v>
      </c>
      <c r="E6" s="69">
        <f t="shared" si="0"/>
        <v>99</v>
      </c>
      <c r="F6" s="70">
        <f t="shared" si="0"/>
        <v>967</v>
      </c>
      <c r="G6" s="68">
        <f t="shared" si="1"/>
        <v>-1</v>
      </c>
      <c r="H6" s="68">
        <f t="shared" si="1"/>
        <v>-433</v>
      </c>
      <c r="I6" s="75">
        <v>8</v>
      </c>
      <c r="J6" s="75">
        <v>123</v>
      </c>
      <c r="K6" s="70"/>
      <c r="L6" s="70"/>
      <c r="M6" s="70">
        <f t="shared" ref="M6:M18" si="6">I6+K6</f>
        <v>8</v>
      </c>
      <c r="N6" s="70">
        <f t="shared" ref="N6:N18" si="7">J6+L6</f>
        <v>123</v>
      </c>
      <c r="O6" s="75">
        <v>99</v>
      </c>
      <c r="P6" s="75">
        <v>967</v>
      </c>
      <c r="Q6" s="71"/>
      <c r="R6" s="71"/>
      <c r="S6" s="72"/>
      <c r="T6" s="252">
        <f t="shared" ref="T6:T16" si="8">E6/C6</f>
        <v>0.99</v>
      </c>
      <c r="U6" s="73"/>
      <c r="V6" s="73"/>
      <c r="W6" s="73"/>
      <c r="X6" s="73"/>
      <c r="Y6" s="65"/>
      <c r="Z6" s="65"/>
      <c r="AA6" s="61">
        <f>H1</f>
        <v>12</v>
      </c>
      <c r="AB6" s="61" t="str">
        <f>E1</f>
        <v>FCS-QZX-012 W</v>
      </c>
      <c r="AC6" s="74" t="s">
        <v>100</v>
      </c>
      <c r="AD6" s="61" t="str">
        <f t="shared" si="3"/>
        <v>TAO</v>
      </c>
      <c r="AE6" s="61">
        <f t="shared" si="4"/>
        <v>100</v>
      </c>
      <c r="AF6" s="61">
        <f t="shared" si="5"/>
        <v>99</v>
      </c>
      <c r="AG6" s="65"/>
      <c r="AH6" s="65"/>
      <c r="AI6" s="65"/>
      <c r="AJ6" s="65"/>
      <c r="AK6" s="65"/>
      <c r="AL6" s="65"/>
      <c r="AM6" s="65"/>
      <c r="AN6" s="65"/>
    </row>
    <row r="7" spans="1:40" s="19" customFormat="1" ht="12.75" hidden="1" customHeight="1">
      <c r="A7" s="52" t="s">
        <v>9</v>
      </c>
      <c r="B7" s="1">
        <v>43165</v>
      </c>
      <c r="C7" s="68">
        <v>100</v>
      </c>
      <c r="D7" s="68">
        <v>1400</v>
      </c>
      <c r="E7" s="69">
        <f t="shared" si="0"/>
        <v>116</v>
      </c>
      <c r="F7" s="70">
        <f t="shared" si="0"/>
        <v>1385</v>
      </c>
      <c r="G7" s="68">
        <f t="shared" si="1"/>
        <v>16</v>
      </c>
      <c r="H7" s="68">
        <f t="shared" si="1"/>
        <v>-15</v>
      </c>
      <c r="I7" s="75"/>
      <c r="J7" s="75"/>
      <c r="K7" s="71"/>
      <c r="L7" s="71"/>
      <c r="M7" s="70">
        <f t="shared" si="6"/>
        <v>0</v>
      </c>
      <c r="N7" s="70">
        <f t="shared" si="7"/>
        <v>0</v>
      </c>
      <c r="O7" s="75">
        <v>116</v>
      </c>
      <c r="P7" s="75">
        <v>1385</v>
      </c>
      <c r="Q7" s="71"/>
      <c r="R7" s="71"/>
      <c r="S7" s="72"/>
      <c r="T7" s="252">
        <f t="shared" si="8"/>
        <v>1.1599999999999999</v>
      </c>
      <c r="U7" s="73"/>
      <c r="V7" s="73"/>
      <c r="W7" s="73"/>
      <c r="X7" s="73"/>
      <c r="Y7" s="65"/>
      <c r="Z7" s="65"/>
      <c r="AA7" s="61">
        <f>H1</f>
        <v>12</v>
      </c>
      <c r="AB7" s="61" t="str">
        <f>E1</f>
        <v>FCS-QZX-012 W</v>
      </c>
      <c r="AC7" s="74" t="s">
        <v>100</v>
      </c>
      <c r="AD7" s="61" t="str">
        <f t="shared" si="3"/>
        <v>SHA</v>
      </c>
      <c r="AE7" s="61">
        <f t="shared" si="4"/>
        <v>100</v>
      </c>
      <c r="AF7" s="61">
        <f t="shared" si="5"/>
        <v>116</v>
      </c>
      <c r="AG7" s="65"/>
      <c r="AH7" s="65"/>
      <c r="AI7" s="65"/>
      <c r="AJ7" s="65"/>
      <c r="AK7" s="65"/>
      <c r="AL7" s="65"/>
      <c r="AM7" s="65"/>
      <c r="AN7" s="65"/>
    </row>
    <row r="8" spans="1:40" s="19" customFormat="1" ht="12.75" hidden="1" customHeight="1">
      <c r="A8" s="52" t="s">
        <v>8</v>
      </c>
      <c r="B8" s="1" t="s">
        <v>67</v>
      </c>
      <c r="C8" s="68">
        <v>50</v>
      </c>
      <c r="D8" s="68">
        <v>700</v>
      </c>
      <c r="E8" s="69">
        <f t="shared" si="0"/>
        <v>0</v>
      </c>
      <c r="F8" s="70">
        <f t="shared" si="0"/>
        <v>0</v>
      </c>
      <c r="G8" s="68">
        <f t="shared" si="1"/>
        <v>-50</v>
      </c>
      <c r="H8" s="68">
        <f t="shared" si="1"/>
        <v>-700</v>
      </c>
      <c r="I8" s="71"/>
      <c r="J8" s="71"/>
      <c r="K8" s="71"/>
      <c r="L8" s="71"/>
      <c r="M8" s="70">
        <f t="shared" si="6"/>
        <v>0</v>
      </c>
      <c r="N8" s="70">
        <f t="shared" si="7"/>
        <v>0</v>
      </c>
      <c r="O8" s="71"/>
      <c r="P8" s="71"/>
      <c r="Q8" s="71"/>
      <c r="R8" s="71"/>
      <c r="S8" s="72"/>
      <c r="T8" s="252">
        <f t="shared" si="8"/>
        <v>0</v>
      </c>
      <c r="U8" s="73"/>
      <c r="V8" s="73"/>
      <c r="W8" s="73"/>
      <c r="X8" s="73"/>
      <c r="Y8" s="65"/>
      <c r="Z8" s="65"/>
      <c r="AA8" s="61">
        <f>H1</f>
        <v>12</v>
      </c>
      <c r="AB8" s="61" t="str">
        <f>E1</f>
        <v>FCS-QZX-012 W</v>
      </c>
      <c r="AC8" s="74" t="s">
        <v>100</v>
      </c>
      <c r="AD8" s="61" t="str">
        <f t="shared" si="3"/>
        <v>NGB</v>
      </c>
      <c r="AE8" s="61">
        <f t="shared" si="4"/>
        <v>50</v>
      </c>
      <c r="AF8" s="61">
        <f t="shared" si="5"/>
        <v>0</v>
      </c>
      <c r="AG8" s="65"/>
      <c r="AH8" s="65"/>
      <c r="AI8" s="65"/>
      <c r="AJ8" s="65"/>
      <c r="AK8" s="65"/>
      <c r="AL8" s="65"/>
      <c r="AM8" s="65"/>
      <c r="AN8" s="65"/>
    </row>
    <row r="9" spans="1:40" s="19" customFormat="1" ht="12.75" hidden="1" customHeight="1">
      <c r="A9" s="52" t="s">
        <v>10</v>
      </c>
      <c r="B9" s="1" t="s">
        <v>67</v>
      </c>
      <c r="C9" s="68">
        <v>20</v>
      </c>
      <c r="D9" s="68">
        <v>280</v>
      </c>
      <c r="E9" s="69">
        <f t="shared" si="0"/>
        <v>2</v>
      </c>
      <c r="F9" s="70">
        <f t="shared" si="0"/>
        <v>26</v>
      </c>
      <c r="G9" s="68">
        <f t="shared" si="1"/>
        <v>-18</v>
      </c>
      <c r="H9" s="68">
        <f t="shared" si="1"/>
        <v>-254</v>
      </c>
      <c r="I9" s="75"/>
      <c r="J9" s="75"/>
      <c r="K9" s="70"/>
      <c r="L9" s="70"/>
      <c r="M9" s="70">
        <f t="shared" si="6"/>
        <v>0</v>
      </c>
      <c r="N9" s="70">
        <f t="shared" si="7"/>
        <v>0</v>
      </c>
      <c r="O9" s="75">
        <v>2</v>
      </c>
      <c r="P9" s="75">
        <v>26</v>
      </c>
      <c r="Q9" s="70"/>
      <c r="R9" s="70"/>
      <c r="S9" s="72"/>
      <c r="T9" s="252">
        <f t="shared" si="8"/>
        <v>0.1</v>
      </c>
      <c r="U9" s="73"/>
      <c r="V9" s="73"/>
      <c r="W9" s="73"/>
      <c r="X9" s="73"/>
      <c r="Y9" s="65"/>
      <c r="Z9" s="65"/>
      <c r="AA9" s="61">
        <f>H1</f>
        <v>12</v>
      </c>
      <c r="AB9" s="61" t="str">
        <f>E1</f>
        <v>FCS-QZX-012 W</v>
      </c>
      <c r="AC9" s="74" t="s">
        <v>100</v>
      </c>
      <c r="AD9" s="61" t="str">
        <f t="shared" si="3"/>
        <v>WUH</v>
      </c>
      <c r="AE9" s="61">
        <f t="shared" si="4"/>
        <v>20</v>
      </c>
      <c r="AF9" s="61">
        <f t="shared" si="5"/>
        <v>2</v>
      </c>
      <c r="AG9" s="65"/>
      <c r="AH9" s="65"/>
      <c r="AI9" s="65"/>
      <c r="AJ9" s="65"/>
      <c r="AK9" s="65"/>
      <c r="AL9" s="65"/>
      <c r="AM9" s="65"/>
      <c r="AN9" s="65"/>
    </row>
    <row r="10" spans="1:40" s="19" customFormat="1" ht="12.75" hidden="1" customHeight="1">
      <c r="A10" s="52" t="s">
        <v>11</v>
      </c>
      <c r="B10" s="1" t="s">
        <v>18</v>
      </c>
      <c r="C10" s="68">
        <v>50</v>
      </c>
      <c r="D10" s="68">
        <v>700</v>
      </c>
      <c r="E10" s="69">
        <f t="shared" si="0"/>
        <v>65</v>
      </c>
      <c r="F10" s="70">
        <f t="shared" si="0"/>
        <v>1456</v>
      </c>
      <c r="G10" s="68">
        <f t="shared" si="1"/>
        <v>15</v>
      </c>
      <c r="H10" s="68">
        <f t="shared" si="1"/>
        <v>756</v>
      </c>
      <c r="I10" s="70"/>
      <c r="J10" s="70"/>
      <c r="K10" s="70"/>
      <c r="L10" s="70"/>
      <c r="M10" s="70">
        <f t="shared" si="6"/>
        <v>0</v>
      </c>
      <c r="N10" s="70">
        <f t="shared" si="7"/>
        <v>0</v>
      </c>
      <c r="O10" s="75"/>
      <c r="P10" s="75"/>
      <c r="Q10" s="70">
        <v>65</v>
      </c>
      <c r="R10" s="70">
        <v>1456</v>
      </c>
      <c r="S10" s="72"/>
      <c r="T10" s="252">
        <f t="shared" si="8"/>
        <v>1.3</v>
      </c>
      <c r="U10" s="73"/>
      <c r="V10" s="73"/>
      <c r="W10" s="73"/>
      <c r="X10" s="73"/>
      <c r="Y10" s="65"/>
      <c r="Z10" s="65"/>
      <c r="AA10" s="61">
        <f>H1</f>
        <v>12</v>
      </c>
      <c r="AB10" s="61" t="str">
        <f>E1</f>
        <v>FCS-QZX-012 W</v>
      </c>
      <c r="AC10" s="74" t="s">
        <v>100</v>
      </c>
      <c r="AD10" s="61" t="str">
        <f t="shared" si="3"/>
        <v>DLC</v>
      </c>
      <c r="AE10" s="61">
        <f t="shared" si="4"/>
        <v>50</v>
      </c>
      <c r="AF10" s="61">
        <f t="shared" si="5"/>
        <v>65</v>
      </c>
      <c r="AG10" s="65"/>
      <c r="AH10" s="65"/>
      <c r="AI10" s="65"/>
      <c r="AJ10" s="65"/>
      <c r="AK10" s="65"/>
      <c r="AL10" s="65"/>
      <c r="AM10" s="65"/>
      <c r="AN10" s="65"/>
    </row>
    <row r="11" spans="1:40" s="19" customFormat="1" ht="12.75" hidden="1" customHeight="1">
      <c r="A11" s="52" t="s">
        <v>12</v>
      </c>
      <c r="B11" s="1" t="s">
        <v>18</v>
      </c>
      <c r="C11" s="68">
        <v>50</v>
      </c>
      <c r="D11" s="68">
        <v>700</v>
      </c>
      <c r="E11" s="69">
        <f t="shared" si="0"/>
        <v>8</v>
      </c>
      <c r="F11" s="70">
        <f t="shared" si="0"/>
        <v>65</v>
      </c>
      <c r="G11" s="68">
        <f t="shared" si="1"/>
        <v>-42</v>
      </c>
      <c r="H11" s="68">
        <f t="shared" si="1"/>
        <v>-635</v>
      </c>
      <c r="I11" s="70"/>
      <c r="J11" s="70"/>
      <c r="K11" s="70"/>
      <c r="L11" s="70"/>
      <c r="M11" s="70">
        <f t="shared" si="6"/>
        <v>0</v>
      </c>
      <c r="N11" s="70">
        <f t="shared" si="7"/>
        <v>0</v>
      </c>
      <c r="O11" s="75"/>
      <c r="P11" s="75"/>
      <c r="Q11" s="76">
        <v>8</v>
      </c>
      <c r="R11" s="71">
        <v>65</v>
      </c>
      <c r="S11" s="72"/>
      <c r="T11" s="252">
        <f t="shared" si="8"/>
        <v>0.16</v>
      </c>
      <c r="U11" s="73"/>
      <c r="V11" s="73"/>
      <c r="W11" s="73"/>
      <c r="X11" s="73"/>
      <c r="Y11" s="65"/>
      <c r="Z11" s="65"/>
      <c r="AA11" s="61">
        <f>H1</f>
        <v>12</v>
      </c>
      <c r="AB11" s="61" t="str">
        <f>E1</f>
        <v>FCS-QZX-012 W</v>
      </c>
      <c r="AC11" s="74" t="s">
        <v>100</v>
      </c>
      <c r="AD11" s="61" t="str">
        <f t="shared" si="3"/>
        <v>TSN</v>
      </c>
      <c r="AE11" s="61">
        <f t="shared" si="4"/>
        <v>50</v>
      </c>
      <c r="AF11" s="61">
        <f t="shared" si="5"/>
        <v>8</v>
      </c>
      <c r="AG11" s="65"/>
      <c r="AH11" s="65"/>
      <c r="AI11" s="65"/>
      <c r="AJ11" s="65"/>
      <c r="AK11" s="65"/>
      <c r="AL11" s="65"/>
      <c r="AM11" s="65"/>
      <c r="AN11" s="65"/>
    </row>
    <row r="12" spans="1:40" s="19" customFormat="1" ht="12.75" hidden="1" customHeight="1">
      <c r="A12" s="52" t="s">
        <v>14</v>
      </c>
      <c r="B12" s="1" t="s">
        <v>18</v>
      </c>
      <c r="C12" s="68">
        <v>40</v>
      </c>
      <c r="D12" s="68">
        <v>560</v>
      </c>
      <c r="E12" s="69">
        <v>0</v>
      </c>
      <c r="F12" s="70">
        <v>0</v>
      </c>
      <c r="G12" s="68">
        <f t="shared" si="1"/>
        <v>-40</v>
      </c>
      <c r="H12" s="68">
        <f t="shared" si="1"/>
        <v>-560</v>
      </c>
      <c r="I12" s="70"/>
      <c r="J12" s="70"/>
      <c r="K12" s="70"/>
      <c r="L12" s="70"/>
      <c r="M12" s="70">
        <f t="shared" si="6"/>
        <v>0</v>
      </c>
      <c r="N12" s="70">
        <f t="shared" si="7"/>
        <v>0</v>
      </c>
      <c r="O12" s="71"/>
      <c r="P12" s="71"/>
      <c r="Q12" s="70"/>
      <c r="R12" s="70"/>
      <c r="S12" s="72"/>
      <c r="T12" s="252">
        <f t="shared" si="8"/>
        <v>0</v>
      </c>
      <c r="U12" s="73"/>
      <c r="V12" s="73"/>
      <c r="W12" s="73"/>
      <c r="X12" s="73"/>
      <c r="Y12" s="65"/>
      <c r="Z12" s="65"/>
      <c r="AA12" s="61">
        <f>H1</f>
        <v>12</v>
      </c>
      <c r="AB12" s="61" t="str">
        <f>E1</f>
        <v>FCS-QZX-012 W</v>
      </c>
      <c r="AC12" s="74" t="s">
        <v>100</v>
      </c>
      <c r="AD12" s="61" t="str">
        <f t="shared" si="3"/>
        <v>XMN</v>
      </c>
      <c r="AE12" s="61">
        <f t="shared" si="4"/>
        <v>40</v>
      </c>
      <c r="AF12" s="61">
        <f t="shared" si="5"/>
        <v>0</v>
      </c>
      <c r="AG12" s="65"/>
      <c r="AH12" s="65"/>
      <c r="AI12" s="65"/>
      <c r="AJ12" s="65"/>
      <c r="AK12" s="65"/>
      <c r="AL12" s="65"/>
      <c r="AM12" s="65"/>
      <c r="AN12" s="65"/>
    </row>
    <row r="13" spans="1:40" s="19" customFormat="1" ht="12.75" hidden="1" customHeight="1">
      <c r="A13" s="52" t="s">
        <v>19</v>
      </c>
      <c r="B13" s="1" t="s">
        <v>18</v>
      </c>
      <c r="C13" s="68">
        <v>0</v>
      </c>
      <c r="D13" s="68">
        <v>0</v>
      </c>
      <c r="E13" s="69">
        <v>0</v>
      </c>
      <c r="F13" s="70">
        <v>0</v>
      </c>
      <c r="G13" s="68">
        <f t="shared" si="1"/>
        <v>0</v>
      </c>
      <c r="H13" s="68">
        <f t="shared" si="1"/>
        <v>0</v>
      </c>
      <c r="I13" s="70"/>
      <c r="J13" s="70"/>
      <c r="K13" s="70"/>
      <c r="L13" s="70"/>
      <c r="M13" s="70">
        <f t="shared" si="6"/>
        <v>0</v>
      </c>
      <c r="N13" s="70">
        <f t="shared" si="7"/>
        <v>0</v>
      </c>
      <c r="O13" s="70"/>
      <c r="P13" s="70"/>
      <c r="Q13" s="70"/>
      <c r="R13" s="70"/>
      <c r="S13" s="72"/>
      <c r="T13" s="252" t="e">
        <f t="shared" si="8"/>
        <v>#DIV/0!</v>
      </c>
      <c r="U13" s="73"/>
      <c r="V13" s="73"/>
      <c r="W13" s="73"/>
      <c r="X13" s="73"/>
      <c r="Y13" s="65"/>
      <c r="Z13" s="65"/>
      <c r="AA13" s="61">
        <f>H1</f>
        <v>12</v>
      </c>
      <c r="AB13" s="61" t="str">
        <f>E1</f>
        <v>FCS-QZX-012 W</v>
      </c>
      <c r="AC13" s="74" t="s">
        <v>100</v>
      </c>
      <c r="AD13" s="61" t="str">
        <f t="shared" si="3"/>
        <v>TWC</v>
      </c>
      <c r="AE13" s="61">
        <f t="shared" si="4"/>
        <v>0</v>
      </c>
      <c r="AF13" s="61">
        <f t="shared" si="5"/>
        <v>0</v>
      </c>
      <c r="AG13" s="65"/>
      <c r="AH13" s="65"/>
      <c r="AI13" s="65"/>
      <c r="AJ13" s="65"/>
      <c r="AK13" s="65"/>
      <c r="AL13" s="65"/>
      <c r="AM13" s="65"/>
      <c r="AN13" s="65"/>
    </row>
    <row r="14" spans="1:40" s="19" customFormat="1" ht="12.75" hidden="1" customHeight="1">
      <c r="A14" s="52" t="s">
        <v>16</v>
      </c>
      <c r="B14" s="1">
        <v>43168</v>
      </c>
      <c r="C14" s="68">
        <v>150</v>
      </c>
      <c r="D14" s="68">
        <v>2100</v>
      </c>
      <c r="E14" s="69">
        <f t="shared" ref="E14:F18" si="9">O14+Q14</f>
        <v>105</v>
      </c>
      <c r="F14" s="70">
        <f t="shared" si="9"/>
        <v>666</v>
      </c>
      <c r="G14" s="68">
        <f t="shared" si="1"/>
        <v>-45</v>
      </c>
      <c r="H14" s="68">
        <f t="shared" si="1"/>
        <v>-1434</v>
      </c>
      <c r="I14" s="70"/>
      <c r="J14" s="70"/>
      <c r="K14" s="70">
        <v>2</v>
      </c>
      <c r="L14" s="70">
        <v>15</v>
      </c>
      <c r="M14" s="70">
        <f t="shared" si="6"/>
        <v>2</v>
      </c>
      <c r="N14" s="70">
        <f t="shared" si="7"/>
        <v>15</v>
      </c>
      <c r="O14" s="70"/>
      <c r="P14" s="70"/>
      <c r="Q14" s="70">
        <f>75+30</f>
        <v>105</v>
      </c>
      <c r="R14" s="86">
        <v>666</v>
      </c>
      <c r="S14" s="72"/>
      <c r="T14" s="252">
        <f t="shared" si="8"/>
        <v>0.7</v>
      </c>
      <c r="U14" s="73"/>
      <c r="V14" s="73"/>
      <c r="W14" s="73"/>
      <c r="X14" s="73"/>
      <c r="Y14" s="65"/>
      <c r="Z14" s="65"/>
      <c r="AA14" s="61">
        <f>H1</f>
        <v>12</v>
      </c>
      <c r="AB14" s="61" t="str">
        <f>E1</f>
        <v>FCS-QZX-012 W</v>
      </c>
      <c r="AC14" s="74" t="s">
        <v>100</v>
      </c>
      <c r="AD14" s="61" t="str">
        <f t="shared" si="3"/>
        <v>HUA</v>
      </c>
      <c r="AE14" s="61">
        <f t="shared" si="4"/>
        <v>150</v>
      </c>
      <c r="AF14" s="61">
        <f t="shared" si="5"/>
        <v>105</v>
      </c>
      <c r="AG14" s="65"/>
      <c r="AH14" s="65"/>
      <c r="AI14" s="65"/>
      <c r="AJ14" s="65"/>
      <c r="AK14" s="65"/>
      <c r="AL14" s="65"/>
      <c r="AM14" s="65"/>
      <c r="AN14" s="65"/>
    </row>
    <row r="15" spans="1:40" s="19" customFormat="1" ht="12.75" hidden="1" customHeight="1">
      <c r="A15" s="52" t="s">
        <v>2</v>
      </c>
      <c r="B15" s="26"/>
      <c r="C15" s="68"/>
      <c r="D15" s="68"/>
      <c r="E15" s="69">
        <f t="shared" si="9"/>
        <v>0</v>
      </c>
      <c r="F15" s="70">
        <f t="shared" si="9"/>
        <v>0</v>
      </c>
      <c r="G15" s="68"/>
      <c r="H15" s="68"/>
      <c r="I15" s="70"/>
      <c r="J15" s="70"/>
      <c r="K15" s="70"/>
      <c r="L15" s="70"/>
      <c r="M15" s="70">
        <f t="shared" si="6"/>
        <v>0</v>
      </c>
      <c r="N15" s="70">
        <f t="shared" si="7"/>
        <v>0</v>
      </c>
      <c r="O15" s="70"/>
      <c r="P15" s="70"/>
      <c r="Q15" s="70"/>
      <c r="R15" s="70"/>
      <c r="S15" s="72"/>
      <c r="T15" s="252" t="e">
        <f t="shared" si="8"/>
        <v>#DIV/0!</v>
      </c>
      <c r="U15" s="73"/>
      <c r="V15" s="73"/>
      <c r="W15" s="73"/>
      <c r="X15" s="73"/>
      <c r="Y15" s="65"/>
      <c r="Z15" s="65"/>
      <c r="AA15" s="61">
        <f>H1</f>
        <v>12</v>
      </c>
      <c r="AB15" s="61" t="str">
        <f>E1</f>
        <v>FCS-QZX-012 W</v>
      </c>
      <c r="AC15" s="74" t="s">
        <v>100</v>
      </c>
      <c r="AD15" s="61" t="str">
        <f t="shared" si="3"/>
        <v>HKG</v>
      </c>
      <c r="AE15" s="61">
        <f t="shared" si="4"/>
        <v>0</v>
      </c>
      <c r="AF15" s="61">
        <f t="shared" si="5"/>
        <v>0</v>
      </c>
      <c r="AG15" s="65"/>
      <c r="AH15" s="65"/>
      <c r="AI15" s="65"/>
      <c r="AJ15" s="65"/>
      <c r="AK15" s="65"/>
      <c r="AL15" s="65"/>
      <c r="AM15" s="65"/>
      <c r="AN15" s="65"/>
    </row>
    <row r="16" spans="1:40" s="19" customFormat="1" ht="12.75" hidden="1" customHeight="1">
      <c r="A16" s="52" t="s">
        <v>3</v>
      </c>
      <c r="B16" s="1">
        <v>43174</v>
      </c>
      <c r="C16" s="68">
        <v>50</v>
      </c>
      <c r="D16" s="68">
        <v>700</v>
      </c>
      <c r="E16" s="69">
        <f t="shared" si="9"/>
        <v>81</v>
      </c>
      <c r="F16" s="70">
        <f t="shared" si="9"/>
        <v>1699</v>
      </c>
      <c r="G16" s="68">
        <f t="shared" ref="G16:H19" si="10">E16-C16</f>
        <v>31</v>
      </c>
      <c r="H16" s="68">
        <f t="shared" si="10"/>
        <v>999</v>
      </c>
      <c r="I16" s="70"/>
      <c r="J16" s="70"/>
      <c r="K16" s="70"/>
      <c r="L16" s="70"/>
      <c r="M16" s="70">
        <f t="shared" si="6"/>
        <v>0</v>
      </c>
      <c r="N16" s="70">
        <f t="shared" si="7"/>
        <v>0</v>
      </c>
      <c r="O16" s="68"/>
      <c r="P16" s="68"/>
      <c r="Q16" s="70">
        <v>81</v>
      </c>
      <c r="R16" s="70">
        <v>1699</v>
      </c>
      <c r="S16" s="72"/>
      <c r="T16" s="252">
        <f t="shared" si="8"/>
        <v>1.62</v>
      </c>
      <c r="U16" s="73"/>
      <c r="V16" s="73"/>
      <c r="W16" s="73"/>
      <c r="X16" s="73"/>
      <c r="Y16" s="65"/>
      <c r="Z16" s="65"/>
      <c r="AA16" s="61">
        <f>H1</f>
        <v>12</v>
      </c>
      <c r="AB16" s="61" t="str">
        <f>E1</f>
        <v>FCS-QZX-012 W</v>
      </c>
      <c r="AC16" s="74" t="s">
        <v>100</v>
      </c>
      <c r="AD16" s="61" t="str">
        <f t="shared" si="3"/>
        <v>SGP</v>
      </c>
      <c r="AE16" s="61">
        <f t="shared" si="4"/>
        <v>50</v>
      </c>
      <c r="AF16" s="61">
        <f t="shared" si="5"/>
        <v>81</v>
      </c>
      <c r="AG16" s="65"/>
      <c r="AH16" s="65"/>
      <c r="AI16" s="65"/>
      <c r="AJ16" s="65"/>
      <c r="AK16" s="65"/>
      <c r="AL16" s="65"/>
      <c r="AM16" s="65"/>
      <c r="AN16" s="65"/>
    </row>
    <row r="17" spans="1:40" s="19" customFormat="1" ht="12.75" hidden="1" customHeight="1">
      <c r="A17" s="52" t="s">
        <v>4</v>
      </c>
      <c r="B17" s="1">
        <v>43176</v>
      </c>
      <c r="C17" s="68">
        <v>30</v>
      </c>
      <c r="D17" s="68">
        <v>420</v>
      </c>
      <c r="E17" s="69">
        <f t="shared" si="9"/>
        <v>1</v>
      </c>
      <c r="F17" s="70">
        <f t="shared" si="9"/>
        <v>25</v>
      </c>
      <c r="G17" s="68">
        <f t="shared" si="10"/>
        <v>-29</v>
      </c>
      <c r="H17" s="68">
        <f t="shared" si="10"/>
        <v>-395</v>
      </c>
      <c r="I17" s="70"/>
      <c r="J17" s="70"/>
      <c r="K17" s="70"/>
      <c r="L17" s="70"/>
      <c r="M17" s="70">
        <f t="shared" si="6"/>
        <v>0</v>
      </c>
      <c r="N17" s="70">
        <f t="shared" si="7"/>
        <v>0</v>
      </c>
      <c r="O17" s="70"/>
      <c r="P17" s="70"/>
      <c r="Q17" s="70">
        <v>1</v>
      </c>
      <c r="R17" s="70">
        <v>25</v>
      </c>
      <c r="S17" s="72"/>
      <c r="T17" s="252">
        <f>E17/C17</f>
        <v>3.3333333333333333E-2</v>
      </c>
      <c r="U17" s="73"/>
      <c r="V17" s="73"/>
      <c r="W17" s="73"/>
      <c r="X17" s="73"/>
      <c r="Y17" s="65"/>
      <c r="Z17" s="65"/>
      <c r="AA17" s="61">
        <f>H1</f>
        <v>12</v>
      </c>
      <c r="AB17" s="61" t="str">
        <f>E1</f>
        <v>FCS-QZX-012 W</v>
      </c>
      <c r="AC17" s="74" t="s">
        <v>100</v>
      </c>
      <c r="AD17" s="61" t="str">
        <f t="shared" si="3"/>
        <v>PKL</v>
      </c>
      <c r="AE17" s="61">
        <f t="shared" si="4"/>
        <v>30</v>
      </c>
      <c r="AF17" s="61">
        <f t="shared" si="5"/>
        <v>1</v>
      </c>
      <c r="AG17" s="65"/>
      <c r="AH17" s="65"/>
      <c r="AI17" s="65"/>
      <c r="AJ17" s="65"/>
      <c r="AK17" s="65"/>
      <c r="AL17" s="65"/>
      <c r="AM17" s="65"/>
      <c r="AN17" s="65"/>
    </row>
    <row r="18" spans="1:40" s="19" customFormat="1" ht="12.75" hidden="1" customHeight="1">
      <c r="A18" s="52" t="s">
        <v>31</v>
      </c>
      <c r="B18" s="1"/>
      <c r="C18" s="68"/>
      <c r="D18" s="68"/>
      <c r="E18" s="69">
        <f t="shared" si="9"/>
        <v>168</v>
      </c>
      <c r="F18" s="70">
        <f t="shared" si="9"/>
        <v>2298</v>
      </c>
      <c r="G18" s="68">
        <f t="shared" si="10"/>
        <v>168</v>
      </c>
      <c r="H18" s="68">
        <f t="shared" si="10"/>
        <v>2298</v>
      </c>
      <c r="I18" s="70"/>
      <c r="J18" s="70"/>
      <c r="K18" s="70"/>
      <c r="L18" s="70"/>
      <c r="M18" s="70">
        <f t="shared" si="6"/>
        <v>0</v>
      </c>
      <c r="N18" s="70">
        <f t="shared" si="7"/>
        <v>0</v>
      </c>
      <c r="O18" s="71"/>
      <c r="P18" s="71"/>
      <c r="Q18" s="71">
        <v>168</v>
      </c>
      <c r="R18" s="71">
        <v>2298</v>
      </c>
      <c r="S18" s="72"/>
      <c r="T18" s="73"/>
      <c r="U18" s="73"/>
      <c r="V18" s="73"/>
      <c r="W18" s="73"/>
      <c r="X18" s="73"/>
      <c r="Y18" s="65"/>
      <c r="Z18" s="65"/>
      <c r="AA18" s="61">
        <f>H1</f>
        <v>12</v>
      </c>
      <c r="AB18" s="61" t="str">
        <f>E1</f>
        <v>FCS-QZX-012 W</v>
      </c>
      <c r="AC18" s="74" t="s">
        <v>100</v>
      </c>
      <c r="AD18" s="61" t="str">
        <f t="shared" si="3"/>
        <v>COSCO T/S</v>
      </c>
      <c r="AE18" s="61">
        <f t="shared" si="4"/>
        <v>0</v>
      </c>
      <c r="AF18" s="61">
        <f t="shared" si="5"/>
        <v>168</v>
      </c>
      <c r="AG18" s="65"/>
      <c r="AH18" s="65"/>
      <c r="AI18" s="65"/>
      <c r="AJ18" s="65"/>
      <c r="AK18" s="65"/>
      <c r="AL18" s="65"/>
      <c r="AM18" s="65"/>
      <c r="AN18" s="65"/>
    </row>
    <row r="19" spans="1:40" s="19" customFormat="1" ht="12.75" hidden="1" customHeight="1">
      <c r="A19" s="52" t="s">
        <v>35</v>
      </c>
      <c r="B19" s="47"/>
      <c r="C19" s="71">
        <f>SUM(C5:C18)</f>
        <v>690</v>
      </c>
      <c r="D19" s="71">
        <f>SUM(D5:D18)</f>
        <v>9660</v>
      </c>
      <c r="E19" s="78">
        <f>SUM(E5:E18)</f>
        <v>738</v>
      </c>
      <c r="F19" s="76">
        <f>SUM(F5:F18)</f>
        <v>9769</v>
      </c>
      <c r="G19" s="71">
        <f t="shared" si="10"/>
        <v>48</v>
      </c>
      <c r="H19" s="71">
        <f t="shared" si="10"/>
        <v>109</v>
      </c>
      <c r="I19" s="70">
        <f t="shared" ref="I19:N19" si="11">SUM(I5:I18)</f>
        <v>10</v>
      </c>
      <c r="J19" s="70">
        <f t="shared" si="11"/>
        <v>135</v>
      </c>
      <c r="K19" s="70">
        <f t="shared" si="11"/>
        <v>2</v>
      </c>
      <c r="L19" s="70">
        <f t="shared" si="11"/>
        <v>15</v>
      </c>
      <c r="M19" s="70">
        <f t="shared" si="11"/>
        <v>12</v>
      </c>
      <c r="N19" s="70">
        <f t="shared" si="11"/>
        <v>150</v>
      </c>
      <c r="O19" s="70">
        <f>SUM(O5:O18)</f>
        <v>310</v>
      </c>
      <c r="P19" s="70">
        <f t="shared" ref="P19:R19" si="12">SUM(P5:P18)</f>
        <v>3560</v>
      </c>
      <c r="Q19" s="70">
        <f t="shared" si="12"/>
        <v>428</v>
      </c>
      <c r="R19" s="70">
        <f t="shared" si="12"/>
        <v>6209</v>
      </c>
      <c r="S19" s="72"/>
      <c r="T19" s="73"/>
      <c r="U19" s="73"/>
      <c r="V19" s="73"/>
      <c r="W19" s="73"/>
      <c r="X19" s="73"/>
      <c r="Y19" s="65"/>
      <c r="Z19" s="65"/>
      <c r="AA19" s="61"/>
      <c r="AB19" s="61"/>
      <c r="AC19" s="74"/>
      <c r="AD19" s="61"/>
      <c r="AE19" s="61"/>
      <c r="AF19" s="61"/>
      <c r="AG19" s="65"/>
      <c r="AH19" s="65"/>
      <c r="AI19" s="65"/>
      <c r="AJ19" s="65"/>
      <c r="AK19" s="65"/>
      <c r="AL19" s="65"/>
      <c r="AM19" s="65"/>
      <c r="AN19" s="65"/>
    </row>
    <row r="20" spans="1:40" s="65" customFormat="1" ht="12.75" hidden="1" customHeight="1">
      <c r="A20" s="84">
        <f>D19/C19</f>
        <v>14</v>
      </c>
      <c r="C20" s="79">
        <f>F19-E20</f>
        <v>1075</v>
      </c>
      <c r="E20" s="65">
        <f>D19*0.9</f>
        <v>8694</v>
      </c>
      <c r="F20" s="79">
        <f>E19-L20</f>
        <v>117</v>
      </c>
      <c r="I20" s="80" t="s">
        <v>48</v>
      </c>
      <c r="J20" s="245">
        <f>E19/C19</f>
        <v>1.0695652173913044</v>
      </c>
      <c r="K20" s="80"/>
      <c r="L20" s="80">
        <f>C19*0.9</f>
        <v>621</v>
      </c>
      <c r="M20" s="80"/>
      <c r="N20" s="80"/>
      <c r="O20" s="80" t="s">
        <v>49</v>
      </c>
      <c r="P20" s="80"/>
      <c r="Q20" s="65">
        <f>P6+P7+P9+P10+P11+J6+J7+L6+L7+J9+R9</f>
        <v>2501</v>
      </c>
      <c r="R20" s="65">
        <v>16856</v>
      </c>
      <c r="AA20" s="61"/>
      <c r="AB20" s="61"/>
      <c r="AC20" s="74"/>
      <c r="AD20" s="61"/>
      <c r="AE20" s="61"/>
      <c r="AF20" s="61"/>
    </row>
    <row r="21" spans="1:40" s="19" customFormat="1" ht="12.75" hidden="1" customHeight="1">
      <c r="A21" s="48"/>
      <c r="B21" s="48"/>
      <c r="C21" s="65"/>
      <c r="D21" s="65"/>
      <c r="E21" s="65"/>
      <c r="F21" s="65"/>
      <c r="G21" s="65"/>
      <c r="H21" s="65"/>
      <c r="I21" s="80"/>
      <c r="J21" s="80"/>
      <c r="K21" s="80"/>
      <c r="L21" s="80"/>
      <c r="M21" s="80"/>
      <c r="N21" s="80"/>
      <c r="O21" s="80"/>
      <c r="P21" s="80"/>
      <c r="Q21" s="65"/>
      <c r="R21" s="65">
        <f>R20-Q20</f>
        <v>14355</v>
      </c>
      <c r="S21" s="65"/>
      <c r="T21" s="65"/>
      <c r="U21" s="65"/>
      <c r="V21" s="65"/>
      <c r="W21" s="65"/>
      <c r="X21" s="65"/>
      <c r="Y21" s="65"/>
      <c r="Z21" s="65"/>
      <c r="AA21" s="61"/>
      <c r="AB21" s="61"/>
      <c r="AC21" s="74"/>
      <c r="AD21" s="61"/>
      <c r="AE21" s="61"/>
      <c r="AF21" s="61"/>
      <c r="AG21" s="65"/>
      <c r="AH21" s="65"/>
      <c r="AI21" s="65"/>
      <c r="AJ21" s="65"/>
      <c r="AK21" s="65"/>
      <c r="AL21" s="65"/>
      <c r="AM21" s="65"/>
      <c r="AN21" s="65"/>
    </row>
    <row r="22" spans="1:40" s="18" customFormat="1" ht="12.75" hidden="1" customHeight="1">
      <c r="A22" s="346" t="s">
        <v>451</v>
      </c>
      <c r="B22" s="346"/>
      <c r="C22" s="346"/>
      <c r="D22" s="346"/>
      <c r="E22" s="58" t="s">
        <v>460</v>
      </c>
      <c r="F22" s="57"/>
      <c r="G22" s="59" t="s">
        <v>37</v>
      </c>
      <c r="H22" s="60">
        <f>H1+1</f>
        <v>13</v>
      </c>
      <c r="I22" s="57"/>
      <c r="J22" s="57"/>
      <c r="K22" s="57"/>
      <c r="L22" s="57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2"/>
      <c r="Z22" s="62"/>
      <c r="AA22" s="62"/>
      <c r="AB22" s="62"/>
      <c r="AC22" s="62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</row>
    <row r="23" spans="1:40" s="19" customFormat="1" ht="12.75" hidden="1" customHeight="1">
      <c r="A23" s="340" t="s">
        <v>0</v>
      </c>
      <c r="B23" s="336" t="s">
        <v>1</v>
      </c>
      <c r="C23" s="331" t="s">
        <v>25</v>
      </c>
      <c r="D23" s="332"/>
      <c r="E23" s="331" t="s">
        <v>21</v>
      </c>
      <c r="F23" s="332"/>
      <c r="G23" s="335" t="s">
        <v>24</v>
      </c>
      <c r="H23" s="335"/>
      <c r="I23" s="328" t="s">
        <v>33</v>
      </c>
      <c r="J23" s="329"/>
      <c r="K23" s="329"/>
      <c r="L23" s="329"/>
      <c r="M23" s="329"/>
      <c r="N23" s="330"/>
      <c r="O23" s="331" t="s">
        <v>22</v>
      </c>
      <c r="P23" s="332"/>
      <c r="Q23" s="335" t="s">
        <v>23</v>
      </c>
      <c r="R23" s="335"/>
      <c r="S23" s="336" t="s">
        <v>27</v>
      </c>
      <c r="T23" s="64"/>
      <c r="U23" s="64"/>
      <c r="V23" s="64"/>
      <c r="W23" s="64"/>
      <c r="X23" s="64"/>
      <c r="Y23" s="339"/>
      <c r="Z23" s="85"/>
      <c r="AA23" s="61"/>
      <c r="AB23" s="61"/>
      <c r="AC23" s="74"/>
      <c r="AD23" s="61"/>
      <c r="AE23" s="61"/>
      <c r="AF23" s="61"/>
      <c r="AG23" s="65"/>
      <c r="AH23" s="65"/>
      <c r="AI23" s="65"/>
      <c r="AJ23" s="65"/>
      <c r="AK23" s="65"/>
      <c r="AL23" s="65"/>
      <c r="AM23" s="65"/>
      <c r="AN23" s="65"/>
    </row>
    <row r="24" spans="1:40" s="19" customFormat="1" ht="12.75" hidden="1" customHeight="1">
      <c r="A24" s="341"/>
      <c r="B24" s="337"/>
      <c r="C24" s="333"/>
      <c r="D24" s="334"/>
      <c r="E24" s="333"/>
      <c r="F24" s="334"/>
      <c r="G24" s="335"/>
      <c r="H24" s="335"/>
      <c r="I24" s="66" t="s">
        <v>28</v>
      </c>
      <c r="J24" s="67" t="s">
        <v>3</v>
      </c>
      <c r="K24" s="66" t="s">
        <v>29</v>
      </c>
      <c r="L24" s="67" t="s">
        <v>4</v>
      </c>
      <c r="M24" s="328" t="s">
        <v>30</v>
      </c>
      <c r="N24" s="330"/>
      <c r="O24" s="333"/>
      <c r="P24" s="334"/>
      <c r="Q24" s="335"/>
      <c r="R24" s="335"/>
      <c r="S24" s="337"/>
      <c r="T24" s="64"/>
      <c r="U24" s="64"/>
      <c r="V24" s="64"/>
      <c r="W24" s="64"/>
      <c r="X24" s="64"/>
      <c r="Y24" s="339"/>
      <c r="Z24" s="85"/>
      <c r="AA24" s="61"/>
      <c r="AB24" s="61"/>
      <c r="AC24" s="74"/>
      <c r="AD24" s="61"/>
      <c r="AE24" s="61"/>
      <c r="AF24" s="61"/>
      <c r="AG24" s="65"/>
      <c r="AH24" s="65"/>
      <c r="AI24" s="65"/>
      <c r="AJ24" s="65"/>
      <c r="AK24" s="65"/>
      <c r="AL24" s="65"/>
      <c r="AM24" s="65"/>
      <c r="AN24" s="65"/>
    </row>
    <row r="25" spans="1:40" s="19" customFormat="1" ht="12.75" hidden="1" customHeight="1">
      <c r="A25" s="342"/>
      <c r="B25" s="338"/>
      <c r="C25" s="68" t="s">
        <v>5</v>
      </c>
      <c r="D25" s="68" t="s">
        <v>6</v>
      </c>
      <c r="E25" s="67" t="s">
        <v>5</v>
      </c>
      <c r="F25" s="68" t="s">
        <v>6</v>
      </c>
      <c r="G25" s="68" t="s">
        <v>5</v>
      </c>
      <c r="H25" s="68" t="s">
        <v>6</v>
      </c>
      <c r="I25" s="67" t="s">
        <v>5</v>
      </c>
      <c r="J25" s="68" t="s">
        <v>6</v>
      </c>
      <c r="K25" s="67" t="s">
        <v>5</v>
      </c>
      <c r="L25" s="68" t="s">
        <v>6</v>
      </c>
      <c r="M25" s="68"/>
      <c r="N25" s="68"/>
      <c r="O25" s="67" t="s">
        <v>5</v>
      </c>
      <c r="P25" s="68" t="s">
        <v>6</v>
      </c>
      <c r="Q25" s="68" t="s">
        <v>5</v>
      </c>
      <c r="R25" s="68" t="s">
        <v>6</v>
      </c>
      <c r="S25" s="338"/>
      <c r="T25" s="64"/>
      <c r="U25" s="64"/>
      <c r="V25" s="64"/>
      <c r="W25" s="64"/>
      <c r="X25" s="64"/>
      <c r="Y25" s="339"/>
      <c r="Z25" s="85"/>
      <c r="AA25" s="61" t="s">
        <v>43</v>
      </c>
      <c r="AB25" s="61" t="s">
        <v>45</v>
      </c>
      <c r="AC25" s="61" t="s">
        <v>46</v>
      </c>
      <c r="AD25" s="61" t="s">
        <v>42</v>
      </c>
      <c r="AE25" s="61" t="s">
        <v>41</v>
      </c>
      <c r="AF25" s="61" t="s">
        <v>44</v>
      </c>
      <c r="AG25" s="65"/>
      <c r="AH25" s="65"/>
      <c r="AI25" s="65"/>
      <c r="AJ25" s="65"/>
      <c r="AK25" s="65"/>
      <c r="AL25" s="65"/>
      <c r="AM25" s="65"/>
      <c r="AN25" s="65"/>
    </row>
    <row r="26" spans="1:40" s="19" customFormat="1" ht="12.75" hidden="1" customHeight="1">
      <c r="A26" s="51" t="s">
        <v>7</v>
      </c>
      <c r="B26" s="1">
        <f>B5+7</f>
        <v>43168</v>
      </c>
      <c r="C26" s="68">
        <v>50</v>
      </c>
      <c r="D26" s="68">
        <v>700</v>
      </c>
      <c r="E26" s="69">
        <f t="shared" ref="E26:F26" si="13">O26+Q26</f>
        <v>72</v>
      </c>
      <c r="F26" s="70">
        <f t="shared" si="13"/>
        <v>1147</v>
      </c>
      <c r="G26" s="68">
        <f t="shared" ref="G26:H35" si="14">E26-C26</f>
        <v>22</v>
      </c>
      <c r="H26" s="68">
        <f t="shared" si="14"/>
        <v>447</v>
      </c>
      <c r="I26" s="70"/>
      <c r="J26" s="70"/>
      <c r="K26" s="70"/>
      <c r="L26" s="70"/>
      <c r="M26" s="70">
        <f t="shared" ref="M26:M39" si="15">I26+K26</f>
        <v>0</v>
      </c>
      <c r="N26" s="70">
        <f t="shared" ref="N26:N39" si="16">J26+L26</f>
        <v>0</v>
      </c>
      <c r="O26" s="71">
        <v>72</v>
      </c>
      <c r="P26" s="71">
        <v>1147</v>
      </c>
      <c r="Q26" s="70"/>
      <c r="R26" s="70"/>
      <c r="S26" s="72"/>
      <c r="T26" s="252">
        <f>E26/C26</f>
        <v>1.44</v>
      </c>
      <c r="U26" s="73"/>
      <c r="V26" s="73"/>
      <c r="W26" s="73"/>
      <c r="X26" s="73"/>
      <c r="Y26" s="339"/>
      <c r="Z26" s="85"/>
      <c r="AA26" s="61">
        <f>H22</f>
        <v>13</v>
      </c>
      <c r="AB26" s="61" t="str">
        <f>E22</f>
        <v>FCS-QG4-077 W</v>
      </c>
      <c r="AC26" s="74" t="s">
        <v>100</v>
      </c>
      <c r="AD26" s="61" t="str">
        <f t="shared" ref="AD26:AD39" si="17">A26</f>
        <v>KR</v>
      </c>
      <c r="AE26" s="61">
        <f t="shared" ref="AE26:AE39" si="18">C26</f>
        <v>50</v>
      </c>
      <c r="AF26" s="61">
        <f t="shared" ref="AF26:AF39" si="19">E26</f>
        <v>72</v>
      </c>
      <c r="AG26" s="65"/>
      <c r="AH26" s="65"/>
      <c r="AI26" s="65"/>
      <c r="AJ26" s="65"/>
      <c r="AK26" s="65"/>
      <c r="AL26" s="65"/>
      <c r="AM26" s="65"/>
      <c r="AN26" s="65"/>
    </row>
    <row r="27" spans="1:40" s="19" customFormat="1" ht="12.75" hidden="1" customHeight="1">
      <c r="A27" s="52" t="s">
        <v>13</v>
      </c>
      <c r="B27" s="1">
        <f>B6+7</f>
        <v>43170</v>
      </c>
      <c r="C27" s="68">
        <v>100</v>
      </c>
      <c r="D27" s="68">
        <v>1400</v>
      </c>
      <c r="E27" s="69">
        <f t="shared" ref="E27:E39" si="20">O27+Q27</f>
        <v>64</v>
      </c>
      <c r="F27" s="70">
        <f t="shared" ref="F27:F39" si="21">P27+R27</f>
        <v>676</v>
      </c>
      <c r="G27" s="68">
        <f t="shared" si="14"/>
        <v>-36</v>
      </c>
      <c r="H27" s="68">
        <f t="shared" si="14"/>
        <v>-724</v>
      </c>
      <c r="I27" s="75">
        <v>8</v>
      </c>
      <c r="J27" s="75">
        <v>109</v>
      </c>
      <c r="K27" s="70"/>
      <c r="L27" s="70"/>
      <c r="M27" s="70">
        <f t="shared" si="15"/>
        <v>8</v>
      </c>
      <c r="N27" s="70">
        <f t="shared" si="16"/>
        <v>109</v>
      </c>
      <c r="O27" s="75">
        <v>64</v>
      </c>
      <c r="P27" s="75">
        <v>676</v>
      </c>
      <c r="Q27" s="71"/>
      <c r="R27" s="71"/>
      <c r="S27" s="72"/>
      <c r="T27" s="252">
        <f t="shared" ref="T27:T37" si="22">E27/C27</f>
        <v>0.64</v>
      </c>
      <c r="U27" s="73"/>
      <c r="V27" s="73"/>
      <c r="W27" s="73"/>
      <c r="X27" s="73"/>
      <c r="Y27" s="65"/>
      <c r="Z27" s="65"/>
      <c r="AA27" s="61">
        <f>H22</f>
        <v>13</v>
      </c>
      <c r="AB27" s="61" t="str">
        <f>E22</f>
        <v>FCS-QG4-077 W</v>
      </c>
      <c r="AC27" s="74" t="s">
        <v>100</v>
      </c>
      <c r="AD27" s="61" t="str">
        <f t="shared" si="17"/>
        <v>TAO</v>
      </c>
      <c r="AE27" s="61">
        <f t="shared" si="18"/>
        <v>100</v>
      </c>
      <c r="AF27" s="61">
        <f t="shared" si="19"/>
        <v>64</v>
      </c>
      <c r="AG27" s="65"/>
      <c r="AH27" s="65"/>
      <c r="AI27" s="65"/>
      <c r="AJ27" s="65"/>
      <c r="AK27" s="65"/>
      <c r="AL27" s="65"/>
      <c r="AM27" s="65"/>
      <c r="AN27" s="65"/>
    </row>
    <row r="28" spans="1:40" s="19" customFormat="1" ht="12.75" hidden="1" customHeight="1">
      <c r="A28" s="52" t="s">
        <v>9</v>
      </c>
      <c r="B28" s="1">
        <f>B7+7</f>
        <v>43172</v>
      </c>
      <c r="C28" s="68">
        <v>100</v>
      </c>
      <c r="D28" s="68">
        <v>1400</v>
      </c>
      <c r="E28" s="69">
        <f t="shared" si="20"/>
        <v>153</v>
      </c>
      <c r="F28" s="70">
        <f t="shared" si="21"/>
        <v>939</v>
      </c>
      <c r="G28" s="68">
        <f t="shared" si="14"/>
        <v>53</v>
      </c>
      <c r="H28" s="68">
        <f t="shared" si="14"/>
        <v>-461</v>
      </c>
      <c r="I28" s="75">
        <v>1</v>
      </c>
      <c r="J28" s="75">
        <v>23</v>
      </c>
      <c r="K28" s="71">
        <v>3</v>
      </c>
      <c r="L28" s="71">
        <v>31</v>
      </c>
      <c r="M28" s="70">
        <f t="shared" si="15"/>
        <v>4</v>
      </c>
      <c r="N28" s="70">
        <f t="shared" si="16"/>
        <v>54</v>
      </c>
      <c r="O28" s="75">
        <f>86+67</f>
        <v>153</v>
      </c>
      <c r="P28" s="75">
        <v>939</v>
      </c>
      <c r="Q28" s="71"/>
      <c r="R28" s="71"/>
      <c r="S28" s="72"/>
      <c r="T28" s="252">
        <f t="shared" si="22"/>
        <v>1.53</v>
      </c>
      <c r="U28" s="73"/>
      <c r="V28" s="73"/>
      <c r="W28" s="73"/>
      <c r="X28" s="73"/>
      <c r="Y28" s="65"/>
      <c r="Z28" s="65"/>
      <c r="AA28" s="61">
        <f>H22</f>
        <v>13</v>
      </c>
      <c r="AB28" s="61" t="str">
        <f>E22</f>
        <v>FCS-QG4-077 W</v>
      </c>
      <c r="AC28" s="74" t="s">
        <v>100</v>
      </c>
      <c r="AD28" s="61" t="str">
        <f t="shared" si="17"/>
        <v>SHA</v>
      </c>
      <c r="AE28" s="61">
        <f t="shared" si="18"/>
        <v>100</v>
      </c>
      <c r="AF28" s="61">
        <f t="shared" si="19"/>
        <v>153</v>
      </c>
      <c r="AG28" s="65"/>
      <c r="AH28" s="65"/>
      <c r="AI28" s="65"/>
      <c r="AJ28" s="65"/>
      <c r="AK28" s="65"/>
      <c r="AL28" s="65"/>
      <c r="AM28" s="65"/>
      <c r="AN28" s="65"/>
    </row>
    <row r="29" spans="1:40" s="19" customFormat="1" ht="12.75" hidden="1" customHeight="1">
      <c r="A29" s="52" t="s">
        <v>8</v>
      </c>
      <c r="B29" s="1" t="s">
        <v>67</v>
      </c>
      <c r="C29" s="68">
        <v>50</v>
      </c>
      <c r="D29" s="68">
        <v>700</v>
      </c>
      <c r="E29" s="69">
        <f t="shared" si="20"/>
        <v>0</v>
      </c>
      <c r="F29" s="70">
        <f t="shared" si="21"/>
        <v>0</v>
      </c>
      <c r="G29" s="68">
        <f t="shared" si="14"/>
        <v>-50</v>
      </c>
      <c r="H29" s="68">
        <f t="shared" si="14"/>
        <v>-700</v>
      </c>
      <c r="I29" s="71"/>
      <c r="J29" s="71"/>
      <c r="K29" s="71"/>
      <c r="L29" s="71"/>
      <c r="M29" s="70">
        <f t="shared" si="15"/>
        <v>0</v>
      </c>
      <c r="N29" s="70">
        <f t="shared" si="16"/>
        <v>0</v>
      </c>
      <c r="O29" s="71"/>
      <c r="P29" s="71"/>
      <c r="Q29" s="71"/>
      <c r="R29" s="71"/>
      <c r="S29" s="72"/>
      <c r="T29" s="252">
        <f t="shared" si="22"/>
        <v>0</v>
      </c>
      <c r="U29" s="73"/>
      <c r="V29" s="73"/>
      <c r="W29" s="73"/>
      <c r="X29" s="73"/>
      <c r="Y29" s="65"/>
      <c r="Z29" s="65"/>
      <c r="AA29" s="61">
        <f>H22</f>
        <v>13</v>
      </c>
      <c r="AB29" s="61" t="str">
        <f>E22</f>
        <v>FCS-QG4-077 W</v>
      </c>
      <c r="AC29" s="74" t="s">
        <v>100</v>
      </c>
      <c r="AD29" s="61" t="str">
        <f t="shared" si="17"/>
        <v>NGB</v>
      </c>
      <c r="AE29" s="61">
        <f t="shared" si="18"/>
        <v>50</v>
      </c>
      <c r="AF29" s="61">
        <f t="shared" si="19"/>
        <v>0</v>
      </c>
      <c r="AG29" s="65"/>
      <c r="AH29" s="65"/>
      <c r="AI29" s="65"/>
      <c r="AJ29" s="65"/>
      <c r="AK29" s="65"/>
      <c r="AL29" s="65"/>
      <c r="AM29" s="65"/>
      <c r="AN29" s="65"/>
    </row>
    <row r="30" spans="1:40" s="19" customFormat="1" ht="12.75" hidden="1" customHeight="1">
      <c r="A30" s="52" t="s">
        <v>10</v>
      </c>
      <c r="B30" s="1" t="s">
        <v>67</v>
      </c>
      <c r="C30" s="68">
        <v>20</v>
      </c>
      <c r="D30" s="68">
        <v>280</v>
      </c>
      <c r="E30" s="69">
        <f t="shared" si="20"/>
        <v>0</v>
      </c>
      <c r="F30" s="70">
        <f t="shared" si="21"/>
        <v>0</v>
      </c>
      <c r="G30" s="68">
        <f t="shared" si="14"/>
        <v>-20</v>
      </c>
      <c r="H30" s="68">
        <f t="shared" si="14"/>
        <v>-280</v>
      </c>
      <c r="I30" s="75"/>
      <c r="J30" s="75"/>
      <c r="K30" s="70"/>
      <c r="L30" s="70"/>
      <c r="M30" s="70">
        <f t="shared" si="15"/>
        <v>0</v>
      </c>
      <c r="N30" s="70">
        <f t="shared" si="16"/>
        <v>0</v>
      </c>
      <c r="O30" s="75"/>
      <c r="P30" s="75"/>
      <c r="Q30" s="70"/>
      <c r="R30" s="70"/>
      <c r="S30" s="72"/>
      <c r="T30" s="252">
        <f t="shared" si="22"/>
        <v>0</v>
      </c>
      <c r="U30" s="73"/>
      <c r="V30" s="73"/>
      <c r="W30" s="73"/>
      <c r="X30" s="73"/>
      <c r="Y30" s="65"/>
      <c r="Z30" s="65"/>
      <c r="AA30" s="61">
        <f>H22</f>
        <v>13</v>
      </c>
      <c r="AB30" s="61" t="str">
        <f>E22</f>
        <v>FCS-QG4-077 W</v>
      </c>
      <c r="AC30" s="74" t="s">
        <v>100</v>
      </c>
      <c r="AD30" s="61" t="str">
        <f t="shared" si="17"/>
        <v>WUH</v>
      </c>
      <c r="AE30" s="61">
        <f t="shared" si="18"/>
        <v>20</v>
      </c>
      <c r="AF30" s="61">
        <f t="shared" si="19"/>
        <v>0</v>
      </c>
      <c r="AG30" s="65"/>
      <c r="AH30" s="65"/>
      <c r="AI30" s="65"/>
      <c r="AJ30" s="65"/>
      <c r="AK30" s="65"/>
      <c r="AL30" s="65"/>
      <c r="AM30" s="65"/>
      <c r="AN30" s="65"/>
    </row>
    <row r="31" spans="1:40" s="19" customFormat="1" ht="12.75" hidden="1" customHeight="1">
      <c r="A31" s="52" t="s">
        <v>11</v>
      </c>
      <c r="B31" s="1" t="s">
        <v>18</v>
      </c>
      <c r="C31" s="68">
        <v>50</v>
      </c>
      <c r="D31" s="68">
        <v>700</v>
      </c>
      <c r="E31" s="69">
        <f t="shared" si="20"/>
        <v>27</v>
      </c>
      <c r="F31" s="70">
        <f t="shared" si="21"/>
        <v>608</v>
      </c>
      <c r="G31" s="68">
        <f t="shared" si="14"/>
        <v>-23</v>
      </c>
      <c r="H31" s="68">
        <f t="shared" si="14"/>
        <v>-92</v>
      </c>
      <c r="I31" s="70"/>
      <c r="J31" s="70"/>
      <c r="K31" s="70"/>
      <c r="L31" s="70"/>
      <c r="M31" s="70">
        <f t="shared" si="15"/>
        <v>0</v>
      </c>
      <c r="N31" s="70">
        <f t="shared" si="16"/>
        <v>0</v>
      </c>
      <c r="O31" s="75"/>
      <c r="P31" s="75"/>
      <c r="Q31" s="70">
        <v>27</v>
      </c>
      <c r="R31" s="70">
        <v>608</v>
      </c>
      <c r="S31" s="72"/>
      <c r="T31" s="252">
        <f t="shared" si="22"/>
        <v>0.54</v>
      </c>
      <c r="U31" s="73"/>
      <c r="V31" s="73"/>
      <c r="W31" s="73"/>
      <c r="X31" s="73"/>
      <c r="Y31" s="65"/>
      <c r="Z31" s="65"/>
      <c r="AA31" s="61">
        <f>H22</f>
        <v>13</v>
      </c>
      <c r="AB31" s="61" t="str">
        <f>E22</f>
        <v>FCS-QG4-077 W</v>
      </c>
      <c r="AC31" s="74" t="s">
        <v>100</v>
      </c>
      <c r="AD31" s="61" t="str">
        <f t="shared" si="17"/>
        <v>DLC</v>
      </c>
      <c r="AE31" s="61">
        <f t="shared" si="18"/>
        <v>50</v>
      </c>
      <c r="AF31" s="61">
        <f t="shared" si="19"/>
        <v>27</v>
      </c>
      <c r="AG31" s="65"/>
      <c r="AH31" s="65"/>
      <c r="AI31" s="65"/>
      <c r="AJ31" s="65"/>
      <c r="AK31" s="65"/>
      <c r="AL31" s="65"/>
      <c r="AM31" s="65"/>
      <c r="AN31" s="65"/>
    </row>
    <row r="32" spans="1:40" s="19" customFormat="1" ht="12.75" hidden="1" customHeight="1">
      <c r="A32" s="52" t="s">
        <v>12</v>
      </c>
      <c r="B32" s="1" t="s">
        <v>18</v>
      </c>
      <c r="C32" s="68">
        <v>50</v>
      </c>
      <c r="D32" s="68">
        <v>700</v>
      </c>
      <c r="E32" s="69">
        <f t="shared" si="20"/>
        <v>2</v>
      </c>
      <c r="F32" s="70">
        <f t="shared" si="21"/>
        <v>51</v>
      </c>
      <c r="G32" s="68">
        <f t="shared" si="14"/>
        <v>-48</v>
      </c>
      <c r="H32" s="68">
        <f t="shared" si="14"/>
        <v>-649</v>
      </c>
      <c r="I32" s="70"/>
      <c r="J32" s="70"/>
      <c r="K32" s="70"/>
      <c r="L32" s="70"/>
      <c r="M32" s="70">
        <f t="shared" si="15"/>
        <v>0</v>
      </c>
      <c r="N32" s="70">
        <f t="shared" si="16"/>
        <v>0</v>
      </c>
      <c r="O32" s="75"/>
      <c r="P32" s="75"/>
      <c r="Q32" s="76">
        <v>2</v>
      </c>
      <c r="R32" s="71">
        <v>51</v>
      </c>
      <c r="S32" s="72"/>
      <c r="T32" s="252">
        <f t="shared" si="22"/>
        <v>0.04</v>
      </c>
      <c r="U32" s="73"/>
      <c r="V32" s="73"/>
      <c r="W32" s="73"/>
      <c r="X32" s="73"/>
      <c r="Y32" s="65"/>
      <c r="Z32" s="65"/>
      <c r="AA32" s="61">
        <f>H22</f>
        <v>13</v>
      </c>
      <c r="AB32" s="61" t="str">
        <f>E22</f>
        <v>FCS-QG4-077 W</v>
      </c>
      <c r="AC32" s="74" t="s">
        <v>100</v>
      </c>
      <c r="AD32" s="61" t="str">
        <f t="shared" si="17"/>
        <v>TSN</v>
      </c>
      <c r="AE32" s="61">
        <f t="shared" si="18"/>
        <v>50</v>
      </c>
      <c r="AF32" s="61">
        <f t="shared" si="19"/>
        <v>2</v>
      </c>
      <c r="AG32" s="65"/>
      <c r="AH32" s="65"/>
      <c r="AI32" s="65"/>
      <c r="AJ32" s="65"/>
      <c r="AK32" s="65"/>
      <c r="AL32" s="65"/>
      <c r="AM32" s="65"/>
      <c r="AN32" s="65"/>
    </row>
    <row r="33" spans="1:40" s="19" customFormat="1" ht="12.75" hidden="1" customHeight="1">
      <c r="A33" s="52" t="s">
        <v>14</v>
      </c>
      <c r="B33" s="1" t="s">
        <v>18</v>
      </c>
      <c r="C33" s="68">
        <v>40</v>
      </c>
      <c r="D33" s="68">
        <v>560</v>
      </c>
      <c r="E33" s="69">
        <f t="shared" si="20"/>
        <v>0</v>
      </c>
      <c r="F33" s="70">
        <f t="shared" si="21"/>
        <v>0</v>
      </c>
      <c r="G33" s="68">
        <f t="shared" si="14"/>
        <v>-40</v>
      </c>
      <c r="H33" s="68">
        <f t="shared" si="14"/>
        <v>-560</v>
      </c>
      <c r="I33" s="70"/>
      <c r="J33" s="70"/>
      <c r="K33" s="70"/>
      <c r="L33" s="70"/>
      <c r="M33" s="70">
        <f t="shared" si="15"/>
        <v>0</v>
      </c>
      <c r="N33" s="70">
        <f t="shared" si="16"/>
        <v>0</v>
      </c>
      <c r="O33" s="71"/>
      <c r="P33" s="71"/>
      <c r="Q33" s="70"/>
      <c r="R33" s="70"/>
      <c r="S33" s="72"/>
      <c r="T33" s="252">
        <f t="shared" si="22"/>
        <v>0</v>
      </c>
      <c r="U33" s="73"/>
      <c r="V33" s="73"/>
      <c r="W33" s="73"/>
      <c r="X33" s="73"/>
      <c r="Y33" s="65"/>
      <c r="Z33" s="65"/>
      <c r="AA33" s="61">
        <f>H22</f>
        <v>13</v>
      </c>
      <c r="AB33" s="61" t="str">
        <f>E22</f>
        <v>FCS-QG4-077 W</v>
      </c>
      <c r="AC33" s="74" t="s">
        <v>100</v>
      </c>
      <c r="AD33" s="61" t="str">
        <f t="shared" si="17"/>
        <v>XMN</v>
      </c>
      <c r="AE33" s="61">
        <f t="shared" si="18"/>
        <v>40</v>
      </c>
      <c r="AF33" s="61">
        <f t="shared" si="19"/>
        <v>0</v>
      </c>
      <c r="AG33" s="65"/>
      <c r="AH33" s="65"/>
      <c r="AI33" s="65"/>
      <c r="AJ33" s="65"/>
      <c r="AK33" s="65"/>
      <c r="AL33" s="65"/>
      <c r="AM33" s="65"/>
      <c r="AN33" s="65"/>
    </row>
    <row r="34" spans="1:40" s="19" customFormat="1" ht="12.75" hidden="1" customHeight="1">
      <c r="A34" s="52" t="s">
        <v>19</v>
      </c>
      <c r="B34" s="1" t="s">
        <v>18</v>
      </c>
      <c r="C34" s="68">
        <v>0</v>
      </c>
      <c r="D34" s="68">
        <v>0</v>
      </c>
      <c r="E34" s="69">
        <f t="shared" si="20"/>
        <v>0</v>
      </c>
      <c r="F34" s="70">
        <f t="shared" si="21"/>
        <v>0</v>
      </c>
      <c r="G34" s="68">
        <f t="shared" si="14"/>
        <v>0</v>
      </c>
      <c r="H34" s="68">
        <f t="shared" si="14"/>
        <v>0</v>
      </c>
      <c r="I34" s="70"/>
      <c r="J34" s="70"/>
      <c r="K34" s="70"/>
      <c r="L34" s="70"/>
      <c r="M34" s="70">
        <f t="shared" si="15"/>
        <v>0</v>
      </c>
      <c r="N34" s="70">
        <f t="shared" si="16"/>
        <v>0</v>
      </c>
      <c r="O34" s="70"/>
      <c r="P34" s="70"/>
      <c r="Q34" s="70"/>
      <c r="R34" s="70"/>
      <c r="S34" s="72"/>
      <c r="T34" s="252" t="e">
        <f t="shared" si="22"/>
        <v>#DIV/0!</v>
      </c>
      <c r="U34" s="73"/>
      <c r="V34" s="73"/>
      <c r="W34" s="73"/>
      <c r="X34" s="73"/>
      <c r="Y34" s="65"/>
      <c r="Z34" s="65"/>
      <c r="AA34" s="61">
        <f>H22</f>
        <v>13</v>
      </c>
      <c r="AB34" s="61" t="str">
        <f>E22</f>
        <v>FCS-QG4-077 W</v>
      </c>
      <c r="AC34" s="74" t="s">
        <v>100</v>
      </c>
      <c r="AD34" s="61" t="str">
        <f t="shared" si="17"/>
        <v>TWC</v>
      </c>
      <c r="AE34" s="61">
        <f t="shared" si="18"/>
        <v>0</v>
      </c>
      <c r="AF34" s="61">
        <f t="shared" si="19"/>
        <v>0</v>
      </c>
      <c r="AG34" s="65"/>
      <c r="AH34" s="65"/>
      <c r="AI34" s="65"/>
      <c r="AJ34" s="65"/>
      <c r="AK34" s="65"/>
      <c r="AL34" s="65"/>
      <c r="AM34" s="65"/>
      <c r="AN34" s="65"/>
    </row>
    <row r="35" spans="1:40" s="19" customFormat="1" ht="12.75" hidden="1" customHeight="1">
      <c r="A35" s="52" t="s">
        <v>16</v>
      </c>
      <c r="B35" s="1">
        <f>B14+7</f>
        <v>43175</v>
      </c>
      <c r="C35" s="68">
        <v>110</v>
      </c>
      <c r="D35" s="68">
        <v>1540</v>
      </c>
      <c r="E35" s="69">
        <f t="shared" si="20"/>
        <v>69</v>
      </c>
      <c r="F35" s="70">
        <f t="shared" si="21"/>
        <v>479</v>
      </c>
      <c r="G35" s="68">
        <f t="shared" si="14"/>
        <v>-41</v>
      </c>
      <c r="H35" s="68">
        <f t="shared" si="14"/>
        <v>-1061</v>
      </c>
      <c r="I35" s="70"/>
      <c r="J35" s="70"/>
      <c r="K35" s="70"/>
      <c r="L35" s="70"/>
      <c r="M35" s="70">
        <f t="shared" si="15"/>
        <v>0</v>
      </c>
      <c r="N35" s="70">
        <f t="shared" si="16"/>
        <v>0</v>
      </c>
      <c r="O35" s="70"/>
      <c r="P35" s="70"/>
      <c r="Q35" s="70">
        <v>69</v>
      </c>
      <c r="R35" s="84">
        <v>479</v>
      </c>
      <c r="S35" s="72"/>
      <c r="T35" s="252">
        <f t="shared" si="22"/>
        <v>0.62727272727272732</v>
      </c>
      <c r="U35" s="73"/>
      <c r="V35" s="73"/>
      <c r="W35" s="73"/>
      <c r="X35" s="73"/>
      <c r="Y35" s="65"/>
      <c r="Z35" s="65"/>
      <c r="AA35" s="61">
        <f>H22</f>
        <v>13</v>
      </c>
      <c r="AB35" s="61" t="str">
        <f>E22</f>
        <v>FCS-QG4-077 W</v>
      </c>
      <c r="AC35" s="74" t="s">
        <v>100</v>
      </c>
      <c r="AD35" s="61" t="str">
        <f t="shared" si="17"/>
        <v>HUA</v>
      </c>
      <c r="AE35" s="61">
        <f t="shared" si="18"/>
        <v>110</v>
      </c>
      <c r="AF35" s="61">
        <f t="shared" si="19"/>
        <v>69</v>
      </c>
      <c r="AG35" s="65"/>
      <c r="AH35" s="65"/>
      <c r="AI35" s="65"/>
      <c r="AJ35" s="65"/>
      <c r="AK35" s="65"/>
      <c r="AL35" s="65"/>
      <c r="AM35" s="65"/>
      <c r="AN35" s="65"/>
    </row>
    <row r="36" spans="1:40" s="19" customFormat="1" ht="12.75" hidden="1" customHeight="1">
      <c r="A36" s="52" t="s">
        <v>478</v>
      </c>
      <c r="B36" s="26"/>
      <c r="C36" s="68"/>
      <c r="D36" s="68"/>
      <c r="E36" s="69">
        <f t="shared" si="20"/>
        <v>25</v>
      </c>
      <c r="F36" s="70">
        <f t="shared" si="21"/>
        <v>779</v>
      </c>
      <c r="G36" s="68"/>
      <c r="H36" s="68"/>
      <c r="I36" s="70"/>
      <c r="J36" s="70"/>
      <c r="K36" s="70"/>
      <c r="L36" s="70"/>
      <c r="M36" s="70">
        <f t="shared" si="15"/>
        <v>0</v>
      </c>
      <c r="N36" s="70">
        <f t="shared" si="16"/>
        <v>0</v>
      </c>
      <c r="O36" s="70"/>
      <c r="P36" s="70"/>
      <c r="Q36" s="70">
        <v>25</v>
      </c>
      <c r="R36" s="70">
        <v>779</v>
      </c>
      <c r="S36" s="72"/>
      <c r="T36" s="252" t="e">
        <f t="shared" si="22"/>
        <v>#DIV/0!</v>
      </c>
      <c r="U36" s="73"/>
      <c r="V36" s="73"/>
      <c r="W36" s="73"/>
      <c r="X36" s="73"/>
      <c r="Y36" s="65"/>
      <c r="Z36" s="65"/>
      <c r="AA36" s="61">
        <f>H22</f>
        <v>13</v>
      </c>
      <c r="AB36" s="61" t="str">
        <f>E22</f>
        <v>FCS-QG4-077 W</v>
      </c>
      <c r="AC36" s="74" t="s">
        <v>100</v>
      </c>
      <c r="AD36" s="61" t="str">
        <f t="shared" si="17"/>
        <v>OOCL</v>
      </c>
      <c r="AE36" s="61">
        <f t="shared" si="18"/>
        <v>0</v>
      </c>
      <c r="AF36" s="61">
        <f t="shared" si="19"/>
        <v>25</v>
      </c>
      <c r="AG36" s="65"/>
      <c r="AH36" s="65"/>
      <c r="AI36" s="65"/>
      <c r="AJ36" s="65"/>
      <c r="AK36" s="65"/>
      <c r="AL36" s="65"/>
      <c r="AM36" s="65"/>
      <c r="AN36" s="65"/>
    </row>
    <row r="37" spans="1:40" s="19" customFormat="1" ht="12.75" hidden="1" customHeight="1">
      <c r="A37" s="52" t="s">
        <v>3</v>
      </c>
      <c r="B37" s="1">
        <f>B16+7</f>
        <v>43181</v>
      </c>
      <c r="C37" s="68">
        <v>50</v>
      </c>
      <c r="D37" s="68">
        <v>700</v>
      </c>
      <c r="E37" s="69">
        <f t="shared" si="20"/>
        <v>50</v>
      </c>
      <c r="F37" s="70">
        <f t="shared" si="21"/>
        <v>700</v>
      </c>
      <c r="G37" s="68">
        <f t="shared" ref="G37:H40" si="23">E37-C37</f>
        <v>0</v>
      </c>
      <c r="H37" s="68">
        <f t="shared" si="23"/>
        <v>0</v>
      </c>
      <c r="I37" s="70"/>
      <c r="J37" s="70"/>
      <c r="K37" s="70"/>
      <c r="L37" s="70"/>
      <c r="M37" s="70">
        <f t="shared" si="15"/>
        <v>0</v>
      </c>
      <c r="N37" s="70">
        <f t="shared" si="16"/>
        <v>0</v>
      </c>
      <c r="O37" s="68"/>
      <c r="P37" s="68"/>
      <c r="Q37" s="70">
        <v>50</v>
      </c>
      <c r="R37" s="70">
        <v>700</v>
      </c>
      <c r="S37" s="72"/>
      <c r="T37" s="252">
        <f t="shared" si="22"/>
        <v>1</v>
      </c>
      <c r="U37" s="73"/>
      <c r="V37" s="73"/>
      <c r="W37" s="73"/>
      <c r="X37" s="73"/>
      <c r="Y37" s="65"/>
      <c r="Z37" s="65"/>
      <c r="AA37" s="61">
        <f>H22</f>
        <v>13</v>
      </c>
      <c r="AB37" s="61" t="str">
        <f>E22</f>
        <v>FCS-QG4-077 W</v>
      </c>
      <c r="AC37" s="74" t="s">
        <v>100</v>
      </c>
      <c r="AD37" s="61" t="str">
        <f t="shared" si="17"/>
        <v>SGP</v>
      </c>
      <c r="AE37" s="61">
        <f t="shared" si="18"/>
        <v>50</v>
      </c>
      <c r="AF37" s="61">
        <f t="shared" si="19"/>
        <v>50</v>
      </c>
      <c r="AG37" s="65"/>
      <c r="AH37" s="65"/>
      <c r="AI37" s="65"/>
      <c r="AJ37" s="65"/>
      <c r="AK37" s="65"/>
      <c r="AL37" s="65"/>
      <c r="AM37" s="65"/>
      <c r="AN37" s="65"/>
    </row>
    <row r="38" spans="1:40" s="19" customFormat="1" ht="12.75" hidden="1" customHeight="1">
      <c r="A38" s="52" t="s">
        <v>4</v>
      </c>
      <c r="B38" s="1">
        <f>B17+7</f>
        <v>43183</v>
      </c>
      <c r="C38" s="68">
        <v>30</v>
      </c>
      <c r="D38" s="68">
        <v>420</v>
      </c>
      <c r="E38" s="69">
        <f t="shared" si="20"/>
        <v>110</v>
      </c>
      <c r="F38" s="70">
        <f t="shared" si="21"/>
        <v>1939</v>
      </c>
      <c r="G38" s="68">
        <f t="shared" si="23"/>
        <v>80</v>
      </c>
      <c r="H38" s="68">
        <f t="shared" si="23"/>
        <v>1519</v>
      </c>
      <c r="I38" s="70"/>
      <c r="J38" s="70"/>
      <c r="K38" s="70"/>
      <c r="L38" s="70"/>
      <c r="M38" s="70">
        <f t="shared" si="15"/>
        <v>0</v>
      </c>
      <c r="N38" s="70">
        <f t="shared" si="16"/>
        <v>0</v>
      </c>
      <c r="O38" s="70"/>
      <c r="P38" s="70"/>
      <c r="Q38" s="70">
        <v>110</v>
      </c>
      <c r="R38" s="70">
        <v>1939</v>
      </c>
      <c r="S38" s="72"/>
      <c r="T38" s="252">
        <f>E38/C38</f>
        <v>3.6666666666666665</v>
      </c>
      <c r="U38" s="73"/>
      <c r="V38" s="73"/>
      <c r="W38" s="73"/>
      <c r="X38" s="73"/>
      <c r="Y38" s="65"/>
      <c r="Z38" s="65"/>
      <c r="AA38" s="61">
        <f>H22</f>
        <v>13</v>
      </c>
      <c r="AB38" s="61" t="str">
        <f>E22</f>
        <v>FCS-QG4-077 W</v>
      </c>
      <c r="AC38" s="74" t="s">
        <v>100</v>
      </c>
      <c r="AD38" s="61" t="str">
        <f t="shared" si="17"/>
        <v>PKL</v>
      </c>
      <c r="AE38" s="61">
        <f t="shared" si="18"/>
        <v>30</v>
      </c>
      <c r="AF38" s="61">
        <f t="shared" si="19"/>
        <v>110</v>
      </c>
      <c r="AG38" s="65"/>
      <c r="AH38" s="65"/>
      <c r="AI38" s="65"/>
      <c r="AJ38" s="65"/>
      <c r="AK38" s="65"/>
      <c r="AL38" s="65"/>
      <c r="AM38" s="65"/>
      <c r="AN38" s="65"/>
    </row>
    <row r="39" spans="1:40" s="19" customFormat="1" ht="12.75" hidden="1" customHeight="1">
      <c r="A39" s="52" t="s">
        <v>15</v>
      </c>
      <c r="B39" s="46"/>
      <c r="C39" s="68"/>
      <c r="D39" s="68"/>
      <c r="E39" s="69">
        <f t="shared" si="20"/>
        <v>23</v>
      </c>
      <c r="F39" s="70">
        <f t="shared" si="21"/>
        <v>333</v>
      </c>
      <c r="G39" s="68">
        <f t="shared" si="23"/>
        <v>23</v>
      </c>
      <c r="H39" s="68">
        <f t="shared" si="23"/>
        <v>333</v>
      </c>
      <c r="I39" s="70"/>
      <c r="J39" s="70"/>
      <c r="K39" s="70"/>
      <c r="L39" s="70"/>
      <c r="M39" s="70">
        <f t="shared" si="15"/>
        <v>0</v>
      </c>
      <c r="N39" s="70">
        <f t="shared" si="16"/>
        <v>0</v>
      </c>
      <c r="O39" s="71"/>
      <c r="P39" s="71"/>
      <c r="Q39" s="71">
        <v>23</v>
      </c>
      <c r="R39" s="71">
        <v>333</v>
      </c>
      <c r="S39" s="72"/>
      <c r="T39" s="73"/>
      <c r="U39" s="73"/>
      <c r="V39" s="73"/>
      <c r="W39" s="73"/>
      <c r="X39" s="73"/>
      <c r="Y39" s="65"/>
      <c r="Z39" s="65"/>
      <c r="AA39" s="61">
        <f>H22</f>
        <v>13</v>
      </c>
      <c r="AB39" s="61" t="str">
        <f>E22</f>
        <v>FCS-QG4-077 W</v>
      </c>
      <c r="AC39" s="74" t="s">
        <v>100</v>
      </c>
      <c r="AD39" s="61" t="str">
        <f t="shared" si="17"/>
        <v>T/S</v>
      </c>
      <c r="AE39" s="61">
        <f t="shared" si="18"/>
        <v>0</v>
      </c>
      <c r="AF39" s="61">
        <f t="shared" si="19"/>
        <v>23</v>
      </c>
      <c r="AG39" s="65"/>
      <c r="AH39" s="65"/>
      <c r="AI39" s="65"/>
      <c r="AJ39" s="65"/>
      <c r="AK39" s="65"/>
      <c r="AL39" s="65"/>
      <c r="AM39" s="65"/>
      <c r="AN39" s="65"/>
    </row>
    <row r="40" spans="1:40" s="19" customFormat="1" ht="12.75" hidden="1" customHeight="1">
      <c r="A40" s="51" t="s">
        <v>36</v>
      </c>
      <c r="B40" s="47"/>
      <c r="C40" s="71">
        <v>611</v>
      </c>
      <c r="D40" s="71">
        <v>8554</v>
      </c>
      <c r="E40" s="78">
        <f>SUM(E26:E39)</f>
        <v>595</v>
      </c>
      <c r="F40" s="76">
        <f>SUM(F26:F39)</f>
        <v>7651</v>
      </c>
      <c r="G40" s="71">
        <f t="shared" si="23"/>
        <v>-16</v>
      </c>
      <c r="H40" s="71">
        <f t="shared" si="23"/>
        <v>-903</v>
      </c>
      <c r="I40" s="70">
        <f t="shared" ref="I40:L40" si="24">SUM(I26:I39)</f>
        <v>9</v>
      </c>
      <c r="J40" s="70">
        <f t="shared" si="24"/>
        <v>132</v>
      </c>
      <c r="K40" s="70">
        <f t="shared" si="24"/>
        <v>3</v>
      </c>
      <c r="L40" s="70">
        <f t="shared" si="24"/>
        <v>31</v>
      </c>
      <c r="M40" s="70"/>
      <c r="N40" s="70"/>
      <c r="O40" s="70">
        <f t="shared" ref="O40:R40" si="25">SUM(O26:O39)</f>
        <v>289</v>
      </c>
      <c r="P40" s="70">
        <f t="shared" si="25"/>
        <v>2762</v>
      </c>
      <c r="Q40" s="70">
        <f t="shared" si="25"/>
        <v>306</v>
      </c>
      <c r="R40" s="70">
        <f t="shared" si="25"/>
        <v>4889</v>
      </c>
      <c r="S40" s="72"/>
      <c r="T40" s="73"/>
      <c r="U40" s="73"/>
      <c r="V40" s="73"/>
      <c r="W40" s="73"/>
      <c r="X40" s="73"/>
      <c r="Y40" s="65"/>
      <c r="Z40" s="65"/>
      <c r="AA40" s="61"/>
      <c r="AB40" s="61"/>
      <c r="AC40" s="61"/>
      <c r="AD40" s="61"/>
      <c r="AE40" s="61"/>
      <c r="AF40" s="61"/>
      <c r="AG40" s="65"/>
      <c r="AH40" s="65"/>
      <c r="AI40" s="65"/>
      <c r="AJ40" s="65"/>
      <c r="AK40" s="65"/>
      <c r="AL40" s="65"/>
      <c r="AM40" s="65"/>
      <c r="AN40" s="65"/>
    </row>
    <row r="41" spans="1:40" s="65" customFormat="1" ht="12.75" hidden="1" customHeight="1">
      <c r="A41" s="84">
        <f>D40/C40</f>
        <v>14</v>
      </c>
      <c r="C41" s="79">
        <f>F40-E41</f>
        <v>-47.600000000000364</v>
      </c>
      <c r="E41" s="65">
        <f>D40*0.9</f>
        <v>7698.6</v>
      </c>
      <c r="F41" s="79">
        <f>E40-L41</f>
        <v>45.100000000000023</v>
      </c>
      <c r="I41" s="80" t="s">
        <v>48</v>
      </c>
      <c r="J41" s="245">
        <f>E40/C40</f>
        <v>0.97381342062193121</v>
      </c>
      <c r="K41" s="80"/>
      <c r="L41" s="80">
        <f>C40*0.9</f>
        <v>549.9</v>
      </c>
      <c r="M41" s="80"/>
      <c r="N41" s="80"/>
      <c r="O41" s="80" t="s">
        <v>49</v>
      </c>
      <c r="P41" s="80"/>
      <c r="Q41" s="65">
        <f>P27+P28+P30+P31+P32+J27+J28+L27+L28+J30+R30</f>
        <v>1778</v>
      </c>
      <c r="AA41" s="81"/>
      <c r="AB41" s="81"/>
      <c r="AC41" s="81"/>
      <c r="AD41" s="81"/>
      <c r="AE41" s="81"/>
      <c r="AF41" s="81"/>
    </row>
    <row r="42" spans="1:40" s="19" customFormat="1" ht="12.75" customHeight="1">
      <c r="A42" s="48"/>
      <c r="B42" s="48"/>
      <c r="C42" s="65"/>
      <c r="D42" s="65"/>
      <c r="E42" s="65"/>
      <c r="F42" s="65"/>
      <c r="G42" s="65"/>
      <c r="H42" s="65"/>
      <c r="I42" s="80"/>
      <c r="J42" s="80"/>
      <c r="K42" s="80"/>
      <c r="L42" s="80"/>
      <c r="M42" s="80"/>
      <c r="N42" s="80"/>
      <c r="O42" s="80"/>
      <c r="P42" s="80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1"/>
      <c r="AB42" s="61"/>
      <c r="AC42" s="61"/>
      <c r="AD42" s="61"/>
      <c r="AE42" s="61"/>
      <c r="AF42" s="61"/>
      <c r="AG42" s="65"/>
      <c r="AH42" s="65"/>
      <c r="AI42" s="65"/>
      <c r="AJ42" s="65"/>
      <c r="AK42" s="65"/>
      <c r="AL42" s="65"/>
      <c r="AM42" s="65"/>
      <c r="AN42" s="65"/>
    </row>
    <row r="43" spans="1:40" s="18" customFormat="1" ht="12.75" hidden="1" customHeight="1">
      <c r="A43" s="45" t="s">
        <v>95</v>
      </c>
      <c r="B43" s="44" t="s">
        <v>461</v>
      </c>
      <c r="C43" s="56"/>
      <c r="D43" s="57"/>
      <c r="E43" s="58" t="s">
        <v>555</v>
      </c>
      <c r="F43" s="57"/>
      <c r="G43" s="59" t="s">
        <v>37</v>
      </c>
      <c r="H43" s="60">
        <f>H22+1</f>
        <v>14</v>
      </c>
      <c r="I43" s="57"/>
      <c r="J43" s="57"/>
      <c r="K43" s="57"/>
      <c r="L43" s="57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2"/>
      <c r="Z43" s="62"/>
      <c r="AA43" s="62"/>
      <c r="AB43" s="62"/>
      <c r="AC43" s="62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</row>
    <row r="44" spans="1:40" s="19" customFormat="1" ht="12.75" hidden="1" customHeight="1">
      <c r="A44" s="340" t="s">
        <v>0</v>
      </c>
      <c r="B44" s="336" t="s">
        <v>1</v>
      </c>
      <c r="C44" s="331" t="s">
        <v>25</v>
      </c>
      <c r="D44" s="332"/>
      <c r="E44" s="331" t="s">
        <v>21</v>
      </c>
      <c r="F44" s="332"/>
      <c r="G44" s="335" t="s">
        <v>24</v>
      </c>
      <c r="H44" s="335"/>
      <c r="I44" s="328" t="s">
        <v>33</v>
      </c>
      <c r="J44" s="329"/>
      <c r="K44" s="329"/>
      <c r="L44" s="329"/>
      <c r="M44" s="329"/>
      <c r="N44" s="330"/>
      <c r="O44" s="331" t="s">
        <v>22</v>
      </c>
      <c r="P44" s="332"/>
      <c r="Q44" s="335" t="s">
        <v>23</v>
      </c>
      <c r="R44" s="335"/>
      <c r="S44" s="336" t="s">
        <v>27</v>
      </c>
      <c r="T44" s="64"/>
      <c r="U44" s="64"/>
      <c r="V44" s="64"/>
      <c r="W44" s="64"/>
      <c r="X44" s="64"/>
      <c r="Y44" s="339"/>
      <c r="Z44" s="85"/>
      <c r="AA44" s="61"/>
      <c r="AB44" s="61"/>
      <c r="AC44" s="74"/>
      <c r="AD44" s="61"/>
      <c r="AE44" s="61"/>
      <c r="AF44" s="61"/>
      <c r="AG44" s="65"/>
      <c r="AH44" s="65"/>
      <c r="AI44" s="65"/>
      <c r="AJ44" s="65"/>
      <c r="AK44" s="65"/>
      <c r="AL44" s="65"/>
      <c r="AM44" s="65"/>
      <c r="AN44" s="65"/>
    </row>
    <row r="45" spans="1:40" s="19" customFormat="1" ht="12.75" hidden="1" customHeight="1">
      <c r="A45" s="341"/>
      <c r="B45" s="337"/>
      <c r="C45" s="333"/>
      <c r="D45" s="334"/>
      <c r="E45" s="333"/>
      <c r="F45" s="334"/>
      <c r="G45" s="335"/>
      <c r="H45" s="335"/>
      <c r="I45" s="66" t="s">
        <v>28</v>
      </c>
      <c r="J45" s="67" t="s">
        <v>3</v>
      </c>
      <c r="K45" s="66" t="s">
        <v>29</v>
      </c>
      <c r="L45" s="67" t="s">
        <v>4</v>
      </c>
      <c r="M45" s="328" t="s">
        <v>30</v>
      </c>
      <c r="N45" s="330"/>
      <c r="O45" s="333"/>
      <c r="P45" s="334"/>
      <c r="Q45" s="335"/>
      <c r="R45" s="335"/>
      <c r="S45" s="337"/>
      <c r="T45" s="64"/>
      <c r="U45" s="64"/>
      <c r="V45" s="64"/>
      <c r="W45" s="64"/>
      <c r="X45" s="64"/>
      <c r="Y45" s="339"/>
      <c r="Z45" s="85"/>
      <c r="AA45" s="61"/>
      <c r="AB45" s="61"/>
      <c r="AC45" s="74"/>
      <c r="AD45" s="61"/>
      <c r="AE45" s="61"/>
      <c r="AF45" s="61"/>
      <c r="AG45" s="65"/>
      <c r="AH45" s="65"/>
      <c r="AI45" s="65"/>
      <c r="AJ45" s="65"/>
      <c r="AK45" s="65"/>
      <c r="AL45" s="65"/>
      <c r="AM45" s="65"/>
      <c r="AN45" s="65"/>
    </row>
    <row r="46" spans="1:40" s="19" customFormat="1" ht="12.75" hidden="1" customHeight="1">
      <c r="A46" s="342"/>
      <c r="B46" s="338"/>
      <c r="C46" s="68" t="s">
        <v>5</v>
      </c>
      <c r="D46" s="68" t="s">
        <v>6</v>
      </c>
      <c r="E46" s="67" t="s">
        <v>5</v>
      </c>
      <c r="F46" s="68" t="s">
        <v>6</v>
      </c>
      <c r="G46" s="68" t="s">
        <v>5</v>
      </c>
      <c r="H46" s="68" t="s">
        <v>6</v>
      </c>
      <c r="I46" s="67" t="s">
        <v>5</v>
      </c>
      <c r="J46" s="68" t="s">
        <v>6</v>
      </c>
      <c r="K46" s="67" t="s">
        <v>5</v>
      </c>
      <c r="L46" s="68" t="s">
        <v>6</v>
      </c>
      <c r="M46" s="68"/>
      <c r="N46" s="68"/>
      <c r="O46" s="67" t="s">
        <v>5</v>
      </c>
      <c r="P46" s="68" t="s">
        <v>6</v>
      </c>
      <c r="Q46" s="68" t="s">
        <v>5</v>
      </c>
      <c r="R46" s="68" t="s">
        <v>6</v>
      </c>
      <c r="S46" s="338"/>
      <c r="T46" s="64"/>
      <c r="U46" s="64"/>
      <c r="V46" s="64"/>
      <c r="W46" s="64"/>
      <c r="X46" s="64"/>
      <c r="Y46" s="339"/>
      <c r="Z46" s="85"/>
      <c r="AA46" s="61" t="s">
        <v>43</v>
      </c>
      <c r="AB46" s="61" t="s">
        <v>45</v>
      </c>
      <c r="AC46" s="61" t="s">
        <v>46</v>
      </c>
      <c r="AD46" s="61" t="s">
        <v>42</v>
      </c>
      <c r="AE46" s="61" t="s">
        <v>41</v>
      </c>
      <c r="AF46" s="61" t="s">
        <v>44</v>
      </c>
      <c r="AG46" s="65"/>
      <c r="AH46" s="65"/>
      <c r="AI46" s="65"/>
      <c r="AJ46" s="65"/>
      <c r="AK46" s="65"/>
      <c r="AL46" s="65"/>
      <c r="AM46" s="65"/>
      <c r="AN46" s="65"/>
    </row>
    <row r="47" spans="1:40" s="19" customFormat="1" ht="12.75" hidden="1" customHeight="1">
      <c r="A47" s="51" t="s">
        <v>7</v>
      </c>
      <c r="B47" s="1">
        <f>B26+7</f>
        <v>43175</v>
      </c>
      <c r="C47" s="285">
        <v>50</v>
      </c>
      <c r="D47" s="285">
        <v>700</v>
      </c>
      <c r="E47" s="69">
        <f t="shared" ref="E47:F47" si="26">O47+Q47</f>
        <v>62</v>
      </c>
      <c r="F47" s="70">
        <f t="shared" si="26"/>
        <v>944</v>
      </c>
      <c r="G47" s="68">
        <f t="shared" ref="G47:H56" si="27">E47-C47</f>
        <v>12</v>
      </c>
      <c r="H47" s="68">
        <f t="shared" si="27"/>
        <v>244</v>
      </c>
      <c r="I47" s="70">
        <v>1</v>
      </c>
      <c r="J47" s="70">
        <v>6</v>
      </c>
      <c r="K47" s="70"/>
      <c r="L47" s="70"/>
      <c r="M47" s="70">
        <f t="shared" ref="M47:M60" si="28">I47+K47</f>
        <v>1</v>
      </c>
      <c r="N47" s="70">
        <f t="shared" ref="N47:N60" si="29">J47+L47</f>
        <v>6</v>
      </c>
      <c r="O47" s="71">
        <v>62</v>
      </c>
      <c r="P47" s="71">
        <v>944</v>
      </c>
      <c r="Q47" s="70"/>
      <c r="R47" s="70"/>
      <c r="S47" s="72"/>
      <c r="T47" s="252">
        <f>E47/C47</f>
        <v>1.24</v>
      </c>
      <c r="U47" s="73"/>
      <c r="V47" s="73"/>
      <c r="W47" s="73"/>
      <c r="X47" s="73"/>
      <c r="Y47" s="339"/>
      <c r="Z47" s="85"/>
      <c r="AA47" s="61">
        <f>H43</f>
        <v>14</v>
      </c>
      <c r="AB47" s="61" t="str">
        <f>E43</f>
        <v>FCS-RA9-014 W</v>
      </c>
      <c r="AC47" s="74" t="s">
        <v>100</v>
      </c>
      <c r="AD47" s="61" t="str">
        <f t="shared" ref="AD47:AD60" si="30">A47</f>
        <v>KR</v>
      </c>
      <c r="AE47" s="61">
        <f t="shared" ref="AE47:AE60" si="31">C47</f>
        <v>50</v>
      </c>
      <c r="AF47" s="61">
        <f t="shared" ref="AF47:AF60" si="32">E47</f>
        <v>62</v>
      </c>
      <c r="AG47" s="65"/>
      <c r="AH47" s="65"/>
      <c r="AI47" s="65"/>
      <c r="AJ47" s="65"/>
      <c r="AK47" s="65"/>
      <c r="AL47" s="65"/>
      <c r="AM47" s="65"/>
      <c r="AN47" s="65"/>
    </row>
    <row r="48" spans="1:40" s="19" customFormat="1" ht="12.75" hidden="1" customHeight="1">
      <c r="A48" s="52" t="s">
        <v>13</v>
      </c>
      <c r="B48" s="1">
        <f>B27+7</f>
        <v>43177</v>
      </c>
      <c r="C48" s="285">
        <v>100</v>
      </c>
      <c r="D48" s="285">
        <v>1400</v>
      </c>
      <c r="E48" s="69">
        <f t="shared" ref="E48:E60" si="33">O48+Q48</f>
        <v>91</v>
      </c>
      <c r="F48" s="70">
        <f t="shared" ref="F48:F60" si="34">P48+R48</f>
        <v>952</v>
      </c>
      <c r="G48" s="68">
        <f t="shared" si="27"/>
        <v>-9</v>
      </c>
      <c r="H48" s="68">
        <f t="shared" si="27"/>
        <v>-448</v>
      </c>
      <c r="I48" s="75">
        <v>2</v>
      </c>
      <c r="J48" s="75">
        <v>26</v>
      </c>
      <c r="K48" s="70">
        <v>1</v>
      </c>
      <c r="L48" s="70">
        <v>27</v>
      </c>
      <c r="M48" s="70">
        <f t="shared" si="28"/>
        <v>3</v>
      </c>
      <c r="N48" s="70">
        <f t="shared" si="29"/>
        <v>53</v>
      </c>
      <c r="O48" s="75">
        <v>91</v>
      </c>
      <c r="P48" s="75">
        <v>952</v>
      </c>
      <c r="Q48" s="71"/>
      <c r="R48" s="71"/>
      <c r="S48" s="72"/>
      <c r="T48" s="252">
        <f t="shared" ref="T48:T58" si="35">E48/C48</f>
        <v>0.91</v>
      </c>
      <c r="U48" s="73"/>
      <c r="V48" s="73"/>
      <c r="W48" s="73"/>
      <c r="X48" s="73"/>
      <c r="Y48" s="65"/>
      <c r="Z48" s="65"/>
      <c r="AA48" s="61">
        <f>H43</f>
        <v>14</v>
      </c>
      <c r="AB48" s="61" t="str">
        <f>E43</f>
        <v>FCS-RA9-014 W</v>
      </c>
      <c r="AC48" s="74" t="s">
        <v>100</v>
      </c>
      <c r="AD48" s="61" t="str">
        <f t="shared" si="30"/>
        <v>TAO</v>
      </c>
      <c r="AE48" s="61">
        <f t="shared" si="31"/>
        <v>100</v>
      </c>
      <c r="AF48" s="61">
        <f t="shared" si="32"/>
        <v>91</v>
      </c>
      <c r="AG48" s="65"/>
      <c r="AH48" s="65"/>
      <c r="AI48" s="65"/>
      <c r="AJ48" s="65"/>
      <c r="AK48" s="65"/>
      <c r="AL48" s="65"/>
      <c r="AM48" s="65"/>
      <c r="AN48" s="65"/>
    </row>
    <row r="49" spans="1:40" s="19" customFormat="1" ht="12.75" hidden="1" customHeight="1">
      <c r="A49" s="52" t="s">
        <v>9</v>
      </c>
      <c r="B49" s="1">
        <f>B28+7</f>
        <v>43179</v>
      </c>
      <c r="C49" s="285">
        <v>100</v>
      </c>
      <c r="D49" s="285">
        <v>1400</v>
      </c>
      <c r="E49" s="69">
        <f t="shared" si="33"/>
        <v>126</v>
      </c>
      <c r="F49" s="70">
        <f t="shared" si="34"/>
        <v>1498</v>
      </c>
      <c r="G49" s="68">
        <f t="shared" si="27"/>
        <v>26</v>
      </c>
      <c r="H49" s="68">
        <f t="shared" si="27"/>
        <v>98</v>
      </c>
      <c r="I49" s="75">
        <v>4</v>
      </c>
      <c r="J49" s="75">
        <v>41</v>
      </c>
      <c r="K49" s="71">
        <v>6</v>
      </c>
      <c r="L49" s="71">
        <v>108</v>
      </c>
      <c r="M49" s="70">
        <f t="shared" si="28"/>
        <v>10</v>
      </c>
      <c r="N49" s="70">
        <f t="shared" si="29"/>
        <v>149</v>
      </c>
      <c r="O49" s="75">
        <v>126</v>
      </c>
      <c r="P49" s="75">
        <v>1498</v>
      </c>
      <c r="Q49" s="71"/>
      <c r="R49" s="71"/>
      <c r="S49" s="72"/>
      <c r="T49" s="252">
        <f t="shared" si="35"/>
        <v>1.26</v>
      </c>
      <c r="U49" s="73"/>
      <c r="V49" s="73"/>
      <c r="W49" s="73"/>
      <c r="X49" s="73"/>
      <c r="Y49" s="65"/>
      <c r="Z49" s="65"/>
      <c r="AA49" s="61">
        <f>H43</f>
        <v>14</v>
      </c>
      <c r="AB49" s="61" t="str">
        <f>E43</f>
        <v>FCS-RA9-014 W</v>
      </c>
      <c r="AC49" s="74" t="s">
        <v>100</v>
      </c>
      <c r="AD49" s="61" t="str">
        <f t="shared" si="30"/>
        <v>SHA</v>
      </c>
      <c r="AE49" s="61">
        <f t="shared" si="31"/>
        <v>100</v>
      </c>
      <c r="AF49" s="61">
        <f t="shared" si="32"/>
        <v>126</v>
      </c>
      <c r="AG49" s="65"/>
      <c r="AH49" s="65"/>
      <c r="AI49" s="65"/>
      <c r="AJ49" s="65"/>
      <c r="AK49" s="65"/>
      <c r="AL49" s="65"/>
      <c r="AM49" s="65"/>
      <c r="AN49" s="65"/>
    </row>
    <row r="50" spans="1:40" s="19" customFormat="1" ht="12.75" hidden="1" customHeight="1">
      <c r="A50" s="52" t="s">
        <v>8</v>
      </c>
      <c r="B50" s="1" t="s">
        <v>67</v>
      </c>
      <c r="C50" s="285">
        <v>50</v>
      </c>
      <c r="D50" s="285">
        <v>700</v>
      </c>
      <c r="E50" s="69">
        <f t="shared" si="33"/>
        <v>9</v>
      </c>
      <c r="F50" s="70">
        <f t="shared" si="34"/>
        <v>218</v>
      </c>
      <c r="G50" s="68">
        <f t="shared" si="27"/>
        <v>-41</v>
      </c>
      <c r="H50" s="68">
        <f t="shared" si="27"/>
        <v>-482</v>
      </c>
      <c r="I50" s="71"/>
      <c r="J50" s="71"/>
      <c r="K50" s="71"/>
      <c r="L50" s="71"/>
      <c r="M50" s="70">
        <f t="shared" si="28"/>
        <v>0</v>
      </c>
      <c r="N50" s="70">
        <f t="shared" si="29"/>
        <v>0</v>
      </c>
      <c r="O50" s="71"/>
      <c r="P50" s="71"/>
      <c r="Q50" s="71">
        <v>9</v>
      </c>
      <c r="R50" s="71">
        <v>218</v>
      </c>
      <c r="S50" s="72"/>
      <c r="T50" s="252">
        <f t="shared" si="35"/>
        <v>0.18</v>
      </c>
      <c r="U50" s="73"/>
      <c r="V50" s="73"/>
      <c r="W50" s="73"/>
      <c r="X50" s="73"/>
      <c r="Y50" s="65"/>
      <c r="Z50" s="65"/>
      <c r="AA50" s="61">
        <f>H43</f>
        <v>14</v>
      </c>
      <c r="AB50" s="61" t="str">
        <f>E43</f>
        <v>FCS-RA9-014 W</v>
      </c>
      <c r="AC50" s="74" t="s">
        <v>100</v>
      </c>
      <c r="AD50" s="61" t="str">
        <f t="shared" si="30"/>
        <v>NGB</v>
      </c>
      <c r="AE50" s="61">
        <f t="shared" si="31"/>
        <v>50</v>
      </c>
      <c r="AF50" s="61">
        <f t="shared" si="32"/>
        <v>9</v>
      </c>
      <c r="AG50" s="65"/>
      <c r="AH50" s="65"/>
      <c r="AI50" s="65"/>
      <c r="AJ50" s="65"/>
      <c r="AK50" s="65"/>
      <c r="AL50" s="65"/>
      <c r="AM50" s="65"/>
      <c r="AN50" s="65"/>
    </row>
    <row r="51" spans="1:40" s="19" customFormat="1" ht="12.75" hidden="1" customHeight="1">
      <c r="A51" s="52" t="s">
        <v>10</v>
      </c>
      <c r="B51" s="1" t="s">
        <v>67</v>
      </c>
      <c r="C51" s="285">
        <v>20</v>
      </c>
      <c r="D51" s="285">
        <v>280</v>
      </c>
      <c r="E51" s="69">
        <f t="shared" si="33"/>
        <v>5</v>
      </c>
      <c r="F51" s="70">
        <f t="shared" si="34"/>
        <v>108</v>
      </c>
      <c r="G51" s="68">
        <f t="shared" si="27"/>
        <v>-15</v>
      </c>
      <c r="H51" s="68">
        <f t="shared" si="27"/>
        <v>-172</v>
      </c>
      <c r="I51" s="75"/>
      <c r="J51" s="75"/>
      <c r="K51" s="70"/>
      <c r="L51" s="70"/>
      <c r="M51" s="70">
        <f t="shared" si="28"/>
        <v>0</v>
      </c>
      <c r="N51" s="70">
        <f t="shared" si="29"/>
        <v>0</v>
      </c>
      <c r="O51" s="75">
        <v>5</v>
      </c>
      <c r="P51" s="75">
        <v>108</v>
      </c>
      <c r="Q51" s="70"/>
      <c r="R51" s="70"/>
      <c r="S51" s="72"/>
      <c r="T51" s="252">
        <f t="shared" si="35"/>
        <v>0.25</v>
      </c>
      <c r="U51" s="73"/>
      <c r="V51" s="73"/>
      <c r="W51" s="73"/>
      <c r="X51" s="73"/>
      <c r="Y51" s="65"/>
      <c r="Z51" s="65"/>
      <c r="AA51" s="61">
        <f>H43</f>
        <v>14</v>
      </c>
      <c r="AB51" s="61" t="str">
        <f>E43</f>
        <v>FCS-RA9-014 W</v>
      </c>
      <c r="AC51" s="74" t="s">
        <v>100</v>
      </c>
      <c r="AD51" s="61" t="str">
        <f t="shared" si="30"/>
        <v>WUH</v>
      </c>
      <c r="AE51" s="61">
        <f t="shared" si="31"/>
        <v>20</v>
      </c>
      <c r="AF51" s="61">
        <f t="shared" si="32"/>
        <v>5</v>
      </c>
      <c r="AG51" s="65"/>
      <c r="AH51" s="65"/>
      <c r="AI51" s="65"/>
      <c r="AJ51" s="65"/>
      <c r="AK51" s="65"/>
      <c r="AL51" s="65"/>
      <c r="AM51" s="65"/>
      <c r="AN51" s="65"/>
    </row>
    <row r="52" spans="1:40" s="19" customFormat="1" ht="12.75" hidden="1" customHeight="1">
      <c r="A52" s="52" t="s">
        <v>11</v>
      </c>
      <c r="B52" s="1" t="s">
        <v>18</v>
      </c>
      <c r="C52" s="285">
        <v>50</v>
      </c>
      <c r="D52" s="285">
        <v>700</v>
      </c>
      <c r="E52" s="69">
        <f t="shared" si="33"/>
        <v>0</v>
      </c>
      <c r="F52" s="70">
        <f t="shared" si="34"/>
        <v>0</v>
      </c>
      <c r="G52" s="68">
        <f t="shared" si="27"/>
        <v>-50</v>
      </c>
      <c r="H52" s="68">
        <f t="shared" si="27"/>
        <v>-700</v>
      </c>
      <c r="I52" s="70"/>
      <c r="J52" s="70"/>
      <c r="K52" s="70"/>
      <c r="L52" s="70"/>
      <c r="M52" s="70">
        <f t="shared" si="28"/>
        <v>0</v>
      </c>
      <c r="N52" s="70">
        <f t="shared" si="29"/>
        <v>0</v>
      </c>
      <c r="O52" s="75"/>
      <c r="P52" s="75"/>
      <c r="Q52" s="70"/>
      <c r="R52" s="70"/>
      <c r="S52" s="72"/>
      <c r="T52" s="252">
        <f t="shared" si="35"/>
        <v>0</v>
      </c>
      <c r="U52" s="73"/>
      <c r="V52" s="73"/>
      <c r="W52" s="73"/>
      <c r="X52" s="73"/>
      <c r="Y52" s="65"/>
      <c r="Z52" s="65"/>
      <c r="AA52" s="61">
        <f>H43</f>
        <v>14</v>
      </c>
      <c r="AB52" s="61" t="str">
        <f>E43</f>
        <v>FCS-RA9-014 W</v>
      </c>
      <c r="AC52" s="74" t="s">
        <v>100</v>
      </c>
      <c r="AD52" s="61" t="str">
        <f t="shared" si="30"/>
        <v>DLC</v>
      </c>
      <c r="AE52" s="61">
        <f t="shared" si="31"/>
        <v>50</v>
      </c>
      <c r="AF52" s="61">
        <f t="shared" si="32"/>
        <v>0</v>
      </c>
      <c r="AG52" s="65"/>
      <c r="AH52" s="65"/>
      <c r="AI52" s="65"/>
      <c r="AJ52" s="65"/>
      <c r="AK52" s="65"/>
      <c r="AL52" s="65"/>
      <c r="AM52" s="65"/>
      <c r="AN52" s="65"/>
    </row>
    <row r="53" spans="1:40" s="19" customFormat="1" ht="12.75" hidden="1" customHeight="1">
      <c r="A53" s="52" t="s">
        <v>12</v>
      </c>
      <c r="B53" s="1" t="s">
        <v>18</v>
      </c>
      <c r="C53" s="285">
        <v>50</v>
      </c>
      <c r="D53" s="285">
        <v>700</v>
      </c>
      <c r="E53" s="69">
        <f t="shared" si="33"/>
        <v>8</v>
      </c>
      <c r="F53" s="70">
        <f t="shared" si="34"/>
        <v>204</v>
      </c>
      <c r="G53" s="68">
        <f t="shared" si="27"/>
        <v>-42</v>
      </c>
      <c r="H53" s="68">
        <f t="shared" si="27"/>
        <v>-496</v>
      </c>
      <c r="I53" s="70"/>
      <c r="J53" s="70"/>
      <c r="K53" s="70"/>
      <c r="L53" s="70"/>
      <c r="M53" s="70">
        <f t="shared" si="28"/>
        <v>0</v>
      </c>
      <c r="N53" s="70">
        <f t="shared" si="29"/>
        <v>0</v>
      </c>
      <c r="O53" s="75"/>
      <c r="P53" s="75"/>
      <c r="Q53" s="76">
        <v>8</v>
      </c>
      <c r="R53" s="71">
        <v>204</v>
      </c>
      <c r="S53" s="72"/>
      <c r="T53" s="252">
        <f t="shared" si="35"/>
        <v>0.16</v>
      </c>
      <c r="U53" s="73"/>
      <c r="V53" s="73"/>
      <c r="W53" s="73"/>
      <c r="X53" s="73"/>
      <c r="Y53" s="65"/>
      <c r="Z53" s="65"/>
      <c r="AA53" s="61">
        <f>H43</f>
        <v>14</v>
      </c>
      <c r="AB53" s="61" t="str">
        <f>E43</f>
        <v>FCS-RA9-014 W</v>
      </c>
      <c r="AC53" s="74" t="s">
        <v>100</v>
      </c>
      <c r="AD53" s="61" t="str">
        <f t="shared" si="30"/>
        <v>TSN</v>
      </c>
      <c r="AE53" s="61">
        <f t="shared" si="31"/>
        <v>50</v>
      </c>
      <c r="AF53" s="61">
        <f t="shared" si="32"/>
        <v>8</v>
      </c>
      <c r="AG53" s="65"/>
      <c r="AH53" s="65"/>
      <c r="AI53" s="65"/>
      <c r="AJ53" s="65"/>
      <c r="AK53" s="65"/>
      <c r="AL53" s="65"/>
      <c r="AM53" s="65"/>
      <c r="AN53" s="65"/>
    </row>
    <row r="54" spans="1:40" s="19" customFormat="1" ht="12.75" hidden="1" customHeight="1">
      <c r="A54" s="52" t="s">
        <v>14</v>
      </c>
      <c r="B54" s="1" t="s">
        <v>18</v>
      </c>
      <c r="C54" s="285">
        <v>40</v>
      </c>
      <c r="D54" s="285">
        <v>560</v>
      </c>
      <c r="E54" s="69">
        <f t="shared" si="33"/>
        <v>0</v>
      </c>
      <c r="F54" s="70">
        <f t="shared" si="34"/>
        <v>0</v>
      </c>
      <c r="G54" s="68">
        <f t="shared" si="27"/>
        <v>-40</v>
      </c>
      <c r="H54" s="68">
        <f t="shared" si="27"/>
        <v>-560</v>
      </c>
      <c r="I54" s="70"/>
      <c r="J54" s="70"/>
      <c r="K54" s="70"/>
      <c r="L54" s="70"/>
      <c r="M54" s="70">
        <f t="shared" si="28"/>
        <v>0</v>
      </c>
      <c r="N54" s="70">
        <f t="shared" si="29"/>
        <v>0</v>
      </c>
      <c r="O54" s="71"/>
      <c r="P54" s="71"/>
      <c r="Q54" s="70"/>
      <c r="R54" s="70"/>
      <c r="S54" s="72"/>
      <c r="T54" s="252">
        <f t="shared" si="35"/>
        <v>0</v>
      </c>
      <c r="U54" s="73"/>
      <c r="V54" s="73"/>
      <c r="W54" s="73"/>
      <c r="X54" s="73"/>
      <c r="Y54" s="65"/>
      <c r="Z54" s="65"/>
      <c r="AA54" s="61">
        <f>H43</f>
        <v>14</v>
      </c>
      <c r="AB54" s="61" t="str">
        <f>E43</f>
        <v>FCS-RA9-014 W</v>
      </c>
      <c r="AC54" s="74" t="s">
        <v>100</v>
      </c>
      <c r="AD54" s="61" t="str">
        <f t="shared" si="30"/>
        <v>XMN</v>
      </c>
      <c r="AE54" s="61">
        <f t="shared" si="31"/>
        <v>40</v>
      </c>
      <c r="AF54" s="61">
        <f t="shared" si="32"/>
        <v>0</v>
      </c>
      <c r="AG54" s="65"/>
      <c r="AH54" s="65"/>
      <c r="AI54" s="65"/>
      <c r="AJ54" s="65"/>
      <c r="AK54" s="65"/>
      <c r="AL54" s="65"/>
      <c r="AM54" s="65"/>
      <c r="AN54" s="65"/>
    </row>
    <row r="55" spans="1:40" s="19" customFormat="1" ht="12.75" hidden="1" customHeight="1">
      <c r="A55" s="52" t="s">
        <v>19</v>
      </c>
      <c r="B55" s="1" t="s">
        <v>18</v>
      </c>
      <c r="C55" s="285">
        <v>0</v>
      </c>
      <c r="D55" s="285">
        <v>0</v>
      </c>
      <c r="E55" s="69">
        <f t="shared" si="33"/>
        <v>4</v>
      </c>
      <c r="F55" s="70">
        <f t="shared" si="34"/>
        <v>82</v>
      </c>
      <c r="G55" s="68">
        <f t="shared" si="27"/>
        <v>4</v>
      </c>
      <c r="H55" s="68">
        <f t="shared" si="27"/>
        <v>82</v>
      </c>
      <c r="I55" s="70"/>
      <c r="J55" s="70"/>
      <c r="K55" s="70"/>
      <c r="L55" s="70"/>
      <c r="M55" s="70">
        <f t="shared" si="28"/>
        <v>0</v>
      </c>
      <c r="N55" s="70">
        <f t="shared" si="29"/>
        <v>0</v>
      </c>
      <c r="O55" s="70"/>
      <c r="P55" s="70"/>
      <c r="Q55" s="70">
        <v>4</v>
      </c>
      <c r="R55" s="70">
        <v>82</v>
      </c>
      <c r="S55" s="72"/>
      <c r="T55" s="252" t="e">
        <f t="shared" si="35"/>
        <v>#DIV/0!</v>
      </c>
      <c r="U55" s="73"/>
      <c r="V55" s="73"/>
      <c r="W55" s="73"/>
      <c r="X55" s="73"/>
      <c r="Y55" s="65"/>
      <c r="Z55" s="65"/>
      <c r="AA55" s="61">
        <f>H43</f>
        <v>14</v>
      </c>
      <c r="AB55" s="61" t="str">
        <f>E43</f>
        <v>FCS-RA9-014 W</v>
      </c>
      <c r="AC55" s="74" t="s">
        <v>100</v>
      </c>
      <c r="AD55" s="61" t="str">
        <f t="shared" si="30"/>
        <v>TWC</v>
      </c>
      <c r="AE55" s="61">
        <f t="shared" si="31"/>
        <v>0</v>
      </c>
      <c r="AF55" s="61">
        <f t="shared" si="32"/>
        <v>4</v>
      </c>
      <c r="AG55" s="65"/>
      <c r="AH55" s="65"/>
      <c r="AI55" s="65"/>
      <c r="AJ55" s="65"/>
      <c r="AK55" s="65"/>
      <c r="AL55" s="65"/>
      <c r="AM55" s="65"/>
      <c r="AN55" s="65"/>
    </row>
    <row r="56" spans="1:40" s="19" customFormat="1" ht="12.75" hidden="1" customHeight="1">
      <c r="A56" s="52" t="s">
        <v>16</v>
      </c>
      <c r="B56" s="1">
        <f>B35+7</f>
        <v>43182</v>
      </c>
      <c r="C56" s="68">
        <v>150</v>
      </c>
      <c r="D56" s="68">
        <v>2100</v>
      </c>
      <c r="E56" s="69">
        <f t="shared" si="33"/>
        <v>194</v>
      </c>
      <c r="F56" s="70">
        <f t="shared" si="34"/>
        <v>1307</v>
      </c>
      <c r="G56" s="68">
        <f t="shared" si="27"/>
        <v>44</v>
      </c>
      <c r="H56" s="68">
        <f t="shared" si="27"/>
        <v>-793</v>
      </c>
      <c r="I56" s="70"/>
      <c r="J56" s="70"/>
      <c r="K56" s="70"/>
      <c r="L56" s="70"/>
      <c r="M56" s="70">
        <f t="shared" si="28"/>
        <v>0</v>
      </c>
      <c r="N56" s="70">
        <f t="shared" si="29"/>
        <v>0</v>
      </c>
      <c r="O56" s="70"/>
      <c r="P56" s="70"/>
      <c r="Q56" s="70">
        <v>194</v>
      </c>
      <c r="R56" s="84">
        <v>1307</v>
      </c>
      <c r="S56" s="72"/>
      <c r="T56" s="252">
        <f t="shared" si="35"/>
        <v>1.2933333333333332</v>
      </c>
      <c r="U56" s="73"/>
      <c r="V56" s="73"/>
      <c r="W56" s="73"/>
      <c r="X56" s="73"/>
      <c r="Y56" s="65"/>
      <c r="Z56" s="65"/>
      <c r="AA56" s="61">
        <f>H43</f>
        <v>14</v>
      </c>
      <c r="AB56" s="61" t="str">
        <f>E43</f>
        <v>FCS-RA9-014 W</v>
      </c>
      <c r="AC56" s="74" t="s">
        <v>100</v>
      </c>
      <c r="AD56" s="61" t="str">
        <f t="shared" si="30"/>
        <v>HUA</v>
      </c>
      <c r="AE56" s="61">
        <f t="shared" si="31"/>
        <v>150</v>
      </c>
      <c r="AF56" s="61">
        <f t="shared" si="32"/>
        <v>194</v>
      </c>
      <c r="AG56" s="65"/>
      <c r="AH56" s="65"/>
      <c r="AI56" s="65"/>
      <c r="AJ56" s="65"/>
      <c r="AK56" s="65"/>
      <c r="AL56" s="65"/>
      <c r="AM56" s="65"/>
      <c r="AN56" s="65"/>
    </row>
    <row r="57" spans="1:40" s="19" customFormat="1" ht="12.75" hidden="1" customHeight="1">
      <c r="A57" s="52" t="s">
        <v>2</v>
      </c>
      <c r="B57" s="26"/>
      <c r="C57" s="68"/>
      <c r="D57" s="68"/>
      <c r="E57" s="69">
        <f t="shared" si="33"/>
        <v>0</v>
      </c>
      <c r="F57" s="70">
        <f t="shared" si="34"/>
        <v>0</v>
      </c>
      <c r="G57" s="68"/>
      <c r="H57" s="68"/>
      <c r="I57" s="70"/>
      <c r="J57" s="70"/>
      <c r="K57" s="70"/>
      <c r="L57" s="70"/>
      <c r="M57" s="70">
        <f t="shared" si="28"/>
        <v>0</v>
      </c>
      <c r="N57" s="70">
        <f t="shared" si="29"/>
        <v>0</v>
      </c>
      <c r="O57" s="70"/>
      <c r="P57" s="70"/>
      <c r="Q57" s="70"/>
      <c r="R57" s="70"/>
      <c r="S57" s="72"/>
      <c r="T57" s="252" t="e">
        <f t="shared" si="35"/>
        <v>#DIV/0!</v>
      </c>
      <c r="U57" s="73"/>
      <c r="V57" s="73"/>
      <c r="W57" s="73"/>
      <c r="X57" s="73"/>
      <c r="Y57" s="65"/>
      <c r="Z57" s="65"/>
      <c r="AA57" s="61">
        <f>H43</f>
        <v>14</v>
      </c>
      <c r="AB57" s="61" t="str">
        <f>E43</f>
        <v>FCS-RA9-014 W</v>
      </c>
      <c r="AC57" s="74" t="s">
        <v>100</v>
      </c>
      <c r="AD57" s="61" t="str">
        <f t="shared" si="30"/>
        <v>HKG</v>
      </c>
      <c r="AE57" s="61">
        <f t="shared" si="31"/>
        <v>0</v>
      </c>
      <c r="AF57" s="61">
        <f t="shared" si="32"/>
        <v>0</v>
      </c>
      <c r="AG57" s="65"/>
      <c r="AH57" s="65"/>
      <c r="AI57" s="65"/>
      <c r="AJ57" s="65"/>
      <c r="AK57" s="65"/>
      <c r="AL57" s="65"/>
      <c r="AM57" s="65"/>
      <c r="AN57" s="65"/>
    </row>
    <row r="58" spans="1:40" s="19" customFormat="1" ht="12.75" hidden="1" customHeight="1">
      <c r="A58" s="52" t="s">
        <v>3</v>
      </c>
      <c r="B58" s="1">
        <f>B37+7</f>
        <v>43188</v>
      </c>
      <c r="C58" s="68">
        <v>60</v>
      </c>
      <c r="D58" s="68">
        <v>840</v>
      </c>
      <c r="E58" s="69">
        <f t="shared" si="33"/>
        <v>50</v>
      </c>
      <c r="F58" s="70">
        <f t="shared" si="34"/>
        <v>700</v>
      </c>
      <c r="G58" s="68">
        <f t="shared" ref="G58:H61" si="36">E58-C58</f>
        <v>-10</v>
      </c>
      <c r="H58" s="68">
        <f t="shared" si="36"/>
        <v>-140</v>
      </c>
      <c r="I58" s="70"/>
      <c r="J58" s="70"/>
      <c r="K58" s="70">
        <v>20</v>
      </c>
      <c r="L58" s="70">
        <v>301</v>
      </c>
      <c r="M58" s="70">
        <f t="shared" si="28"/>
        <v>20</v>
      </c>
      <c r="N58" s="70">
        <f t="shared" si="29"/>
        <v>301</v>
      </c>
      <c r="O58" s="68"/>
      <c r="P58" s="68"/>
      <c r="Q58" s="70">
        <v>50</v>
      </c>
      <c r="R58" s="70">
        <v>700</v>
      </c>
      <c r="S58" s="72"/>
      <c r="T58" s="252">
        <f t="shared" si="35"/>
        <v>0.83333333333333337</v>
      </c>
      <c r="U58" s="73"/>
      <c r="V58" s="73"/>
      <c r="W58" s="73"/>
      <c r="X58" s="73"/>
      <c r="Y58" s="65"/>
      <c r="Z58" s="65"/>
      <c r="AA58" s="61">
        <f>H43</f>
        <v>14</v>
      </c>
      <c r="AB58" s="61" t="str">
        <f>E43</f>
        <v>FCS-RA9-014 W</v>
      </c>
      <c r="AC58" s="74" t="s">
        <v>100</v>
      </c>
      <c r="AD58" s="61" t="str">
        <f t="shared" si="30"/>
        <v>SGP</v>
      </c>
      <c r="AE58" s="61">
        <f t="shared" si="31"/>
        <v>60</v>
      </c>
      <c r="AF58" s="61">
        <f t="shared" si="32"/>
        <v>50</v>
      </c>
      <c r="AG58" s="65"/>
      <c r="AH58" s="65"/>
      <c r="AI58" s="65"/>
      <c r="AJ58" s="65"/>
      <c r="AK58" s="65"/>
      <c r="AL58" s="65"/>
      <c r="AM58" s="65"/>
      <c r="AN58" s="65"/>
    </row>
    <row r="59" spans="1:40" s="19" customFormat="1" ht="12.75" hidden="1" customHeight="1">
      <c r="A59" s="52" t="s">
        <v>4</v>
      </c>
      <c r="B59" s="1">
        <f>B38+7</f>
        <v>43190</v>
      </c>
      <c r="C59" s="68">
        <v>40</v>
      </c>
      <c r="D59" s="68">
        <v>420</v>
      </c>
      <c r="E59" s="69">
        <f t="shared" si="33"/>
        <v>30</v>
      </c>
      <c r="F59" s="70">
        <f t="shared" si="34"/>
        <v>420</v>
      </c>
      <c r="G59" s="68">
        <f t="shared" si="36"/>
        <v>-10</v>
      </c>
      <c r="H59" s="68">
        <f t="shared" si="36"/>
        <v>0</v>
      </c>
      <c r="I59" s="70"/>
      <c r="J59" s="70"/>
      <c r="K59" s="70"/>
      <c r="L59" s="70"/>
      <c r="M59" s="70">
        <f t="shared" si="28"/>
        <v>0</v>
      </c>
      <c r="N59" s="70">
        <f t="shared" si="29"/>
        <v>0</v>
      </c>
      <c r="O59" s="70"/>
      <c r="P59" s="70"/>
      <c r="Q59" s="70">
        <v>30</v>
      </c>
      <c r="R59" s="70">
        <v>420</v>
      </c>
      <c r="S59" s="72"/>
      <c r="T59" s="252">
        <f>E59/C59</f>
        <v>0.75</v>
      </c>
      <c r="U59" s="73"/>
      <c r="V59" s="73"/>
      <c r="W59" s="73"/>
      <c r="X59" s="73"/>
      <c r="Y59" s="65"/>
      <c r="Z59" s="65"/>
      <c r="AA59" s="61">
        <f>H43</f>
        <v>14</v>
      </c>
      <c r="AB59" s="61" t="str">
        <f>E43</f>
        <v>FCS-RA9-014 W</v>
      </c>
      <c r="AC59" s="74" t="s">
        <v>100</v>
      </c>
      <c r="AD59" s="61" t="str">
        <f t="shared" si="30"/>
        <v>PKL</v>
      </c>
      <c r="AE59" s="61">
        <f t="shared" si="31"/>
        <v>40</v>
      </c>
      <c r="AF59" s="61">
        <f t="shared" si="32"/>
        <v>30</v>
      </c>
      <c r="AG59" s="65"/>
      <c r="AH59" s="65"/>
      <c r="AI59" s="65"/>
      <c r="AJ59" s="65"/>
      <c r="AK59" s="65"/>
      <c r="AL59" s="65"/>
      <c r="AM59" s="65"/>
      <c r="AN59" s="65"/>
    </row>
    <row r="60" spans="1:40" s="19" customFormat="1" ht="12.75" hidden="1" customHeight="1">
      <c r="A60" s="52" t="s">
        <v>15</v>
      </c>
      <c r="B60" s="46"/>
      <c r="C60" s="68"/>
      <c r="D60" s="68"/>
      <c r="E60" s="69">
        <f t="shared" si="33"/>
        <v>107</v>
      </c>
      <c r="F60" s="70">
        <f t="shared" si="34"/>
        <v>1573</v>
      </c>
      <c r="G60" s="68">
        <f t="shared" si="36"/>
        <v>107</v>
      </c>
      <c r="H60" s="68">
        <f t="shared" si="36"/>
        <v>1573</v>
      </c>
      <c r="I60" s="70"/>
      <c r="J60" s="70"/>
      <c r="K60" s="70"/>
      <c r="L60" s="70"/>
      <c r="M60" s="70">
        <f t="shared" si="28"/>
        <v>0</v>
      </c>
      <c r="N60" s="70">
        <f t="shared" si="29"/>
        <v>0</v>
      </c>
      <c r="O60" s="71"/>
      <c r="P60" s="71"/>
      <c r="Q60" s="71">
        <v>107</v>
      </c>
      <c r="R60" s="71">
        <v>1573</v>
      </c>
      <c r="S60" s="72"/>
      <c r="T60" s="73"/>
      <c r="U60" s="73"/>
      <c r="V60" s="73"/>
      <c r="W60" s="73"/>
      <c r="X60" s="73"/>
      <c r="Y60" s="65"/>
      <c r="Z60" s="65"/>
      <c r="AA60" s="61">
        <f>H43</f>
        <v>14</v>
      </c>
      <c r="AB60" s="61" t="str">
        <f>E43</f>
        <v>FCS-RA9-014 W</v>
      </c>
      <c r="AC60" s="74" t="s">
        <v>100</v>
      </c>
      <c r="AD60" s="61" t="str">
        <f t="shared" si="30"/>
        <v>T/S</v>
      </c>
      <c r="AE60" s="61">
        <f t="shared" si="31"/>
        <v>0</v>
      </c>
      <c r="AF60" s="61">
        <f t="shared" si="32"/>
        <v>107</v>
      </c>
      <c r="AG60" s="65"/>
      <c r="AH60" s="65"/>
      <c r="AI60" s="65"/>
      <c r="AJ60" s="65"/>
      <c r="AK60" s="65"/>
      <c r="AL60" s="65"/>
      <c r="AM60" s="65"/>
      <c r="AN60" s="65"/>
    </row>
    <row r="61" spans="1:40" s="19" customFormat="1" ht="12.75" hidden="1" customHeight="1">
      <c r="A61" s="51" t="s">
        <v>36</v>
      </c>
      <c r="B61" s="47"/>
      <c r="C61" s="71">
        <v>735</v>
      </c>
      <c r="D61" s="71">
        <v>10290</v>
      </c>
      <c r="E61" s="78">
        <f>SUM(E47:E60)</f>
        <v>686</v>
      </c>
      <c r="F61" s="76">
        <f>SUM(F47:F60)</f>
        <v>8006</v>
      </c>
      <c r="G61" s="71">
        <f t="shared" si="36"/>
        <v>-49</v>
      </c>
      <c r="H61" s="71">
        <f t="shared" si="36"/>
        <v>-2284</v>
      </c>
      <c r="I61" s="70">
        <f t="shared" ref="I61:L61" si="37">SUM(I47:I60)</f>
        <v>7</v>
      </c>
      <c r="J61" s="70">
        <f t="shared" si="37"/>
        <v>73</v>
      </c>
      <c r="K61" s="70">
        <f t="shared" si="37"/>
        <v>27</v>
      </c>
      <c r="L61" s="70">
        <f t="shared" si="37"/>
        <v>436</v>
      </c>
      <c r="M61" s="70"/>
      <c r="N61" s="70"/>
      <c r="O61" s="70">
        <f t="shared" ref="O61:R61" si="38">SUM(O47:O60)</f>
        <v>284</v>
      </c>
      <c r="P61" s="70">
        <f t="shared" si="38"/>
        <v>3502</v>
      </c>
      <c r="Q61" s="70">
        <f t="shared" si="38"/>
        <v>402</v>
      </c>
      <c r="R61" s="70">
        <f t="shared" si="38"/>
        <v>4504</v>
      </c>
      <c r="S61" s="72"/>
      <c r="T61" s="73"/>
      <c r="U61" s="73"/>
      <c r="V61" s="73"/>
      <c r="W61" s="73"/>
      <c r="X61" s="73"/>
      <c r="Y61" s="65"/>
      <c r="Z61" s="65"/>
      <c r="AA61" s="61"/>
      <c r="AB61" s="61"/>
      <c r="AC61" s="61"/>
      <c r="AD61" s="61"/>
      <c r="AE61" s="61"/>
      <c r="AF61" s="61"/>
      <c r="AG61" s="65"/>
      <c r="AH61" s="65"/>
      <c r="AI61" s="65"/>
      <c r="AJ61" s="65"/>
      <c r="AK61" s="65"/>
      <c r="AL61" s="65"/>
      <c r="AM61" s="65"/>
      <c r="AN61" s="65"/>
    </row>
    <row r="62" spans="1:40" s="65" customFormat="1" ht="12.75" hidden="1" customHeight="1">
      <c r="A62" s="84">
        <f>D61/C61</f>
        <v>14</v>
      </c>
      <c r="C62" s="79">
        <f>F61-E62</f>
        <v>-1255</v>
      </c>
      <c r="E62" s="65">
        <f>D61*0.9</f>
        <v>9261</v>
      </c>
      <c r="F62" s="79">
        <f>E61-L62</f>
        <v>24.5</v>
      </c>
      <c r="I62" s="80" t="s">
        <v>48</v>
      </c>
      <c r="J62" s="245">
        <f>E61/C61</f>
        <v>0.93333333333333335</v>
      </c>
      <c r="K62" s="80"/>
      <c r="L62" s="80">
        <f>C61*0.9</f>
        <v>661.5</v>
      </c>
      <c r="M62" s="80"/>
      <c r="N62" s="80"/>
      <c r="O62" s="80" t="s">
        <v>49</v>
      </c>
      <c r="P62" s="80"/>
      <c r="Q62" s="65">
        <f>P48+P49+P51+P52+P53+J48+J49+L48+L49+J51+R51+J47+P47</f>
        <v>3710</v>
      </c>
      <c r="R62" s="65">
        <v>5526</v>
      </c>
      <c r="AA62" s="81"/>
      <c r="AB62" s="81"/>
      <c r="AC62" s="81"/>
      <c r="AD62" s="81"/>
      <c r="AE62" s="81"/>
      <c r="AF62" s="81"/>
    </row>
    <row r="63" spans="1:40" hidden="1">
      <c r="A63" s="50"/>
      <c r="B63" s="50"/>
    </row>
    <row r="64" spans="1:40" s="63" customFormat="1" ht="12.75" customHeight="1">
      <c r="A64" s="59" t="s">
        <v>95</v>
      </c>
      <c r="B64" s="58" t="s">
        <v>479</v>
      </c>
      <c r="C64" s="56"/>
      <c r="D64" s="57"/>
      <c r="E64" s="58" t="s">
        <v>554</v>
      </c>
      <c r="F64" s="57"/>
      <c r="G64" s="59" t="s">
        <v>37</v>
      </c>
      <c r="H64" s="60">
        <f>H43+1</f>
        <v>15</v>
      </c>
      <c r="I64" s="57"/>
      <c r="J64" s="57"/>
      <c r="K64" s="57"/>
      <c r="L64" s="57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2"/>
      <c r="Z64" s="62"/>
      <c r="AA64" s="62"/>
      <c r="AB64" s="62"/>
      <c r="AC64" s="62"/>
    </row>
    <row r="65" spans="1:32" s="65" customFormat="1" ht="12.75" customHeight="1">
      <c r="A65" s="340" t="s">
        <v>0</v>
      </c>
      <c r="B65" s="336" t="s">
        <v>1</v>
      </c>
      <c r="C65" s="331" t="s">
        <v>25</v>
      </c>
      <c r="D65" s="332"/>
      <c r="E65" s="331" t="s">
        <v>21</v>
      </c>
      <c r="F65" s="332"/>
      <c r="G65" s="335" t="s">
        <v>24</v>
      </c>
      <c r="H65" s="335"/>
      <c r="I65" s="328" t="s">
        <v>33</v>
      </c>
      <c r="J65" s="329"/>
      <c r="K65" s="329"/>
      <c r="L65" s="329"/>
      <c r="M65" s="329"/>
      <c r="N65" s="330"/>
      <c r="O65" s="331" t="s">
        <v>22</v>
      </c>
      <c r="P65" s="332"/>
      <c r="Q65" s="335" t="s">
        <v>23</v>
      </c>
      <c r="R65" s="335"/>
      <c r="S65" s="336" t="s">
        <v>27</v>
      </c>
      <c r="T65" s="64"/>
      <c r="U65" s="64"/>
      <c r="V65" s="64"/>
      <c r="W65" s="64"/>
      <c r="X65" s="64"/>
      <c r="Y65" s="339"/>
      <c r="Z65" s="244"/>
      <c r="AA65" s="61"/>
      <c r="AB65" s="61"/>
      <c r="AC65" s="74"/>
      <c r="AD65" s="61"/>
      <c r="AE65" s="61"/>
      <c r="AF65" s="61"/>
    </row>
    <row r="66" spans="1:32" s="65" customFormat="1" ht="12.75" customHeight="1">
      <c r="A66" s="341"/>
      <c r="B66" s="337"/>
      <c r="C66" s="333"/>
      <c r="D66" s="334"/>
      <c r="E66" s="333"/>
      <c r="F66" s="334"/>
      <c r="G66" s="335"/>
      <c r="H66" s="335"/>
      <c r="I66" s="240" t="s">
        <v>28</v>
      </c>
      <c r="J66" s="241" t="s">
        <v>3</v>
      </c>
      <c r="K66" s="240" t="s">
        <v>29</v>
      </c>
      <c r="L66" s="241" t="s">
        <v>4</v>
      </c>
      <c r="M66" s="328" t="s">
        <v>30</v>
      </c>
      <c r="N66" s="330"/>
      <c r="O66" s="333"/>
      <c r="P66" s="334"/>
      <c r="Q66" s="335"/>
      <c r="R66" s="335"/>
      <c r="S66" s="337"/>
      <c r="T66" s="64"/>
      <c r="U66" s="64"/>
      <c r="V66" s="64"/>
      <c r="W66" s="64"/>
      <c r="X66" s="64"/>
      <c r="Y66" s="339"/>
      <c r="Z66" s="244"/>
      <c r="AA66" s="61"/>
      <c r="AB66" s="61"/>
      <c r="AC66" s="74"/>
      <c r="AD66" s="61"/>
      <c r="AE66" s="61"/>
      <c r="AF66" s="61"/>
    </row>
    <row r="67" spans="1:32" s="65" customFormat="1" ht="12.75" customHeight="1">
      <c r="A67" s="342"/>
      <c r="B67" s="338"/>
      <c r="C67" s="242" t="s">
        <v>5</v>
      </c>
      <c r="D67" s="242" t="s">
        <v>6</v>
      </c>
      <c r="E67" s="241" t="s">
        <v>5</v>
      </c>
      <c r="F67" s="242" t="s">
        <v>6</v>
      </c>
      <c r="G67" s="242" t="s">
        <v>5</v>
      </c>
      <c r="H67" s="242" t="s">
        <v>6</v>
      </c>
      <c r="I67" s="241" t="s">
        <v>5</v>
      </c>
      <c r="J67" s="242" t="s">
        <v>6</v>
      </c>
      <c r="K67" s="241" t="s">
        <v>5</v>
      </c>
      <c r="L67" s="242" t="s">
        <v>6</v>
      </c>
      <c r="M67" s="242"/>
      <c r="N67" s="242"/>
      <c r="O67" s="241" t="s">
        <v>5</v>
      </c>
      <c r="P67" s="242" t="s">
        <v>6</v>
      </c>
      <c r="Q67" s="242" t="s">
        <v>5</v>
      </c>
      <c r="R67" s="242" t="s">
        <v>6</v>
      </c>
      <c r="S67" s="338"/>
      <c r="T67" s="64"/>
      <c r="U67" s="64"/>
      <c r="V67" s="64"/>
      <c r="W67" s="64"/>
      <c r="X67" s="64"/>
      <c r="Y67" s="339"/>
      <c r="Z67" s="244"/>
      <c r="AA67" s="61" t="s">
        <v>43</v>
      </c>
      <c r="AB67" s="61" t="s">
        <v>45</v>
      </c>
      <c r="AC67" s="61" t="s">
        <v>46</v>
      </c>
      <c r="AD67" s="61" t="s">
        <v>42</v>
      </c>
      <c r="AE67" s="61" t="s">
        <v>41</v>
      </c>
      <c r="AF67" s="61" t="s">
        <v>44</v>
      </c>
    </row>
    <row r="68" spans="1:32" s="65" customFormat="1" ht="12.75" customHeight="1">
      <c r="A68" s="51" t="s">
        <v>7</v>
      </c>
      <c r="B68" s="1">
        <f>B47+7</f>
        <v>43182</v>
      </c>
      <c r="C68" s="285">
        <v>50</v>
      </c>
      <c r="D68" s="285">
        <v>700</v>
      </c>
      <c r="E68" s="69">
        <f t="shared" ref="E68:E81" si="39">O68+Q68</f>
        <v>62</v>
      </c>
      <c r="F68" s="70">
        <f t="shared" ref="F68:F81" si="40">P68+R68</f>
        <v>740</v>
      </c>
      <c r="G68" s="242">
        <f t="shared" ref="G68:G77" si="41">E68-C68</f>
        <v>12</v>
      </c>
      <c r="H68" s="242">
        <f t="shared" ref="H68:H77" si="42">F68-D68</f>
        <v>40</v>
      </c>
      <c r="I68" s="70"/>
      <c r="J68" s="70"/>
      <c r="K68" s="70"/>
      <c r="L68" s="70"/>
      <c r="M68" s="70">
        <f t="shared" ref="M68:M81" si="43">I68+K68</f>
        <v>0</v>
      </c>
      <c r="N68" s="70">
        <f t="shared" ref="N68:N81" si="44">J68+L68</f>
        <v>0</v>
      </c>
      <c r="O68" s="71">
        <v>62</v>
      </c>
      <c r="P68" s="71">
        <v>740</v>
      </c>
      <c r="Q68" s="70"/>
      <c r="R68" s="70"/>
      <c r="S68" s="72"/>
      <c r="T68" s="252">
        <f>E68/C68</f>
        <v>1.24</v>
      </c>
      <c r="U68" s="73"/>
      <c r="V68" s="73"/>
      <c r="W68" s="73"/>
      <c r="X68" s="73"/>
      <c r="Y68" s="339"/>
      <c r="Z68" s="244"/>
      <c r="AA68" s="61">
        <f>H64</f>
        <v>15</v>
      </c>
      <c r="AB68" s="61" t="str">
        <f>E64</f>
        <v>FCS-RYK-043 W</v>
      </c>
      <c r="AC68" s="74" t="s">
        <v>100</v>
      </c>
      <c r="AD68" s="61" t="str">
        <f t="shared" ref="AD68:AD81" si="45">A68</f>
        <v>KR</v>
      </c>
      <c r="AE68" s="61">
        <f t="shared" ref="AE68:AE81" si="46">C68</f>
        <v>50</v>
      </c>
      <c r="AF68" s="61">
        <f t="shared" ref="AF68:AF81" si="47">E68</f>
        <v>62</v>
      </c>
    </row>
    <row r="69" spans="1:32" s="65" customFormat="1" ht="12.75" customHeight="1">
      <c r="A69" s="52" t="s">
        <v>13</v>
      </c>
      <c r="B69" s="1">
        <f>B48+7</f>
        <v>43184</v>
      </c>
      <c r="C69" s="285">
        <v>100</v>
      </c>
      <c r="D69" s="285">
        <v>1400</v>
      </c>
      <c r="E69" s="69">
        <f t="shared" si="39"/>
        <v>76</v>
      </c>
      <c r="F69" s="70">
        <f t="shared" si="40"/>
        <v>622</v>
      </c>
      <c r="G69" s="242">
        <f t="shared" si="41"/>
        <v>-24</v>
      </c>
      <c r="H69" s="242">
        <f t="shared" si="42"/>
        <v>-778</v>
      </c>
      <c r="I69" s="75">
        <v>60</v>
      </c>
      <c r="J69" s="75">
        <v>895</v>
      </c>
      <c r="K69" s="70"/>
      <c r="L69" s="70"/>
      <c r="M69" s="70">
        <f t="shared" si="43"/>
        <v>60</v>
      </c>
      <c r="N69" s="70">
        <f t="shared" si="44"/>
        <v>895</v>
      </c>
      <c r="O69" s="75">
        <f>56+20</f>
        <v>76</v>
      </c>
      <c r="P69" s="75">
        <v>622</v>
      </c>
      <c r="Q69" s="71"/>
      <c r="R69" s="71"/>
      <c r="S69" s="72"/>
      <c r="T69" s="252">
        <f t="shared" ref="T69:T79" si="48">E69/C69</f>
        <v>0.76</v>
      </c>
      <c r="U69" s="73"/>
      <c r="V69" s="73"/>
      <c r="W69" s="73"/>
      <c r="X69" s="73"/>
      <c r="AA69" s="61">
        <f>H64</f>
        <v>15</v>
      </c>
      <c r="AB69" s="61" t="str">
        <f>E64</f>
        <v>FCS-RYK-043 W</v>
      </c>
      <c r="AC69" s="74" t="s">
        <v>100</v>
      </c>
      <c r="AD69" s="61" t="str">
        <f t="shared" si="45"/>
        <v>TAO</v>
      </c>
      <c r="AE69" s="61">
        <f t="shared" si="46"/>
        <v>100</v>
      </c>
      <c r="AF69" s="61">
        <f t="shared" si="47"/>
        <v>76</v>
      </c>
    </row>
    <row r="70" spans="1:32" s="65" customFormat="1" ht="12.75" customHeight="1">
      <c r="A70" s="52" t="s">
        <v>9</v>
      </c>
      <c r="B70" s="1">
        <f>B49+7</f>
        <v>43186</v>
      </c>
      <c r="C70" s="285">
        <v>100</v>
      </c>
      <c r="D70" s="285">
        <v>1400</v>
      </c>
      <c r="E70" s="69">
        <f t="shared" si="39"/>
        <v>127</v>
      </c>
      <c r="F70" s="70">
        <f t="shared" si="40"/>
        <v>900</v>
      </c>
      <c r="G70" s="242">
        <f t="shared" si="41"/>
        <v>27</v>
      </c>
      <c r="H70" s="242">
        <f t="shared" si="42"/>
        <v>-500</v>
      </c>
      <c r="I70" s="75">
        <v>1</v>
      </c>
      <c r="J70" s="75">
        <v>7</v>
      </c>
      <c r="K70" s="71"/>
      <c r="L70" s="71"/>
      <c r="M70" s="70">
        <f t="shared" si="43"/>
        <v>1</v>
      </c>
      <c r="N70" s="70">
        <f t="shared" si="44"/>
        <v>7</v>
      </c>
      <c r="O70" s="75">
        <f>65+62</f>
        <v>127</v>
      </c>
      <c r="P70" s="75">
        <v>900</v>
      </c>
      <c r="Q70" s="71"/>
      <c r="R70" s="71"/>
      <c r="S70" s="72"/>
      <c r="T70" s="252">
        <f t="shared" si="48"/>
        <v>1.27</v>
      </c>
      <c r="U70" s="73"/>
      <c r="V70" s="73"/>
      <c r="W70" s="73"/>
      <c r="X70" s="73"/>
      <c r="AA70" s="61">
        <f>H64</f>
        <v>15</v>
      </c>
      <c r="AB70" s="61" t="str">
        <f>E64</f>
        <v>FCS-RYK-043 W</v>
      </c>
      <c r="AC70" s="74" t="s">
        <v>100</v>
      </c>
      <c r="AD70" s="61" t="str">
        <f t="shared" si="45"/>
        <v>SHA</v>
      </c>
      <c r="AE70" s="61">
        <f t="shared" si="46"/>
        <v>100</v>
      </c>
      <c r="AF70" s="61">
        <f t="shared" si="47"/>
        <v>127</v>
      </c>
    </row>
    <row r="71" spans="1:32" s="65" customFormat="1" ht="12.75" customHeight="1">
      <c r="A71" s="52" t="s">
        <v>8</v>
      </c>
      <c r="B71" s="1" t="s">
        <v>20</v>
      </c>
      <c r="C71" s="285">
        <v>50</v>
      </c>
      <c r="D71" s="285">
        <v>700</v>
      </c>
      <c r="E71" s="69">
        <f t="shared" si="39"/>
        <v>4</v>
      </c>
      <c r="F71" s="70">
        <f t="shared" si="40"/>
        <v>48</v>
      </c>
      <c r="G71" s="242">
        <f t="shared" si="41"/>
        <v>-46</v>
      </c>
      <c r="H71" s="242">
        <f t="shared" si="42"/>
        <v>-652</v>
      </c>
      <c r="I71" s="71"/>
      <c r="J71" s="71"/>
      <c r="K71" s="71"/>
      <c r="L71" s="71"/>
      <c r="M71" s="70">
        <f t="shared" si="43"/>
        <v>0</v>
      </c>
      <c r="N71" s="70">
        <f t="shared" si="44"/>
        <v>0</v>
      </c>
      <c r="O71" s="71"/>
      <c r="P71" s="71"/>
      <c r="Q71" s="71">
        <v>4</v>
      </c>
      <c r="R71" s="71">
        <v>48</v>
      </c>
      <c r="S71" s="72"/>
      <c r="T71" s="252">
        <f t="shared" si="48"/>
        <v>0.08</v>
      </c>
      <c r="U71" s="73"/>
      <c r="V71" s="73"/>
      <c r="W71" s="73"/>
      <c r="X71" s="73"/>
      <c r="AA71" s="61">
        <f>H64</f>
        <v>15</v>
      </c>
      <c r="AB71" s="61" t="str">
        <f>E64</f>
        <v>FCS-RYK-043 W</v>
      </c>
      <c r="AC71" s="74" t="s">
        <v>100</v>
      </c>
      <c r="AD71" s="61" t="str">
        <f t="shared" si="45"/>
        <v>NGB</v>
      </c>
      <c r="AE71" s="61">
        <f t="shared" si="46"/>
        <v>50</v>
      </c>
      <c r="AF71" s="61">
        <f t="shared" si="47"/>
        <v>4</v>
      </c>
    </row>
    <row r="72" spans="1:32" s="65" customFormat="1" ht="12.75" customHeight="1">
      <c r="A72" s="52" t="s">
        <v>10</v>
      </c>
      <c r="B72" s="1" t="s">
        <v>20</v>
      </c>
      <c r="C72" s="285">
        <v>20</v>
      </c>
      <c r="D72" s="285">
        <v>280</v>
      </c>
      <c r="E72" s="69">
        <f t="shared" si="39"/>
        <v>9</v>
      </c>
      <c r="F72" s="70">
        <f t="shared" si="40"/>
        <v>175</v>
      </c>
      <c r="G72" s="242">
        <f t="shared" si="41"/>
        <v>-11</v>
      </c>
      <c r="H72" s="242">
        <f t="shared" si="42"/>
        <v>-105</v>
      </c>
      <c r="I72" s="75"/>
      <c r="J72" s="75"/>
      <c r="K72" s="70"/>
      <c r="L72" s="70"/>
      <c r="M72" s="70">
        <f t="shared" si="43"/>
        <v>0</v>
      </c>
      <c r="N72" s="70">
        <f t="shared" si="44"/>
        <v>0</v>
      </c>
      <c r="O72" s="75">
        <v>9</v>
      </c>
      <c r="P72" s="75">
        <v>175</v>
      </c>
      <c r="Q72" s="70"/>
      <c r="R72" s="70"/>
      <c r="S72" s="72"/>
      <c r="T72" s="252">
        <f t="shared" si="48"/>
        <v>0.45</v>
      </c>
      <c r="U72" s="73"/>
      <c r="V72" s="73"/>
      <c r="W72" s="73"/>
      <c r="X72" s="73"/>
      <c r="AA72" s="61">
        <f>H64</f>
        <v>15</v>
      </c>
      <c r="AB72" s="61" t="str">
        <f>E64</f>
        <v>FCS-RYK-043 W</v>
      </c>
      <c r="AC72" s="74" t="s">
        <v>100</v>
      </c>
      <c r="AD72" s="61" t="str">
        <f t="shared" si="45"/>
        <v>WUH</v>
      </c>
      <c r="AE72" s="61">
        <f t="shared" si="46"/>
        <v>20</v>
      </c>
      <c r="AF72" s="61">
        <f t="shared" si="47"/>
        <v>9</v>
      </c>
    </row>
    <row r="73" spans="1:32" s="65" customFormat="1" ht="12.75" customHeight="1">
      <c r="A73" s="52" t="s">
        <v>11</v>
      </c>
      <c r="B73" s="1" t="s">
        <v>18</v>
      </c>
      <c r="C73" s="285">
        <v>50</v>
      </c>
      <c r="D73" s="285">
        <v>700</v>
      </c>
      <c r="E73" s="69">
        <f t="shared" si="39"/>
        <v>112</v>
      </c>
      <c r="F73" s="70">
        <f t="shared" si="40"/>
        <v>2837</v>
      </c>
      <c r="G73" s="242">
        <f t="shared" si="41"/>
        <v>62</v>
      </c>
      <c r="H73" s="242">
        <f t="shared" si="42"/>
        <v>2137</v>
      </c>
      <c r="I73" s="70"/>
      <c r="J73" s="70"/>
      <c r="K73" s="70"/>
      <c r="L73" s="70"/>
      <c r="M73" s="70">
        <f t="shared" si="43"/>
        <v>0</v>
      </c>
      <c r="N73" s="70">
        <f t="shared" si="44"/>
        <v>0</v>
      </c>
      <c r="O73" s="75">
        <v>112</v>
      </c>
      <c r="P73" s="75">
        <v>2837</v>
      </c>
      <c r="Q73" s="70"/>
      <c r="R73" s="70"/>
      <c r="S73" s="72"/>
      <c r="T73" s="252">
        <f t="shared" si="48"/>
        <v>2.2400000000000002</v>
      </c>
      <c r="U73" s="73"/>
      <c r="V73" s="73"/>
      <c r="W73" s="73"/>
      <c r="X73" s="73"/>
      <c r="AA73" s="61">
        <f>H64</f>
        <v>15</v>
      </c>
      <c r="AB73" s="61" t="str">
        <f>E64</f>
        <v>FCS-RYK-043 W</v>
      </c>
      <c r="AC73" s="74" t="s">
        <v>100</v>
      </c>
      <c r="AD73" s="61" t="str">
        <f t="shared" si="45"/>
        <v>DLC</v>
      </c>
      <c r="AE73" s="61">
        <f t="shared" si="46"/>
        <v>50</v>
      </c>
      <c r="AF73" s="61">
        <f t="shared" si="47"/>
        <v>112</v>
      </c>
    </row>
    <row r="74" spans="1:32" s="65" customFormat="1" ht="12.75" customHeight="1">
      <c r="A74" s="52" t="s">
        <v>12</v>
      </c>
      <c r="B74" s="1" t="s">
        <v>18</v>
      </c>
      <c r="C74" s="285">
        <v>50</v>
      </c>
      <c r="D74" s="285">
        <v>700</v>
      </c>
      <c r="E74" s="69">
        <f t="shared" si="39"/>
        <v>0</v>
      </c>
      <c r="F74" s="70">
        <f t="shared" si="40"/>
        <v>0</v>
      </c>
      <c r="G74" s="242">
        <f t="shared" si="41"/>
        <v>-50</v>
      </c>
      <c r="H74" s="242">
        <f t="shared" si="42"/>
        <v>-700</v>
      </c>
      <c r="I74" s="70"/>
      <c r="J74" s="70"/>
      <c r="K74" s="70"/>
      <c r="L74" s="70"/>
      <c r="M74" s="70">
        <f t="shared" si="43"/>
        <v>0</v>
      </c>
      <c r="N74" s="70">
        <f t="shared" si="44"/>
        <v>0</v>
      </c>
      <c r="O74" s="75"/>
      <c r="P74" s="75"/>
      <c r="Q74" s="76"/>
      <c r="R74" s="71"/>
      <c r="S74" s="72"/>
      <c r="T74" s="252">
        <f t="shared" si="48"/>
        <v>0</v>
      </c>
      <c r="U74" s="73"/>
      <c r="V74" s="73"/>
      <c r="W74" s="73"/>
      <c r="X74" s="73"/>
      <c r="AA74" s="61">
        <f>H64</f>
        <v>15</v>
      </c>
      <c r="AB74" s="61" t="str">
        <f>E64</f>
        <v>FCS-RYK-043 W</v>
      </c>
      <c r="AC74" s="74" t="s">
        <v>100</v>
      </c>
      <c r="AD74" s="61" t="str">
        <f t="shared" si="45"/>
        <v>TSN</v>
      </c>
      <c r="AE74" s="61">
        <f t="shared" si="46"/>
        <v>50</v>
      </c>
      <c r="AF74" s="61">
        <f t="shared" si="47"/>
        <v>0</v>
      </c>
    </row>
    <row r="75" spans="1:32" s="65" customFormat="1" ht="12.75" customHeight="1">
      <c r="A75" s="52" t="s">
        <v>14</v>
      </c>
      <c r="B75" s="1" t="s">
        <v>18</v>
      </c>
      <c r="C75" s="285">
        <v>40</v>
      </c>
      <c r="D75" s="285">
        <v>560</v>
      </c>
      <c r="E75" s="69">
        <f t="shared" si="39"/>
        <v>0</v>
      </c>
      <c r="F75" s="70">
        <f t="shared" si="40"/>
        <v>0</v>
      </c>
      <c r="G75" s="242">
        <f t="shared" si="41"/>
        <v>-40</v>
      </c>
      <c r="H75" s="242">
        <f t="shared" si="42"/>
        <v>-560</v>
      </c>
      <c r="I75" s="70"/>
      <c r="J75" s="70"/>
      <c r="K75" s="70"/>
      <c r="L75" s="70"/>
      <c r="M75" s="70">
        <f t="shared" si="43"/>
        <v>0</v>
      </c>
      <c r="N75" s="70">
        <f t="shared" si="44"/>
        <v>0</v>
      </c>
      <c r="O75" s="71"/>
      <c r="P75" s="71"/>
      <c r="Q75" s="70"/>
      <c r="R75" s="70"/>
      <c r="S75" s="72"/>
      <c r="T75" s="252">
        <f t="shared" si="48"/>
        <v>0</v>
      </c>
      <c r="U75" s="73"/>
      <c r="V75" s="73"/>
      <c r="W75" s="73"/>
      <c r="X75" s="73"/>
      <c r="AA75" s="61">
        <f>H64</f>
        <v>15</v>
      </c>
      <c r="AB75" s="61" t="str">
        <f>E64</f>
        <v>FCS-RYK-043 W</v>
      </c>
      <c r="AC75" s="74" t="s">
        <v>100</v>
      </c>
      <c r="AD75" s="61" t="str">
        <f t="shared" si="45"/>
        <v>XMN</v>
      </c>
      <c r="AE75" s="61">
        <f t="shared" si="46"/>
        <v>40</v>
      </c>
      <c r="AF75" s="61">
        <f t="shared" si="47"/>
        <v>0</v>
      </c>
    </row>
    <row r="76" spans="1:32" s="65" customFormat="1" ht="12.75" customHeight="1">
      <c r="A76" s="52" t="s">
        <v>19</v>
      </c>
      <c r="B76" s="1" t="s">
        <v>18</v>
      </c>
      <c r="C76" s="285">
        <v>0</v>
      </c>
      <c r="D76" s="285">
        <v>0</v>
      </c>
      <c r="E76" s="69">
        <f t="shared" si="39"/>
        <v>0</v>
      </c>
      <c r="F76" s="70">
        <f t="shared" si="40"/>
        <v>0</v>
      </c>
      <c r="G76" s="242">
        <f t="shared" si="41"/>
        <v>0</v>
      </c>
      <c r="H76" s="242">
        <f t="shared" si="42"/>
        <v>0</v>
      </c>
      <c r="I76" s="70"/>
      <c r="J76" s="70"/>
      <c r="K76" s="70"/>
      <c r="L76" s="70"/>
      <c r="M76" s="70">
        <f t="shared" si="43"/>
        <v>0</v>
      </c>
      <c r="N76" s="70">
        <f t="shared" si="44"/>
        <v>0</v>
      </c>
      <c r="O76" s="70"/>
      <c r="P76" s="70"/>
      <c r="Q76" s="70"/>
      <c r="R76" s="70"/>
      <c r="S76" s="72"/>
      <c r="T76" s="252" t="e">
        <f t="shared" si="48"/>
        <v>#DIV/0!</v>
      </c>
      <c r="U76" s="73"/>
      <c r="V76" s="73"/>
      <c r="W76" s="73"/>
      <c r="X76" s="73"/>
      <c r="AA76" s="61">
        <f>H64</f>
        <v>15</v>
      </c>
      <c r="AB76" s="61" t="str">
        <f>E64</f>
        <v>FCS-RYK-043 W</v>
      </c>
      <c r="AC76" s="74" t="s">
        <v>100</v>
      </c>
      <c r="AD76" s="61" t="str">
        <f t="shared" si="45"/>
        <v>TWC</v>
      </c>
      <c r="AE76" s="61">
        <f t="shared" si="46"/>
        <v>0</v>
      </c>
      <c r="AF76" s="61">
        <f t="shared" si="47"/>
        <v>0</v>
      </c>
    </row>
    <row r="77" spans="1:32" s="65" customFormat="1" ht="12.75" customHeight="1">
      <c r="A77" s="52" t="s">
        <v>16</v>
      </c>
      <c r="B77" s="1">
        <f>B56+7</f>
        <v>43189</v>
      </c>
      <c r="C77" s="285">
        <v>150</v>
      </c>
      <c r="D77" s="285">
        <v>2100</v>
      </c>
      <c r="E77" s="69">
        <f t="shared" si="39"/>
        <v>159</v>
      </c>
      <c r="F77" s="70">
        <f t="shared" si="40"/>
        <v>1130</v>
      </c>
      <c r="G77" s="242">
        <f t="shared" si="41"/>
        <v>9</v>
      </c>
      <c r="H77" s="242">
        <f t="shared" si="42"/>
        <v>-970</v>
      </c>
      <c r="I77" s="70"/>
      <c r="J77" s="70"/>
      <c r="K77" s="70"/>
      <c r="L77" s="70"/>
      <c r="M77" s="70">
        <f t="shared" si="43"/>
        <v>0</v>
      </c>
      <c r="N77" s="70">
        <f t="shared" si="44"/>
        <v>0</v>
      </c>
      <c r="O77" s="70"/>
      <c r="P77" s="70"/>
      <c r="Q77" s="70">
        <v>159</v>
      </c>
      <c r="R77" s="84">
        <v>1130</v>
      </c>
      <c r="S77" s="72"/>
      <c r="T77" s="252">
        <f t="shared" si="48"/>
        <v>1.06</v>
      </c>
      <c r="U77" s="73"/>
      <c r="V77" s="73"/>
      <c r="W77" s="73"/>
      <c r="X77" s="73"/>
      <c r="AA77" s="61">
        <f>H64</f>
        <v>15</v>
      </c>
      <c r="AB77" s="61" t="str">
        <f>E64</f>
        <v>FCS-RYK-043 W</v>
      </c>
      <c r="AC77" s="74" t="s">
        <v>100</v>
      </c>
      <c r="AD77" s="61" t="str">
        <f t="shared" si="45"/>
        <v>HUA</v>
      </c>
      <c r="AE77" s="61">
        <f t="shared" si="46"/>
        <v>150</v>
      </c>
      <c r="AF77" s="61">
        <f t="shared" si="47"/>
        <v>159</v>
      </c>
    </row>
    <row r="78" spans="1:32" s="65" customFormat="1" ht="12.75" customHeight="1">
      <c r="A78" s="52" t="s">
        <v>2</v>
      </c>
      <c r="B78" s="26"/>
      <c r="C78" s="242"/>
      <c r="D78" s="242"/>
      <c r="E78" s="69">
        <f t="shared" si="39"/>
        <v>0</v>
      </c>
      <c r="F78" s="70">
        <f t="shared" si="40"/>
        <v>0</v>
      </c>
      <c r="G78" s="242"/>
      <c r="H78" s="242"/>
      <c r="I78" s="70"/>
      <c r="J78" s="70"/>
      <c r="K78" s="70"/>
      <c r="L78" s="70"/>
      <c r="M78" s="70">
        <f t="shared" si="43"/>
        <v>0</v>
      </c>
      <c r="N78" s="70">
        <f t="shared" si="44"/>
        <v>0</v>
      </c>
      <c r="O78" s="70"/>
      <c r="P78" s="70"/>
      <c r="Q78" s="70"/>
      <c r="R78" s="70"/>
      <c r="S78" s="72"/>
      <c r="T78" s="252" t="e">
        <f t="shared" si="48"/>
        <v>#DIV/0!</v>
      </c>
      <c r="U78" s="73"/>
      <c r="V78" s="73"/>
      <c r="W78" s="73"/>
      <c r="X78" s="73"/>
      <c r="AA78" s="61">
        <f>H64</f>
        <v>15</v>
      </c>
      <c r="AB78" s="61" t="str">
        <f>E64</f>
        <v>FCS-RYK-043 W</v>
      </c>
      <c r="AC78" s="74" t="s">
        <v>100</v>
      </c>
      <c r="AD78" s="61" t="str">
        <f t="shared" si="45"/>
        <v>HKG</v>
      </c>
      <c r="AE78" s="61">
        <f t="shared" si="46"/>
        <v>0</v>
      </c>
      <c r="AF78" s="61">
        <f t="shared" si="47"/>
        <v>0</v>
      </c>
    </row>
    <row r="79" spans="1:32" s="65" customFormat="1" ht="12.75" customHeight="1">
      <c r="A79" s="52" t="s">
        <v>3</v>
      </c>
      <c r="B79" s="1">
        <f>B58+7</f>
        <v>43195</v>
      </c>
      <c r="C79" s="242">
        <v>60</v>
      </c>
      <c r="D79" s="242">
        <v>840</v>
      </c>
      <c r="E79" s="69">
        <f t="shared" si="39"/>
        <v>0</v>
      </c>
      <c r="F79" s="70">
        <f t="shared" si="40"/>
        <v>0</v>
      </c>
      <c r="G79" s="242">
        <f t="shared" ref="G79:G82" si="49">E79-C79</f>
        <v>-60</v>
      </c>
      <c r="H79" s="242">
        <f t="shared" ref="H79:H82" si="50">F79-D79</f>
        <v>-840</v>
      </c>
      <c r="I79" s="70"/>
      <c r="J79" s="70"/>
      <c r="K79" s="70">
        <v>3</v>
      </c>
      <c r="L79" s="70">
        <v>73</v>
      </c>
      <c r="M79" s="70">
        <f t="shared" si="43"/>
        <v>3</v>
      </c>
      <c r="N79" s="70">
        <f t="shared" si="44"/>
        <v>73</v>
      </c>
      <c r="O79" s="242"/>
      <c r="P79" s="242"/>
      <c r="Q79" s="70"/>
      <c r="R79" s="70"/>
      <c r="S79" s="72"/>
      <c r="T79" s="252">
        <f t="shared" si="48"/>
        <v>0</v>
      </c>
      <c r="U79" s="73"/>
      <c r="V79" s="73"/>
      <c r="W79" s="73"/>
      <c r="X79" s="73"/>
      <c r="AA79" s="61">
        <f>H64</f>
        <v>15</v>
      </c>
      <c r="AB79" s="61" t="str">
        <f>E64</f>
        <v>FCS-RYK-043 W</v>
      </c>
      <c r="AC79" s="74" t="s">
        <v>100</v>
      </c>
      <c r="AD79" s="61" t="str">
        <f t="shared" si="45"/>
        <v>SGP</v>
      </c>
      <c r="AE79" s="61">
        <f t="shared" si="46"/>
        <v>60</v>
      </c>
      <c r="AF79" s="61">
        <f t="shared" si="47"/>
        <v>0</v>
      </c>
    </row>
    <row r="80" spans="1:32" s="65" customFormat="1" ht="12.75" customHeight="1">
      <c r="A80" s="52" t="s">
        <v>4</v>
      </c>
      <c r="B80" s="1">
        <f>B59+7</f>
        <v>43197</v>
      </c>
      <c r="C80" s="242">
        <v>40</v>
      </c>
      <c r="D80" s="242">
        <v>420</v>
      </c>
      <c r="E80" s="69">
        <f t="shared" si="39"/>
        <v>8</v>
      </c>
      <c r="F80" s="70">
        <f t="shared" si="40"/>
        <v>226</v>
      </c>
      <c r="G80" s="242">
        <f t="shared" si="49"/>
        <v>-32</v>
      </c>
      <c r="H80" s="242">
        <f t="shared" si="50"/>
        <v>-194</v>
      </c>
      <c r="I80" s="70"/>
      <c r="J80" s="70"/>
      <c r="K80" s="70"/>
      <c r="L80" s="70"/>
      <c r="M80" s="70">
        <f t="shared" si="43"/>
        <v>0</v>
      </c>
      <c r="N80" s="70">
        <f t="shared" si="44"/>
        <v>0</v>
      </c>
      <c r="O80" s="70"/>
      <c r="P80" s="70"/>
      <c r="Q80" s="70">
        <v>8</v>
      </c>
      <c r="R80" s="70">
        <v>226</v>
      </c>
      <c r="S80" s="72"/>
      <c r="T80" s="252">
        <f>E80/C80</f>
        <v>0.2</v>
      </c>
      <c r="U80" s="73"/>
      <c r="V80" s="73"/>
      <c r="W80" s="73"/>
      <c r="X80" s="73"/>
      <c r="AA80" s="61">
        <f>H64</f>
        <v>15</v>
      </c>
      <c r="AB80" s="61" t="str">
        <f>E64</f>
        <v>FCS-RYK-043 W</v>
      </c>
      <c r="AC80" s="74" t="s">
        <v>100</v>
      </c>
      <c r="AD80" s="61" t="str">
        <f t="shared" si="45"/>
        <v>PKL</v>
      </c>
      <c r="AE80" s="61">
        <f t="shared" si="46"/>
        <v>40</v>
      </c>
      <c r="AF80" s="61">
        <f t="shared" si="47"/>
        <v>8</v>
      </c>
    </row>
    <row r="81" spans="1:32" s="65" customFormat="1" ht="12.75" customHeight="1">
      <c r="A81" s="52" t="s">
        <v>15</v>
      </c>
      <c r="B81" s="242"/>
      <c r="C81" s="242"/>
      <c r="D81" s="242"/>
      <c r="E81" s="69">
        <f t="shared" si="39"/>
        <v>49</v>
      </c>
      <c r="F81" s="70">
        <f t="shared" si="40"/>
        <v>893</v>
      </c>
      <c r="G81" s="242">
        <f t="shared" si="49"/>
        <v>49</v>
      </c>
      <c r="H81" s="242">
        <f t="shared" si="50"/>
        <v>893</v>
      </c>
      <c r="I81" s="70"/>
      <c r="J81" s="70"/>
      <c r="K81" s="70"/>
      <c r="L81" s="70"/>
      <c r="M81" s="70">
        <f t="shared" si="43"/>
        <v>0</v>
      </c>
      <c r="N81" s="70">
        <f t="shared" si="44"/>
        <v>0</v>
      </c>
      <c r="O81" s="71"/>
      <c r="P81" s="71"/>
      <c r="Q81" s="71">
        <v>49</v>
      </c>
      <c r="R81" s="71">
        <v>893</v>
      </c>
      <c r="S81" s="72"/>
      <c r="T81" s="73"/>
      <c r="U81" s="73"/>
      <c r="V81" s="73"/>
      <c r="W81" s="73"/>
      <c r="X81" s="73"/>
      <c r="AA81" s="61">
        <f>H64</f>
        <v>15</v>
      </c>
      <c r="AB81" s="61" t="str">
        <f>E64</f>
        <v>FCS-RYK-043 W</v>
      </c>
      <c r="AC81" s="74" t="s">
        <v>100</v>
      </c>
      <c r="AD81" s="61" t="str">
        <f t="shared" si="45"/>
        <v>T/S</v>
      </c>
      <c r="AE81" s="61">
        <f t="shared" si="46"/>
        <v>0</v>
      </c>
      <c r="AF81" s="61">
        <f t="shared" si="47"/>
        <v>49</v>
      </c>
    </row>
    <row r="82" spans="1:32" s="65" customFormat="1" ht="12.75" customHeight="1">
      <c r="A82" s="51" t="s">
        <v>36</v>
      </c>
      <c r="B82" s="72"/>
      <c r="C82" s="71">
        <v>735</v>
      </c>
      <c r="D82" s="71">
        <v>10290</v>
      </c>
      <c r="E82" s="78">
        <f>SUM(E68:E81)</f>
        <v>606</v>
      </c>
      <c r="F82" s="76">
        <f>SUM(F68:F81)</f>
        <v>7571</v>
      </c>
      <c r="G82" s="71">
        <f t="shared" si="49"/>
        <v>-129</v>
      </c>
      <c r="H82" s="71">
        <f t="shared" si="50"/>
        <v>-2719</v>
      </c>
      <c r="I82" s="70">
        <f t="shared" ref="I82:L82" si="51">SUM(I68:I81)</f>
        <v>61</v>
      </c>
      <c r="J82" s="70">
        <f t="shared" si="51"/>
        <v>902</v>
      </c>
      <c r="K82" s="70">
        <f t="shared" si="51"/>
        <v>3</v>
      </c>
      <c r="L82" s="70">
        <f t="shared" si="51"/>
        <v>73</v>
      </c>
      <c r="M82" s="70"/>
      <c r="N82" s="70"/>
      <c r="O82" s="70">
        <f t="shared" ref="O82:R82" si="52">SUM(O68:O81)</f>
        <v>386</v>
      </c>
      <c r="P82" s="70">
        <f t="shared" si="52"/>
        <v>5274</v>
      </c>
      <c r="Q82" s="70">
        <f t="shared" si="52"/>
        <v>220</v>
      </c>
      <c r="R82" s="70">
        <f t="shared" si="52"/>
        <v>2297</v>
      </c>
      <c r="S82" s="72"/>
      <c r="T82" s="73"/>
      <c r="U82" s="73"/>
      <c r="V82" s="73"/>
      <c r="W82" s="73"/>
      <c r="X82" s="73"/>
      <c r="AA82" s="61"/>
      <c r="AB82" s="61"/>
      <c r="AC82" s="61"/>
      <c r="AD82" s="61"/>
      <c r="AE82" s="61"/>
      <c r="AF82" s="61"/>
    </row>
    <row r="83" spans="1:32" s="65" customFormat="1" ht="12.75" customHeight="1">
      <c r="A83" s="84">
        <f>D82/C82</f>
        <v>14</v>
      </c>
      <c r="C83" s="243">
        <f>F82-E83</f>
        <v>-1690</v>
      </c>
      <c r="E83" s="65">
        <f>D82*0.9</f>
        <v>9261</v>
      </c>
      <c r="F83" s="243">
        <f>E82-L83</f>
        <v>-55.5</v>
      </c>
      <c r="I83" s="80" t="s">
        <v>48</v>
      </c>
      <c r="J83" s="245">
        <f>E82/C82</f>
        <v>0.82448979591836735</v>
      </c>
      <c r="K83" s="80"/>
      <c r="L83" s="80">
        <f>C82*0.9</f>
        <v>661.5</v>
      </c>
      <c r="M83" s="80"/>
      <c r="N83" s="80"/>
      <c r="O83" s="80" t="s">
        <v>49</v>
      </c>
      <c r="P83" s="80"/>
      <c r="Q83" s="65">
        <f>P69+P70+P72+P73+P74+J69+J70+L69+L70+J72+R72+J68+P68</f>
        <v>6176</v>
      </c>
      <c r="R83" s="65">
        <v>4708</v>
      </c>
      <c r="AA83" s="81"/>
      <c r="AB83" s="81"/>
      <c r="AC83" s="81"/>
      <c r="AD83" s="81"/>
      <c r="AE83" s="81"/>
      <c r="AF83" s="81"/>
    </row>
    <row r="85" spans="1:32" s="63" customFormat="1" ht="12.75" customHeight="1">
      <c r="A85" s="59" t="s">
        <v>95</v>
      </c>
      <c r="B85" s="58" t="s">
        <v>543</v>
      </c>
      <c r="C85" s="56"/>
      <c r="D85" s="57"/>
      <c r="E85" s="58" t="s">
        <v>544</v>
      </c>
      <c r="F85" s="57"/>
      <c r="G85" s="59" t="s">
        <v>37</v>
      </c>
      <c r="H85" s="60">
        <f>H64+1</f>
        <v>16</v>
      </c>
      <c r="I85" s="57"/>
      <c r="J85" s="57"/>
      <c r="K85" s="57"/>
      <c r="L85" s="57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2"/>
      <c r="Z85" s="62"/>
      <c r="AA85" s="62"/>
      <c r="AB85" s="62"/>
      <c r="AC85" s="62"/>
    </row>
    <row r="86" spans="1:32" s="65" customFormat="1" ht="12.75" customHeight="1">
      <c r="A86" s="340" t="s">
        <v>0</v>
      </c>
      <c r="B86" s="336" t="s">
        <v>1</v>
      </c>
      <c r="C86" s="331" t="s">
        <v>25</v>
      </c>
      <c r="D86" s="332"/>
      <c r="E86" s="331" t="s">
        <v>21</v>
      </c>
      <c r="F86" s="332"/>
      <c r="G86" s="335" t="s">
        <v>24</v>
      </c>
      <c r="H86" s="335"/>
      <c r="I86" s="328" t="s">
        <v>33</v>
      </c>
      <c r="J86" s="329"/>
      <c r="K86" s="329"/>
      <c r="L86" s="329"/>
      <c r="M86" s="329"/>
      <c r="N86" s="330"/>
      <c r="O86" s="331" t="s">
        <v>22</v>
      </c>
      <c r="P86" s="332"/>
      <c r="Q86" s="335" t="s">
        <v>23</v>
      </c>
      <c r="R86" s="335"/>
      <c r="S86" s="336" t="s">
        <v>27</v>
      </c>
      <c r="T86" s="64"/>
      <c r="U86" s="64"/>
      <c r="V86" s="64"/>
      <c r="W86" s="64"/>
      <c r="X86" s="64"/>
      <c r="Y86" s="339"/>
      <c r="Z86" s="282"/>
      <c r="AA86" s="61"/>
      <c r="AB86" s="61"/>
      <c r="AC86" s="74"/>
      <c r="AD86" s="61"/>
      <c r="AE86" s="61"/>
      <c r="AF86" s="61"/>
    </row>
    <row r="87" spans="1:32" s="65" customFormat="1" ht="12.75" customHeight="1">
      <c r="A87" s="341"/>
      <c r="B87" s="337"/>
      <c r="C87" s="333"/>
      <c r="D87" s="334"/>
      <c r="E87" s="333"/>
      <c r="F87" s="334"/>
      <c r="G87" s="335"/>
      <c r="H87" s="335"/>
      <c r="I87" s="283" t="s">
        <v>28</v>
      </c>
      <c r="J87" s="284" t="s">
        <v>3</v>
      </c>
      <c r="K87" s="283" t="s">
        <v>29</v>
      </c>
      <c r="L87" s="284" t="s">
        <v>4</v>
      </c>
      <c r="M87" s="328" t="s">
        <v>30</v>
      </c>
      <c r="N87" s="330"/>
      <c r="O87" s="333"/>
      <c r="P87" s="334"/>
      <c r="Q87" s="335"/>
      <c r="R87" s="335"/>
      <c r="S87" s="337"/>
      <c r="T87" s="64"/>
      <c r="U87" s="64"/>
      <c r="V87" s="64"/>
      <c r="W87" s="64"/>
      <c r="X87" s="64"/>
      <c r="Y87" s="339"/>
      <c r="Z87" s="282"/>
      <c r="AA87" s="61"/>
      <c r="AB87" s="61"/>
      <c r="AC87" s="74"/>
      <c r="AD87" s="61"/>
      <c r="AE87" s="61"/>
      <c r="AF87" s="61"/>
    </row>
    <row r="88" spans="1:32" s="65" customFormat="1" ht="12.75" customHeight="1">
      <c r="A88" s="342"/>
      <c r="B88" s="338"/>
      <c r="C88" s="285" t="s">
        <v>5</v>
      </c>
      <c r="D88" s="285" t="s">
        <v>6</v>
      </c>
      <c r="E88" s="284" t="s">
        <v>5</v>
      </c>
      <c r="F88" s="285" t="s">
        <v>6</v>
      </c>
      <c r="G88" s="285" t="s">
        <v>5</v>
      </c>
      <c r="H88" s="285" t="s">
        <v>6</v>
      </c>
      <c r="I88" s="284" t="s">
        <v>5</v>
      </c>
      <c r="J88" s="285" t="s">
        <v>6</v>
      </c>
      <c r="K88" s="284" t="s">
        <v>5</v>
      </c>
      <c r="L88" s="285" t="s">
        <v>6</v>
      </c>
      <c r="M88" s="285"/>
      <c r="N88" s="285"/>
      <c r="O88" s="284" t="s">
        <v>5</v>
      </c>
      <c r="P88" s="285" t="s">
        <v>6</v>
      </c>
      <c r="Q88" s="285" t="s">
        <v>5</v>
      </c>
      <c r="R88" s="285" t="s">
        <v>6</v>
      </c>
      <c r="S88" s="338"/>
      <c r="T88" s="64"/>
      <c r="U88" s="64"/>
      <c r="V88" s="64"/>
      <c r="W88" s="64"/>
      <c r="X88" s="64"/>
      <c r="Y88" s="339"/>
      <c r="Z88" s="282"/>
      <c r="AA88" s="61" t="s">
        <v>43</v>
      </c>
      <c r="AB88" s="61" t="s">
        <v>45</v>
      </c>
      <c r="AC88" s="61" t="s">
        <v>46</v>
      </c>
      <c r="AD88" s="61" t="s">
        <v>42</v>
      </c>
      <c r="AE88" s="61" t="s">
        <v>41</v>
      </c>
      <c r="AF88" s="61" t="s">
        <v>44</v>
      </c>
    </row>
    <row r="89" spans="1:32" s="65" customFormat="1" ht="12.75" customHeight="1">
      <c r="A89" s="51" t="s">
        <v>7</v>
      </c>
      <c r="B89" s="1">
        <f>B68+7</f>
        <v>43189</v>
      </c>
      <c r="C89" s="285">
        <v>50</v>
      </c>
      <c r="D89" s="285">
        <v>700</v>
      </c>
      <c r="E89" s="69">
        <f t="shared" ref="E89:E102" si="53">O89+Q89</f>
        <v>82</v>
      </c>
      <c r="F89" s="70">
        <f t="shared" ref="F89:F102" si="54">P89+R89</f>
        <v>1418</v>
      </c>
      <c r="G89" s="285">
        <f t="shared" ref="G89:G98" si="55">E89-C89</f>
        <v>32</v>
      </c>
      <c r="H89" s="285">
        <f t="shared" ref="H89:H98" si="56">F89-D89</f>
        <v>718</v>
      </c>
      <c r="I89" s="70"/>
      <c r="J89" s="70"/>
      <c r="K89" s="70"/>
      <c r="L89" s="70"/>
      <c r="M89" s="70">
        <f t="shared" ref="M89:M102" si="57">I89+K89</f>
        <v>0</v>
      </c>
      <c r="N89" s="70">
        <f t="shared" ref="N89:N102" si="58">J89+L89</f>
        <v>0</v>
      </c>
      <c r="O89" s="71">
        <v>82</v>
      </c>
      <c r="P89" s="71">
        <v>1418</v>
      </c>
      <c r="Q89" s="70"/>
      <c r="R89" s="70"/>
      <c r="S89" s="72"/>
      <c r="T89" s="252">
        <f>E89/C89</f>
        <v>1.64</v>
      </c>
      <c r="U89" s="73"/>
      <c r="V89" s="73"/>
      <c r="W89" s="73"/>
      <c r="X89" s="73"/>
      <c r="Y89" s="339"/>
      <c r="Z89" s="282"/>
      <c r="AA89" s="61">
        <f>H85</f>
        <v>16</v>
      </c>
      <c r="AB89" s="61" t="str">
        <f>E85</f>
        <v>FCS-A2K-008 W</v>
      </c>
      <c r="AC89" s="74" t="s">
        <v>95</v>
      </c>
      <c r="AD89" s="61" t="str">
        <f t="shared" ref="AD89:AD102" si="59">A89</f>
        <v>KR</v>
      </c>
      <c r="AE89" s="61">
        <f t="shared" ref="AE89:AE102" si="60">C89</f>
        <v>50</v>
      </c>
      <c r="AF89" s="61">
        <f t="shared" ref="AF89:AF102" si="61">E89</f>
        <v>82</v>
      </c>
    </row>
    <row r="90" spans="1:32" s="65" customFormat="1" ht="12.75" customHeight="1">
      <c r="A90" s="52" t="s">
        <v>13</v>
      </c>
      <c r="B90" s="1">
        <f>B69+7</f>
        <v>43191</v>
      </c>
      <c r="C90" s="285">
        <v>100</v>
      </c>
      <c r="D90" s="285">
        <v>1400</v>
      </c>
      <c r="E90" s="69">
        <f t="shared" si="53"/>
        <v>92</v>
      </c>
      <c r="F90" s="70">
        <f t="shared" si="54"/>
        <v>959</v>
      </c>
      <c r="G90" s="285">
        <f t="shared" si="55"/>
        <v>-8</v>
      </c>
      <c r="H90" s="285">
        <f t="shared" si="56"/>
        <v>-441</v>
      </c>
      <c r="I90" s="75">
        <v>25</v>
      </c>
      <c r="J90" s="75">
        <v>162</v>
      </c>
      <c r="K90" s="70"/>
      <c r="L90" s="70"/>
      <c r="M90" s="70">
        <f t="shared" si="57"/>
        <v>25</v>
      </c>
      <c r="N90" s="70">
        <f t="shared" si="58"/>
        <v>162</v>
      </c>
      <c r="O90" s="75">
        <v>92</v>
      </c>
      <c r="P90" s="75">
        <v>959</v>
      </c>
      <c r="Q90" s="71"/>
      <c r="R90" s="71"/>
      <c r="S90" s="72"/>
      <c r="T90" s="252">
        <f t="shared" ref="T90:T100" si="62">E90/C90</f>
        <v>0.92</v>
      </c>
      <c r="U90" s="73"/>
      <c r="V90" s="73"/>
      <c r="W90" s="73"/>
      <c r="X90" s="73"/>
      <c r="AA90" s="61">
        <f>H85</f>
        <v>16</v>
      </c>
      <c r="AB90" s="61" t="str">
        <f>E85</f>
        <v>FCS-A2K-008 W</v>
      </c>
      <c r="AC90" s="74" t="s">
        <v>95</v>
      </c>
      <c r="AD90" s="61" t="str">
        <f t="shared" si="59"/>
        <v>TAO</v>
      </c>
      <c r="AE90" s="61">
        <f t="shared" si="60"/>
        <v>100</v>
      </c>
      <c r="AF90" s="61">
        <f t="shared" si="61"/>
        <v>92</v>
      </c>
    </row>
    <row r="91" spans="1:32" s="65" customFormat="1" ht="12.75" customHeight="1">
      <c r="A91" s="52" t="s">
        <v>9</v>
      </c>
      <c r="B91" s="1">
        <f>B70+7</f>
        <v>43193</v>
      </c>
      <c r="C91" s="285">
        <v>100</v>
      </c>
      <c r="D91" s="285">
        <v>1400</v>
      </c>
      <c r="E91" s="69">
        <f t="shared" si="53"/>
        <v>67</v>
      </c>
      <c r="F91" s="70">
        <f t="shared" si="54"/>
        <v>1035</v>
      </c>
      <c r="G91" s="285">
        <f t="shared" si="55"/>
        <v>-33</v>
      </c>
      <c r="H91" s="285">
        <f t="shared" si="56"/>
        <v>-365</v>
      </c>
      <c r="I91" s="75">
        <v>39</v>
      </c>
      <c r="J91" s="75">
        <v>441</v>
      </c>
      <c r="K91" s="71"/>
      <c r="L91" s="71"/>
      <c r="M91" s="70">
        <f t="shared" si="57"/>
        <v>39</v>
      </c>
      <c r="N91" s="70">
        <f t="shared" si="58"/>
        <v>441</v>
      </c>
      <c r="O91" s="75">
        <f>63+4</f>
        <v>67</v>
      </c>
      <c r="P91" s="75">
        <v>1035</v>
      </c>
      <c r="Q91" s="71"/>
      <c r="R91" s="71"/>
      <c r="S91" s="72"/>
      <c r="T91" s="252">
        <f t="shared" si="62"/>
        <v>0.67</v>
      </c>
      <c r="U91" s="73"/>
      <c r="V91" s="73"/>
      <c r="W91" s="73"/>
      <c r="X91" s="73"/>
      <c r="AA91" s="61">
        <f>H85</f>
        <v>16</v>
      </c>
      <c r="AB91" s="61" t="str">
        <f>E85</f>
        <v>FCS-A2K-008 W</v>
      </c>
      <c r="AC91" s="74" t="s">
        <v>95</v>
      </c>
      <c r="AD91" s="61" t="str">
        <f t="shared" si="59"/>
        <v>SHA</v>
      </c>
      <c r="AE91" s="61">
        <f t="shared" si="60"/>
        <v>100</v>
      </c>
      <c r="AF91" s="61">
        <f t="shared" si="61"/>
        <v>67</v>
      </c>
    </row>
    <row r="92" spans="1:32" s="65" customFormat="1" ht="12.75" customHeight="1">
      <c r="A92" s="52" t="s">
        <v>8</v>
      </c>
      <c r="B92" s="1" t="s">
        <v>20</v>
      </c>
      <c r="C92" s="285">
        <v>50</v>
      </c>
      <c r="D92" s="285">
        <v>700</v>
      </c>
      <c r="E92" s="69">
        <f t="shared" si="53"/>
        <v>0</v>
      </c>
      <c r="F92" s="70">
        <f t="shared" si="54"/>
        <v>0</v>
      </c>
      <c r="G92" s="285">
        <f t="shared" si="55"/>
        <v>-50</v>
      </c>
      <c r="H92" s="285">
        <f t="shared" si="56"/>
        <v>-700</v>
      </c>
      <c r="I92" s="71"/>
      <c r="J92" s="71"/>
      <c r="K92" s="71"/>
      <c r="L92" s="71"/>
      <c r="M92" s="70">
        <f t="shared" si="57"/>
        <v>0</v>
      </c>
      <c r="N92" s="70">
        <f t="shared" si="58"/>
        <v>0</v>
      </c>
      <c r="O92" s="71"/>
      <c r="P92" s="71"/>
      <c r="Q92" s="71"/>
      <c r="R92" s="71"/>
      <c r="S92" s="72"/>
      <c r="T92" s="252">
        <f t="shared" si="62"/>
        <v>0</v>
      </c>
      <c r="U92" s="73"/>
      <c r="V92" s="73"/>
      <c r="W92" s="73"/>
      <c r="X92" s="73"/>
      <c r="AA92" s="61">
        <f>H85</f>
        <v>16</v>
      </c>
      <c r="AB92" s="61" t="str">
        <f>E85</f>
        <v>FCS-A2K-008 W</v>
      </c>
      <c r="AC92" s="74" t="s">
        <v>95</v>
      </c>
      <c r="AD92" s="61" t="str">
        <f t="shared" si="59"/>
        <v>NGB</v>
      </c>
      <c r="AE92" s="61">
        <f t="shared" si="60"/>
        <v>50</v>
      </c>
      <c r="AF92" s="61">
        <f t="shared" si="61"/>
        <v>0</v>
      </c>
    </row>
    <row r="93" spans="1:32" s="65" customFormat="1" ht="12.75" customHeight="1">
      <c r="A93" s="52" t="s">
        <v>10</v>
      </c>
      <c r="B93" s="1" t="s">
        <v>20</v>
      </c>
      <c r="C93" s="285">
        <v>20</v>
      </c>
      <c r="D93" s="285">
        <v>280</v>
      </c>
      <c r="E93" s="69">
        <f t="shared" si="53"/>
        <v>1</v>
      </c>
      <c r="F93" s="70">
        <f t="shared" si="54"/>
        <v>29</v>
      </c>
      <c r="G93" s="285">
        <f t="shared" si="55"/>
        <v>-19</v>
      </c>
      <c r="H93" s="285">
        <f t="shared" si="56"/>
        <v>-251</v>
      </c>
      <c r="I93" s="75"/>
      <c r="J93" s="75"/>
      <c r="K93" s="70"/>
      <c r="L93" s="70"/>
      <c r="M93" s="70">
        <f t="shared" si="57"/>
        <v>0</v>
      </c>
      <c r="N93" s="70">
        <f t="shared" si="58"/>
        <v>0</v>
      </c>
      <c r="O93" s="75">
        <v>1</v>
      </c>
      <c r="P93" s="75">
        <v>29</v>
      </c>
      <c r="Q93" s="70"/>
      <c r="R93" s="70"/>
      <c r="S93" s="72"/>
      <c r="T93" s="252">
        <f t="shared" si="62"/>
        <v>0.05</v>
      </c>
      <c r="U93" s="73"/>
      <c r="V93" s="73"/>
      <c r="W93" s="73"/>
      <c r="X93" s="73"/>
      <c r="AA93" s="61">
        <f>H85</f>
        <v>16</v>
      </c>
      <c r="AB93" s="61" t="str">
        <f>E85</f>
        <v>FCS-A2K-008 W</v>
      </c>
      <c r="AC93" s="74" t="s">
        <v>95</v>
      </c>
      <c r="AD93" s="61" t="str">
        <f t="shared" si="59"/>
        <v>WUH</v>
      </c>
      <c r="AE93" s="61">
        <f t="shared" si="60"/>
        <v>20</v>
      </c>
      <c r="AF93" s="61">
        <f t="shared" si="61"/>
        <v>1</v>
      </c>
    </row>
    <row r="94" spans="1:32" s="65" customFormat="1" ht="12.75" customHeight="1">
      <c r="A94" s="52" t="s">
        <v>11</v>
      </c>
      <c r="B94" s="1" t="s">
        <v>18</v>
      </c>
      <c r="C94" s="285">
        <v>50</v>
      </c>
      <c r="D94" s="285">
        <v>700</v>
      </c>
      <c r="E94" s="69">
        <f t="shared" si="53"/>
        <v>0</v>
      </c>
      <c r="F94" s="70">
        <f t="shared" si="54"/>
        <v>0</v>
      </c>
      <c r="G94" s="285">
        <f t="shared" si="55"/>
        <v>-50</v>
      </c>
      <c r="H94" s="285">
        <f t="shared" si="56"/>
        <v>-700</v>
      </c>
      <c r="I94" s="70"/>
      <c r="J94" s="70"/>
      <c r="K94" s="70"/>
      <c r="L94" s="70"/>
      <c r="M94" s="70">
        <f t="shared" si="57"/>
        <v>0</v>
      </c>
      <c r="N94" s="70">
        <f t="shared" si="58"/>
        <v>0</v>
      </c>
      <c r="O94" s="75"/>
      <c r="P94" s="75"/>
      <c r="Q94" s="70"/>
      <c r="R94" s="70"/>
      <c r="S94" s="72"/>
      <c r="T94" s="252">
        <f t="shared" si="62"/>
        <v>0</v>
      </c>
      <c r="U94" s="73"/>
      <c r="V94" s="73"/>
      <c r="W94" s="73"/>
      <c r="X94" s="73"/>
      <c r="AA94" s="61">
        <f>H85</f>
        <v>16</v>
      </c>
      <c r="AB94" s="61" t="str">
        <f>E85</f>
        <v>FCS-A2K-008 W</v>
      </c>
      <c r="AC94" s="74" t="s">
        <v>95</v>
      </c>
      <c r="AD94" s="61" t="str">
        <f t="shared" si="59"/>
        <v>DLC</v>
      </c>
      <c r="AE94" s="61">
        <f t="shared" si="60"/>
        <v>50</v>
      </c>
      <c r="AF94" s="61">
        <f t="shared" si="61"/>
        <v>0</v>
      </c>
    </row>
    <row r="95" spans="1:32" s="65" customFormat="1" ht="12.75" customHeight="1">
      <c r="A95" s="52" t="s">
        <v>12</v>
      </c>
      <c r="B95" s="1" t="s">
        <v>18</v>
      </c>
      <c r="C95" s="285">
        <v>50</v>
      </c>
      <c r="D95" s="285">
        <v>700</v>
      </c>
      <c r="E95" s="69">
        <f t="shared" si="53"/>
        <v>0</v>
      </c>
      <c r="F95" s="70">
        <f t="shared" si="54"/>
        <v>0</v>
      </c>
      <c r="G95" s="285">
        <f t="shared" si="55"/>
        <v>-50</v>
      </c>
      <c r="H95" s="285">
        <f t="shared" si="56"/>
        <v>-700</v>
      </c>
      <c r="I95" s="70"/>
      <c r="J95" s="70"/>
      <c r="K95" s="70"/>
      <c r="L95" s="70"/>
      <c r="M95" s="70">
        <f t="shared" si="57"/>
        <v>0</v>
      </c>
      <c r="N95" s="70">
        <f t="shared" si="58"/>
        <v>0</v>
      </c>
      <c r="O95" s="75"/>
      <c r="P95" s="75"/>
      <c r="Q95" s="76"/>
      <c r="R95" s="71"/>
      <c r="S95" s="72"/>
      <c r="T95" s="252">
        <f t="shared" si="62"/>
        <v>0</v>
      </c>
      <c r="U95" s="73"/>
      <c r="V95" s="73"/>
      <c r="W95" s="73"/>
      <c r="X95" s="73"/>
      <c r="AA95" s="61">
        <f>H85</f>
        <v>16</v>
      </c>
      <c r="AB95" s="61" t="str">
        <f>E85</f>
        <v>FCS-A2K-008 W</v>
      </c>
      <c r="AC95" s="74" t="s">
        <v>95</v>
      </c>
      <c r="AD95" s="61" t="str">
        <f t="shared" si="59"/>
        <v>TSN</v>
      </c>
      <c r="AE95" s="61">
        <f t="shared" si="60"/>
        <v>50</v>
      </c>
      <c r="AF95" s="61">
        <f t="shared" si="61"/>
        <v>0</v>
      </c>
    </row>
    <row r="96" spans="1:32" s="65" customFormat="1" ht="12.75" customHeight="1">
      <c r="A96" s="52" t="s">
        <v>14</v>
      </c>
      <c r="B96" s="1" t="s">
        <v>18</v>
      </c>
      <c r="C96" s="285">
        <v>40</v>
      </c>
      <c r="D96" s="285">
        <v>560</v>
      </c>
      <c r="E96" s="69">
        <f t="shared" si="53"/>
        <v>9</v>
      </c>
      <c r="F96" s="70">
        <f t="shared" si="54"/>
        <v>222</v>
      </c>
      <c r="G96" s="285">
        <f t="shared" si="55"/>
        <v>-31</v>
      </c>
      <c r="H96" s="285">
        <f t="shared" si="56"/>
        <v>-338</v>
      </c>
      <c r="I96" s="70"/>
      <c r="J96" s="70"/>
      <c r="K96" s="70"/>
      <c r="L96" s="70"/>
      <c r="M96" s="70">
        <f t="shared" si="57"/>
        <v>0</v>
      </c>
      <c r="N96" s="70">
        <f t="shared" si="58"/>
        <v>0</v>
      </c>
      <c r="O96" s="71"/>
      <c r="P96" s="71"/>
      <c r="Q96" s="70">
        <v>9</v>
      </c>
      <c r="R96" s="70">
        <v>222</v>
      </c>
      <c r="S96" s="72"/>
      <c r="T96" s="252">
        <f t="shared" si="62"/>
        <v>0.22500000000000001</v>
      </c>
      <c r="U96" s="73"/>
      <c r="V96" s="73"/>
      <c r="W96" s="73"/>
      <c r="X96" s="73"/>
      <c r="AA96" s="61">
        <f>H85</f>
        <v>16</v>
      </c>
      <c r="AB96" s="61" t="str">
        <f>E85</f>
        <v>FCS-A2K-008 W</v>
      </c>
      <c r="AC96" s="74" t="s">
        <v>95</v>
      </c>
      <c r="AD96" s="61" t="str">
        <f t="shared" si="59"/>
        <v>XMN</v>
      </c>
      <c r="AE96" s="61">
        <f t="shared" si="60"/>
        <v>40</v>
      </c>
      <c r="AF96" s="61">
        <f t="shared" si="61"/>
        <v>9</v>
      </c>
    </row>
    <row r="97" spans="1:32" s="65" customFormat="1" ht="12.75" customHeight="1">
      <c r="A97" s="52" t="s">
        <v>19</v>
      </c>
      <c r="B97" s="1" t="s">
        <v>18</v>
      </c>
      <c r="C97" s="285">
        <v>0</v>
      </c>
      <c r="D97" s="285">
        <v>0</v>
      </c>
      <c r="E97" s="69">
        <f t="shared" si="53"/>
        <v>0</v>
      </c>
      <c r="F97" s="70">
        <f t="shared" si="54"/>
        <v>0</v>
      </c>
      <c r="G97" s="285">
        <f t="shared" si="55"/>
        <v>0</v>
      </c>
      <c r="H97" s="285">
        <f t="shared" si="56"/>
        <v>0</v>
      </c>
      <c r="I97" s="70"/>
      <c r="J97" s="70"/>
      <c r="K97" s="70"/>
      <c r="L97" s="70"/>
      <c r="M97" s="70">
        <f t="shared" si="57"/>
        <v>0</v>
      </c>
      <c r="N97" s="70">
        <f t="shared" si="58"/>
        <v>0</v>
      </c>
      <c r="O97" s="70"/>
      <c r="P97" s="70"/>
      <c r="Q97" s="70"/>
      <c r="R97" s="70"/>
      <c r="S97" s="72"/>
      <c r="T97" s="252" t="e">
        <f t="shared" si="62"/>
        <v>#DIV/0!</v>
      </c>
      <c r="U97" s="73"/>
      <c r="V97" s="73"/>
      <c r="W97" s="73"/>
      <c r="X97" s="73"/>
      <c r="AA97" s="61">
        <f>H85</f>
        <v>16</v>
      </c>
      <c r="AB97" s="61" t="str">
        <f>E85</f>
        <v>FCS-A2K-008 W</v>
      </c>
      <c r="AC97" s="74" t="s">
        <v>95</v>
      </c>
      <c r="AD97" s="61" t="str">
        <f t="shared" si="59"/>
        <v>TWC</v>
      </c>
      <c r="AE97" s="61">
        <f t="shared" si="60"/>
        <v>0</v>
      </c>
      <c r="AF97" s="61">
        <f t="shared" si="61"/>
        <v>0</v>
      </c>
    </row>
    <row r="98" spans="1:32" s="65" customFormat="1" ht="12.75" customHeight="1">
      <c r="A98" s="52" t="s">
        <v>16</v>
      </c>
      <c r="B98" s="1">
        <f>B77+7</f>
        <v>43196</v>
      </c>
      <c r="C98" s="285">
        <v>150</v>
      </c>
      <c r="D98" s="285">
        <v>2100</v>
      </c>
      <c r="E98" s="69">
        <f t="shared" si="53"/>
        <v>213</v>
      </c>
      <c r="F98" s="70">
        <f t="shared" si="54"/>
        <v>1451</v>
      </c>
      <c r="G98" s="285">
        <f t="shared" si="55"/>
        <v>63</v>
      </c>
      <c r="H98" s="285">
        <f t="shared" si="56"/>
        <v>-649</v>
      </c>
      <c r="I98" s="70"/>
      <c r="J98" s="70"/>
      <c r="K98" s="70"/>
      <c r="L98" s="70"/>
      <c r="M98" s="70">
        <f t="shared" si="57"/>
        <v>0</v>
      </c>
      <c r="N98" s="70">
        <f t="shared" si="58"/>
        <v>0</v>
      </c>
      <c r="O98" s="70"/>
      <c r="P98" s="70"/>
      <c r="Q98" s="70">
        <v>213</v>
      </c>
      <c r="R98" s="84">
        <v>1451</v>
      </c>
      <c r="S98" s="72"/>
      <c r="T98" s="252">
        <f t="shared" si="62"/>
        <v>1.42</v>
      </c>
      <c r="U98" s="73"/>
      <c r="V98" s="73"/>
      <c r="W98" s="73"/>
      <c r="X98" s="73"/>
      <c r="AA98" s="61">
        <f>H85</f>
        <v>16</v>
      </c>
      <c r="AB98" s="61" t="str">
        <f>E85</f>
        <v>FCS-A2K-008 W</v>
      </c>
      <c r="AC98" s="74" t="s">
        <v>95</v>
      </c>
      <c r="AD98" s="61" t="str">
        <f t="shared" si="59"/>
        <v>HUA</v>
      </c>
      <c r="AE98" s="61">
        <f t="shared" si="60"/>
        <v>150</v>
      </c>
      <c r="AF98" s="61">
        <f t="shared" si="61"/>
        <v>213</v>
      </c>
    </row>
    <row r="99" spans="1:32" s="65" customFormat="1" ht="12.75" customHeight="1">
      <c r="A99" s="52" t="s">
        <v>2</v>
      </c>
      <c r="B99" s="26"/>
      <c r="C99" s="285"/>
      <c r="D99" s="285"/>
      <c r="E99" s="69">
        <f t="shared" si="53"/>
        <v>0</v>
      </c>
      <c r="F99" s="70">
        <f t="shared" si="54"/>
        <v>0</v>
      </c>
      <c r="G99" s="285"/>
      <c r="H99" s="285"/>
      <c r="I99" s="70"/>
      <c r="J99" s="70"/>
      <c r="K99" s="70"/>
      <c r="L99" s="70"/>
      <c r="M99" s="70">
        <f t="shared" si="57"/>
        <v>0</v>
      </c>
      <c r="N99" s="70">
        <f t="shared" si="58"/>
        <v>0</v>
      </c>
      <c r="O99" s="70"/>
      <c r="P99" s="70"/>
      <c r="Q99" s="70"/>
      <c r="R99" s="70"/>
      <c r="S99" s="72"/>
      <c r="T99" s="252" t="e">
        <f t="shared" si="62"/>
        <v>#DIV/0!</v>
      </c>
      <c r="U99" s="73"/>
      <c r="V99" s="73"/>
      <c r="W99" s="73"/>
      <c r="X99" s="73"/>
      <c r="AA99" s="61">
        <f>H85</f>
        <v>16</v>
      </c>
      <c r="AB99" s="61" t="str">
        <f>E85</f>
        <v>FCS-A2K-008 W</v>
      </c>
      <c r="AC99" s="74" t="s">
        <v>95</v>
      </c>
      <c r="AD99" s="61" t="str">
        <f t="shared" si="59"/>
        <v>HKG</v>
      </c>
      <c r="AE99" s="61">
        <f t="shared" si="60"/>
        <v>0</v>
      </c>
      <c r="AF99" s="61">
        <f t="shared" si="61"/>
        <v>0</v>
      </c>
    </row>
    <row r="100" spans="1:32" s="65" customFormat="1" ht="12.75" customHeight="1">
      <c r="A100" s="52" t="s">
        <v>3</v>
      </c>
      <c r="B100" s="1">
        <f>B79+7</f>
        <v>43202</v>
      </c>
      <c r="C100" s="285">
        <v>60</v>
      </c>
      <c r="D100" s="285">
        <v>840</v>
      </c>
      <c r="E100" s="69">
        <f t="shared" si="53"/>
        <v>60</v>
      </c>
      <c r="F100" s="70">
        <f t="shared" si="54"/>
        <v>840</v>
      </c>
      <c r="G100" s="285">
        <f t="shared" ref="G100:G103" si="63">E100-C100</f>
        <v>0</v>
      </c>
      <c r="H100" s="285">
        <f t="shared" ref="H100:H103" si="64">F100-D100</f>
        <v>0</v>
      </c>
      <c r="I100" s="70"/>
      <c r="J100" s="70"/>
      <c r="K100" s="70"/>
      <c r="L100" s="70"/>
      <c r="M100" s="70">
        <f t="shared" si="57"/>
        <v>0</v>
      </c>
      <c r="N100" s="70">
        <f t="shared" si="58"/>
        <v>0</v>
      </c>
      <c r="O100" s="285"/>
      <c r="P100" s="285"/>
      <c r="Q100" s="70">
        <v>60</v>
      </c>
      <c r="R100" s="70">
        <v>840</v>
      </c>
      <c r="S100" s="72"/>
      <c r="T100" s="252">
        <f t="shared" si="62"/>
        <v>1</v>
      </c>
      <c r="U100" s="73"/>
      <c r="V100" s="73"/>
      <c r="W100" s="73"/>
      <c r="X100" s="73"/>
      <c r="AA100" s="61">
        <f>H85</f>
        <v>16</v>
      </c>
      <c r="AB100" s="61" t="str">
        <f>E85</f>
        <v>FCS-A2K-008 W</v>
      </c>
      <c r="AC100" s="74" t="s">
        <v>95</v>
      </c>
      <c r="AD100" s="61" t="str">
        <f t="shared" si="59"/>
        <v>SGP</v>
      </c>
      <c r="AE100" s="61">
        <f t="shared" si="60"/>
        <v>60</v>
      </c>
      <c r="AF100" s="61">
        <f t="shared" si="61"/>
        <v>60</v>
      </c>
    </row>
    <row r="101" spans="1:32" s="65" customFormat="1" ht="12.75" customHeight="1">
      <c r="A101" s="52" t="s">
        <v>4</v>
      </c>
      <c r="B101" s="1">
        <f>B80+7</f>
        <v>43204</v>
      </c>
      <c r="C101" s="285">
        <v>40</v>
      </c>
      <c r="D101" s="285">
        <v>420</v>
      </c>
      <c r="E101" s="69">
        <f t="shared" si="53"/>
        <v>75</v>
      </c>
      <c r="F101" s="70">
        <f t="shared" si="54"/>
        <v>1499</v>
      </c>
      <c r="G101" s="285">
        <f t="shared" si="63"/>
        <v>35</v>
      </c>
      <c r="H101" s="285">
        <f t="shared" si="64"/>
        <v>1079</v>
      </c>
      <c r="I101" s="70"/>
      <c r="J101" s="70"/>
      <c r="K101" s="70"/>
      <c r="L101" s="70"/>
      <c r="M101" s="70">
        <f t="shared" si="57"/>
        <v>0</v>
      </c>
      <c r="N101" s="70">
        <f t="shared" si="58"/>
        <v>0</v>
      </c>
      <c r="O101" s="70"/>
      <c r="P101" s="70"/>
      <c r="Q101" s="70">
        <v>75</v>
      </c>
      <c r="R101" s="70">
        <v>1499</v>
      </c>
      <c r="S101" s="72"/>
      <c r="T101" s="252">
        <f>E101/C101</f>
        <v>1.875</v>
      </c>
      <c r="U101" s="73"/>
      <c r="V101" s="73"/>
      <c r="W101" s="73"/>
      <c r="X101" s="73"/>
      <c r="AA101" s="61">
        <f>H85</f>
        <v>16</v>
      </c>
      <c r="AB101" s="61" t="str">
        <f>E85</f>
        <v>FCS-A2K-008 W</v>
      </c>
      <c r="AC101" s="74" t="s">
        <v>95</v>
      </c>
      <c r="AD101" s="61" t="str">
        <f t="shared" si="59"/>
        <v>PKL</v>
      </c>
      <c r="AE101" s="61">
        <f t="shared" si="60"/>
        <v>40</v>
      </c>
      <c r="AF101" s="61">
        <f t="shared" si="61"/>
        <v>75</v>
      </c>
    </row>
    <row r="102" spans="1:32" s="65" customFormat="1" ht="12.75" customHeight="1">
      <c r="A102" s="52" t="s">
        <v>15</v>
      </c>
      <c r="B102" s="285"/>
      <c r="C102" s="285"/>
      <c r="D102" s="285"/>
      <c r="E102" s="69">
        <f t="shared" si="53"/>
        <v>0</v>
      </c>
      <c r="F102" s="70">
        <f t="shared" si="54"/>
        <v>0</v>
      </c>
      <c r="G102" s="285">
        <f t="shared" si="63"/>
        <v>0</v>
      </c>
      <c r="H102" s="285">
        <f t="shared" si="64"/>
        <v>0</v>
      </c>
      <c r="I102" s="70"/>
      <c r="J102" s="70"/>
      <c r="K102" s="70"/>
      <c r="L102" s="70"/>
      <c r="M102" s="70">
        <f t="shared" si="57"/>
        <v>0</v>
      </c>
      <c r="N102" s="70">
        <f t="shared" si="58"/>
        <v>0</v>
      </c>
      <c r="O102" s="71"/>
      <c r="P102" s="71"/>
      <c r="Q102" s="71"/>
      <c r="R102" s="71"/>
      <c r="S102" s="72"/>
      <c r="T102" s="73"/>
      <c r="U102" s="73"/>
      <c r="V102" s="73"/>
      <c r="W102" s="73"/>
      <c r="X102" s="73"/>
      <c r="AA102" s="61">
        <f>H85</f>
        <v>16</v>
      </c>
      <c r="AB102" s="61" t="str">
        <f>E85</f>
        <v>FCS-A2K-008 W</v>
      </c>
      <c r="AC102" s="74" t="s">
        <v>95</v>
      </c>
      <c r="AD102" s="61" t="str">
        <f t="shared" si="59"/>
        <v>T/S</v>
      </c>
      <c r="AE102" s="61">
        <f t="shared" si="60"/>
        <v>0</v>
      </c>
      <c r="AF102" s="61">
        <f t="shared" si="61"/>
        <v>0</v>
      </c>
    </row>
    <row r="103" spans="1:32" s="65" customFormat="1" ht="12.75" customHeight="1">
      <c r="A103" s="51" t="s">
        <v>36</v>
      </c>
      <c r="B103" s="72"/>
      <c r="C103" s="71">
        <v>735</v>
      </c>
      <c r="D103" s="71">
        <v>10290</v>
      </c>
      <c r="E103" s="78">
        <f>SUM(E89:E102)</f>
        <v>599</v>
      </c>
      <c r="F103" s="76">
        <f>SUM(F89:F102)</f>
        <v>7453</v>
      </c>
      <c r="G103" s="71">
        <f t="shared" si="63"/>
        <v>-136</v>
      </c>
      <c r="H103" s="71">
        <f t="shared" si="64"/>
        <v>-2837</v>
      </c>
      <c r="I103" s="70">
        <f t="shared" ref="I103:L103" si="65">SUM(I89:I102)</f>
        <v>64</v>
      </c>
      <c r="J103" s="70">
        <f t="shared" si="65"/>
        <v>603</v>
      </c>
      <c r="K103" s="70">
        <f t="shared" si="65"/>
        <v>0</v>
      </c>
      <c r="L103" s="70">
        <f t="shared" si="65"/>
        <v>0</v>
      </c>
      <c r="M103" s="70"/>
      <c r="N103" s="70"/>
      <c r="O103" s="70">
        <f t="shared" ref="O103:R103" si="66">SUM(O89:O102)</f>
        <v>242</v>
      </c>
      <c r="P103" s="70">
        <f t="shared" si="66"/>
        <v>3441</v>
      </c>
      <c r="Q103" s="70">
        <f t="shared" si="66"/>
        <v>357</v>
      </c>
      <c r="R103" s="70">
        <f t="shared" si="66"/>
        <v>4012</v>
      </c>
      <c r="S103" s="72"/>
      <c r="T103" s="73"/>
      <c r="U103" s="73"/>
      <c r="V103" s="73"/>
      <c r="W103" s="73"/>
      <c r="X103" s="73"/>
      <c r="AA103" s="61"/>
      <c r="AB103" s="61"/>
      <c r="AC103" s="61"/>
      <c r="AD103" s="61"/>
      <c r="AE103" s="61"/>
      <c r="AF103" s="61"/>
    </row>
    <row r="104" spans="1:32" s="65" customFormat="1" ht="12.75" customHeight="1">
      <c r="A104" s="84">
        <f>D103/C103</f>
        <v>14</v>
      </c>
      <c r="C104" s="281">
        <f>F103-E104</f>
        <v>-1808</v>
      </c>
      <c r="E104" s="65">
        <f>D103*0.9</f>
        <v>9261</v>
      </c>
      <c r="F104" s="281">
        <f>E103-L104</f>
        <v>-62.5</v>
      </c>
      <c r="I104" s="80" t="s">
        <v>48</v>
      </c>
      <c r="J104" s="245">
        <f>E103/C103</f>
        <v>0.81496598639455786</v>
      </c>
      <c r="K104" s="80"/>
      <c r="L104" s="80">
        <f>C103*0.9</f>
        <v>661.5</v>
      </c>
      <c r="M104" s="80"/>
      <c r="N104" s="80"/>
      <c r="O104" s="80" t="s">
        <v>49</v>
      </c>
      <c r="P104" s="80"/>
      <c r="Q104" s="65">
        <f>P90+P91+P93+P94+P95+J90+J91+L90+L91+J93+R93+J89+P89</f>
        <v>4044</v>
      </c>
      <c r="R104" s="65">
        <v>5797</v>
      </c>
      <c r="AA104" s="81"/>
      <c r="AB104" s="81"/>
      <c r="AC104" s="81"/>
      <c r="AD104" s="81"/>
      <c r="AE104" s="81"/>
      <c r="AF104" s="81"/>
    </row>
    <row r="106" spans="1:32" s="63" customFormat="1" ht="12.75" customHeight="1">
      <c r="A106" s="59" t="s">
        <v>95</v>
      </c>
      <c r="B106" s="58" t="s">
        <v>588</v>
      </c>
      <c r="C106" s="56"/>
      <c r="D106" s="57"/>
      <c r="E106" s="58" t="s">
        <v>637</v>
      </c>
      <c r="F106" s="57"/>
      <c r="G106" s="59" t="s">
        <v>37</v>
      </c>
      <c r="H106" s="60">
        <f>H85+1</f>
        <v>17</v>
      </c>
      <c r="I106" s="57"/>
      <c r="J106" s="57"/>
      <c r="K106" s="57"/>
      <c r="L106" s="57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2"/>
      <c r="Z106" s="62"/>
      <c r="AA106" s="62"/>
      <c r="AB106" s="62"/>
      <c r="AC106" s="62"/>
    </row>
    <row r="107" spans="1:32" s="65" customFormat="1" ht="12.75" customHeight="1">
      <c r="A107" s="340" t="s">
        <v>0</v>
      </c>
      <c r="B107" s="336" t="s">
        <v>1</v>
      </c>
      <c r="C107" s="331" t="s">
        <v>25</v>
      </c>
      <c r="D107" s="332"/>
      <c r="E107" s="331" t="s">
        <v>21</v>
      </c>
      <c r="F107" s="332"/>
      <c r="G107" s="335" t="s">
        <v>24</v>
      </c>
      <c r="H107" s="335"/>
      <c r="I107" s="328" t="s">
        <v>33</v>
      </c>
      <c r="J107" s="329"/>
      <c r="K107" s="329"/>
      <c r="L107" s="329"/>
      <c r="M107" s="329"/>
      <c r="N107" s="330"/>
      <c r="O107" s="331" t="s">
        <v>22</v>
      </c>
      <c r="P107" s="332"/>
      <c r="Q107" s="335" t="s">
        <v>23</v>
      </c>
      <c r="R107" s="335"/>
      <c r="S107" s="336" t="s">
        <v>27</v>
      </c>
      <c r="T107" s="64"/>
      <c r="U107" s="64"/>
      <c r="V107" s="64"/>
      <c r="W107" s="64"/>
      <c r="X107" s="64"/>
      <c r="Y107" s="339"/>
      <c r="Z107" s="297"/>
      <c r="AA107" s="61"/>
      <c r="AB107" s="61"/>
      <c r="AC107" s="74"/>
      <c r="AD107" s="61"/>
      <c r="AE107" s="61"/>
      <c r="AF107" s="61"/>
    </row>
    <row r="108" spans="1:32" s="65" customFormat="1" ht="12.75" customHeight="1">
      <c r="A108" s="341"/>
      <c r="B108" s="337"/>
      <c r="C108" s="333"/>
      <c r="D108" s="334"/>
      <c r="E108" s="333"/>
      <c r="F108" s="334"/>
      <c r="G108" s="335"/>
      <c r="H108" s="335"/>
      <c r="I108" s="293" t="s">
        <v>28</v>
      </c>
      <c r="J108" s="294" t="s">
        <v>3</v>
      </c>
      <c r="K108" s="293" t="s">
        <v>29</v>
      </c>
      <c r="L108" s="294" t="s">
        <v>4</v>
      </c>
      <c r="M108" s="328" t="s">
        <v>30</v>
      </c>
      <c r="N108" s="330"/>
      <c r="O108" s="333"/>
      <c r="P108" s="334"/>
      <c r="Q108" s="335"/>
      <c r="R108" s="335"/>
      <c r="S108" s="337"/>
      <c r="T108" s="64"/>
      <c r="U108" s="64"/>
      <c r="V108" s="64"/>
      <c r="W108" s="64"/>
      <c r="X108" s="64"/>
      <c r="Y108" s="339"/>
      <c r="Z108" s="297"/>
      <c r="AA108" s="61"/>
      <c r="AB108" s="61"/>
      <c r="AC108" s="74"/>
      <c r="AD108" s="61"/>
      <c r="AE108" s="61"/>
      <c r="AF108" s="61"/>
    </row>
    <row r="109" spans="1:32" s="65" customFormat="1" ht="12.75" customHeight="1">
      <c r="A109" s="342"/>
      <c r="B109" s="338"/>
      <c r="C109" s="295" t="s">
        <v>5</v>
      </c>
      <c r="D109" s="295" t="s">
        <v>6</v>
      </c>
      <c r="E109" s="294" t="s">
        <v>5</v>
      </c>
      <c r="F109" s="295" t="s">
        <v>6</v>
      </c>
      <c r="G109" s="295" t="s">
        <v>5</v>
      </c>
      <c r="H109" s="295" t="s">
        <v>6</v>
      </c>
      <c r="I109" s="294" t="s">
        <v>5</v>
      </c>
      <c r="J109" s="295" t="s">
        <v>6</v>
      </c>
      <c r="K109" s="294" t="s">
        <v>5</v>
      </c>
      <c r="L109" s="295" t="s">
        <v>6</v>
      </c>
      <c r="M109" s="295"/>
      <c r="N109" s="295"/>
      <c r="O109" s="294" t="s">
        <v>5</v>
      </c>
      <c r="P109" s="295" t="s">
        <v>6</v>
      </c>
      <c r="Q109" s="295" t="s">
        <v>5</v>
      </c>
      <c r="R109" s="295" t="s">
        <v>6</v>
      </c>
      <c r="S109" s="338"/>
      <c r="T109" s="64"/>
      <c r="U109" s="64"/>
      <c r="V109" s="64"/>
      <c r="W109" s="64"/>
      <c r="X109" s="64"/>
      <c r="Y109" s="339"/>
      <c r="Z109" s="297"/>
      <c r="AA109" s="61" t="s">
        <v>43</v>
      </c>
      <c r="AB109" s="61" t="s">
        <v>45</v>
      </c>
      <c r="AC109" s="61" t="s">
        <v>46</v>
      </c>
      <c r="AD109" s="61" t="s">
        <v>42</v>
      </c>
      <c r="AE109" s="61" t="s">
        <v>41</v>
      </c>
      <c r="AF109" s="61" t="s">
        <v>44</v>
      </c>
    </row>
    <row r="110" spans="1:32" s="65" customFormat="1" ht="12.75" customHeight="1">
      <c r="A110" s="51" t="s">
        <v>7</v>
      </c>
      <c r="B110" s="1">
        <f>B89+7</f>
        <v>43196</v>
      </c>
      <c r="C110" s="295">
        <v>50</v>
      </c>
      <c r="D110" s="295">
        <v>700</v>
      </c>
      <c r="E110" s="69">
        <f t="shared" ref="E110:E123" si="67">O110+Q110</f>
        <v>56</v>
      </c>
      <c r="F110" s="70">
        <f t="shared" ref="F110:F123" si="68">P110+R110</f>
        <v>755</v>
      </c>
      <c r="G110" s="295">
        <f t="shared" ref="G110:G119" si="69">E110-C110</f>
        <v>6</v>
      </c>
      <c r="H110" s="295">
        <f t="shared" ref="H110:H119" si="70">F110-D110</f>
        <v>55</v>
      </c>
      <c r="I110" s="70">
        <v>5</v>
      </c>
      <c r="J110" s="70">
        <v>74</v>
      </c>
      <c r="K110" s="70"/>
      <c r="L110" s="70"/>
      <c r="M110" s="70">
        <f t="shared" ref="M110:M123" si="71">I110+K110</f>
        <v>5</v>
      </c>
      <c r="N110" s="70">
        <f t="shared" ref="N110:N123" si="72">J110+L110</f>
        <v>74</v>
      </c>
      <c r="O110" s="71">
        <v>56</v>
      </c>
      <c r="P110" s="71">
        <v>755</v>
      </c>
      <c r="Q110" s="70"/>
      <c r="R110" s="70"/>
      <c r="S110" s="72"/>
      <c r="T110" s="252">
        <f>E110/C110</f>
        <v>1.1200000000000001</v>
      </c>
      <c r="U110" s="73"/>
      <c r="V110" s="73"/>
      <c r="W110" s="73"/>
      <c r="X110" s="73"/>
      <c r="Y110" s="339"/>
      <c r="Z110" s="297"/>
      <c r="AA110" s="61">
        <f>H106</f>
        <v>17</v>
      </c>
      <c r="AB110" s="61" t="str">
        <f>E106</f>
        <v>FCS-N6W-001 W</v>
      </c>
      <c r="AC110" s="74" t="s">
        <v>95</v>
      </c>
      <c r="AD110" s="61" t="str">
        <f t="shared" ref="AD110:AD123" si="73">A110</f>
        <v>KR</v>
      </c>
      <c r="AE110" s="61">
        <f t="shared" ref="AE110:AE123" si="74">C110</f>
        <v>50</v>
      </c>
      <c r="AF110" s="61">
        <f t="shared" ref="AF110:AF123" si="75">E110</f>
        <v>56</v>
      </c>
    </row>
    <row r="111" spans="1:32" s="65" customFormat="1" ht="12.75" customHeight="1">
      <c r="A111" s="52" t="s">
        <v>13</v>
      </c>
      <c r="B111" s="1">
        <f>B90+7</f>
        <v>43198</v>
      </c>
      <c r="C111" s="295">
        <v>100</v>
      </c>
      <c r="D111" s="295">
        <v>1400</v>
      </c>
      <c r="E111" s="69">
        <f t="shared" si="67"/>
        <v>120</v>
      </c>
      <c r="F111" s="70">
        <f t="shared" si="68"/>
        <v>1548</v>
      </c>
      <c r="G111" s="295">
        <f t="shared" si="69"/>
        <v>20</v>
      </c>
      <c r="H111" s="295">
        <f t="shared" si="70"/>
        <v>148</v>
      </c>
      <c r="I111" s="75">
        <v>70</v>
      </c>
      <c r="J111" s="75">
        <v>950</v>
      </c>
      <c r="K111" s="70">
        <v>1</v>
      </c>
      <c r="L111" s="70">
        <v>15</v>
      </c>
      <c r="M111" s="70">
        <f t="shared" si="71"/>
        <v>71</v>
      </c>
      <c r="N111" s="70">
        <f t="shared" si="72"/>
        <v>965</v>
      </c>
      <c r="O111" s="75">
        <v>120</v>
      </c>
      <c r="P111" s="75">
        <v>1548</v>
      </c>
      <c r="Q111" s="71"/>
      <c r="R111" s="71"/>
      <c r="S111" s="72"/>
      <c r="T111" s="252">
        <f t="shared" ref="T111:T121" si="76">E111/C111</f>
        <v>1.2</v>
      </c>
      <c r="U111" s="73"/>
      <c r="V111" s="73"/>
      <c r="W111" s="73"/>
      <c r="X111" s="73"/>
      <c r="AA111" s="61">
        <f>H106</f>
        <v>17</v>
      </c>
      <c r="AB111" s="61" t="str">
        <f>E106</f>
        <v>FCS-N6W-001 W</v>
      </c>
      <c r="AC111" s="74" t="s">
        <v>95</v>
      </c>
      <c r="AD111" s="61" t="str">
        <f t="shared" si="73"/>
        <v>TAO</v>
      </c>
      <c r="AE111" s="61">
        <f t="shared" si="74"/>
        <v>100</v>
      </c>
      <c r="AF111" s="61">
        <f t="shared" si="75"/>
        <v>120</v>
      </c>
    </row>
    <row r="112" spans="1:32" s="65" customFormat="1" ht="12.75" customHeight="1">
      <c r="A112" s="52" t="s">
        <v>9</v>
      </c>
      <c r="B112" s="1">
        <f>B91+7</f>
        <v>43200</v>
      </c>
      <c r="C112" s="295">
        <v>100</v>
      </c>
      <c r="D112" s="295">
        <v>1400</v>
      </c>
      <c r="E112" s="69">
        <f t="shared" si="67"/>
        <v>83</v>
      </c>
      <c r="F112" s="70">
        <f t="shared" si="68"/>
        <v>1185</v>
      </c>
      <c r="G112" s="295">
        <f t="shared" si="69"/>
        <v>-17</v>
      </c>
      <c r="H112" s="295">
        <f t="shared" si="70"/>
        <v>-215</v>
      </c>
      <c r="I112" s="75">
        <v>107</v>
      </c>
      <c r="J112" s="75">
        <v>1493</v>
      </c>
      <c r="K112" s="71">
        <v>3</v>
      </c>
      <c r="L112" s="71">
        <v>19</v>
      </c>
      <c r="M112" s="70">
        <f t="shared" si="71"/>
        <v>110</v>
      </c>
      <c r="N112" s="70">
        <f t="shared" si="72"/>
        <v>1512</v>
      </c>
      <c r="O112" s="75">
        <v>83</v>
      </c>
      <c r="P112" s="75">
        <v>1185</v>
      </c>
      <c r="Q112" s="71"/>
      <c r="R112" s="71"/>
      <c r="S112" s="72"/>
      <c r="T112" s="252">
        <f t="shared" si="76"/>
        <v>0.83</v>
      </c>
      <c r="U112" s="73"/>
      <c r="V112" s="73"/>
      <c r="W112" s="73"/>
      <c r="X112" s="73"/>
      <c r="AA112" s="61">
        <f>H106</f>
        <v>17</v>
      </c>
      <c r="AB112" s="61" t="str">
        <f>E106</f>
        <v>FCS-N6W-001 W</v>
      </c>
      <c r="AC112" s="74" t="s">
        <v>95</v>
      </c>
      <c r="AD112" s="61" t="str">
        <f t="shared" si="73"/>
        <v>SHA</v>
      </c>
      <c r="AE112" s="61">
        <f t="shared" si="74"/>
        <v>100</v>
      </c>
      <c r="AF112" s="61">
        <f t="shared" si="75"/>
        <v>83</v>
      </c>
    </row>
    <row r="113" spans="1:32" s="65" customFormat="1" ht="12.75" customHeight="1">
      <c r="A113" s="52" t="s">
        <v>8</v>
      </c>
      <c r="B113" s="1" t="s">
        <v>18</v>
      </c>
      <c r="C113" s="295">
        <v>50</v>
      </c>
      <c r="D113" s="295">
        <v>700</v>
      </c>
      <c r="E113" s="69">
        <f t="shared" si="67"/>
        <v>0</v>
      </c>
      <c r="F113" s="70">
        <f t="shared" si="68"/>
        <v>0</v>
      </c>
      <c r="G113" s="295">
        <f t="shared" si="69"/>
        <v>-50</v>
      </c>
      <c r="H113" s="295">
        <f t="shared" si="70"/>
        <v>-700</v>
      </c>
      <c r="I113" s="71"/>
      <c r="J113" s="71"/>
      <c r="K113" s="71"/>
      <c r="L113" s="71"/>
      <c r="M113" s="70">
        <f t="shared" si="71"/>
        <v>0</v>
      </c>
      <c r="N113" s="70">
        <f t="shared" si="72"/>
        <v>0</v>
      </c>
      <c r="O113" s="71"/>
      <c r="P113" s="71"/>
      <c r="Q113" s="71"/>
      <c r="R113" s="71"/>
      <c r="S113" s="72"/>
      <c r="T113" s="252">
        <f t="shared" si="76"/>
        <v>0</v>
      </c>
      <c r="U113" s="73"/>
      <c r="V113" s="73"/>
      <c r="W113" s="73"/>
      <c r="X113" s="73"/>
      <c r="AA113" s="61">
        <f>H106</f>
        <v>17</v>
      </c>
      <c r="AB113" s="61" t="str">
        <f>E106</f>
        <v>FCS-N6W-001 W</v>
      </c>
      <c r="AC113" s="74" t="s">
        <v>95</v>
      </c>
      <c r="AD113" s="61" t="str">
        <f t="shared" si="73"/>
        <v>NGB</v>
      </c>
      <c r="AE113" s="61">
        <f t="shared" si="74"/>
        <v>50</v>
      </c>
      <c r="AF113" s="61">
        <f t="shared" si="75"/>
        <v>0</v>
      </c>
    </row>
    <row r="114" spans="1:32" s="65" customFormat="1" ht="12.75" customHeight="1">
      <c r="A114" s="52" t="s">
        <v>10</v>
      </c>
      <c r="B114" s="1" t="s">
        <v>18</v>
      </c>
      <c r="C114" s="295">
        <v>20</v>
      </c>
      <c r="D114" s="295">
        <v>280</v>
      </c>
      <c r="E114" s="69">
        <f t="shared" si="67"/>
        <v>4</v>
      </c>
      <c r="F114" s="70">
        <f t="shared" si="68"/>
        <v>80</v>
      </c>
      <c r="G114" s="295">
        <f t="shared" si="69"/>
        <v>-16</v>
      </c>
      <c r="H114" s="295">
        <f t="shared" si="70"/>
        <v>-200</v>
      </c>
      <c r="I114" s="75"/>
      <c r="J114" s="75"/>
      <c r="K114" s="70"/>
      <c r="L114" s="70"/>
      <c r="M114" s="70">
        <f t="shared" si="71"/>
        <v>0</v>
      </c>
      <c r="N114" s="70">
        <f t="shared" si="72"/>
        <v>0</v>
      </c>
      <c r="O114" s="75">
        <v>4</v>
      </c>
      <c r="P114" s="75">
        <v>80</v>
      </c>
      <c r="Q114" s="70"/>
      <c r="R114" s="70"/>
      <c r="S114" s="72"/>
      <c r="T114" s="252">
        <f t="shared" si="76"/>
        <v>0.2</v>
      </c>
      <c r="U114" s="73"/>
      <c r="V114" s="73"/>
      <c r="W114" s="73"/>
      <c r="X114" s="73"/>
      <c r="AA114" s="61">
        <f>H106</f>
        <v>17</v>
      </c>
      <c r="AB114" s="61" t="str">
        <f>E106</f>
        <v>FCS-N6W-001 W</v>
      </c>
      <c r="AC114" s="74" t="s">
        <v>95</v>
      </c>
      <c r="AD114" s="61" t="str">
        <f t="shared" si="73"/>
        <v>WUH</v>
      </c>
      <c r="AE114" s="61">
        <f t="shared" si="74"/>
        <v>20</v>
      </c>
      <c r="AF114" s="61">
        <f t="shared" si="75"/>
        <v>4</v>
      </c>
    </row>
    <row r="115" spans="1:32" s="65" customFormat="1" ht="12.75" customHeight="1">
      <c r="A115" s="52" t="s">
        <v>11</v>
      </c>
      <c r="B115" s="1" t="s">
        <v>18</v>
      </c>
      <c r="C115" s="295">
        <v>50</v>
      </c>
      <c r="D115" s="295">
        <v>700</v>
      </c>
      <c r="E115" s="69">
        <f t="shared" si="67"/>
        <v>69</v>
      </c>
      <c r="F115" s="70">
        <f t="shared" si="68"/>
        <v>1775</v>
      </c>
      <c r="G115" s="295">
        <f t="shared" si="69"/>
        <v>19</v>
      </c>
      <c r="H115" s="295">
        <f t="shared" si="70"/>
        <v>1075</v>
      </c>
      <c r="I115" s="70"/>
      <c r="J115" s="70"/>
      <c r="K115" s="70"/>
      <c r="L115" s="70"/>
      <c r="M115" s="70">
        <f t="shared" si="71"/>
        <v>0</v>
      </c>
      <c r="N115" s="70">
        <f t="shared" si="72"/>
        <v>0</v>
      </c>
      <c r="O115" s="75">
        <v>69</v>
      </c>
      <c r="P115" s="75">
        <v>1775</v>
      </c>
      <c r="Q115" s="70"/>
      <c r="R115" s="70"/>
      <c r="S115" s="72"/>
      <c r="T115" s="252">
        <f t="shared" si="76"/>
        <v>1.38</v>
      </c>
      <c r="U115" s="73"/>
      <c r="V115" s="73"/>
      <c r="W115" s="73"/>
      <c r="X115" s="73"/>
      <c r="AA115" s="61">
        <f>H106</f>
        <v>17</v>
      </c>
      <c r="AB115" s="61" t="str">
        <f>E106</f>
        <v>FCS-N6W-001 W</v>
      </c>
      <c r="AC115" s="74" t="s">
        <v>95</v>
      </c>
      <c r="AD115" s="61" t="str">
        <f t="shared" si="73"/>
        <v>DLC</v>
      </c>
      <c r="AE115" s="61">
        <f t="shared" si="74"/>
        <v>50</v>
      </c>
      <c r="AF115" s="61">
        <f t="shared" si="75"/>
        <v>69</v>
      </c>
    </row>
    <row r="116" spans="1:32" s="65" customFormat="1" ht="12.75" customHeight="1">
      <c r="A116" s="52" t="s">
        <v>12</v>
      </c>
      <c r="B116" s="1" t="s">
        <v>18</v>
      </c>
      <c r="C116" s="295">
        <v>50</v>
      </c>
      <c r="D116" s="295">
        <v>700</v>
      </c>
      <c r="E116" s="69">
        <f t="shared" si="67"/>
        <v>0</v>
      </c>
      <c r="F116" s="70">
        <f t="shared" si="68"/>
        <v>0</v>
      </c>
      <c r="G116" s="295">
        <f t="shared" si="69"/>
        <v>-50</v>
      </c>
      <c r="H116" s="295">
        <f t="shared" si="70"/>
        <v>-700</v>
      </c>
      <c r="I116" s="70"/>
      <c r="J116" s="70"/>
      <c r="K116" s="70"/>
      <c r="L116" s="70"/>
      <c r="M116" s="70">
        <f t="shared" si="71"/>
        <v>0</v>
      </c>
      <c r="N116" s="70">
        <f t="shared" si="72"/>
        <v>0</v>
      </c>
      <c r="O116" s="75"/>
      <c r="P116" s="75"/>
      <c r="Q116" s="76"/>
      <c r="R116" s="71"/>
      <c r="S116" s="72"/>
      <c r="T116" s="252">
        <f t="shared" si="76"/>
        <v>0</v>
      </c>
      <c r="U116" s="73"/>
      <c r="V116" s="73"/>
      <c r="W116" s="73"/>
      <c r="X116" s="73"/>
      <c r="AA116" s="61">
        <f>H106</f>
        <v>17</v>
      </c>
      <c r="AB116" s="61" t="str">
        <f>E106</f>
        <v>FCS-N6W-001 W</v>
      </c>
      <c r="AC116" s="74" t="s">
        <v>95</v>
      </c>
      <c r="AD116" s="61" t="str">
        <f t="shared" si="73"/>
        <v>TSN</v>
      </c>
      <c r="AE116" s="61">
        <f t="shared" si="74"/>
        <v>50</v>
      </c>
      <c r="AF116" s="61">
        <f t="shared" si="75"/>
        <v>0</v>
      </c>
    </row>
    <row r="117" spans="1:32" s="65" customFormat="1" ht="12.75" customHeight="1">
      <c r="A117" s="52" t="s">
        <v>14</v>
      </c>
      <c r="B117" s="1" t="s">
        <v>18</v>
      </c>
      <c r="C117" s="295">
        <v>40</v>
      </c>
      <c r="D117" s="295">
        <v>560</v>
      </c>
      <c r="E117" s="69">
        <f t="shared" si="67"/>
        <v>3</v>
      </c>
      <c r="F117" s="70">
        <f t="shared" si="68"/>
        <v>30</v>
      </c>
      <c r="G117" s="295">
        <f t="shared" si="69"/>
        <v>-37</v>
      </c>
      <c r="H117" s="295">
        <f t="shared" si="70"/>
        <v>-530</v>
      </c>
      <c r="I117" s="70"/>
      <c r="J117" s="70"/>
      <c r="K117" s="70"/>
      <c r="L117" s="70"/>
      <c r="M117" s="70">
        <f t="shared" si="71"/>
        <v>0</v>
      </c>
      <c r="N117" s="70">
        <f t="shared" si="72"/>
        <v>0</v>
      </c>
      <c r="O117" s="71"/>
      <c r="P117" s="71"/>
      <c r="Q117" s="70">
        <v>3</v>
      </c>
      <c r="R117" s="70">
        <v>30</v>
      </c>
      <c r="S117" s="72"/>
      <c r="T117" s="252">
        <f t="shared" si="76"/>
        <v>7.4999999999999997E-2</v>
      </c>
      <c r="U117" s="73"/>
      <c r="V117" s="73"/>
      <c r="W117" s="73"/>
      <c r="X117" s="73"/>
      <c r="AA117" s="61">
        <f>H106</f>
        <v>17</v>
      </c>
      <c r="AB117" s="61" t="str">
        <f>E106</f>
        <v>FCS-N6W-001 W</v>
      </c>
      <c r="AC117" s="74" t="s">
        <v>95</v>
      </c>
      <c r="AD117" s="61" t="str">
        <f t="shared" si="73"/>
        <v>XMN</v>
      </c>
      <c r="AE117" s="61">
        <f t="shared" si="74"/>
        <v>40</v>
      </c>
      <c r="AF117" s="61">
        <f t="shared" si="75"/>
        <v>3</v>
      </c>
    </row>
    <row r="118" spans="1:32" s="65" customFormat="1" ht="12.75" customHeight="1">
      <c r="A118" s="52" t="s">
        <v>19</v>
      </c>
      <c r="B118" s="1" t="s">
        <v>18</v>
      </c>
      <c r="C118" s="295">
        <v>0</v>
      </c>
      <c r="D118" s="295">
        <v>0</v>
      </c>
      <c r="E118" s="69">
        <f t="shared" si="67"/>
        <v>6</v>
      </c>
      <c r="F118" s="70">
        <f t="shared" si="68"/>
        <v>127</v>
      </c>
      <c r="G118" s="295">
        <f t="shared" si="69"/>
        <v>6</v>
      </c>
      <c r="H118" s="295">
        <f t="shared" si="70"/>
        <v>127</v>
      </c>
      <c r="I118" s="70"/>
      <c r="J118" s="70"/>
      <c r="K118" s="70"/>
      <c r="L118" s="70"/>
      <c r="M118" s="70">
        <f t="shared" si="71"/>
        <v>0</v>
      </c>
      <c r="N118" s="70">
        <f t="shared" si="72"/>
        <v>0</v>
      </c>
      <c r="O118" s="70"/>
      <c r="P118" s="70"/>
      <c r="Q118" s="70">
        <v>6</v>
      </c>
      <c r="R118" s="70">
        <v>127</v>
      </c>
      <c r="S118" s="72"/>
      <c r="T118" s="252" t="e">
        <f t="shared" si="76"/>
        <v>#DIV/0!</v>
      </c>
      <c r="U118" s="73"/>
      <c r="V118" s="73"/>
      <c r="W118" s="73"/>
      <c r="X118" s="73"/>
      <c r="AA118" s="61">
        <f>H106</f>
        <v>17</v>
      </c>
      <c r="AB118" s="61" t="str">
        <f>E106</f>
        <v>FCS-N6W-001 W</v>
      </c>
      <c r="AC118" s="74" t="s">
        <v>95</v>
      </c>
      <c r="AD118" s="61" t="str">
        <f t="shared" si="73"/>
        <v>TWC</v>
      </c>
      <c r="AE118" s="61">
        <f t="shared" si="74"/>
        <v>0</v>
      </c>
      <c r="AF118" s="61">
        <f t="shared" si="75"/>
        <v>6</v>
      </c>
    </row>
    <row r="119" spans="1:32" s="65" customFormat="1" ht="12.75" customHeight="1">
      <c r="A119" s="52" t="s">
        <v>16</v>
      </c>
      <c r="B119" s="1">
        <f>B98+7</f>
        <v>43203</v>
      </c>
      <c r="C119" s="295">
        <v>150</v>
      </c>
      <c r="D119" s="295">
        <v>2100</v>
      </c>
      <c r="E119" s="69">
        <f t="shared" si="67"/>
        <v>89</v>
      </c>
      <c r="F119" s="70">
        <f t="shared" si="68"/>
        <v>727</v>
      </c>
      <c r="G119" s="295">
        <f t="shared" si="69"/>
        <v>-61</v>
      </c>
      <c r="H119" s="295">
        <f t="shared" si="70"/>
        <v>-1373</v>
      </c>
      <c r="I119" s="70"/>
      <c r="J119" s="70"/>
      <c r="K119" s="70"/>
      <c r="L119" s="70"/>
      <c r="M119" s="70">
        <f t="shared" si="71"/>
        <v>0</v>
      </c>
      <c r="N119" s="70">
        <f t="shared" si="72"/>
        <v>0</v>
      </c>
      <c r="O119" s="70"/>
      <c r="P119" s="70"/>
      <c r="Q119" s="70">
        <v>89</v>
      </c>
      <c r="R119" s="84">
        <v>727</v>
      </c>
      <c r="S119" s="72"/>
      <c r="T119" s="252">
        <f t="shared" si="76"/>
        <v>0.59333333333333338</v>
      </c>
      <c r="U119" s="73"/>
      <c r="V119" s="73"/>
      <c r="W119" s="73"/>
      <c r="X119" s="73"/>
      <c r="AA119" s="61">
        <f>H106</f>
        <v>17</v>
      </c>
      <c r="AB119" s="61" t="str">
        <f>E106</f>
        <v>FCS-N6W-001 W</v>
      </c>
      <c r="AC119" s="74" t="s">
        <v>95</v>
      </c>
      <c r="AD119" s="61" t="str">
        <f t="shared" si="73"/>
        <v>HUA</v>
      </c>
      <c r="AE119" s="61">
        <f t="shared" si="74"/>
        <v>150</v>
      </c>
      <c r="AF119" s="61">
        <f t="shared" si="75"/>
        <v>89</v>
      </c>
    </row>
    <row r="120" spans="1:32" s="65" customFormat="1" ht="12.75" customHeight="1">
      <c r="A120" s="52" t="s">
        <v>2</v>
      </c>
      <c r="B120" s="26"/>
      <c r="C120" s="295"/>
      <c r="D120" s="295"/>
      <c r="E120" s="69">
        <f t="shared" si="67"/>
        <v>0</v>
      </c>
      <c r="F120" s="70">
        <f t="shared" si="68"/>
        <v>0</v>
      </c>
      <c r="G120" s="295"/>
      <c r="H120" s="295"/>
      <c r="I120" s="70"/>
      <c r="J120" s="70"/>
      <c r="K120" s="70"/>
      <c r="L120" s="70"/>
      <c r="M120" s="70">
        <f t="shared" si="71"/>
        <v>0</v>
      </c>
      <c r="N120" s="70">
        <f t="shared" si="72"/>
        <v>0</v>
      </c>
      <c r="O120" s="70"/>
      <c r="P120" s="70"/>
      <c r="Q120" s="70"/>
      <c r="R120" s="70"/>
      <c r="S120" s="72"/>
      <c r="T120" s="252" t="e">
        <f t="shared" si="76"/>
        <v>#DIV/0!</v>
      </c>
      <c r="U120" s="73"/>
      <c r="V120" s="73"/>
      <c r="W120" s="73"/>
      <c r="X120" s="73"/>
      <c r="AA120" s="61">
        <f>H106</f>
        <v>17</v>
      </c>
      <c r="AB120" s="61" t="str">
        <f>E106</f>
        <v>FCS-N6W-001 W</v>
      </c>
      <c r="AC120" s="74" t="s">
        <v>95</v>
      </c>
      <c r="AD120" s="61" t="str">
        <f t="shared" si="73"/>
        <v>HKG</v>
      </c>
      <c r="AE120" s="61">
        <f t="shared" si="74"/>
        <v>0</v>
      </c>
      <c r="AF120" s="61">
        <f t="shared" si="75"/>
        <v>0</v>
      </c>
    </row>
    <row r="121" spans="1:32" s="65" customFormat="1" ht="12.75" customHeight="1">
      <c r="A121" s="52" t="s">
        <v>3</v>
      </c>
      <c r="B121" s="1">
        <f>B100+7</f>
        <v>43209</v>
      </c>
      <c r="C121" s="295">
        <v>60</v>
      </c>
      <c r="D121" s="295">
        <v>840</v>
      </c>
      <c r="E121" s="69">
        <f t="shared" si="67"/>
        <v>60</v>
      </c>
      <c r="F121" s="70">
        <f t="shared" si="68"/>
        <v>840</v>
      </c>
      <c r="G121" s="295">
        <f t="shared" ref="G121:G124" si="77">E121-C121</f>
        <v>0</v>
      </c>
      <c r="H121" s="295">
        <f t="shared" ref="H121:H124" si="78">F121-D121</f>
        <v>0</v>
      </c>
      <c r="I121" s="70"/>
      <c r="J121" s="70"/>
      <c r="K121" s="70"/>
      <c r="L121" s="70"/>
      <c r="M121" s="70">
        <f t="shared" si="71"/>
        <v>0</v>
      </c>
      <c r="N121" s="70">
        <f t="shared" si="72"/>
        <v>0</v>
      </c>
      <c r="O121" s="295"/>
      <c r="P121" s="295"/>
      <c r="Q121" s="70">
        <v>60</v>
      </c>
      <c r="R121" s="70">
        <v>840</v>
      </c>
      <c r="S121" s="72"/>
      <c r="T121" s="252">
        <f t="shared" si="76"/>
        <v>1</v>
      </c>
      <c r="U121" s="73"/>
      <c r="V121" s="73"/>
      <c r="W121" s="73"/>
      <c r="X121" s="73"/>
      <c r="AA121" s="61">
        <f>H106</f>
        <v>17</v>
      </c>
      <c r="AB121" s="61" t="str">
        <f>E106</f>
        <v>FCS-N6W-001 W</v>
      </c>
      <c r="AC121" s="74" t="s">
        <v>95</v>
      </c>
      <c r="AD121" s="61" t="str">
        <f t="shared" si="73"/>
        <v>SGP</v>
      </c>
      <c r="AE121" s="61">
        <f t="shared" si="74"/>
        <v>60</v>
      </c>
      <c r="AF121" s="61">
        <f t="shared" si="75"/>
        <v>60</v>
      </c>
    </row>
    <row r="122" spans="1:32" s="65" customFormat="1" ht="12.75" customHeight="1">
      <c r="A122" s="52" t="s">
        <v>4</v>
      </c>
      <c r="B122" s="1">
        <f>B101+7</f>
        <v>43211</v>
      </c>
      <c r="C122" s="295">
        <v>40</v>
      </c>
      <c r="D122" s="295">
        <v>420</v>
      </c>
      <c r="E122" s="69">
        <f t="shared" si="67"/>
        <v>42</v>
      </c>
      <c r="F122" s="70">
        <f t="shared" si="68"/>
        <v>876</v>
      </c>
      <c r="G122" s="295">
        <f t="shared" si="77"/>
        <v>2</v>
      </c>
      <c r="H122" s="295">
        <f t="shared" si="78"/>
        <v>456</v>
      </c>
      <c r="I122" s="70"/>
      <c r="J122" s="70"/>
      <c r="K122" s="70"/>
      <c r="L122" s="70"/>
      <c r="M122" s="70">
        <f t="shared" si="71"/>
        <v>0</v>
      </c>
      <c r="N122" s="70">
        <f t="shared" si="72"/>
        <v>0</v>
      </c>
      <c r="O122" s="70"/>
      <c r="P122" s="70"/>
      <c r="Q122" s="70">
        <v>42</v>
      </c>
      <c r="R122" s="70">
        <v>876</v>
      </c>
      <c r="S122" s="72"/>
      <c r="T122" s="252">
        <f>E122/C122</f>
        <v>1.05</v>
      </c>
      <c r="U122" s="73"/>
      <c r="V122" s="73"/>
      <c r="W122" s="73"/>
      <c r="X122" s="73"/>
      <c r="AA122" s="61">
        <f>H106</f>
        <v>17</v>
      </c>
      <c r="AB122" s="61" t="str">
        <f>E106</f>
        <v>FCS-N6W-001 W</v>
      </c>
      <c r="AC122" s="74" t="s">
        <v>95</v>
      </c>
      <c r="AD122" s="61" t="str">
        <f t="shared" si="73"/>
        <v>PKL</v>
      </c>
      <c r="AE122" s="61">
        <f t="shared" si="74"/>
        <v>40</v>
      </c>
      <c r="AF122" s="61">
        <f t="shared" si="75"/>
        <v>42</v>
      </c>
    </row>
    <row r="123" spans="1:32" s="65" customFormat="1" ht="12.75" customHeight="1">
      <c r="A123" s="52" t="s">
        <v>15</v>
      </c>
      <c r="B123" s="295"/>
      <c r="C123" s="295"/>
      <c r="D123" s="295"/>
      <c r="E123" s="69">
        <f t="shared" si="67"/>
        <v>78</v>
      </c>
      <c r="F123" s="70">
        <f t="shared" si="68"/>
        <v>117</v>
      </c>
      <c r="G123" s="295">
        <f t="shared" si="77"/>
        <v>78</v>
      </c>
      <c r="H123" s="295">
        <f t="shared" si="78"/>
        <v>117</v>
      </c>
      <c r="I123" s="70"/>
      <c r="J123" s="70"/>
      <c r="K123" s="70"/>
      <c r="L123" s="70"/>
      <c r="M123" s="70">
        <f t="shared" si="71"/>
        <v>0</v>
      </c>
      <c r="N123" s="70">
        <f t="shared" si="72"/>
        <v>0</v>
      </c>
      <c r="O123" s="71"/>
      <c r="P123" s="71"/>
      <c r="Q123" s="71">
        <v>78</v>
      </c>
      <c r="R123" s="71">
        <v>117</v>
      </c>
      <c r="S123" s="72"/>
      <c r="T123" s="73"/>
      <c r="U123" s="73"/>
      <c r="V123" s="73"/>
      <c r="W123" s="73"/>
      <c r="X123" s="73"/>
      <c r="AA123" s="61">
        <f>H106</f>
        <v>17</v>
      </c>
      <c r="AB123" s="61" t="str">
        <f>E106</f>
        <v>FCS-N6W-001 W</v>
      </c>
      <c r="AC123" s="74" t="s">
        <v>95</v>
      </c>
      <c r="AD123" s="61" t="str">
        <f t="shared" si="73"/>
        <v>T/S</v>
      </c>
      <c r="AE123" s="61">
        <f t="shared" si="74"/>
        <v>0</v>
      </c>
      <c r="AF123" s="61">
        <f t="shared" si="75"/>
        <v>78</v>
      </c>
    </row>
    <row r="124" spans="1:32" s="65" customFormat="1" ht="12.75" customHeight="1">
      <c r="A124" s="51" t="s">
        <v>36</v>
      </c>
      <c r="B124" s="72"/>
      <c r="C124" s="71">
        <v>735</v>
      </c>
      <c r="D124" s="71">
        <v>10290</v>
      </c>
      <c r="E124" s="78">
        <f>SUM(E110:E123)</f>
        <v>610</v>
      </c>
      <c r="F124" s="76">
        <f>SUM(F110:F123)</f>
        <v>8060</v>
      </c>
      <c r="G124" s="71">
        <f t="shared" si="77"/>
        <v>-125</v>
      </c>
      <c r="H124" s="71">
        <f t="shared" si="78"/>
        <v>-2230</v>
      </c>
      <c r="I124" s="70">
        <f t="shared" ref="I124:L124" si="79">SUM(I110:I123)</f>
        <v>182</v>
      </c>
      <c r="J124" s="70">
        <f t="shared" si="79"/>
        <v>2517</v>
      </c>
      <c r="K124" s="70">
        <f t="shared" si="79"/>
        <v>4</v>
      </c>
      <c r="L124" s="70">
        <f t="shared" si="79"/>
        <v>34</v>
      </c>
      <c r="M124" s="70"/>
      <c r="N124" s="70"/>
      <c r="O124" s="70">
        <f t="shared" ref="O124:R124" si="80">SUM(O110:O123)</f>
        <v>332</v>
      </c>
      <c r="P124" s="70">
        <f t="shared" si="80"/>
        <v>5343</v>
      </c>
      <c r="Q124" s="70">
        <f t="shared" si="80"/>
        <v>278</v>
      </c>
      <c r="R124" s="70">
        <f t="shared" si="80"/>
        <v>2717</v>
      </c>
      <c r="S124" s="72"/>
      <c r="T124" s="73"/>
      <c r="U124" s="73"/>
      <c r="V124" s="73"/>
      <c r="W124" s="73"/>
      <c r="X124" s="73"/>
      <c r="AA124" s="61"/>
      <c r="AB124" s="61"/>
      <c r="AC124" s="61"/>
      <c r="AD124" s="61"/>
      <c r="AE124" s="61"/>
      <c r="AF124" s="61"/>
    </row>
    <row r="125" spans="1:32" s="65" customFormat="1" ht="12.75" customHeight="1">
      <c r="A125" s="84">
        <f>D124/C124</f>
        <v>14</v>
      </c>
      <c r="C125" s="296">
        <f>F124-E125</f>
        <v>-1201</v>
      </c>
      <c r="E125" s="65">
        <f>D124*0.9</f>
        <v>9261</v>
      </c>
      <c r="F125" s="296">
        <f>E124-L125</f>
        <v>-51.5</v>
      </c>
      <c r="I125" s="80" t="s">
        <v>48</v>
      </c>
      <c r="J125" s="245">
        <f>E124/C124</f>
        <v>0.82993197278911568</v>
      </c>
      <c r="K125" s="80"/>
      <c r="L125" s="80">
        <f>C124*0.9</f>
        <v>661.5</v>
      </c>
      <c r="M125" s="80"/>
      <c r="N125" s="80"/>
      <c r="O125" s="80" t="s">
        <v>49</v>
      </c>
      <c r="P125" s="80"/>
      <c r="Q125" s="65">
        <f>P111+P112+P114+P115+P116+J111+J112+L111+L112+J114+R114+J110+P110</f>
        <v>7894</v>
      </c>
      <c r="R125" s="65">
        <v>5797</v>
      </c>
      <c r="AA125" s="81"/>
      <c r="AB125" s="81"/>
      <c r="AC125" s="81"/>
      <c r="AD125" s="81"/>
      <c r="AE125" s="81"/>
      <c r="AF125" s="81"/>
    </row>
    <row r="127" spans="1:32" s="63" customFormat="1" ht="12.75" customHeight="1">
      <c r="A127" s="59" t="s">
        <v>95</v>
      </c>
      <c r="B127" s="58" t="s">
        <v>606</v>
      </c>
      <c r="C127" s="56"/>
      <c r="D127" s="57"/>
      <c r="E127" s="58" t="s">
        <v>607</v>
      </c>
      <c r="F127" s="57"/>
      <c r="G127" s="59" t="s">
        <v>37</v>
      </c>
      <c r="H127" s="60">
        <f>H106+1</f>
        <v>18</v>
      </c>
      <c r="I127" s="57"/>
      <c r="J127" s="57"/>
      <c r="K127" s="57"/>
      <c r="L127" s="57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2"/>
      <c r="Z127" s="62"/>
      <c r="AA127" s="62"/>
      <c r="AB127" s="62"/>
      <c r="AC127" s="62"/>
    </row>
    <row r="128" spans="1:32" s="65" customFormat="1" ht="12.75" customHeight="1">
      <c r="A128" s="340" t="s">
        <v>0</v>
      </c>
      <c r="B128" s="336" t="s">
        <v>1</v>
      </c>
      <c r="C128" s="331" t="s">
        <v>25</v>
      </c>
      <c r="D128" s="332"/>
      <c r="E128" s="331" t="s">
        <v>21</v>
      </c>
      <c r="F128" s="332"/>
      <c r="G128" s="335" t="s">
        <v>24</v>
      </c>
      <c r="H128" s="335"/>
      <c r="I128" s="328" t="s">
        <v>33</v>
      </c>
      <c r="J128" s="329"/>
      <c r="K128" s="329"/>
      <c r="L128" s="329"/>
      <c r="M128" s="329"/>
      <c r="N128" s="330"/>
      <c r="O128" s="331" t="s">
        <v>22</v>
      </c>
      <c r="P128" s="332"/>
      <c r="Q128" s="335" t="s">
        <v>23</v>
      </c>
      <c r="R128" s="335"/>
      <c r="S128" s="336" t="s">
        <v>27</v>
      </c>
      <c r="T128" s="64"/>
      <c r="U128" s="64"/>
      <c r="V128" s="64"/>
      <c r="W128" s="64"/>
      <c r="X128" s="64"/>
      <c r="Y128" s="339"/>
      <c r="Z128" s="308"/>
      <c r="AA128" s="61"/>
      <c r="AB128" s="61"/>
      <c r="AC128" s="74"/>
      <c r="AD128" s="61"/>
      <c r="AE128" s="61"/>
      <c r="AF128" s="61"/>
    </row>
    <row r="129" spans="1:32" s="65" customFormat="1" ht="12.75" customHeight="1">
      <c r="A129" s="341"/>
      <c r="B129" s="337"/>
      <c r="C129" s="333"/>
      <c r="D129" s="334"/>
      <c r="E129" s="333"/>
      <c r="F129" s="334"/>
      <c r="G129" s="335"/>
      <c r="H129" s="335"/>
      <c r="I129" s="304" t="s">
        <v>28</v>
      </c>
      <c r="J129" s="305" t="s">
        <v>3</v>
      </c>
      <c r="K129" s="304" t="s">
        <v>29</v>
      </c>
      <c r="L129" s="305" t="s">
        <v>4</v>
      </c>
      <c r="M129" s="328" t="s">
        <v>30</v>
      </c>
      <c r="N129" s="330"/>
      <c r="O129" s="333"/>
      <c r="P129" s="334"/>
      <c r="Q129" s="335"/>
      <c r="R129" s="335"/>
      <c r="S129" s="337"/>
      <c r="T129" s="64"/>
      <c r="U129" s="64"/>
      <c r="V129" s="64"/>
      <c r="W129" s="64"/>
      <c r="X129" s="64"/>
      <c r="Y129" s="339"/>
      <c r="Z129" s="308"/>
      <c r="AA129" s="61"/>
      <c r="AB129" s="61"/>
      <c r="AC129" s="74"/>
      <c r="AD129" s="61"/>
      <c r="AE129" s="61"/>
      <c r="AF129" s="61"/>
    </row>
    <row r="130" spans="1:32" s="65" customFormat="1" ht="12.75" customHeight="1">
      <c r="A130" s="342"/>
      <c r="B130" s="338"/>
      <c r="C130" s="306" t="s">
        <v>5</v>
      </c>
      <c r="D130" s="306" t="s">
        <v>6</v>
      </c>
      <c r="E130" s="305" t="s">
        <v>5</v>
      </c>
      <c r="F130" s="306" t="s">
        <v>6</v>
      </c>
      <c r="G130" s="306" t="s">
        <v>5</v>
      </c>
      <c r="H130" s="306" t="s">
        <v>6</v>
      </c>
      <c r="I130" s="305" t="s">
        <v>5</v>
      </c>
      <c r="J130" s="306" t="s">
        <v>6</v>
      </c>
      <c r="K130" s="305" t="s">
        <v>5</v>
      </c>
      <c r="L130" s="306" t="s">
        <v>6</v>
      </c>
      <c r="M130" s="306"/>
      <c r="N130" s="306"/>
      <c r="O130" s="305" t="s">
        <v>5</v>
      </c>
      <c r="P130" s="306" t="s">
        <v>6</v>
      </c>
      <c r="Q130" s="306" t="s">
        <v>5</v>
      </c>
      <c r="R130" s="306" t="s">
        <v>6</v>
      </c>
      <c r="S130" s="338"/>
      <c r="T130" s="64"/>
      <c r="U130" s="64"/>
      <c r="V130" s="64"/>
      <c r="W130" s="64"/>
      <c r="X130" s="64"/>
      <c r="Y130" s="339"/>
      <c r="Z130" s="308"/>
      <c r="AA130" s="61" t="s">
        <v>43</v>
      </c>
      <c r="AB130" s="61" t="s">
        <v>45</v>
      </c>
      <c r="AC130" s="61" t="s">
        <v>46</v>
      </c>
      <c r="AD130" s="61" t="s">
        <v>42</v>
      </c>
      <c r="AE130" s="61" t="s">
        <v>41</v>
      </c>
      <c r="AF130" s="61" t="s">
        <v>44</v>
      </c>
    </row>
    <row r="131" spans="1:32" s="65" customFormat="1" ht="12.75" customHeight="1">
      <c r="A131" s="51" t="s">
        <v>7</v>
      </c>
      <c r="B131" s="1">
        <f>B110+7</f>
        <v>43203</v>
      </c>
      <c r="C131" s="306">
        <v>50</v>
      </c>
      <c r="D131" s="306">
        <v>700</v>
      </c>
      <c r="E131" s="69">
        <f t="shared" ref="E131:E144" si="81">O131+Q131</f>
        <v>68</v>
      </c>
      <c r="F131" s="70">
        <f t="shared" ref="F131:F144" si="82">P131+R131</f>
        <v>767</v>
      </c>
      <c r="G131" s="306">
        <f t="shared" ref="G131:G140" si="83">E131-C131</f>
        <v>18</v>
      </c>
      <c r="H131" s="306">
        <f t="shared" ref="H131:H140" si="84">F131-D131</f>
        <v>67</v>
      </c>
      <c r="I131" s="70">
        <v>1</v>
      </c>
      <c r="J131" s="70">
        <v>20</v>
      </c>
      <c r="K131" s="70"/>
      <c r="L131" s="70"/>
      <c r="M131" s="70">
        <f t="shared" ref="M131:M144" si="85">I131+K131</f>
        <v>1</v>
      </c>
      <c r="N131" s="70">
        <f t="shared" ref="N131:N144" si="86">J131+L131</f>
        <v>20</v>
      </c>
      <c r="O131" s="71">
        <v>68</v>
      </c>
      <c r="P131" s="71">
        <v>767</v>
      </c>
      <c r="Q131" s="70"/>
      <c r="R131" s="70"/>
      <c r="S131" s="72"/>
      <c r="T131" s="252">
        <f>E131/C131</f>
        <v>1.36</v>
      </c>
      <c r="U131" s="73"/>
      <c r="V131" s="73"/>
      <c r="W131" s="73"/>
      <c r="X131" s="73"/>
      <c r="Y131" s="339"/>
      <c r="Z131" s="308"/>
      <c r="AA131" s="61">
        <f>H127</f>
        <v>18</v>
      </c>
      <c r="AB131" s="61" t="str">
        <f>E127</f>
        <v>FCS-QZX-013 W</v>
      </c>
      <c r="AC131" s="74" t="s">
        <v>95</v>
      </c>
      <c r="AD131" s="61" t="str">
        <f t="shared" ref="AD131:AD144" si="87">A131</f>
        <v>KR</v>
      </c>
      <c r="AE131" s="61">
        <f t="shared" ref="AE131:AE144" si="88">C131</f>
        <v>50</v>
      </c>
      <c r="AF131" s="61">
        <f t="shared" ref="AF131:AF144" si="89">E131</f>
        <v>68</v>
      </c>
    </row>
    <row r="132" spans="1:32" s="65" customFormat="1" ht="12.75" customHeight="1">
      <c r="A132" s="52" t="s">
        <v>13</v>
      </c>
      <c r="B132" s="1">
        <f>B111+7</f>
        <v>43205</v>
      </c>
      <c r="C132" s="306">
        <v>100</v>
      </c>
      <c r="D132" s="306">
        <v>1400</v>
      </c>
      <c r="E132" s="69">
        <f t="shared" si="81"/>
        <v>92</v>
      </c>
      <c r="F132" s="70">
        <f t="shared" si="82"/>
        <v>978</v>
      </c>
      <c r="G132" s="306">
        <f t="shared" si="83"/>
        <v>-8</v>
      </c>
      <c r="H132" s="306">
        <f t="shared" si="84"/>
        <v>-422</v>
      </c>
      <c r="I132" s="75">
        <v>44</v>
      </c>
      <c r="J132" s="75">
        <v>651</v>
      </c>
      <c r="K132" s="70">
        <v>6</v>
      </c>
      <c r="L132" s="70">
        <v>93</v>
      </c>
      <c r="M132" s="70">
        <f t="shared" si="85"/>
        <v>50</v>
      </c>
      <c r="N132" s="70">
        <f t="shared" si="86"/>
        <v>744</v>
      </c>
      <c r="O132" s="75">
        <v>92</v>
      </c>
      <c r="P132" s="75">
        <v>978</v>
      </c>
      <c r="Q132" s="71"/>
      <c r="R132" s="71"/>
      <c r="S132" s="72"/>
      <c r="T132" s="252">
        <f t="shared" ref="T132:T142" si="90">E132/C132</f>
        <v>0.92</v>
      </c>
      <c r="U132" s="73"/>
      <c r="V132" s="73"/>
      <c r="W132" s="73"/>
      <c r="X132" s="73"/>
      <c r="AA132" s="61">
        <f>H127</f>
        <v>18</v>
      </c>
      <c r="AB132" s="61" t="str">
        <f>E127</f>
        <v>FCS-QZX-013 W</v>
      </c>
      <c r="AC132" s="74" t="s">
        <v>95</v>
      </c>
      <c r="AD132" s="61" t="str">
        <f t="shared" si="87"/>
        <v>TAO</v>
      </c>
      <c r="AE132" s="61">
        <f t="shared" si="88"/>
        <v>100</v>
      </c>
      <c r="AF132" s="61">
        <f t="shared" si="89"/>
        <v>92</v>
      </c>
    </row>
    <row r="133" spans="1:32" s="65" customFormat="1" ht="12.75" customHeight="1">
      <c r="A133" s="52" t="s">
        <v>9</v>
      </c>
      <c r="B133" s="1">
        <f>B112+7</f>
        <v>43207</v>
      </c>
      <c r="C133" s="306">
        <v>100</v>
      </c>
      <c r="D133" s="306">
        <v>1400</v>
      </c>
      <c r="E133" s="69">
        <f t="shared" si="81"/>
        <v>61</v>
      </c>
      <c r="F133" s="70">
        <f t="shared" si="82"/>
        <v>682</v>
      </c>
      <c r="G133" s="306">
        <f t="shared" si="83"/>
        <v>-39</v>
      </c>
      <c r="H133" s="306">
        <f t="shared" si="84"/>
        <v>-718</v>
      </c>
      <c r="I133" s="75">
        <v>49</v>
      </c>
      <c r="J133" s="75">
        <v>764</v>
      </c>
      <c r="K133" s="71">
        <v>4</v>
      </c>
      <c r="L133" s="71">
        <v>71</v>
      </c>
      <c r="M133" s="70">
        <f t="shared" si="85"/>
        <v>53</v>
      </c>
      <c r="N133" s="70">
        <f t="shared" si="86"/>
        <v>835</v>
      </c>
      <c r="O133" s="75">
        <v>61</v>
      </c>
      <c r="P133" s="75">
        <v>682</v>
      </c>
      <c r="Q133" s="71"/>
      <c r="R133" s="71"/>
      <c r="S133" s="72"/>
      <c r="T133" s="252">
        <f t="shared" si="90"/>
        <v>0.61</v>
      </c>
      <c r="U133" s="73"/>
      <c r="V133" s="73"/>
      <c r="W133" s="73"/>
      <c r="X133" s="73"/>
      <c r="AA133" s="61">
        <f>H127</f>
        <v>18</v>
      </c>
      <c r="AB133" s="61" t="str">
        <f>E127</f>
        <v>FCS-QZX-013 W</v>
      </c>
      <c r="AC133" s="74" t="s">
        <v>95</v>
      </c>
      <c r="AD133" s="61" t="str">
        <f t="shared" si="87"/>
        <v>SHA</v>
      </c>
      <c r="AE133" s="61">
        <f t="shared" si="88"/>
        <v>100</v>
      </c>
      <c r="AF133" s="61">
        <f t="shared" si="89"/>
        <v>61</v>
      </c>
    </row>
    <row r="134" spans="1:32" s="65" customFormat="1" ht="12.75" customHeight="1">
      <c r="A134" s="52" t="s">
        <v>8</v>
      </c>
      <c r="B134" s="1" t="s">
        <v>18</v>
      </c>
      <c r="C134" s="306">
        <v>50</v>
      </c>
      <c r="D134" s="306">
        <v>700</v>
      </c>
      <c r="E134" s="69">
        <f t="shared" si="81"/>
        <v>0</v>
      </c>
      <c r="F134" s="70">
        <f t="shared" si="82"/>
        <v>0</v>
      </c>
      <c r="G134" s="306">
        <f t="shared" si="83"/>
        <v>-50</v>
      </c>
      <c r="H134" s="306">
        <f t="shared" si="84"/>
        <v>-700</v>
      </c>
      <c r="I134" s="71"/>
      <c r="J134" s="71"/>
      <c r="K134" s="71"/>
      <c r="L134" s="71"/>
      <c r="M134" s="70">
        <f t="shared" si="85"/>
        <v>0</v>
      </c>
      <c r="N134" s="70">
        <f t="shared" si="86"/>
        <v>0</v>
      </c>
      <c r="O134" s="71"/>
      <c r="P134" s="71"/>
      <c r="Q134" s="71"/>
      <c r="R134" s="71"/>
      <c r="S134" s="72"/>
      <c r="T134" s="252">
        <f t="shared" si="90"/>
        <v>0</v>
      </c>
      <c r="U134" s="73"/>
      <c r="V134" s="73"/>
      <c r="W134" s="73"/>
      <c r="X134" s="73"/>
      <c r="AA134" s="61">
        <f>H127</f>
        <v>18</v>
      </c>
      <c r="AB134" s="61" t="str">
        <f>E127</f>
        <v>FCS-QZX-013 W</v>
      </c>
      <c r="AC134" s="74" t="s">
        <v>95</v>
      </c>
      <c r="AD134" s="61" t="str">
        <f t="shared" si="87"/>
        <v>NGB</v>
      </c>
      <c r="AE134" s="61">
        <f t="shared" si="88"/>
        <v>50</v>
      </c>
      <c r="AF134" s="61">
        <f t="shared" si="89"/>
        <v>0</v>
      </c>
    </row>
    <row r="135" spans="1:32" s="65" customFormat="1" ht="12.75" customHeight="1">
      <c r="A135" s="52" t="s">
        <v>10</v>
      </c>
      <c r="B135" s="1" t="s">
        <v>18</v>
      </c>
      <c r="C135" s="306">
        <v>20</v>
      </c>
      <c r="D135" s="306">
        <v>280</v>
      </c>
      <c r="E135" s="69">
        <f t="shared" si="81"/>
        <v>1</v>
      </c>
      <c r="F135" s="70">
        <f t="shared" si="82"/>
        <v>29</v>
      </c>
      <c r="G135" s="306">
        <f t="shared" si="83"/>
        <v>-19</v>
      </c>
      <c r="H135" s="306">
        <f t="shared" si="84"/>
        <v>-251</v>
      </c>
      <c r="I135" s="75"/>
      <c r="J135" s="75"/>
      <c r="K135" s="70"/>
      <c r="L135" s="70"/>
      <c r="M135" s="70">
        <f t="shared" si="85"/>
        <v>0</v>
      </c>
      <c r="N135" s="70">
        <f t="shared" si="86"/>
        <v>0</v>
      </c>
      <c r="O135" s="75">
        <v>1</v>
      </c>
      <c r="P135" s="75">
        <v>29</v>
      </c>
      <c r="Q135" s="70"/>
      <c r="R135" s="70"/>
      <c r="S135" s="72"/>
      <c r="T135" s="252">
        <f t="shared" si="90"/>
        <v>0.05</v>
      </c>
      <c r="U135" s="73"/>
      <c r="V135" s="73"/>
      <c r="W135" s="73"/>
      <c r="X135" s="73"/>
      <c r="AA135" s="61">
        <f>H127</f>
        <v>18</v>
      </c>
      <c r="AB135" s="61" t="str">
        <f>E127</f>
        <v>FCS-QZX-013 W</v>
      </c>
      <c r="AC135" s="74" t="s">
        <v>95</v>
      </c>
      <c r="AD135" s="61" t="str">
        <f t="shared" si="87"/>
        <v>WUH</v>
      </c>
      <c r="AE135" s="61">
        <f t="shared" si="88"/>
        <v>20</v>
      </c>
      <c r="AF135" s="61">
        <f t="shared" si="89"/>
        <v>1</v>
      </c>
    </row>
    <row r="136" spans="1:32" s="65" customFormat="1" ht="12.75" customHeight="1">
      <c r="A136" s="52" t="s">
        <v>11</v>
      </c>
      <c r="B136" s="1" t="s">
        <v>18</v>
      </c>
      <c r="C136" s="306">
        <v>50</v>
      </c>
      <c r="D136" s="306">
        <v>700</v>
      </c>
      <c r="E136" s="69">
        <f t="shared" si="81"/>
        <v>20</v>
      </c>
      <c r="F136" s="70">
        <f t="shared" si="82"/>
        <v>495</v>
      </c>
      <c r="G136" s="306">
        <f t="shared" si="83"/>
        <v>-30</v>
      </c>
      <c r="H136" s="306">
        <f t="shared" si="84"/>
        <v>-205</v>
      </c>
      <c r="I136" s="70"/>
      <c r="J136" s="70"/>
      <c r="K136" s="70"/>
      <c r="L136" s="70"/>
      <c r="M136" s="70">
        <f t="shared" si="85"/>
        <v>0</v>
      </c>
      <c r="N136" s="70">
        <f t="shared" si="86"/>
        <v>0</v>
      </c>
      <c r="O136" s="75">
        <v>20</v>
      </c>
      <c r="P136" s="75">
        <v>495</v>
      </c>
      <c r="Q136" s="70"/>
      <c r="R136" s="70"/>
      <c r="S136" s="72"/>
      <c r="T136" s="252">
        <f t="shared" si="90"/>
        <v>0.4</v>
      </c>
      <c r="U136" s="73"/>
      <c r="V136" s="73"/>
      <c r="W136" s="73"/>
      <c r="X136" s="73"/>
      <c r="AA136" s="61">
        <f>H127</f>
        <v>18</v>
      </c>
      <c r="AB136" s="61" t="str">
        <f>E127</f>
        <v>FCS-QZX-013 W</v>
      </c>
      <c r="AC136" s="74" t="s">
        <v>95</v>
      </c>
      <c r="AD136" s="61" t="str">
        <f t="shared" si="87"/>
        <v>DLC</v>
      </c>
      <c r="AE136" s="61">
        <f t="shared" si="88"/>
        <v>50</v>
      </c>
      <c r="AF136" s="61">
        <f t="shared" si="89"/>
        <v>20</v>
      </c>
    </row>
    <row r="137" spans="1:32" s="65" customFormat="1" ht="12.75" customHeight="1">
      <c r="A137" s="52" t="s">
        <v>12</v>
      </c>
      <c r="B137" s="1" t="s">
        <v>18</v>
      </c>
      <c r="C137" s="306">
        <v>50</v>
      </c>
      <c r="D137" s="306">
        <v>700</v>
      </c>
      <c r="E137" s="69">
        <f t="shared" si="81"/>
        <v>0</v>
      </c>
      <c r="F137" s="70">
        <f t="shared" si="82"/>
        <v>0</v>
      </c>
      <c r="G137" s="306">
        <f t="shared" si="83"/>
        <v>-50</v>
      </c>
      <c r="H137" s="306">
        <f t="shared" si="84"/>
        <v>-700</v>
      </c>
      <c r="I137" s="70"/>
      <c r="J137" s="70"/>
      <c r="K137" s="70"/>
      <c r="L137" s="70"/>
      <c r="M137" s="70">
        <f t="shared" si="85"/>
        <v>0</v>
      </c>
      <c r="N137" s="70">
        <f t="shared" si="86"/>
        <v>0</v>
      </c>
      <c r="O137" s="75"/>
      <c r="P137" s="75"/>
      <c r="Q137" s="76"/>
      <c r="R137" s="71"/>
      <c r="S137" s="72"/>
      <c r="T137" s="252">
        <f t="shared" si="90"/>
        <v>0</v>
      </c>
      <c r="U137" s="73"/>
      <c r="V137" s="73"/>
      <c r="W137" s="73"/>
      <c r="X137" s="73"/>
      <c r="AA137" s="61">
        <f>H127</f>
        <v>18</v>
      </c>
      <c r="AB137" s="61" t="str">
        <f>E127</f>
        <v>FCS-QZX-013 W</v>
      </c>
      <c r="AC137" s="74" t="s">
        <v>95</v>
      </c>
      <c r="AD137" s="61" t="str">
        <f t="shared" si="87"/>
        <v>TSN</v>
      </c>
      <c r="AE137" s="61">
        <f t="shared" si="88"/>
        <v>50</v>
      </c>
      <c r="AF137" s="61">
        <f t="shared" si="89"/>
        <v>0</v>
      </c>
    </row>
    <row r="138" spans="1:32" s="65" customFormat="1" ht="12.75" customHeight="1">
      <c r="A138" s="52" t="s">
        <v>14</v>
      </c>
      <c r="B138" s="1" t="s">
        <v>18</v>
      </c>
      <c r="C138" s="306">
        <v>40</v>
      </c>
      <c r="D138" s="306">
        <v>560</v>
      </c>
      <c r="E138" s="69">
        <f t="shared" si="81"/>
        <v>7</v>
      </c>
      <c r="F138" s="70">
        <f t="shared" si="82"/>
        <v>46</v>
      </c>
      <c r="G138" s="306">
        <f t="shared" si="83"/>
        <v>-33</v>
      </c>
      <c r="H138" s="306">
        <f t="shared" si="84"/>
        <v>-514</v>
      </c>
      <c r="I138" s="70"/>
      <c r="J138" s="70"/>
      <c r="K138" s="70"/>
      <c r="L138" s="70"/>
      <c r="M138" s="70">
        <f t="shared" si="85"/>
        <v>0</v>
      </c>
      <c r="N138" s="70">
        <f t="shared" si="86"/>
        <v>0</v>
      </c>
      <c r="O138" s="71"/>
      <c r="P138" s="71"/>
      <c r="Q138" s="70">
        <v>7</v>
      </c>
      <c r="R138" s="70">
        <v>46</v>
      </c>
      <c r="S138" s="72"/>
      <c r="T138" s="252">
        <f t="shared" si="90"/>
        <v>0.17499999999999999</v>
      </c>
      <c r="U138" s="73"/>
      <c r="V138" s="73"/>
      <c r="W138" s="73"/>
      <c r="X138" s="73"/>
      <c r="AA138" s="61">
        <f>H127</f>
        <v>18</v>
      </c>
      <c r="AB138" s="61" t="str">
        <f>E127</f>
        <v>FCS-QZX-013 W</v>
      </c>
      <c r="AC138" s="74" t="s">
        <v>95</v>
      </c>
      <c r="AD138" s="61" t="str">
        <f t="shared" si="87"/>
        <v>XMN</v>
      </c>
      <c r="AE138" s="61">
        <f t="shared" si="88"/>
        <v>40</v>
      </c>
      <c r="AF138" s="61">
        <f t="shared" si="89"/>
        <v>7</v>
      </c>
    </row>
    <row r="139" spans="1:32" s="65" customFormat="1" ht="12.75" customHeight="1">
      <c r="A139" s="52" t="s">
        <v>19</v>
      </c>
      <c r="B139" s="1" t="s">
        <v>18</v>
      </c>
      <c r="C139" s="306">
        <v>0</v>
      </c>
      <c r="D139" s="306">
        <v>0</v>
      </c>
      <c r="E139" s="69">
        <f t="shared" si="81"/>
        <v>0</v>
      </c>
      <c r="F139" s="70">
        <f t="shared" si="82"/>
        <v>0</v>
      </c>
      <c r="G139" s="306">
        <f t="shared" si="83"/>
        <v>0</v>
      </c>
      <c r="H139" s="306">
        <f t="shared" si="84"/>
        <v>0</v>
      </c>
      <c r="I139" s="70"/>
      <c r="J139" s="70"/>
      <c r="K139" s="70"/>
      <c r="L139" s="70"/>
      <c r="M139" s="70">
        <f t="shared" si="85"/>
        <v>0</v>
      </c>
      <c r="N139" s="70">
        <f t="shared" si="86"/>
        <v>0</v>
      </c>
      <c r="O139" s="70"/>
      <c r="P139" s="70"/>
      <c r="Q139" s="70"/>
      <c r="R139" s="70"/>
      <c r="S139" s="72"/>
      <c r="T139" s="252" t="e">
        <f t="shared" si="90"/>
        <v>#DIV/0!</v>
      </c>
      <c r="U139" s="73"/>
      <c r="V139" s="73"/>
      <c r="W139" s="73"/>
      <c r="X139" s="73"/>
      <c r="AA139" s="61">
        <f>H127</f>
        <v>18</v>
      </c>
      <c r="AB139" s="61" t="str">
        <f>E127</f>
        <v>FCS-QZX-013 W</v>
      </c>
      <c r="AC139" s="74" t="s">
        <v>95</v>
      </c>
      <c r="AD139" s="61" t="str">
        <f t="shared" si="87"/>
        <v>TWC</v>
      </c>
      <c r="AE139" s="61">
        <f t="shared" si="88"/>
        <v>0</v>
      </c>
      <c r="AF139" s="61">
        <f t="shared" si="89"/>
        <v>0</v>
      </c>
    </row>
    <row r="140" spans="1:32" s="65" customFormat="1" ht="12.75" customHeight="1">
      <c r="A140" s="52" t="s">
        <v>16</v>
      </c>
      <c r="B140" s="1">
        <f>B119+7</f>
        <v>43210</v>
      </c>
      <c r="C140" s="306">
        <v>150</v>
      </c>
      <c r="D140" s="306">
        <v>2100</v>
      </c>
      <c r="E140" s="69">
        <f t="shared" si="81"/>
        <v>162</v>
      </c>
      <c r="F140" s="70">
        <f t="shared" si="82"/>
        <v>1046</v>
      </c>
      <c r="G140" s="306">
        <f t="shared" si="83"/>
        <v>12</v>
      </c>
      <c r="H140" s="306">
        <f t="shared" si="84"/>
        <v>-1054</v>
      </c>
      <c r="I140" s="70"/>
      <c r="J140" s="70"/>
      <c r="K140" s="70"/>
      <c r="L140" s="70"/>
      <c r="M140" s="70">
        <f t="shared" si="85"/>
        <v>0</v>
      </c>
      <c r="N140" s="70">
        <f t="shared" si="86"/>
        <v>0</v>
      </c>
      <c r="O140" s="70"/>
      <c r="P140" s="70"/>
      <c r="Q140" s="70">
        <f>142+20</f>
        <v>162</v>
      </c>
      <c r="R140" s="84">
        <v>1046</v>
      </c>
      <c r="S140" s="72"/>
      <c r="T140" s="252">
        <f t="shared" si="90"/>
        <v>1.08</v>
      </c>
      <c r="U140" s="73"/>
      <c r="V140" s="73"/>
      <c r="W140" s="73"/>
      <c r="X140" s="73"/>
      <c r="AA140" s="61">
        <f>H127</f>
        <v>18</v>
      </c>
      <c r="AB140" s="61" t="str">
        <f>E127</f>
        <v>FCS-QZX-013 W</v>
      </c>
      <c r="AC140" s="74" t="s">
        <v>95</v>
      </c>
      <c r="AD140" s="61" t="str">
        <f t="shared" si="87"/>
        <v>HUA</v>
      </c>
      <c r="AE140" s="61">
        <f t="shared" si="88"/>
        <v>150</v>
      </c>
      <c r="AF140" s="61">
        <f t="shared" si="89"/>
        <v>162</v>
      </c>
    </row>
    <row r="141" spans="1:32" s="65" customFormat="1" ht="12.75" customHeight="1">
      <c r="A141" s="52" t="s">
        <v>2</v>
      </c>
      <c r="B141" s="26"/>
      <c r="C141" s="306"/>
      <c r="D141" s="306"/>
      <c r="E141" s="69">
        <f t="shared" si="81"/>
        <v>0</v>
      </c>
      <c r="F141" s="70">
        <f t="shared" si="82"/>
        <v>0</v>
      </c>
      <c r="G141" s="306"/>
      <c r="H141" s="306"/>
      <c r="I141" s="70"/>
      <c r="J141" s="70"/>
      <c r="K141" s="70"/>
      <c r="L141" s="70"/>
      <c r="M141" s="70">
        <f t="shared" si="85"/>
        <v>0</v>
      </c>
      <c r="N141" s="70">
        <f t="shared" si="86"/>
        <v>0</v>
      </c>
      <c r="O141" s="70"/>
      <c r="P141" s="70"/>
      <c r="Q141" s="70"/>
      <c r="R141" s="70"/>
      <c r="S141" s="72"/>
      <c r="T141" s="252" t="e">
        <f t="shared" si="90"/>
        <v>#DIV/0!</v>
      </c>
      <c r="U141" s="73"/>
      <c r="V141" s="73"/>
      <c r="W141" s="73"/>
      <c r="X141" s="73"/>
      <c r="AA141" s="61">
        <f>H127</f>
        <v>18</v>
      </c>
      <c r="AB141" s="61" t="str">
        <f>E127</f>
        <v>FCS-QZX-013 W</v>
      </c>
      <c r="AC141" s="74" t="s">
        <v>95</v>
      </c>
      <c r="AD141" s="61" t="str">
        <f t="shared" si="87"/>
        <v>HKG</v>
      </c>
      <c r="AE141" s="61">
        <f t="shared" si="88"/>
        <v>0</v>
      </c>
      <c r="AF141" s="61">
        <f t="shared" si="89"/>
        <v>0</v>
      </c>
    </row>
    <row r="142" spans="1:32" s="65" customFormat="1" ht="12.75" customHeight="1">
      <c r="A142" s="52" t="s">
        <v>3</v>
      </c>
      <c r="B142" s="1">
        <f>B121+7</f>
        <v>43216</v>
      </c>
      <c r="C142" s="306">
        <v>60</v>
      </c>
      <c r="D142" s="306">
        <v>840</v>
      </c>
      <c r="E142" s="69">
        <f t="shared" si="81"/>
        <v>60</v>
      </c>
      <c r="F142" s="70">
        <f t="shared" si="82"/>
        <v>840</v>
      </c>
      <c r="G142" s="306">
        <f t="shared" ref="G142:G145" si="91">E142-C142</f>
        <v>0</v>
      </c>
      <c r="H142" s="306">
        <f t="shared" ref="H142:H145" si="92">F142-D142</f>
        <v>0</v>
      </c>
      <c r="I142" s="70"/>
      <c r="J142" s="70"/>
      <c r="K142" s="70">
        <v>30</v>
      </c>
      <c r="L142" s="70">
        <v>831</v>
      </c>
      <c r="M142" s="70">
        <f t="shared" si="85"/>
        <v>30</v>
      </c>
      <c r="N142" s="70">
        <f t="shared" si="86"/>
        <v>831</v>
      </c>
      <c r="O142" s="306"/>
      <c r="P142" s="306"/>
      <c r="Q142" s="70">
        <v>60</v>
      </c>
      <c r="R142" s="70">
        <v>840</v>
      </c>
      <c r="S142" s="72"/>
      <c r="T142" s="252">
        <f t="shared" si="90"/>
        <v>1</v>
      </c>
      <c r="U142" s="73"/>
      <c r="V142" s="73"/>
      <c r="W142" s="73"/>
      <c r="X142" s="73"/>
      <c r="AA142" s="61">
        <f>H127</f>
        <v>18</v>
      </c>
      <c r="AB142" s="61" t="str">
        <f>E127</f>
        <v>FCS-QZX-013 W</v>
      </c>
      <c r="AC142" s="74" t="s">
        <v>95</v>
      </c>
      <c r="AD142" s="61" t="str">
        <f t="shared" si="87"/>
        <v>SGP</v>
      </c>
      <c r="AE142" s="61">
        <f t="shared" si="88"/>
        <v>60</v>
      </c>
      <c r="AF142" s="61">
        <f t="shared" si="89"/>
        <v>60</v>
      </c>
    </row>
    <row r="143" spans="1:32" s="65" customFormat="1" ht="12.75" customHeight="1">
      <c r="A143" s="52" t="s">
        <v>4</v>
      </c>
      <c r="B143" s="1">
        <f>B122+7</f>
        <v>43218</v>
      </c>
      <c r="C143" s="306">
        <v>40</v>
      </c>
      <c r="D143" s="306">
        <v>420</v>
      </c>
      <c r="E143" s="69">
        <f t="shared" si="81"/>
        <v>26</v>
      </c>
      <c r="F143" s="70">
        <f t="shared" si="82"/>
        <v>700</v>
      </c>
      <c r="G143" s="306">
        <f t="shared" si="91"/>
        <v>-14</v>
      </c>
      <c r="H143" s="306">
        <f t="shared" si="92"/>
        <v>280</v>
      </c>
      <c r="I143" s="70"/>
      <c r="J143" s="70"/>
      <c r="K143" s="70"/>
      <c r="L143" s="70"/>
      <c r="M143" s="70">
        <f t="shared" si="85"/>
        <v>0</v>
      </c>
      <c r="N143" s="70">
        <f t="shared" si="86"/>
        <v>0</v>
      </c>
      <c r="O143" s="70"/>
      <c r="P143" s="70"/>
      <c r="Q143" s="70">
        <v>26</v>
      </c>
      <c r="R143" s="70">
        <v>700</v>
      </c>
      <c r="S143" s="72"/>
      <c r="T143" s="252">
        <f>E143/C143</f>
        <v>0.65</v>
      </c>
      <c r="U143" s="73"/>
      <c r="V143" s="73"/>
      <c r="W143" s="73"/>
      <c r="X143" s="73"/>
      <c r="AA143" s="61">
        <f>H127</f>
        <v>18</v>
      </c>
      <c r="AB143" s="61" t="str">
        <f>E127</f>
        <v>FCS-QZX-013 W</v>
      </c>
      <c r="AC143" s="74" t="s">
        <v>95</v>
      </c>
      <c r="AD143" s="61" t="str">
        <f t="shared" si="87"/>
        <v>PKL</v>
      </c>
      <c r="AE143" s="61">
        <f t="shared" si="88"/>
        <v>40</v>
      </c>
      <c r="AF143" s="61">
        <f t="shared" si="89"/>
        <v>26</v>
      </c>
    </row>
    <row r="144" spans="1:32" s="65" customFormat="1" ht="12.75" customHeight="1">
      <c r="A144" s="52" t="s">
        <v>15</v>
      </c>
      <c r="B144" s="306"/>
      <c r="C144" s="306"/>
      <c r="D144" s="306"/>
      <c r="E144" s="69">
        <f t="shared" si="81"/>
        <v>39</v>
      </c>
      <c r="F144" s="70">
        <f t="shared" si="82"/>
        <v>398</v>
      </c>
      <c r="G144" s="306">
        <f t="shared" si="91"/>
        <v>39</v>
      </c>
      <c r="H144" s="306">
        <f t="shared" si="92"/>
        <v>398</v>
      </c>
      <c r="I144" s="70"/>
      <c r="J144" s="70"/>
      <c r="K144" s="70"/>
      <c r="L144" s="70"/>
      <c r="M144" s="70">
        <f t="shared" si="85"/>
        <v>0</v>
      </c>
      <c r="N144" s="70">
        <f t="shared" si="86"/>
        <v>0</v>
      </c>
      <c r="O144" s="71"/>
      <c r="P144" s="71"/>
      <c r="Q144" s="71">
        <v>39</v>
      </c>
      <c r="R144" s="71">
        <v>398</v>
      </c>
      <c r="S144" s="72"/>
      <c r="T144" s="73"/>
      <c r="U144" s="73"/>
      <c r="V144" s="73"/>
      <c r="W144" s="73"/>
      <c r="X144" s="73"/>
      <c r="AA144" s="61">
        <f>H127</f>
        <v>18</v>
      </c>
      <c r="AB144" s="61" t="str">
        <f>E127</f>
        <v>FCS-QZX-013 W</v>
      </c>
      <c r="AC144" s="74" t="s">
        <v>95</v>
      </c>
      <c r="AD144" s="61" t="str">
        <f t="shared" si="87"/>
        <v>T/S</v>
      </c>
      <c r="AE144" s="61">
        <f t="shared" si="88"/>
        <v>0</v>
      </c>
      <c r="AF144" s="61">
        <f t="shared" si="89"/>
        <v>39</v>
      </c>
    </row>
    <row r="145" spans="1:32" s="65" customFormat="1" ht="12.75" customHeight="1">
      <c r="A145" s="51" t="s">
        <v>36</v>
      </c>
      <c r="B145" s="72"/>
      <c r="C145" s="71">
        <v>570</v>
      </c>
      <c r="D145" s="71">
        <v>8045</v>
      </c>
      <c r="E145" s="78">
        <f>SUM(E131:E144)</f>
        <v>536</v>
      </c>
      <c r="F145" s="76">
        <f>SUM(F131:F144)</f>
        <v>5981</v>
      </c>
      <c r="G145" s="71">
        <f t="shared" si="91"/>
        <v>-34</v>
      </c>
      <c r="H145" s="71">
        <f t="shared" si="92"/>
        <v>-2064</v>
      </c>
      <c r="I145" s="70">
        <f t="shared" ref="I145:L145" si="93">SUM(I131:I144)</f>
        <v>94</v>
      </c>
      <c r="J145" s="70">
        <f t="shared" si="93"/>
        <v>1435</v>
      </c>
      <c r="K145" s="70">
        <f t="shared" si="93"/>
        <v>40</v>
      </c>
      <c r="L145" s="70">
        <f t="shared" si="93"/>
        <v>995</v>
      </c>
      <c r="M145" s="70"/>
      <c r="N145" s="70"/>
      <c r="O145" s="70">
        <f t="shared" ref="O145:R145" si="94">SUM(O131:O144)</f>
        <v>242</v>
      </c>
      <c r="P145" s="70">
        <f t="shared" si="94"/>
        <v>2951</v>
      </c>
      <c r="Q145" s="70">
        <f t="shared" si="94"/>
        <v>294</v>
      </c>
      <c r="R145" s="70">
        <f t="shared" si="94"/>
        <v>3030</v>
      </c>
      <c r="S145" s="72"/>
      <c r="T145" s="73"/>
      <c r="U145" s="73"/>
      <c r="V145" s="73"/>
      <c r="W145" s="73"/>
      <c r="X145" s="73"/>
      <c r="AA145" s="61"/>
      <c r="AB145" s="61"/>
      <c r="AC145" s="61"/>
      <c r="AD145" s="61"/>
      <c r="AE145" s="61"/>
      <c r="AF145" s="61"/>
    </row>
    <row r="146" spans="1:32" s="65" customFormat="1" ht="12.75" customHeight="1">
      <c r="A146" s="84">
        <f>D145/C145</f>
        <v>14.114035087719298</v>
      </c>
      <c r="C146" s="307">
        <f>F145-E146</f>
        <v>-1259.5</v>
      </c>
      <c r="E146" s="65">
        <f>D145*0.9</f>
        <v>7240.5</v>
      </c>
      <c r="F146" s="307">
        <f>E145-L146</f>
        <v>23</v>
      </c>
      <c r="I146" s="80" t="s">
        <v>48</v>
      </c>
      <c r="J146" s="245">
        <f>E145/C145</f>
        <v>0.94035087719298249</v>
      </c>
      <c r="K146" s="80"/>
      <c r="L146" s="80">
        <f>C145*0.9</f>
        <v>513</v>
      </c>
      <c r="M146" s="80"/>
      <c r="N146" s="80"/>
      <c r="O146" s="80" t="s">
        <v>49</v>
      </c>
      <c r="P146" s="80"/>
      <c r="Q146" s="65">
        <f>P132+P133+P135+P136+P137+J132+J133+L132+L133+J135+R135+J131+P131</f>
        <v>4550</v>
      </c>
      <c r="R146" s="65">
        <v>5680</v>
      </c>
      <c r="AA146" s="81"/>
      <c r="AB146" s="81"/>
      <c r="AC146" s="81"/>
      <c r="AD146" s="81"/>
      <c r="AE146" s="81"/>
      <c r="AF146" s="81"/>
    </row>
    <row r="148" spans="1:32" s="63" customFormat="1" ht="12.75" customHeight="1">
      <c r="A148" s="59" t="s">
        <v>95</v>
      </c>
      <c r="B148" s="58" t="s">
        <v>630</v>
      </c>
      <c r="C148" s="56"/>
      <c r="D148" s="57"/>
      <c r="E148" s="58" t="s">
        <v>631</v>
      </c>
      <c r="F148" s="57"/>
      <c r="G148" s="59" t="s">
        <v>37</v>
      </c>
      <c r="H148" s="60">
        <f>H127+1</f>
        <v>19</v>
      </c>
      <c r="I148" s="57"/>
      <c r="J148" s="57"/>
      <c r="K148" s="57"/>
      <c r="L148" s="57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2"/>
      <c r="Z148" s="62"/>
      <c r="AA148" s="62"/>
      <c r="AB148" s="62"/>
      <c r="AC148" s="62"/>
    </row>
    <row r="149" spans="1:32" s="65" customFormat="1" ht="12.75" customHeight="1">
      <c r="A149" s="340" t="s">
        <v>0</v>
      </c>
      <c r="B149" s="336" t="s">
        <v>1</v>
      </c>
      <c r="C149" s="331" t="s">
        <v>25</v>
      </c>
      <c r="D149" s="332"/>
      <c r="E149" s="331" t="s">
        <v>21</v>
      </c>
      <c r="F149" s="332"/>
      <c r="G149" s="335" t="s">
        <v>24</v>
      </c>
      <c r="H149" s="335"/>
      <c r="I149" s="328" t="s">
        <v>33</v>
      </c>
      <c r="J149" s="329"/>
      <c r="K149" s="329"/>
      <c r="L149" s="329"/>
      <c r="M149" s="329"/>
      <c r="N149" s="330"/>
      <c r="O149" s="331" t="s">
        <v>22</v>
      </c>
      <c r="P149" s="332"/>
      <c r="Q149" s="335" t="s">
        <v>23</v>
      </c>
      <c r="R149" s="335"/>
      <c r="S149" s="336" t="s">
        <v>27</v>
      </c>
      <c r="T149" s="64"/>
      <c r="U149" s="64"/>
      <c r="V149" s="64"/>
      <c r="W149" s="64"/>
      <c r="X149" s="64"/>
      <c r="Y149" s="339"/>
      <c r="Z149" s="327"/>
      <c r="AA149" s="61"/>
      <c r="AB149" s="61"/>
      <c r="AC149" s="74"/>
      <c r="AD149" s="61"/>
      <c r="AE149" s="61"/>
      <c r="AF149" s="61"/>
    </row>
    <row r="150" spans="1:32" s="65" customFormat="1" ht="12.75" customHeight="1">
      <c r="A150" s="341"/>
      <c r="B150" s="337"/>
      <c r="C150" s="333"/>
      <c r="D150" s="334"/>
      <c r="E150" s="333"/>
      <c r="F150" s="334"/>
      <c r="G150" s="335"/>
      <c r="H150" s="335"/>
      <c r="I150" s="323" t="s">
        <v>28</v>
      </c>
      <c r="J150" s="324" t="s">
        <v>3</v>
      </c>
      <c r="K150" s="323" t="s">
        <v>29</v>
      </c>
      <c r="L150" s="324" t="s">
        <v>4</v>
      </c>
      <c r="M150" s="328" t="s">
        <v>30</v>
      </c>
      <c r="N150" s="330"/>
      <c r="O150" s="333"/>
      <c r="P150" s="334"/>
      <c r="Q150" s="335"/>
      <c r="R150" s="335"/>
      <c r="S150" s="337"/>
      <c r="T150" s="64"/>
      <c r="U150" s="64"/>
      <c r="V150" s="64"/>
      <c r="W150" s="64"/>
      <c r="X150" s="64"/>
      <c r="Y150" s="339"/>
      <c r="Z150" s="327"/>
      <c r="AA150" s="61"/>
      <c r="AB150" s="61"/>
      <c r="AC150" s="74"/>
      <c r="AD150" s="61"/>
      <c r="AE150" s="61"/>
      <c r="AF150" s="61"/>
    </row>
    <row r="151" spans="1:32" s="65" customFormat="1" ht="12.75" customHeight="1">
      <c r="A151" s="342"/>
      <c r="B151" s="338"/>
      <c r="C151" s="325" t="s">
        <v>5</v>
      </c>
      <c r="D151" s="325" t="s">
        <v>6</v>
      </c>
      <c r="E151" s="324" t="s">
        <v>5</v>
      </c>
      <c r="F151" s="325" t="s">
        <v>6</v>
      </c>
      <c r="G151" s="325" t="s">
        <v>5</v>
      </c>
      <c r="H151" s="325" t="s">
        <v>6</v>
      </c>
      <c r="I151" s="324" t="s">
        <v>5</v>
      </c>
      <c r="J151" s="325" t="s">
        <v>6</v>
      </c>
      <c r="K151" s="324" t="s">
        <v>5</v>
      </c>
      <c r="L151" s="325" t="s">
        <v>6</v>
      </c>
      <c r="M151" s="325"/>
      <c r="N151" s="325"/>
      <c r="O151" s="324" t="s">
        <v>5</v>
      </c>
      <c r="P151" s="325" t="s">
        <v>6</v>
      </c>
      <c r="Q151" s="325" t="s">
        <v>5</v>
      </c>
      <c r="R151" s="325" t="s">
        <v>6</v>
      </c>
      <c r="S151" s="338"/>
      <c r="T151" s="64"/>
      <c r="U151" s="64"/>
      <c r="V151" s="64"/>
      <c r="W151" s="64"/>
      <c r="X151" s="64"/>
      <c r="Y151" s="339"/>
      <c r="Z151" s="327"/>
      <c r="AA151" s="61" t="s">
        <v>43</v>
      </c>
      <c r="AB151" s="61" t="s">
        <v>45</v>
      </c>
      <c r="AC151" s="61" t="s">
        <v>46</v>
      </c>
      <c r="AD151" s="61" t="s">
        <v>42</v>
      </c>
      <c r="AE151" s="61" t="s">
        <v>41</v>
      </c>
      <c r="AF151" s="61" t="s">
        <v>44</v>
      </c>
    </row>
    <row r="152" spans="1:32" s="65" customFormat="1" ht="12.75" customHeight="1">
      <c r="A152" s="51" t="s">
        <v>7</v>
      </c>
      <c r="B152" s="1">
        <f>B131+7</f>
        <v>43210</v>
      </c>
      <c r="C152" s="325">
        <v>50</v>
      </c>
      <c r="D152" s="325">
        <v>700</v>
      </c>
      <c r="E152" s="69">
        <f t="shared" ref="E152:E165" si="95">O152+Q152</f>
        <v>64</v>
      </c>
      <c r="F152" s="70">
        <f t="shared" ref="F152:F165" si="96">P152+R152</f>
        <v>1110</v>
      </c>
      <c r="G152" s="325">
        <f t="shared" ref="G152:G161" si="97">E152-C152</f>
        <v>14</v>
      </c>
      <c r="H152" s="325">
        <f t="shared" ref="H152:H161" si="98">F152-D152</f>
        <v>410</v>
      </c>
      <c r="I152" s="70">
        <v>1</v>
      </c>
      <c r="J152" s="70">
        <v>22</v>
      </c>
      <c r="K152" s="70"/>
      <c r="L152" s="70"/>
      <c r="M152" s="70">
        <f t="shared" ref="M152:M165" si="99">I152+K152</f>
        <v>1</v>
      </c>
      <c r="N152" s="70">
        <f t="shared" ref="N152:N165" si="100">J152+L152</f>
        <v>22</v>
      </c>
      <c r="O152" s="71">
        <v>64</v>
      </c>
      <c r="P152" s="71">
        <v>1110</v>
      </c>
      <c r="Q152" s="70"/>
      <c r="R152" s="70"/>
      <c r="S152" s="72"/>
      <c r="T152" s="252">
        <f>E152/C152</f>
        <v>1.28</v>
      </c>
      <c r="U152" s="73"/>
      <c r="V152" s="73"/>
      <c r="W152" s="73"/>
      <c r="X152" s="73"/>
      <c r="Y152" s="339"/>
      <c r="Z152" s="327"/>
      <c r="AA152" s="61">
        <f>H148</f>
        <v>19</v>
      </c>
      <c r="AB152" s="61" t="str">
        <f>E148</f>
        <v>FCS-QG4-078 W</v>
      </c>
      <c r="AC152" s="74" t="s">
        <v>95</v>
      </c>
      <c r="AD152" s="61" t="str">
        <f t="shared" ref="AD152:AD165" si="101">A152</f>
        <v>KR</v>
      </c>
      <c r="AE152" s="61">
        <f t="shared" ref="AE152:AE165" si="102">C152</f>
        <v>50</v>
      </c>
      <c r="AF152" s="61">
        <f t="shared" ref="AF152:AF165" si="103">E152</f>
        <v>64</v>
      </c>
    </row>
    <row r="153" spans="1:32" s="65" customFormat="1" ht="12.75" customHeight="1">
      <c r="A153" s="52" t="s">
        <v>13</v>
      </c>
      <c r="B153" s="1">
        <f>B132+7</f>
        <v>43212</v>
      </c>
      <c r="C153" s="325">
        <v>100</v>
      </c>
      <c r="D153" s="325">
        <v>1400</v>
      </c>
      <c r="E153" s="69">
        <f t="shared" si="95"/>
        <v>77</v>
      </c>
      <c r="F153" s="70">
        <f t="shared" si="96"/>
        <v>1192</v>
      </c>
      <c r="G153" s="325">
        <f t="shared" si="97"/>
        <v>-23</v>
      </c>
      <c r="H153" s="325">
        <f t="shared" si="98"/>
        <v>-208</v>
      </c>
      <c r="I153" s="75">
        <v>30</v>
      </c>
      <c r="J153" s="75">
        <v>431</v>
      </c>
      <c r="K153" s="70">
        <v>11</v>
      </c>
      <c r="L153" s="70">
        <v>150</v>
      </c>
      <c r="M153" s="70">
        <f t="shared" si="99"/>
        <v>41</v>
      </c>
      <c r="N153" s="70">
        <f t="shared" si="100"/>
        <v>581</v>
      </c>
      <c r="O153" s="75">
        <v>77</v>
      </c>
      <c r="P153" s="75">
        <v>1192</v>
      </c>
      <c r="Q153" s="71"/>
      <c r="R153" s="71"/>
      <c r="S153" s="72"/>
      <c r="T153" s="252">
        <f t="shared" ref="T153:T163" si="104">E153/C153</f>
        <v>0.77</v>
      </c>
      <c r="U153" s="73"/>
      <c r="V153" s="73"/>
      <c r="W153" s="73"/>
      <c r="X153" s="73"/>
      <c r="AA153" s="61">
        <f>H148</f>
        <v>19</v>
      </c>
      <c r="AB153" s="61" t="str">
        <f>E148</f>
        <v>FCS-QG4-078 W</v>
      </c>
      <c r="AC153" s="74" t="s">
        <v>95</v>
      </c>
      <c r="AD153" s="61" t="str">
        <f t="shared" si="101"/>
        <v>TAO</v>
      </c>
      <c r="AE153" s="61">
        <f t="shared" si="102"/>
        <v>100</v>
      </c>
      <c r="AF153" s="61">
        <f t="shared" si="103"/>
        <v>77</v>
      </c>
    </row>
    <row r="154" spans="1:32" s="65" customFormat="1" ht="12.75" customHeight="1">
      <c r="A154" s="52" t="s">
        <v>9</v>
      </c>
      <c r="B154" s="1">
        <f>B133+7</f>
        <v>43214</v>
      </c>
      <c r="C154" s="325">
        <v>100</v>
      </c>
      <c r="D154" s="325">
        <v>1400</v>
      </c>
      <c r="E154" s="69">
        <f t="shared" si="95"/>
        <v>101</v>
      </c>
      <c r="F154" s="70">
        <f t="shared" si="96"/>
        <v>1446</v>
      </c>
      <c r="G154" s="325">
        <f t="shared" si="97"/>
        <v>1</v>
      </c>
      <c r="H154" s="325">
        <f t="shared" si="98"/>
        <v>46</v>
      </c>
      <c r="I154" s="75">
        <v>10</v>
      </c>
      <c r="J154" s="75">
        <v>226</v>
      </c>
      <c r="K154" s="71">
        <v>16</v>
      </c>
      <c r="L154" s="71">
        <v>178</v>
      </c>
      <c r="M154" s="70">
        <f t="shared" si="99"/>
        <v>26</v>
      </c>
      <c r="N154" s="70">
        <f t="shared" si="100"/>
        <v>404</v>
      </c>
      <c r="O154" s="75">
        <f>81+20</f>
        <v>101</v>
      </c>
      <c r="P154" s="75">
        <v>1446</v>
      </c>
      <c r="Q154" s="71"/>
      <c r="R154" s="71"/>
      <c r="S154" s="72"/>
      <c r="T154" s="252">
        <f t="shared" si="104"/>
        <v>1.01</v>
      </c>
      <c r="U154" s="73"/>
      <c r="V154" s="73"/>
      <c r="W154" s="73"/>
      <c r="X154" s="73"/>
      <c r="AA154" s="61">
        <f>H148</f>
        <v>19</v>
      </c>
      <c r="AB154" s="61" t="str">
        <f>E148</f>
        <v>FCS-QG4-078 W</v>
      </c>
      <c r="AC154" s="74" t="s">
        <v>95</v>
      </c>
      <c r="AD154" s="61" t="str">
        <f t="shared" si="101"/>
        <v>SHA</v>
      </c>
      <c r="AE154" s="61">
        <f t="shared" si="102"/>
        <v>100</v>
      </c>
      <c r="AF154" s="61">
        <f t="shared" si="103"/>
        <v>101</v>
      </c>
    </row>
    <row r="155" spans="1:32" s="65" customFormat="1" ht="12.75" customHeight="1">
      <c r="A155" s="52" t="s">
        <v>8</v>
      </c>
      <c r="B155" s="1" t="s">
        <v>18</v>
      </c>
      <c r="C155" s="325">
        <v>50</v>
      </c>
      <c r="D155" s="325">
        <v>700</v>
      </c>
      <c r="E155" s="69">
        <f t="shared" si="95"/>
        <v>0</v>
      </c>
      <c r="F155" s="70">
        <f t="shared" si="96"/>
        <v>0</v>
      </c>
      <c r="G155" s="325">
        <f t="shared" si="97"/>
        <v>-50</v>
      </c>
      <c r="H155" s="325">
        <f t="shared" si="98"/>
        <v>-700</v>
      </c>
      <c r="I155" s="71"/>
      <c r="J155" s="71"/>
      <c r="K155" s="71"/>
      <c r="L155" s="71"/>
      <c r="M155" s="70">
        <f t="shared" si="99"/>
        <v>0</v>
      </c>
      <c r="N155" s="70">
        <f t="shared" si="100"/>
        <v>0</v>
      </c>
      <c r="O155" s="71"/>
      <c r="P155" s="71"/>
      <c r="Q155" s="71"/>
      <c r="R155" s="71"/>
      <c r="S155" s="72"/>
      <c r="T155" s="252">
        <f t="shared" si="104"/>
        <v>0</v>
      </c>
      <c r="U155" s="73"/>
      <c r="V155" s="73"/>
      <c r="W155" s="73"/>
      <c r="X155" s="73"/>
      <c r="AA155" s="61">
        <f>H148</f>
        <v>19</v>
      </c>
      <c r="AB155" s="61" t="str">
        <f>E148</f>
        <v>FCS-QG4-078 W</v>
      </c>
      <c r="AC155" s="74" t="s">
        <v>95</v>
      </c>
      <c r="AD155" s="61" t="str">
        <f t="shared" si="101"/>
        <v>NGB</v>
      </c>
      <c r="AE155" s="61">
        <f t="shared" si="102"/>
        <v>50</v>
      </c>
      <c r="AF155" s="61">
        <f t="shared" si="103"/>
        <v>0</v>
      </c>
    </row>
    <row r="156" spans="1:32" s="65" customFormat="1" ht="12.75" customHeight="1">
      <c r="A156" s="52" t="s">
        <v>10</v>
      </c>
      <c r="B156" s="1" t="s">
        <v>18</v>
      </c>
      <c r="C156" s="325">
        <v>20</v>
      </c>
      <c r="D156" s="325">
        <v>280</v>
      </c>
      <c r="E156" s="69">
        <f t="shared" si="95"/>
        <v>0</v>
      </c>
      <c r="F156" s="70">
        <f t="shared" si="96"/>
        <v>0</v>
      </c>
      <c r="G156" s="325">
        <f t="shared" si="97"/>
        <v>-20</v>
      </c>
      <c r="H156" s="325">
        <f t="shared" si="98"/>
        <v>-280</v>
      </c>
      <c r="I156" s="75"/>
      <c r="J156" s="75"/>
      <c r="K156" s="70"/>
      <c r="L156" s="70"/>
      <c r="M156" s="70">
        <f t="shared" si="99"/>
        <v>0</v>
      </c>
      <c r="N156" s="70">
        <f t="shared" si="100"/>
        <v>0</v>
      </c>
      <c r="O156" s="75"/>
      <c r="P156" s="75"/>
      <c r="Q156" s="70"/>
      <c r="R156" s="70"/>
      <c r="S156" s="72"/>
      <c r="T156" s="252">
        <f t="shared" si="104"/>
        <v>0</v>
      </c>
      <c r="U156" s="73"/>
      <c r="V156" s="73"/>
      <c r="W156" s="73"/>
      <c r="X156" s="73"/>
      <c r="AA156" s="61">
        <f>H148</f>
        <v>19</v>
      </c>
      <c r="AB156" s="61" t="str">
        <f>E148</f>
        <v>FCS-QG4-078 W</v>
      </c>
      <c r="AC156" s="74" t="s">
        <v>95</v>
      </c>
      <c r="AD156" s="61" t="str">
        <f t="shared" si="101"/>
        <v>WUH</v>
      </c>
      <c r="AE156" s="61">
        <f t="shared" si="102"/>
        <v>20</v>
      </c>
      <c r="AF156" s="61">
        <f t="shared" si="103"/>
        <v>0</v>
      </c>
    </row>
    <row r="157" spans="1:32" s="65" customFormat="1" ht="12.75" customHeight="1">
      <c r="A157" s="52" t="s">
        <v>11</v>
      </c>
      <c r="B157" s="1" t="s">
        <v>18</v>
      </c>
      <c r="C157" s="325">
        <v>50</v>
      </c>
      <c r="D157" s="325">
        <v>700</v>
      </c>
      <c r="E157" s="69">
        <f t="shared" si="95"/>
        <v>2</v>
      </c>
      <c r="F157" s="70">
        <f t="shared" si="96"/>
        <v>55</v>
      </c>
      <c r="G157" s="325">
        <f t="shared" si="97"/>
        <v>-48</v>
      </c>
      <c r="H157" s="325">
        <f t="shared" si="98"/>
        <v>-645</v>
      </c>
      <c r="I157" s="70"/>
      <c r="J157" s="70"/>
      <c r="K157" s="70"/>
      <c r="L157" s="70"/>
      <c r="M157" s="70">
        <f t="shared" si="99"/>
        <v>0</v>
      </c>
      <c r="N157" s="70">
        <f t="shared" si="100"/>
        <v>0</v>
      </c>
      <c r="O157" s="75">
        <v>2</v>
      </c>
      <c r="P157" s="75">
        <v>55</v>
      </c>
      <c r="Q157" s="70"/>
      <c r="R157" s="70"/>
      <c r="S157" s="72"/>
      <c r="T157" s="252">
        <f t="shared" si="104"/>
        <v>0.04</v>
      </c>
      <c r="U157" s="73"/>
      <c r="V157" s="73"/>
      <c r="W157" s="73"/>
      <c r="X157" s="73"/>
      <c r="AA157" s="61">
        <f>H148</f>
        <v>19</v>
      </c>
      <c r="AB157" s="61" t="str">
        <f>E148</f>
        <v>FCS-QG4-078 W</v>
      </c>
      <c r="AC157" s="74" t="s">
        <v>95</v>
      </c>
      <c r="AD157" s="61" t="str">
        <f t="shared" si="101"/>
        <v>DLC</v>
      </c>
      <c r="AE157" s="61">
        <f t="shared" si="102"/>
        <v>50</v>
      </c>
      <c r="AF157" s="61">
        <f t="shared" si="103"/>
        <v>2</v>
      </c>
    </row>
    <row r="158" spans="1:32" s="65" customFormat="1" ht="12.75" customHeight="1">
      <c r="A158" s="52" t="s">
        <v>12</v>
      </c>
      <c r="B158" s="1" t="s">
        <v>18</v>
      </c>
      <c r="C158" s="325">
        <v>50</v>
      </c>
      <c r="D158" s="325">
        <v>700</v>
      </c>
      <c r="E158" s="69">
        <f t="shared" si="95"/>
        <v>0</v>
      </c>
      <c r="F158" s="70">
        <f t="shared" si="96"/>
        <v>0</v>
      </c>
      <c r="G158" s="325">
        <f t="shared" si="97"/>
        <v>-50</v>
      </c>
      <c r="H158" s="325">
        <f t="shared" si="98"/>
        <v>-700</v>
      </c>
      <c r="I158" s="70"/>
      <c r="J158" s="70"/>
      <c r="K158" s="70"/>
      <c r="L158" s="70"/>
      <c r="M158" s="70">
        <f t="shared" si="99"/>
        <v>0</v>
      </c>
      <c r="N158" s="70">
        <f t="shared" si="100"/>
        <v>0</v>
      </c>
      <c r="O158" s="75"/>
      <c r="P158" s="75"/>
      <c r="Q158" s="76"/>
      <c r="R158" s="71"/>
      <c r="S158" s="72"/>
      <c r="T158" s="252">
        <f t="shared" si="104"/>
        <v>0</v>
      </c>
      <c r="U158" s="73"/>
      <c r="V158" s="73"/>
      <c r="W158" s="73"/>
      <c r="X158" s="73"/>
      <c r="AA158" s="61">
        <f>H148</f>
        <v>19</v>
      </c>
      <c r="AB158" s="61" t="str">
        <f>E148</f>
        <v>FCS-QG4-078 W</v>
      </c>
      <c r="AC158" s="74" t="s">
        <v>95</v>
      </c>
      <c r="AD158" s="61" t="str">
        <f t="shared" si="101"/>
        <v>TSN</v>
      </c>
      <c r="AE158" s="61">
        <f t="shared" si="102"/>
        <v>50</v>
      </c>
      <c r="AF158" s="61">
        <f t="shared" si="103"/>
        <v>0</v>
      </c>
    </row>
    <row r="159" spans="1:32" s="65" customFormat="1" ht="12.75" customHeight="1">
      <c r="A159" s="52" t="s">
        <v>14</v>
      </c>
      <c r="B159" s="1" t="s">
        <v>18</v>
      </c>
      <c r="C159" s="325">
        <v>40</v>
      </c>
      <c r="D159" s="325">
        <v>560</v>
      </c>
      <c r="E159" s="69">
        <f t="shared" si="95"/>
        <v>16</v>
      </c>
      <c r="F159" s="70">
        <f t="shared" si="96"/>
        <v>80</v>
      </c>
      <c r="G159" s="325">
        <f t="shared" si="97"/>
        <v>-24</v>
      </c>
      <c r="H159" s="325">
        <f t="shared" si="98"/>
        <v>-480</v>
      </c>
      <c r="I159" s="70"/>
      <c r="J159" s="70"/>
      <c r="K159" s="70"/>
      <c r="L159" s="70"/>
      <c r="M159" s="70">
        <f t="shared" si="99"/>
        <v>0</v>
      </c>
      <c r="N159" s="70">
        <f t="shared" si="100"/>
        <v>0</v>
      </c>
      <c r="O159" s="71"/>
      <c r="P159" s="71"/>
      <c r="Q159" s="70">
        <v>16</v>
      </c>
      <c r="R159" s="70">
        <v>80</v>
      </c>
      <c r="S159" s="72"/>
      <c r="T159" s="252">
        <f t="shared" si="104"/>
        <v>0.4</v>
      </c>
      <c r="U159" s="73"/>
      <c r="V159" s="73"/>
      <c r="W159" s="73"/>
      <c r="X159" s="73"/>
      <c r="AA159" s="61">
        <f>H148</f>
        <v>19</v>
      </c>
      <c r="AB159" s="61" t="str">
        <f>E148</f>
        <v>FCS-QG4-078 W</v>
      </c>
      <c r="AC159" s="74" t="s">
        <v>95</v>
      </c>
      <c r="AD159" s="61" t="str">
        <f t="shared" si="101"/>
        <v>XMN</v>
      </c>
      <c r="AE159" s="61">
        <f t="shared" si="102"/>
        <v>40</v>
      </c>
      <c r="AF159" s="61">
        <f t="shared" si="103"/>
        <v>16</v>
      </c>
    </row>
    <row r="160" spans="1:32" s="65" customFormat="1" ht="12.75" customHeight="1">
      <c r="A160" s="52" t="s">
        <v>19</v>
      </c>
      <c r="B160" s="1" t="s">
        <v>18</v>
      </c>
      <c r="C160" s="325">
        <v>0</v>
      </c>
      <c r="D160" s="325">
        <v>0</v>
      </c>
      <c r="E160" s="69">
        <f t="shared" si="95"/>
        <v>0</v>
      </c>
      <c r="F160" s="70">
        <f t="shared" si="96"/>
        <v>0</v>
      </c>
      <c r="G160" s="325">
        <f t="shared" si="97"/>
        <v>0</v>
      </c>
      <c r="H160" s="325">
        <f t="shared" si="98"/>
        <v>0</v>
      </c>
      <c r="I160" s="70"/>
      <c r="J160" s="70"/>
      <c r="K160" s="70"/>
      <c r="L160" s="70"/>
      <c r="M160" s="70">
        <f t="shared" si="99"/>
        <v>0</v>
      </c>
      <c r="N160" s="70">
        <f t="shared" si="100"/>
        <v>0</v>
      </c>
      <c r="O160" s="70"/>
      <c r="P160" s="70"/>
      <c r="Q160" s="70"/>
      <c r="R160" s="70"/>
      <c r="S160" s="72"/>
      <c r="T160" s="252" t="e">
        <f t="shared" si="104"/>
        <v>#DIV/0!</v>
      </c>
      <c r="U160" s="73"/>
      <c r="V160" s="73"/>
      <c r="W160" s="73"/>
      <c r="X160" s="73"/>
      <c r="AA160" s="61">
        <f>H148</f>
        <v>19</v>
      </c>
      <c r="AB160" s="61" t="str">
        <f>E148</f>
        <v>FCS-QG4-078 W</v>
      </c>
      <c r="AC160" s="74" t="s">
        <v>95</v>
      </c>
      <c r="AD160" s="61" t="str">
        <f t="shared" si="101"/>
        <v>TWC</v>
      </c>
      <c r="AE160" s="61">
        <f t="shared" si="102"/>
        <v>0</v>
      </c>
      <c r="AF160" s="61">
        <f t="shared" si="103"/>
        <v>0</v>
      </c>
    </row>
    <row r="161" spans="1:32" s="65" customFormat="1" ht="12.75" customHeight="1">
      <c r="A161" s="52" t="s">
        <v>16</v>
      </c>
      <c r="B161" s="1">
        <f>B140+7</f>
        <v>43217</v>
      </c>
      <c r="C161" s="325">
        <v>150</v>
      </c>
      <c r="D161" s="325">
        <v>2100</v>
      </c>
      <c r="E161" s="69">
        <f t="shared" si="95"/>
        <v>68</v>
      </c>
      <c r="F161" s="70">
        <f t="shared" si="96"/>
        <v>402</v>
      </c>
      <c r="G161" s="325">
        <f t="shared" si="97"/>
        <v>-82</v>
      </c>
      <c r="H161" s="325">
        <f t="shared" si="98"/>
        <v>-1698</v>
      </c>
      <c r="I161" s="70"/>
      <c r="J161" s="70"/>
      <c r="K161" s="70"/>
      <c r="L161" s="70"/>
      <c r="M161" s="70">
        <f t="shared" si="99"/>
        <v>0</v>
      </c>
      <c r="N161" s="70">
        <f t="shared" si="100"/>
        <v>0</v>
      </c>
      <c r="O161" s="70"/>
      <c r="P161" s="70"/>
      <c r="Q161" s="70">
        <v>68</v>
      </c>
      <c r="R161" s="84">
        <v>402</v>
      </c>
      <c r="S161" s="72"/>
      <c r="T161" s="252">
        <f t="shared" si="104"/>
        <v>0.45333333333333331</v>
      </c>
      <c r="U161" s="73"/>
      <c r="V161" s="73"/>
      <c r="W161" s="73"/>
      <c r="X161" s="73"/>
      <c r="AA161" s="61">
        <f>H148</f>
        <v>19</v>
      </c>
      <c r="AB161" s="61" t="str">
        <f>E148</f>
        <v>FCS-QG4-078 W</v>
      </c>
      <c r="AC161" s="74" t="s">
        <v>95</v>
      </c>
      <c r="AD161" s="61" t="str">
        <f t="shared" si="101"/>
        <v>HUA</v>
      </c>
      <c r="AE161" s="61">
        <f t="shared" si="102"/>
        <v>150</v>
      </c>
      <c r="AF161" s="61">
        <f t="shared" si="103"/>
        <v>68</v>
      </c>
    </row>
    <row r="162" spans="1:32" s="65" customFormat="1" ht="12.75" customHeight="1">
      <c r="A162" s="52" t="s">
        <v>2</v>
      </c>
      <c r="B162" s="26"/>
      <c r="C162" s="325"/>
      <c r="D162" s="325"/>
      <c r="E162" s="69">
        <f t="shared" si="95"/>
        <v>0</v>
      </c>
      <c r="F162" s="70">
        <f t="shared" si="96"/>
        <v>0</v>
      </c>
      <c r="G162" s="325"/>
      <c r="H162" s="325"/>
      <c r="I162" s="70"/>
      <c r="J162" s="70"/>
      <c r="K162" s="70"/>
      <c r="L162" s="70"/>
      <c r="M162" s="70">
        <f t="shared" si="99"/>
        <v>0</v>
      </c>
      <c r="N162" s="70">
        <f t="shared" si="100"/>
        <v>0</v>
      </c>
      <c r="O162" s="70"/>
      <c r="P162" s="70"/>
      <c r="Q162" s="70"/>
      <c r="R162" s="70"/>
      <c r="S162" s="72"/>
      <c r="T162" s="252" t="e">
        <f t="shared" si="104"/>
        <v>#DIV/0!</v>
      </c>
      <c r="U162" s="73"/>
      <c r="V162" s="73"/>
      <c r="W162" s="73"/>
      <c r="X162" s="73"/>
      <c r="AA162" s="61">
        <f>H148</f>
        <v>19</v>
      </c>
      <c r="AB162" s="61" t="str">
        <f>E148</f>
        <v>FCS-QG4-078 W</v>
      </c>
      <c r="AC162" s="74" t="s">
        <v>95</v>
      </c>
      <c r="AD162" s="61" t="str">
        <f t="shared" si="101"/>
        <v>HKG</v>
      </c>
      <c r="AE162" s="61">
        <f t="shared" si="102"/>
        <v>0</v>
      </c>
      <c r="AF162" s="61">
        <f t="shared" si="103"/>
        <v>0</v>
      </c>
    </row>
    <row r="163" spans="1:32" s="65" customFormat="1" ht="12.75" customHeight="1">
      <c r="A163" s="52" t="s">
        <v>3</v>
      </c>
      <c r="B163" s="1">
        <f>B142+7</f>
        <v>43223</v>
      </c>
      <c r="C163" s="325">
        <v>60</v>
      </c>
      <c r="D163" s="325">
        <v>840</v>
      </c>
      <c r="E163" s="69">
        <f t="shared" si="95"/>
        <v>60</v>
      </c>
      <c r="F163" s="70">
        <f t="shared" si="96"/>
        <v>840</v>
      </c>
      <c r="G163" s="325">
        <f t="shared" ref="G163:G166" si="105">E163-C163</f>
        <v>0</v>
      </c>
      <c r="H163" s="325">
        <f t="shared" ref="H163:H166" si="106">F163-D163</f>
        <v>0</v>
      </c>
      <c r="I163" s="70"/>
      <c r="J163" s="70"/>
      <c r="K163" s="70"/>
      <c r="L163" s="70"/>
      <c r="M163" s="70">
        <f t="shared" si="99"/>
        <v>0</v>
      </c>
      <c r="N163" s="70">
        <f t="shared" si="100"/>
        <v>0</v>
      </c>
      <c r="O163" s="325"/>
      <c r="P163" s="325"/>
      <c r="Q163" s="70">
        <v>60</v>
      </c>
      <c r="R163" s="70">
        <v>840</v>
      </c>
      <c r="S163" s="72"/>
      <c r="T163" s="252">
        <f t="shared" si="104"/>
        <v>1</v>
      </c>
      <c r="U163" s="73"/>
      <c r="V163" s="73"/>
      <c r="W163" s="73"/>
      <c r="X163" s="73"/>
      <c r="AA163" s="61">
        <f>H148</f>
        <v>19</v>
      </c>
      <c r="AB163" s="61" t="str">
        <f>E148</f>
        <v>FCS-QG4-078 W</v>
      </c>
      <c r="AC163" s="74" t="s">
        <v>95</v>
      </c>
      <c r="AD163" s="61" t="str">
        <f t="shared" si="101"/>
        <v>SGP</v>
      </c>
      <c r="AE163" s="61">
        <f t="shared" si="102"/>
        <v>60</v>
      </c>
      <c r="AF163" s="61">
        <f t="shared" si="103"/>
        <v>60</v>
      </c>
    </row>
    <row r="164" spans="1:32" s="65" customFormat="1" ht="12.75" customHeight="1">
      <c r="A164" s="52" t="s">
        <v>4</v>
      </c>
      <c r="B164" s="1">
        <f>B143+7</f>
        <v>43225</v>
      </c>
      <c r="C164" s="325">
        <v>40</v>
      </c>
      <c r="D164" s="325">
        <v>420</v>
      </c>
      <c r="E164" s="69">
        <f t="shared" si="95"/>
        <v>26</v>
      </c>
      <c r="F164" s="70">
        <f t="shared" si="96"/>
        <v>700</v>
      </c>
      <c r="G164" s="325">
        <f t="shared" si="105"/>
        <v>-14</v>
      </c>
      <c r="H164" s="325">
        <f t="shared" si="106"/>
        <v>280</v>
      </c>
      <c r="I164" s="70"/>
      <c r="J164" s="70"/>
      <c r="K164" s="70"/>
      <c r="L164" s="70"/>
      <c r="M164" s="70">
        <f t="shared" si="99"/>
        <v>0</v>
      </c>
      <c r="N164" s="70">
        <f t="shared" si="100"/>
        <v>0</v>
      </c>
      <c r="O164" s="70"/>
      <c r="P164" s="70"/>
      <c r="Q164" s="70">
        <v>26</v>
      </c>
      <c r="R164" s="70">
        <v>700</v>
      </c>
      <c r="S164" s="72"/>
      <c r="T164" s="252">
        <f>E164/C164</f>
        <v>0.65</v>
      </c>
      <c r="U164" s="73"/>
      <c r="V164" s="73"/>
      <c r="W164" s="73"/>
      <c r="X164" s="73"/>
      <c r="AA164" s="61">
        <f>H148</f>
        <v>19</v>
      </c>
      <c r="AB164" s="61" t="str">
        <f>E148</f>
        <v>FCS-QG4-078 W</v>
      </c>
      <c r="AC164" s="74" t="s">
        <v>95</v>
      </c>
      <c r="AD164" s="61" t="str">
        <f t="shared" si="101"/>
        <v>PKL</v>
      </c>
      <c r="AE164" s="61">
        <f t="shared" si="102"/>
        <v>40</v>
      </c>
      <c r="AF164" s="61">
        <f t="shared" si="103"/>
        <v>26</v>
      </c>
    </row>
    <row r="165" spans="1:32" s="65" customFormat="1" ht="12.75" customHeight="1">
      <c r="A165" s="52" t="s">
        <v>15</v>
      </c>
      <c r="B165" s="325"/>
      <c r="C165" s="325"/>
      <c r="D165" s="325"/>
      <c r="E165" s="69">
        <f t="shared" si="95"/>
        <v>0</v>
      </c>
      <c r="F165" s="70">
        <f t="shared" si="96"/>
        <v>0</v>
      </c>
      <c r="G165" s="325">
        <f t="shared" si="105"/>
        <v>0</v>
      </c>
      <c r="H165" s="325">
        <f t="shared" si="106"/>
        <v>0</v>
      </c>
      <c r="I165" s="70"/>
      <c r="J165" s="70"/>
      <c r="K165" s="70"/>
      <c r="L165" s="70"/>
      <c r="M165" s="70">
        <f t="shared" si="99"/>
        <v>0</v>
      </c>
      <c r="N165" s="70">
        <f t="shared" si="100"/>
        <v>0</v>
      </c>
      <c r="O165" s="71"/>
      <c r="P165" s="71"/>
      <c r="Q165" s="71"/>
      <c r="R165" s="71"/>
      <c r="S165" s="72"/>
      <c r="T165" s="73"/>
      <c r="U165" s="73"/>
      <c r="V165" s="73"/>
      <c r="W165" s="73"/>
      <c r="X165" s="73"/>
      <c r="AA165" s="61">
        <f>H148</f>
        <v>19</v>
      </c>
      <c r="AB165" s="61" t="str">
        <f>E148</f>
        <v>FCS-QG4-078 W</v>
      </c>
      <c r="AC165" s="74" t="s">
        <v>95</v>
      </c>
      <c r="AD165" s="61" t="str">
        <f t="shared" si="101"/>
        <v>T/S</v>
      </c>
      <c r="AE165" s="61">
        <f t="shared" si="102"/>
        <v>0</v>
      </c>
      <c r="AF165" s="61">
        <f t="shared" si="103"/>
        <v>0</v>
      </c>
    </row>
    <row r="166" spans="1:32" s="65" customFormat="1" ht="12.75" customHeight="1">
      <c r="A166" s="51" t="s">
        <v>36</v>
      </c>
      <c r="B166" s="72"/>
      <c r="C166" s="71">
        <v>611</v>
      </c>
      <c r="D166" s="71">
        <v>8250</v>
      </c>
      <c r="E166" s="78">
        <f>SUM(E152:E165)</f>
        <v>414</v>
      </c>
      <c r="F166" s="76">
        <f>SUM(F152:F165)</f>
        <v>5825</v>
      </c>
      <c r="G166" s="71">
        <f t="shared" si="105"/>
        <v>-197</v>
      </c>
      <c r="H166" s="71">
        <f t="shared" si="106"/>
        <v>-2425</v>
      </c>
      <c r="I166" s="70">
        <f t="shared" ref="I166:L166" si="107">SUM(I152:I165)</f>
        <v>41</v>
      </c>
      <c r="J166" s="70">
        <f t="shared" si="107"/>
        <v>679</v>
      </c>
      <c r="K166" s="70">
        <f t="shared" si="107"/>
        <v>27</v>
      </c>
      <c r="L166" s="70">
        <f t="shared" si="107"/>
        <v>328</v>
      </c>
      <c r="M166" s="70"/>
      <c r="N166" s="70"/>
      <c r="O166" s="70">
        <f t="shared" ref="O166:R166" si="108">SUM(O152:O165)</f>
        <v>244</v>
      </c>
      <c r="P166" s="70">
        <f t="shared" si="108"/>
        <v>3803</v>
      </c>
      <c r="Q166" s="70">
        <f t="shared" si="108"/>
        <v>170</v>
      </c>
      <c r="R166" s="70">
        <f t="shared" si="108"/>
        <v>2022</v>
      </c>
      <c r="S166" s="72"/>
      <c r="T166" s="73"/>
      <c r="U166" s="73"/>
      <c r="V166" s="73"/>
      <c r="W166" s="73"/>
      <c r="X166" s="73"/>
      <c r="AA166" s="61"/>
      <c r="AB166" s="61"/>
      <c r="AC166" s="61"/>
      <c r="AD166" s="61"/>
      <c r="AE166" s="61"/>
      <c r="AF166" s="61"/>
    </row>
    <row r="167" spans="1:32" s="65" customFormat="1" ht="12.75" customHeight="1">
      <c r="A167" s="84">
        <f>D166/C166</f>
        <v>13.502454991816695</v>
      </c>
      <c r="C167" s="326">
        <f>F166-E167</f>
        <v>-1600</v>
      </c>
      <c r="E167" s="65">
        <f>D166*0.9</f>
        <v>7425</v>
      </c>
      <c r="F167" s="326">
        <f>E166-L167</f>
        <v>-135.89999999999998</v>
      </c>
      <c r="I167" s="80" t="s">
        <v>48</v>
      </c>
      <c r="J167" s="245">
        <f>E166/C166</f>
        <v>0.67757774140752869</v>
      </c>
      <c r="K167" s="80"/>
      <c r="L167" s="80">
        <f>C166*0.9</f>
        <v>549.9</v>
      </c>
      <c r="M167" s="80"/>
      <c r="N167" s="80"/>
      <c r="O167" s="80" t="s">
        <v>49</v>
      </c>
      <c r="P167" s="80"/>
      <c r="Q167" s="65">
        <f>P153+P154+P156+P157+P158+J153+J154+L153+L154+J156+R156+J152+P152</f>
        <v>4810</v>
      </c>
      <c r="R167" s="65">
        <v>5680</v>
      </c>
      <c r="AA167" s="81"/>
      <c r="AB167" s="81"/>
      <c r="AC167" s="81"/>
      <c r="AD167" s="81"/>
      <c r="AE167" s="81"/>
      <c r="AF167" s="81"/>
    </row>
  </sheetData>
  <mergeCells count="97">
    <mergeCell ref="I128:N128"/>
    <mergeCell ref="O128:P129"/>
    <mergeCell ref="Q128:R129"/>
    <mergeCell ref="S128:S130"/>
    <mergeCell ref="Y128:Y129"/>
    <mergeCell ref="M129:N129"/>
    <mergeCell ref="Y130:Y131"/>
    <mergeCell ref="A128:A130"/>
    <mergeCell ref="B128:B130"/>
    <mergeCell ref="C128:D129"/>
    <mergeCell ref="E128:F129"/>
    <mergeCell ref="G128:H129"/>
    <mergeCell ref="I65:N65"/>
    <mergeCell ref="O65:P66"/>
    <mergeCell ref="Q65:R66"/>
    <mergeCell ref="S65:S67"/>
    <mergeCell ref="Y65:Y66"/>
    <mergeCell ref="M66:N66"/>
    <mergeCell ref="Y67:Y68"/>
    <mergeCell ref="A65:A67"/>
    <mergeCell ref="B65:B67"/>
    <mergeCell ref="C65:D66"/>
    <mergeCell ref="E65:F66"/>
    <mergeCell ref="G65:H66"/>
    <mergeCell ref="A22:D22"/>
    <mergeCell ref="O44:P45"/>
    <mergeCell ref="Q44:R45"/>
    <mergeCell ref="S44:S46"/>
    <mergeCell ref="Y44:Y45"/>
    <mergeCell ref="M45:N45"/>
    <mergeCell ref="Y46:Y47"/>
    <mergeCell ref="I44:N44"/>
    <mergeCell ref="A44:A46"/>
    <mergeCell ref="B44:B46"/>
    <mergeCell ref="C44:D45"/>
    <mergeCell ref="E44:F45"/>
    <mergeCell ref="G44:H45"/>
    <mergeCell ref="O23:P24"/>
    <mergeCell ref="Q23:R24"/>
    <mergeCell ref="S23:S25"/>
    <mergeCell ref="Y23:Y24"/>
    <mergeCell ref="M24:N24"/>
    <mergeCell ref="Y25:Y26"/>
    <mergeCell ref="I23:N23"/>
    <mergeCell ref="A23:A25"/>
    <mergeCell ref="B23:B25"/>
    <mergeCell ref="C23:D24"/>
    <mergeCell ref="E23:F24"/>
    <mergeCell ref="G23:H24"/>
    <mergeCell ref="O2:P3"/>
    <mergeCell ref="Q2:R3"/>
    <mergeCell ref="S2:S4"/>
    <mergeCell ref="Y2:Y3"/>
    <mergeCell ref="M3:N3"/>
    <mergeCell ref="Y4:Y5"/>
    <mergeCell ref="I2:N2"/>
    <mergeCell ref="A2:A4"/>
    <mergeCell ref="B2:B4"/>
    <mergeCell ref="C2:D3"/>
    <mergeCell ref="E2:F3"/>
    <mergeCell ref="G2:H3"/>
    <mergeCell ref="A86:A88"/>
    <mergeCell ref="B86:B88"/>
    <mergeCell ref="C86:D87"/>
    <mergeCell ref="E86:F87"/>
    <mergeCell ref="G86:H87"/>
    <mergeCell ref="I86:N86"/>
    <mergeCell ref="O86:P87"/>
    <mergeCell ref="Q86:R87"/>
    <mergeCell ref="S86:S88"/>
    <mergeCell ref="Y86:Y87"/>
    <mergeCell ref="M87:N87"/>
    <mergeCell ref="Y88:Y89"/>
    <mergeCell ref="A107:A109"/>
    <mergeCell ref="B107:B109"/>
    <mergeCell ref="C107:D108"/>
    <mergeCell ref="E107:F108"/>
    <mergeCell ref="G107:H108"/>
    <mergeCell ref="I107:N107"/>
    <mergeCell ref="O107:P108"/>
    <mergeCell ref="Q107:R108"/>
    <mergeCell ref="S107:S109"/>
    <mergeCell ref="Y107:Y108"/>
    <mergeCell ref="M108:N108"/>
    <mergeCell ref="Y109:Y110"/>
    <mergeCell ref="A149:A151"/>
    <mergeCell ref="B149:B151"/>
    <mergeCell ref="C149:D150"/>
    <mergeCell ref="E149:F150"/>
    <mergeCell ref="G149:H150"/>
    <mergeCell ref="I149:N149"/>
    <mergeCell ref="O149:P150"/>
    <mergeCell ref="Q149:R150"/>
    <mergeCell ref="S149:S151"/>
    <mergeCell ref="Y149:Y150"/>
    <mergeCell ref="M150:N150"/>
    <mergeCell ref="Y151:Y152"/>
  </mergeCells>
  <phoneticPr fontId="8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88"/>
  <sheetViews>
    <sheetView tabSelected="1" topLeftCell="A139" workbookViewId="0">
      <selection activeCell="L160" sqref="L160"/>
    </sheetView>
  </sheetViews>
  <sheetFormatPr defaultRowHeight="13.5"/>
  <cols>
    <col min="1" max="2" width="9" style="25"/>
    <col min="3" max="18" width="6.375" style="87" customWidth="1"/>
    <col min="19" max="27" width="9" style="87"/>
    <col min="28" max="28" width="13.125" style="87" customWidth="1"/>
    <col min="29" max="32" width="9" style="87"/>
    <col min="33" max="16384" width="9" style="25"/>
  </cols>
  <sheetData>
    <row r="1" spans="1:32" s="18" customFormat="1" ht="12.75" hidden="1" customHeight="1">
      <c r="A1" s="16" t="s">
        <v>97</v>
      </c>
      <c r="B1" s="17" t="s">
        <v>98</v>
      </c>
      <c r="C1" s="56"/>
      <c r="D1" s="57"/>
      <c r="E1" s="58" t="s">
        <v>462</v>
      </c>
      <c r="F1" s="57"/>
      <c r="G1" s="59" t="s">
        <v>37</v>
      </c>
      <c r="H1" s="60">
        <v>11</v>
      </c>
      <c r="I1" s="57"/>
      <c r="J1" s="57" t="s">
        <v>55</v>
      </c>
      <c r="K1" s="57"/>
      <c r="L1" s="57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2"/>
      <c r="Z1" s="62"/>
      <c r="AA1" s="62"/>
      <c r="AB1" s="62"/>
      <c r="AC1" s="62"/>
      <c r="AD1" s="63"/>
      <c r="AE1" s="63"/>
      <c r="AF1" s="63"/>
    </row>
    <row r="2" spans="1:32" s="19" customFormat="1" ht="12.75" hidden="1" customHeight="1">
      <c r="A2" s="340" t="s">
        <v>0</v>
      </c>
      <c r="B2" s="336" t="s">
        <v>1</v>
      </c>
      <c r="C2" s="331" t="s">
        <v>25</v>
      </c>
      <c r="D2" s="332"/>
      <c r="E2" s="331" t="s">
        <v>21</v>
      </c>
      <c r="F2" s="332"/>
      <c r="G2" s="335" t="s">
        <v>24</v>
      </c>
      <c r="H2" s="335"/>
      <c r="I2" s="328" t="s">
        <v>33</v>
      </c>
      <c r="J2" s="329"/>
      <c r="K2" s="329"/>
      <c r="L2" s="329"/>
      <c r="M2" s="329"/>
      <c r="N2" s="330"/>
      <c r="O2" s="331" t="s">
        <v>22</v>
      </c>
      <c r="P2" s="332"/>
      <c r="Q2" s="335" t="s">
        <v>23</v>
      </c>
      <c r="R2" s="335"/>
      <c r="S2" s="336" t="s">
        <v>27</v>
      </c>
      <c r="T2" s="64"/>
      <c r="U2" s="64"/>
      <c r="V2" s="64"/>
      <c r="W2" s="64"/>
      <c r="X2" s="64"/>
      <c r="Y2" s="339"/>
      <c r="Z2" s="85"/>
      <c r="AA2" s="61"/>
      <c r="AB2" s="61"/>
      <c r="AC2" s="61"/>
      <c r="AD2" s="61"/>
      <c r="AE2" s="61"/>
      <c r="AF2" s="61"/>
    </row>
    <row r="3" spans="1:32" s="19" customFormat="1" ht="12.75" hidden="1" customHeight="1">
      <c r="A3" s="341"/>
      <c r="B3" s="337"/>
      <c r="C3" s="333"/>
      <c r="D3" s="334"/>
      <c r="E3" s="333"/>
      <c r="F3" s="334"/>
      <c r="G3" s="335"/>
      <c r="H3" s="335"/>
      <c r="I3" s="66" t="s">
        <v>28</v>
      </c>
      <c r="J3" s="67" t="s">
        <v>3</v>
      </c>
      <c r="K3" s="66" t="s">
        <v>29</v>
      </c>
      <c r="L3" s="67" t="s">
        <v>4</v>
      </c>
      <c r="M3" s="328" t="s">
        <v>30</v>
      </c>
      <c r="N3" s="330"/>
      <c r="O3" s="333"/>
      <c r="P3" s="334"/>
      <c r="Q3" s="335"/>
      <c r="R3" s="335"/>
      <c r="S3" s="337"/>
      <c r="T3" s="64"/>
      <c r="U3" s="64"/>
      <c r="V3" s="64"/>
      <c r="W3" s="64"/>
      <c r="X3" s="64"/>
      <c r="Y3" s="339"/>
      <c r="Z3" s="85"/>
      <c r="AA3" s="61"/>
      <c r="AB3" s="61"/>
      <c r="AC3" s="61"/>
      <c r="AD3" s="61"/>
      <c r="AE3" s="61"/>
      <c r="AF3" s="61"/>
    </row>
    <row r="4" spans="1:32" s="19" customFormat="1" ht="12.75" hidden="1" customHeight="1">
      <c r="A4" s="342"/>
      <c r="B4" s="338"/>
      <c r="C4" s="68" t="s">
        <v>5</v>
      </c>
      <c r="D4" s="68" t="s">
        <v>6</v>
      </c>
      <c r="E4" s="67" t="s">
        <v>5</v>
      </c>
      <c r="F4" s="68" t="s">
        <v>6</v>
      </c>
      <c r="G4" s="68" t="s">
        <v>5</v>
      </c>
      <c r="H4" s="68" t="s">
        <v>6</v>
      </c>
      <c r="I4" s="67" t="s">
        <v>5</v>
      </c>
      <c r="J4" s="68" t="s">
        <v>6</v>
      </c>
      <c r="K4" s="67" t="s">
        <v>5</v>
      </c>
      <c r="L4" s="68" t="s">
        <v>6</v>
      </c>
      <c r="M4" s="68"/>
      <c r="N4" s="68"/>
      <c r="O4" s="67" t="s">
        <v>5</v>
      </c>
      <c r="P4" s="68" t="s">
        <v>6</v>
      </c>
      <c r="Q4" s="68" t="s">
        <v>5</v>
      </c>
      <c r="R4" s="68" t="s">
        <v>6</v>
      </c>
      <c r="S4" s="338"/>
      <c r="T4" s="64"/>
      <c r="U4" s="64"/>
      <c r="V4" s="64"/>
      <c r="W4" s="64"/>
      <c r="X4" s="64"/>
      <c r="Y4" s="339"/>
      <c r="Z4" s="85"/>
      <c r="AA4" s="61" t="s">
        <v>43</v>
      </c>
      <c r="AB4" s="61" t="s">
        <v>45</v>
      </c>
      <c r="AC4" s="61" t="s">
        <v>46</v>
      </c>
      <c r="AD4" s="61" t="s">
        <v>42</v>
      </c>
      <c r="AE4" s="61" t="s">
        <v>41</v>
      </c>
      <c r="AF4" s="61" t="s">
        <v>44</v>
      </c>
    </row>
    <row r="5" spans="1:32" s="19" customFormat="1" ht="12.75" hidden="1" customHeight="1">
      <c r="A5" s="21" t="s">
        <v>7</v>
      </c>
      <c r="B5" s="1" t="s">
        <v>67</v>
      </c>
      <c r="C5" s="68">
        <v>0</v>
      </c>
      <c r="D5" s="68">
        <v>0</v>
      </c>
      <c r="E5" s="69">
        <f t="shared" ref="E5:F11" si="0">O5+Q5</f>
        <v>0</v>
      </c>
      <c r="F5" s="70">
        <f t="shared" si="0"/>
        <v>0</v>
      </c>
      <c r="G5" s="68">
        <f t="shared" ref="G5:H14" si="1">E5-C5</f>
        <v>0</v>
      </c>
      <c r="H5" s="68">
        <f t="shared" si="1"/>
        <v>0</v>
      </c>
      <c r="I5" s="70"/>
      <c r="J5" s="70"/>
      <c r="K5" s="70"/>
      <c r="L5" s="70"/>
      <c r="M5" s="70">
        <f t="shared" ref="M5:N18" si="2">I5+K5</f>
        <v>0</v>
      </c>
      <c r="N5" s="70">
        <f t="shared" si="2"/>
        <v>0</v>
      </c>
      <c r="O5" s="71"/>
      <c r="P5" s="71"/>
      <c r="Q5" s="70"/>
      <c r="R5" s="70"/>
      <c r="S5" s="72"/>
      <c r="T5" s="73"/>
      <c r="U5" s="73"/>
      <c r="V5" s="73"/>
      <c r="W5" s="73"/>
      <c r="X5" s="73"/>
      <c r="Y5" s="339"/>
      <c r="Z5" s="85"/>
      <c r="AA5" s="61">
        <f>H1</f>
        <v>11</v>
      </c>
      <c r="AB5" s="61" t="str">
        <f>E1</f>
        <v>FCE-RXF-123 W</v>
      </c>
      <c r="AC5" s="74" t="s">
        <v>99</v>
      </c>
      <c r="AD5" s="61" t="str">
        <f t="shared" ref="AD5:AD18" si="3">A5</f>
        <v>KR</v>
      </c>
      <c r="AE5" s="61">
        <f t="shared" ref="AE5:AE18" si="4">C5</f>
        <v>0</v>
      </c>
      <c r="AF5" s="61">
        <f t="shared" ref="AF5:AF18" si="5">E5</f>
        <v>0</v>
      </c>
    </row>
    <row r="6" spans="1:32" s="19" customFormat="1" ht="12.75" hidden="1" customHeight="1">
      <c r="A6" s="23" t="s">
        <v>13</v>
      </c>
      <c r="B6" s="1" t="s">
        <v>67</v>
      </c>
      <c r="C6" s="68">
        <v>0</v>
      </c>
      <c r="D6" s="68">
        <v>0</v>
      </c>
      <c r="E6" s="69">
        <f t="shared" si="0"/>
        <v>0</v>
      </c>
      <c r="F6" s="70">
        <f t="shared" si="0"/>
        <v>0</v>
      </c>
      <c r="G6" s="68">
        <f t="shared" si="1"/>
        <v>0</v>
      </c>
      <c r="H6" s="68">
        <f t="shared" si="1"/>
        <v>0</v>
      </c>
      <c r="I6" s="75"/>
      <c r="J6" s="75"/>
      <c r="K6" s="70"/>
      <c r="L6" s="70"/>
      <c r="M6" s="70">
        <f t="shared" si="2"/>
        <v>0</v>
      </c>
      <c r="N6" s="70">
        <f t="shared" si="2"/>
        <v>0</v>
      </c>
      <c r="O6" s="75"/>
      <c r="P6" s="75"/>
      <c r="Q6" s="71"/>
      <c r="R6" s="71"/>
      <c r="S6" s="72"/>
      <c r="T6" s="73"/>
      <c r="U6" s="73"/>
      <c r="V6" s="73"/>
      <c r="W6" s="73"/>
      <c r="X6" s="73"/>
      <c r="Y6" s="65"/>
      <c r="Z6" s="65"/>
      <c r="AA6" s="61">
        <f>H1</f>
        <v>11</v>
      </c>
      <c r="AB6" s="61" t="str">
        <f>E1</f>
        <v>FCE-RXF-123 W</v>
      </c>
      <c r="AC6" s="74" t="s">
        <v>99</v>
      </c>
      <c r="AD6" s="61" t="str">
        <f t="shared" si="3"/>
        <v>TAO</v>
      </c>
      <c r="AE6" s="61">
        <f t="shared" si="4"/>
        <v>0</v>
      </c>
      <c r="AF6" s="61">
        <f t="shared" si="5"/>
        <v>0</v>
      </c>
    </row>
    <row r="7" spans="1:32" s="19" customFormat="1" ht="12.75" hidden="1" customHeight="1">
      <c r="A7" s="23" t="s">
        <v>9</v>
      </c>
      <c r="B7" s="1">
        <v>43159</v>
      </c>
      <c r="C7" s="68">
        <v>100</v>
      </c>
      <c r="D7" s="68">
        <v>1400</v>
      </c>
      <c r="E7" s="69">
        <f t="shared" si="0"/>
        <v>177</v>
      </c>
      <c r="F7" s="70">
        <f t="shared" si="0"/>
        <v>3553</v>
      </c>
      <c r="G7" s="68">
        <f t="shared" si="1"/>
        <v>77</v>
      </c>
      <c r="H7" s="68">
        <f t="shared" si="1"/>
        <v>2153</v>
      </c>
      <c r="I7" s="75">
        <v>15</v>
      </c>
      <c r="J7" s="75">
        <v>293</v>
      </c>
      <c r="K7" s="71">
        <v>76</v>
      </c>
      <c r="L7" s="71">
        <v>786</v>
      </c>
      <c r="M7" s="70">
        <f t="shared" si="2"/>
        <v>91</v>
      </c>
      <c r="N7" s="70">
        <f t="shared" si="2"/>
        <v>1079</v>
      </c>
      <c r="O7" s="75">
        <v>177</v>
      </c>
      <c r="P7" s="75">
        <v>3553</v>
      </c>
      <c r="Q7" s="71"/>
      <c r="R7" s="71"/>
      <c r="S7" s="72"/>
      <c r="T7" s="73"/>
      <c r="U7" s="73"/>
      <c r="V7" s="73"/>
      <c r="W7" s="73"/>
      <c r="X7" s="73"/>
      <c r="Y7" s="65"/>
      <c r="Z7" s="65"/>
      <c r="AA7" s="61">
        <f>H1</f>
        <v>11</v>
      </c>
      <c r="AB7" s="61" t="str">
        <f>E1</f>
        <v>FCE-RXF-123 W</v>
      </c>
      <c r="AC7" s="74" t="s">
        <v>99</v>
      </c>
      <c r="AD7" s="61" t="str">
        <f t="shared" si="3"/>
        <v>SHA</v>
      </c>
      <c r="AE7" s="61">
        <f t="shared" si="4"/>
        <v>100</v>
      </c>
      <c r="AF7" s="61">
        <f t="shared" si="5"/>
        <v>177</v>
      </c>
    </row>
    <row r="8" spans="1:32" s="19" customFormat="1" ht="12.75" hidden="1" customHeight="1">
      <c r="A8" s="23" t="s">
        <v>8</v>
      </c>
      <c r="B8" s="1">
        <v>43161</v>
      </c>
      <c r="C8" s="68">
        <v>120</v>
      </c>
      <c r="D8" s="68">
        <v>1680</v>
      </c>
      <c r="E8" s="69">
        <f t="shared" si="0"/>
        <v>48</v>
      </c>
      <c r="F8" s="70">
        <f t="shared" si="0"/>
        <v>469</v>
      </c>
      <c r="G8" s="68">
        <f t="shared" si="1"/>
        <v>-72</v>
      </c>
      <c r="H8" s="68">
        <f t="shared" si="1"/>
        <v>-1211</v>
      </c>
      <c r="I8" s="71">
        <v>7</v>
      </c>
      <c r="J8" s="71">
        <v>41</v>
      </c>
      <c r="K8" s="71">
        <v>10</v>
      </c>
      <c r="L8" s="71">
        <v>97</v>
      </c>
      <c r="M8" s="70">
        <f t="shared" si="2"/>
        <v>17</v>
      </c>
      <c r="N8" s="70">
        <f t="shared" si="2"/>
        <v>138</v>
      </c>
      <c r="O8" s="71"/>
      <c r="P8" s="71"/>
      <c r="Q8" s="71">
        <v>48</v>
      </c>
      <c r="R8" s="71">
        <v>469</v>
      </c>
      <c r="S8" s="72"/>
      <c r="T8" s="73"/>
      <c r="U8" s="73"/>
      <c r="V8" s="73"/>
      <c r="W8" s="73"/>
      <c r="X8" s="73"/>
      <c r="Y8" s="65"/>
      <c r="Z8" s="65"/>
      <c r="AA8" s="61">
        <f>H1</f>
        <v>11</v>
      </c>
      <c r="AB8" s="61" t="str">
        <f>E1</f>
        <v>FCE-RXF-123 W</v>
      </c>
      <c r="AC8" s="74" t="s">
        <v>99</v>
      </c>
      <c r="AD8" s="61" t="str">
        <f t="shared" si="3"/>
        <v>NGB</v>
      </c>
      <c r="AE8" s="61">
        <f t="shared" si="4"/>
        <v>120</v>
      </c>
      <c r="AF8" s="61">
        <f t="shared" si="5"/>
        <v>48</v>
      </c>
    </row>
    <row r="9" spans="1:32" s="19" customFormat="1" ht="12.75" hidden="1" customHeight="1">
      <c r="A9" s="23" t="s">
        <v>10</v>
      </c>
      <c r="B9" s="1" t="s">
        <v>67</v>
      </c>
      <c r="C9" s="68">
        <v>50</v>
      </c>
      <c r="D9" s="68">
        <v>700</v>
      </c>
      <c r="E9" s="69">
        <f t="shared" si="0"/>
        <v>40</v>
      </c>
      <c r="F9" s="70">
        <f t="shared" si="0"/>
        <v>910</v>
      </c>
      <c r="G9" s="68">
        <f t="shared" si="1"/>
        <v>-10</v>
      </c>
      <c r="H9" s="68">
        <f t="shared" si="1"/>
        <v>210</v>
      </c>
      <c r="I9" s="75"/>
      <c r="J9" s="75"/>
      <c r="K9" s="70"/>
      <c r="L9" s="70"/>
      <c r="M9" s="70">
        <f t="shared" si="2"/>
        <v>0</v>
      </c>
      <c r="N9" s="70">
        <f t="shared" si="2"/>
        <v>0</v>
      </c>
      <c r="O9" s="75">
        <f>38+2</f>
        <v>40</v>
      </c>
      <c r="P9" s="75">
        <v>910</v>
      </c>
      <c r="Q9" s="70"/>
      <c r="R9" s="70"/>
      <c r="S9" s="72"/>
      <c r="T9" s="73"/>
      <c r="U9" s="73"/>
      <c r="V9" s="73"/>
      <c r="W9" s="73"/>
      <c r="X9" s="73"/>
      <c r="Y9" s="65"/>
      <c r="Z9" s="65"/>
      <c r="AA9" s="61">
        <f>H1</f>
        <v>11</v>
      </c>
      <c r="AB9" s="61" t="str">
        <f>E1</f>
        <v>FCE-RXF-123 W</v>
      </c>
      <c r="AC9" s="74" t="s">
        <v>99</v>
      </c>
      <c r="AD9" s="61" t="str">
        <f t="shared" si="3"/>
        <v>WUH</v>
      </c>
      <c r="AE9" s="61">
        <f t="shared" si="4"/>
        <v>50</v>
      </c>
      <c r="AF9" s="61">
        <f t="shared" si="5"/>
        <v>40</v>
      </c>
    </row>
    <row r="10" spans="1:32" s="19" customFormat="1" ht="12.75" hidden="1" customHeight="1">
      <c r="A10" s="23" t="s">
        <v>11</v>
      </c>
      <c r="B10" s="1" t="s">
        <v>18</v>
      </c>
      <c r="C10" s="68">
        <v>0</v>
      </c>
      <c r="D10" s="68">
        <v>0</v>
      </c>
      <c r="E10" s="69">
        <f t="shared" si="0"/>
        <v>0</v>
      </c>
      <c r="F10" s="70">
        <f t="shared" si="0"/>
        <v>0</v>
      </c>
      <c r="G10" s="68">
        <f t="shared" si="1"/>
        <v>0</v>
      </c>
      <c r="H10" s="68">
        <f t="shared" si="1"/>
        <v>0</v>
      </c>
      <c r="I10" s="70"/>
      <c r="J10" s="70"/>
      <c r="K10" s="70"/>
      <c r="L10" s="70"/>
      <c r="M10" s="70">
        <f t="shared" si="2"/>
        <v>0</v>
      </c>
      <c r="N10" s="70">
        <f t="shared" si="2"/>
        <v>0</v>
      </c>
      <c r="O10" s="75"/>
      <c r="P10" s="75"/>
      <c r="Q10" s="70"/>
      <c r="R10" s="70"/>
      <c r="S10" s="72"/>
      <c r="T10" s="73"/>
      <c r="U10" s="73"/>
      <c r="V10" s="73"/>
      <c r="W10" s="73"/>
      <c r="X10" s="73"/>
      <c r="Y10" s="65"/>
      <c r="Z10" s="65"/>
      <c r="AA10" s="61">
        <f>H1</f>
        <v>11</v>
      </c>
      <c r="AB10" s="61" t="str">
        <f>E1</f>
        <v>FCE-RXF-123 W</v>
      </c>
      <c r="AC10" s="74" t="s">
        <v>99</v>
      </c>
      <c r="AD10" s="61" t="str">
        <f t="shared" si="3"/>
        <v>DLC</v>
      </c>
      <c r="AE10" s="61">
        <f t="shared" si="4"/>
        <v>0</v>
      </c>
      <c r="AF10" s="61">
        <f t="shared" si="5"/>
        <v>0</v>
      </c>
    </row>
    <row r="11" spans="1:32" s="19" customFormat="1" ht="12.75" hidden="1" customHeight="1">
      <c r="A11" s="23" t="s">
        <v>12</v>
      </c>
      <c r="B11" s="1" t="s">
        <v>18</v>
      </c>
      <c r="C11" s="68">
        <v>0</v>
      </c>
      <c r="D11" s="68">
        <v>0</v>
      </c>
      <c r="E11" s="69">
        <f t="shared" si="0"/>
        <v>0</v>
      </c>
      <c r="F11" s="70">
        <f t="shared" si="0"/>
        <v>0</v>
      </c>
      <c r="G11" s="68">
        <f t="shared" si="1"/>
        <v>0</v>
      </c>
      <c r="H11" s="68">
        <f t="shared" si="1"/>
        <v>0</v>
      </c>
      <c r="I11" s="70"/>
      <c r="J11" s="70"/>
      <c r="K11" s="70"/>
      <c r="L11" s="70"/>
      <c r="M11" s="70">
        <f t="shared" si="2"/>
        <v>0</v>
      </c>
      <c r="N11" s="70">
        <f t="shared" si="2"/>
        <v>0</v>
      </c>
      <c r="O11" s="75"/>
      <c r="P11" s="75"/>
      <c r="Q11" s="76"/>
      <c r="R11" s="71"/>
      <c r="S11" s="72"/>
      <c r="T11" s="73"/>
      <c r="U11" s="73"/>
      <c r="V11" s="73"/>
      <c r="W11" s="73"/>
      <c r="X11" s="73"/>
      <c r="Y11" s="65"/>
      <c r="Z11" s="65"/>
      <c r="AA11" s="61">
        <f>H1</f>
        <v>11</v>
      </c>
      <c r="AB11" s="61" t="str">
        <f>E1</f>
        <v>FCE-RXF-123 W</v>
      </c>
      <c r="AC11" s="74" t="s">
        <v>99</v>
      </c>
      <c r="AD11" s="61" t="str">
        <f t="shared" si="3"/>
        <v>TSN</v>
      </c>
      <c r="AE11" s="61">
        <f t="shared" si="4"/>
        <v>0</v>
      </c>
      <c r="AF11" s="61">
        <f t="shared" si="5"/>
        <v>0</v>
      </c>
    </row>
    <row r="12" spans="1:32" s="19" customFormat="1" ht="12.75" hidden="1" customHeight="1">
      <c r="A12" s="23" t="s">
        <v>14</v>
      </c>
      <c r="B12" s="1" t="s">
        <v>18</v>
      </c>
      <c r="C12" s="68">
        <v>0</v>
      </c>
      <c r="D12" s="68">
        <v>0</v>
      </c>
      <c r="E12" s="69">
        <v>0</v>
      </c>
      <c r="F12" s="70">
        <v>0</v>
      </c>
      <c r="G12" s="68">
        <f t="shared" si="1"/>
        <v>0</v>
      </c>
      <c r="H12" s="68">
        <f t="shared" si="1"/>
        <v>0</v>
      </c>
      <c r="I12" s="70"/>
      <c r="J12" s="70"/>
      <c r="K12" s="70"/>
      <c r="L12" s="70"/>
      <c r="M12" s="70">
        <f t="shared" si="2"/>
        <v>0</v>
      </c>
      <c r="N12" s="70">
        <f t="shared" si="2"/>
        <v>0</v>
      </c>
      <c r="O12" s="71"/>
      <c r="P12" s="71"/>
      <c r="Q12" s="70">
        <v>1</v>
      </c>
      <c r="R12" s="70">
        <v>4</v>
      </c>
      <c r="S12" s="72"/>
      <c r="T12" s="73"/>
      <c r="U12" s="73"/>
      <c r="V12" s="73"/>
      <c r="W12" s="73"/>
      <c r="X12" s="73"/>
      <c r="Y12" s="65"/>
      <c r="Z12" s="65"/>
      <c r="AA12" s="61">
        <f>H1</f>
        <v>11</v>
      </c>
      <c r="AB12" s="61" t="str">
        <f>E1</f>
        <v>FCE-RXF-123 W</v>
      </c>
      <c r="AC12" s="74" t="s">
        <v>99</v>
      </c>
      <c r="AD12" s="61" t="str">
        <f t="shared" si="3"/>
        <v>XMN</v>
      </c>
      <c r="AE12" s="61">
        <f t="shared" si="4"/>
        <v>0</v>
      </c>
      <c r="AF12" s="61">
        <f t="shared" si="5"/>
        <v>0</v>
      </c>
    </row>
    <row r="13" spans="1:32" s="19" customFormat="1" ht="12.75" hidden="1" customHeight="1">
      <c r="A13" s="23" t="s">
        <v>19</v>
      </c>
      <c r="B13" s="1" t="s">
        <v>18</v>
      </c>
      <c r="C13" s="68">
        <v>0</v>
      </c>
      <c r="D13" s="68">
        <v>0</v>
      </c>
      <c r="E13" s="69">
        <v>0</v>
      </c>
      <c r="F13" s="70">
        <v>0</v>
      </c>
      <c r="G13" s="68">
        <f t="shared" si="1"/>
        <v>0</v>
      </c>
      <c r="H13" s="68">
        <f t="shared" si="1"/>
        <v>0</v>
      </c>
      <c r="I13" s="70"/>
      <c r="J13" s="70"/>
      <c r="K13" s="70"/>
      <c r="L13" s="70"/>
      <c r="M13" s="70">
        <f t="shared" si="2"/>
        <v>0</v>
      </c>
      <c r="N13" s="70">
        <f t="shared" si="2"/>
        <v>0</v>
      </c>
      <c r="O13" s="70"/>
      <c r="P13" s="70"/>
      <c r="Q13" s="70">
        <v>3</v>
      </c>
      <c r="R13" s="70">
        <v>43</v>
      </c>
      <c r="S13" s="72"/>
      <c r="T13" s="73"/>
      <c r="U13" s="73"/>
      <c r="V13" s="73"/>
      <c r="W13" s="73"/>
      <c r="X13" s="73"/>
      <c r="Y13" s="65"/>
      <c r="Z13" s="65"/>
      <c r="AA13" s="61">
        <f>H1</f>
        <v>11</v>
      </c>
      <c r="AB13" s="61" t="str">
        <f>E1</f>
        <v>FCE-RXF-123 W</v>
      </c>
      <c r="AC13" s="74" t="s">
        <v>99</v>
      </c>
      <c r="AD13" s="61" t="str">
        <f t="shared" si="3"/>
        <v>TWC</v>
      </c>
      <c r="AE13" s="61">
        <f t="shared" si="4"/>
        <v>0</v>
      </c>
      <c r="AF13" s="61">
        <f t="shared" si="5"/>
        <v>0</v>
      </c>
    </row>
    <row r="14" spans="1:32" s="19" customFormat="1" ht="12.75" hidden="1" customHeight="1">
      <c r="A14" s="23" t="s">
        <v>16</v>
      </c>
      <c r="B14" s="1">
        <v>43164</v>
      </c>
      <c r="C14" s="68">
        <v>100</v>
      </c>
      <c r="D14" s="68">
        <v>1400</v>
      </c>
      <c r="E14" s="69">
        <f t="shared" ref="E14:F18" si="6">O14+Q14</f>
        <v>91</v>
      </c>
      <c r="F14" s="70">
        <f t="shared" si="6"/>
        <v>625</v>
      </c>
      <c r="G14" s="68">
        <f t="shared" si="1"/>
        <v>-9</v>
      </c>
      <c r="H14" s="68">
        <f t="shared" si="1"/>
        <v>-775</v>
      </c>
      <c r="I14" s="70">
        <v>4</v>
      </c>
      <c r="J14" s="70">
        <v>112</v>
      </c>
      <c r="K14" s="70"/>
      <c r="L14" s="70"/>
      <c r="M14" s="70">
        <f t="shared" si="2"/>
        <v>4</v>
      </c>
      <c r="N14" s="70">
        <f t="shared" si="2"/>
        <v>112</v>
      </c>
      <c r="O14" s="70"/>
      <c r="P14" s="70"/>
      <c r="Q14" s="70">
        <v>91</v>
      </c>
      <c r="R14" s="86">
        <v>625</v>
      </c>
      <c r="S14" s="72"/>
      <c r="T14" s="73"/>
      <c r="U14" s="73"/>
      <c r="V14" s="73"/>
      <c r="W14" s="73"/>
      <c r="X14" s="73"/>
      <c r="Y14" s="65"/>
      <c r="Z14" s="65"/>
      <c r="AA14" s="61">
        <f>H1</f>
        <v>11</v>
      </c>
      <c r="AB14" s="61" t="str">
        <f>E1</f>
        <v>FCE-RXF-123 W</v>
      </c>
      <c r="AC14" s="74" t="s">
        <v>99</v>
      </c>
      <c r="AD14" s="61" t="str">
        <f t="shared" si="3"/>
        <v>HUA</v>
      </c>
      <c r="AE14" s="61">
        <f t="shared" si="4"/>
        <v>100</v>
      </c>
      <c r="AF14" s="61">
        <f t="shared" si="5"/>
        <v>91</v>
      </c>
    </row>
    <row r="15" spans="1:32" s="19" customFormat="1" ht="12.75" hidden="1" customHeight="1">
      <c r="A15" s="23" t="s">
        <v>2</v>
      </c>
      <c r="B15" s="1">
        <v>43163</v>
      </c>
      <c r="C15" s="68"/>
      <c r="D15" s="68"/>
      <c r="E15" s="69">
        <f t="shared" si="6"/>
        <v>0</v>
      </c>
      <c r="F15" s="70">
        <f t="shared" si="6"/>
        <v>0</v>
      </c>
      <c r="G15" s="68"/>
      <c r="H15" s="68"/>
      <c r="I15" s="70">
        <v>7</v>
      </c>
      <c r="J15" s="70">
        <v>104</v>
      </c>
      <c r="K15" s="70"/>
      <c r="L15" s="70"/>
      <c r="M15" s="70">
        <f t="shared" si="2"/>
        <v>7</v>
      </c>
      <c r="N15" s="70">
        <f t="shared" si="2"/>
        <v>104</v>
      </c>
      <c r="O15" s="70"/>
      <c r="P15" s="70"/>
      <c r="Q15" s="70"/>
      <c r="R15" s="70"/>
      <c r="S15" s="72"/>
      <c r="T15" s="73"/>
      <c r="U15" s="73"/>
      <c r="V15" s="73"/>
      <c r="W15" s="73"/>
      <c r="X15" s="73"/>
      <c r="Y15" s="65"/>
      <c r="Z15" s="65"/>
      <c r="AA15" s="61">
        <f>H1</f>
        <v>11</v>
      </c>
      <c r="AB15" s="61" t="str">
        <f>E1</f>
        <v>FCE-RXF-123 W</v>
      </c>
      <c r="AC15" s="74" t="s">
        <v>99</v>
      </c>
      <c r="AD15" s="61" t="str">
        <f t="shared" si="3"/>
        <v>HKG</v>
      </c>
      <c r="AE15" s="61">
        <f t="shared" si="4"/>
        <v>0</v>
      </c>
      <c r="AF15" s="61">
        <f t="shared" si="5"/>
        <v>0</v>
      </c>
    </row>
    <row r="16" spans="1:32" s="19" customFormat="1" ht="12.75" hidden="1" customHeight="1">
      <c r="A16" s="23" t="s">
        <v>3</v>
      </c>
      <c r="B16" s="1">
        <v>43169</v>
      </c>
      <c r="C16" s="68">
        <v>100</v>
      </c>
      <c r="D16" s="68">
        <v>1400</v>
      </c>
      <c r="E16" s="69">
        <f t="shared" si="6"/>
        <v>83</v>
      </c>
      <c r="F16" s="70">
        <f t="shared" si="6"/>
        <v>1633</v>
      </c>
      <c r="G16" s="68">
        <f t="shared" ref="G16:H19" si="7">E16-C16</f>
        <v>-17</v>
      </c>
      <c r="H16" s="68">
        <f t="shared" si="7"/>
        <v>233</v>
      </c>
      <c r="I16" s="70"/>
      <c r="J16" s="70"/>
      <c r="K16" s="70"/>
      <c r="L16" s="70"/>
      <c r="M16" s="70">
        <f t="shared" si="2"/>
        <v>0</v>
      </c>
      <c r="N16" s="70">
        <f t="shared" si="2"/>
        <v>0</v>
      </c>
      <c r="O16" s="68"/>
      <c r="P16" s="68"/>
      <c r="Q16" s="70">
        <v>83</v>
      </c>
      <c r="R16" s="70">
        <v>1633</v>
      </c>
      <c r="S16" s="72"/>
      <c r="T16" s="73"/>
      <c r="U16" s="73"/>
      <c r="V16" s="73"/>
      <c r="W16" s="73"/>
      <c r="X16" s="73"/>
      <c r="Y16" s="65"/>
      <c r="Z16" s="65"/>
      <c r="AA16" s="61">
        <f>H1</f>
        <v>11</v>
      </c>
      <c r="AB16" s="61" t="str">
        <f>E1</f>
        <v>FCE-RXF-123 W</v>
      </c>
      <c r="AC16" s="74" t="s">
        <v>99</v>
      </c>
      <c r="AD16" s="61" t="str">
        <f t="shared" si="3"/>
        <v>SGP</v>
      </c>
      <c r="AE16" s="61">
        <f t="shared" si="4"/>
        <v>100</v>
      </c>
      <c r="AF16" s="61">
        <f t="shared" si="5"/>
        <v>83</v>
      </c>
    </row>
    <row r="17" spans="1:32" s="19" customFormat="1" ht="12.75" hidden="1" customHeight="1">
      <c r="A17" s="23" t="s">
        <v>4</v>
      </c>
      <c r="B17" s="1">
        <v>43170</v>
      </c>
      <c r="C17" s="68">
        <v>50</v>
      </c>
      <c r="D17" s="68">
        <v>700</v>
      </c>
      <c r="E17" s="69">
        <f t="shared" si="6"/>
        <v>33</v>
      </c>
      <c r="F17" s="70">
        <f t="shared" si="6"/>
        <v>704</v>
      </c>
      <c r="G17" s="68">
        <f t="shared" si="7"/>
        <v>-17</v>
      </c>
      <c r="H17" s="68">
        <f t="shared" si="7"/>
        <v>4</v>
      </c>
      <c r="I17" s="70"/>
      <c r="J17" s="70"/>
      <c r="K17" s="70"/>
      <c r="L17" s="70"/>
      <c r="M17" s="70">
        <f t="shared" si="2"/>
        <v>0</v>
      </c>
      <c r="N17" s="70">
        <f t="shared" si="2"/>
        <v>0</v>
      </c>
      <c r="O17" s="70"/>
      <c r="P17" s="70"/>
      <c r="Q17" s="70">
        <v>33</v>
      </c>
      <c r="R17" s="70">
        <v>704</v>
      </c>
      <c r="S17" s="72"/>
      <c r="T17" s="73"/>
      <c r="U17" s="73"/>
      <c r="V17" s="73"/>
      <c r="W17" s="73"/>
      <c r="X17" s="73"/>
      <c r="Y17" s="65"/>
      <c r="Z17" s="65"/>
      <c r="AA17" s="61">
        <f>H1</f>
        <v>11</v>
      </c>
      <c r="AB17" s="61" t="str">
        <f>E1</f>
        <v>FCE-RXF-123 W</v>
      </c>
      <c r="AC17" s="74" t="s">
        <v>99</v>
      </c>
      <c r="AD17" s="61" t="str">
        <f t="shared" si="3"/>
        <v>PKL</v>
      </c>
      <c r="AE17" s="61">
        <f t="shared" si="4"/>
        <v>50</v>
      </c>
      <c r="AF17" s="61">
        <f t="shared" si="5"/>
        <v>33</v>
      </c>
    </row>
    <row r="18" spans="1:32" s="19" customFormat="1" ht="12.75" hidden="1" customHeight="1">
      <c r="A18" s="23" t="s">
        <v>31</v>
      </c>
      <c r="B18" s="20"/>
      <c r="C18" s="68">
        <v>50</v>
      </c>
      <c r="D18" s="68">
        <v>700</v>
      </c>
      <c r="E18" s="69">
        <f t="shared" si="6"/>
        <v>0</v>
      </c>
      <c r="F18" s="70">
        <f t="shared" si="6"/>
        <v>0</v>
      </c>
      <c r="G18" s="68">
        <f t="shared" si="7"/>
        <v>-50</v>
      </c>
      <c r="H18" s="68">
        <f t="shared" si="7"/>
        <v>-700</v>
      </c>
      <c r="I18" s="70"/>
      <c r="J18" s="70"/>
      <c r="K18" s="70"/>
      <c r="L18" s="70"/>
      <c r="M18" s="70">
        <f t="shared" si="2"/>
        <v>0</v>
      </c>
      <c r="N18" s="70">
        <f t="shared" si="2"/>
        <v>0</v>
      </c>
      <c r="O18" s="71"/>
      <c r="P18" s="71"/>
      <c r="Q18" s="71"/>
      <c r="R18" s="71"/>
      <c r="S18" s="72"/>
      <c r="T18" s="73"/>
      <c r="U18" s="73"/>
      <c r="V18" s="73"/>
      <c r="W18" s="73"/>
      <c r="X18" s="73"/>
      <c r="Y18" s="65"/>
      <c r="Z18" s="65"/>
      <c r="AA18" s="61">
        <f>H1</f>
        <v>11</v>
      </c>
      <c r="AB18" s="61" t="str">
        <f>E1</f>
        <v>FCE-RXF-123 W</v>
      </c>
      <c r="AC18" s="74" t="s">
        <v>99</v>
      </c>
      <c r="AD18" s="61" t="str">
        <f t="shared" si="3"/>
        <v>COSCO T/S</v>
      </c>
      <c r="AE18" s="61">
        <f t="shared" si="4"/>
        <v>50</v>
      </c>
      <c r="AF18" s="61">
        <f t="shared" si="5"/>
        <v>0</v>
      </c>
    </row>
    <row r="19" spans="1:32" s="19" customFormat="1" ht="12.75" hidden="1" customHeight="1">
      <c r="A19" s="23" t="s">
        <v>35</v>
      </c>
      <c r="B19" s="22"/>
      <c r="C19" s="71">
        <f>SUM(C5:C18)</f>
        <v>570</v>
      </c>
      <c r="D19" s="71">
        <f>SUM(D5:D18)</f>
        <v>7980</v>
      </c>
      <c r="E19" s="78">
        <f>SUM(E5:E18)</f>
        <v>472</v>
      </c>
      <c r="F19" s="76">
        <f>SUM(F5:F18)</f>
        <v>7894</v>
      </c>
      <c r="G19" s="71">
        <f t="shared" si="7"/>
        <v>-98</v>
      </c>
      <c r="H19" s="71">
        <f t="shared" si="7"/>
        <v>-86</v>
      </c>
      <c r="I19" s="70">
        <f t="shared" ref="I19:N19" si="8">SUM(I5:I18)</f>
        <v>33</v>
      </c>
      <c r="J19" s="70">
        <f t="shared" si="8"/>
        <v>550</v>
      </c>
      <c r="K19" s="70">
        <f t="shared" si="8"/>
        <v>86</v>
      </c>
      <c r="L19" s="70">
        <f t="shared" si="8"/>
        <v>883</v>
      </c>
      <c r="M19" s="70">
        <f t="shared" si="8"/>
        <v>119</v>
      </c>
      <c r="N19" s="70">
        <f t="shared" si="8"/>
        <v>1433</v>
      </c>
      <c r="O19" s="70">
        <f>SUM(O5:O18)</f>
        <v>217</v>
      </c>
      <c r="P19" s="70">
        <f t="shared" ref="P19:R19" si="9">SUM(P5:P18)</f>
        <v>4463</v>
      </c>
      <c r="Q19" s="70">
        <f t="shared" si="9"/>
        <v>259</v>
      </c>
      <c r="R19" s="70">
        <f t="shared" si="9"/>
        <v>3478</v>
      </c>
      <c r="S19" s="72"/>
      <c r="T19" s="73"/>
      <c r="U19" s="73"/>
      <c r="V19" s="73"/>
      <c r="W19" s="73"/>
      <c r="X19" s="73"/>
      <c r="Y19" s="65"/>
      <c r="Z19" s="65"/>
      <c r="AA19" s="61"/>
      <c r="AB19" s="61"/>
      <c r="AC19" s="74"/>
      <c r="AD19" s="61"/>
      <c r="AE19" s="61"/>
      <c r="AF19" s="61"/>
    </row>
    <row r="20" spans="1:32" s="65" customFormat="1" ht="12.75" hidden="1" customHeight="1">
      <c r="A20" s="84">
        <f>D19/C19</f>
        <v>14</v>
      </c>
      <c r="C20" s="79">
        <f>F19-E20</f>
        <v>712</v>
      </c>
      <c r="E20" s="65">
        <f>D19*0.9</f>
        <v>7182</v>
      </c>
      <c r="F20" s="79">
        <f>E19-L20</f>
        <v>-41</v>
      </c>
      <c r="I20" s="80" t="s">
        <v>48</v>
      </c>
      <c r="J20" s="245">
        <f>E19/C19</f>
        <v>0.82807017543859651</v>
      </c>
      <c r="K20" s="80"/>
      <c r="L20" s="80">
        <f>C19*0.9</f>
        <v>513</v>
      </c>
      <c r="M20" s="80"/>
      <c r="N20" s="80"/>
      <c r="O20" s="80" t="s">
        <v>49</v>
      </c>
      <c r="P20" s="80"/>
      <c r="Q20" s="65">
        <f>P6+P7+P9+P10+P11+J6+J7+L6+L7+J9+R9</f>
        <v>5542</v>
      </c>
      <c r="R20" s="65">
        <v>16856</v>
      </c>
      <c r="AA20" s="61"/>
      <c r="AB20" s="61"/>
      <c r="AC20" s="74"/>
      <c r="AD20" s="61"/>
      <c r="AE20" s="61"/>
      <c r="AF20" s="61"/>
    </row>
    <row r="21" spans="1:32" s="19" customFormat="1" ht="12.75" hidden="1" customHeight="1">
      <c r="C21" s="65"/>
      <c r="D21" s="65"/>
      <c r="E21" s="65"/>
      <c r="F21" s="65"/>
      <c r="G21" s="65"/>
      <c r="H21" s="65"/>
      <c r="I21" s="80"/>
      <c r="J21" s="80"/>
      <c r="K21" s="80"/>
      <c r="L21" s="80"/>
      <c r="M21" s="80"/>
      <c r="N21" s="80"/>
      <c r="O21" s="80"/>
      <c r="P21" s="80"/>
      <c r="Q21" s="65"/>
      <c r="R21" s="65">
        <f>R20-Q20</f>
        <v>11314</v>
      </c>
      <c r="S21" s="65"/>
      <c r="T21" s="65"/>
      <c r="U21" s="65"/>
      <c r="V21" s="65"/>
      <c r="W21" s="65"/>
      <c r="X21" s="65"/>
      <c r="Y21" s="65"/>
      <c r="Z21" s="65"/>
      <c r="AA21" s="61"/>
      <c r="AB21" s="61"/>
      <c r="AC21" s="74"/>
      <c r="AD21" s="61"/>
      <c r="AE21" s="61"/>
      <c r="AF21" s="61"/>
    </row>
    <row r="22" spans="1:32" s="18" customFormat="1" ht="12.75" hidden="1" customHeight="1">
      <c r="A22" s="16" t="s">
        <v>97</v>
      </c>
      <c r="B22" s="17" t="s">
        <v>101</v>
      </c>
      <c r="C22" s="56"/>
      <c r="D22" s="57"/>
      <c r="E22" s="58" t="s">
        <v>463</v>
      </c>
      <c r="F22" s="57"/>
      <c r="G22" s="59" t="s">
        <v>37</v>
      </c>
      <c r="H22" s="60">
        <f>H1+1</f>
        <v>12</v>
      </c>
      <c r="I22" s="57"/>
      <c r="J22" s="57"/>
      <c r="K22" s="57"/>
      <c r="L22" s="57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2"/>
      <c r="Z22" s="62"/>
      <c r="AA22" s="62"/>
      <c r="AB22" s="62"/>
      <c r="AC22" s="62"/>
      <c r="AD22" s="63"/>
      <c r="AE22" s="63"/>
      <c r="AF22" s="63"/>
    </row>
    <row r="23" spans="1:32" s="19" customFormat="1" ht="12.75" hidden="1" customHeight="1">
      <c r="A23" s="340" t="s">
        <v>0</v>
      </c>
      <c r="B23" s="336" t="s">
        <v>1</v>
      </c>
      <c r="C23" s="331" t="s">
        <v>25</v>
      </c>
      <c r="D23" s="332"/>
      <c r="E23" s="331" t="s">
        <v>21</v>
      </c>
      <c r="F23" s="332"/>
      <c r="G23" s="335" t="s">
        <v>24</v>
      </c>
      <c r="H23" s="335"/>
      <c r="I23" s="328" t="s">
        <v>33</v>
      </c>
      <c r="J23" s="329"/>
      <c r="K23" s="329"/>
      <c r="L23" s="329"/>
      <c r="M23" s="329"/>
      <c r="N23" s="330"/>
      <c r="O23" s="331" t="s">
        <v>22</v>
      </c>
      <c r="P23" s="332"/>
      <c r="Q23" s="335" t="s">
        <v>23</v>
      </c>
      <c r="R23" s="335"/>
      <c r="S23" s="336" t="s">
        <v>27</v>
      </c>
      <c r="T23" s="64"/>
      <c r="U23" s="64"/>
      <c r="V23" s="64"/>
      <c r="W23" s="64"/>
      <c r="X23" s="64"/>
      <c r="Y23" s="339"/>
      <c r="Z23" s="85"/>
      <c r="AA23" s="61"/>
      <c r="AB23" s="61"/>
      <c r="AC23" s="74"/>
      <c r="AD23" s="61"/>
      <c r="AE23" s="61"/>
      <c r="AF23" s="61"/>
    </row>
    <row r="24" spans="1:32" s="19" customFormat="1" ht="12.75" hidden="1" customHeight="1">
      <c r="A24" s="341"/>
      <c r="B24" s="337"/>
      <c r="C24" s="333"/>
      <c r="D24" s="334"/>
      <c r="E24" s="333"/>
      <c r="F24" s="334"/>
      <c r="G24" s="335"/>
      <c r="H24" s="335"/>
      <c r="I24" s="66" t="s">
        <v>28</v>
      </c>
      <c r="J24" s="67" t="s">
        <v>3</v>
      </c>
      <c r="K24" s="66" t="s">
        <v>29</v>
      </c>
      <c r="L24" s="67" t="s">
        <v>4</v>
      </c>
      <c r="M24" s="328" t="s">
        <v>30</v>
      </c>
      <c r="N24" s="330"/>
      <c r="O24" s="333"/>
      <c r="P24" s="334"/>
      <c r="Q24" s="335"/>
      <c r="R24" s="335"/>
      <c r="S24" s="337"/>
      <c r="T24" s="64"/>
      <c r="U24" s="64"/>
      <c r="V24" s="64"/>
      <c r="W24" s="64"/>
      <c r="X24" s="64"/>
      <c r="Y24" s="339"/>
      <c r="Z24" s="85"/>
      <c r="AA24" s="61"/>
      <c r="AB24" s="61"/>
      <c r="AC24" s="74"/>
      <c r="AD24" s="61"/>
      <c r="AE24" s="61"/>
      <c r="AF24" s="61"/>
    </row>
    <row r="25" spans="1:32" s="19" customFormat="1" ht="12.75" hidden="1" customHeight="1">
      <c r="A25" s="342"/>
      <c r="B25" s="338"/>
      <c r="C25" s="68" t="s">
        <v>5</v>
      </c>
      <c r="D25" s="68" t="s">
        <v>6</v>
      </c>
      <c r="E25" s="67" t="s">
        <v>5</v>
      </c>
      <c r="F25" s="68" t="s">
        <v>6</v>
      </c>
      <c r="G25" s="68" t="s">
        <v>5</v>
      </c>
      <c r="H25" s="68" t="s">
        <v>6</v>
      </c>
      <c r="I25" s="67" t="s">
        <v>5</v>
      </c>
      <c r="J25" s="68" t="s">
        <v>6</v>
      </c>
      <c r="K25" s="67" t="s">
        <v>5</v>
      </c>
      <c r="L25" s="68" t="s">
        <v>6</v>
      </c>
      <c r="M25" s="68"/>
      <c r="N25" s="68"/>
      <c r="O25" s="67" t="s">
        <v>5</v>
      </c>
      <c r="P25" s="68" t="s">
        <v>6</v>
      </c>
      <c r="Q25" s="68" t="s">
        <v>5</v>
      </c>
      <c r="R25" s="68" t="s">
        <v>6</v>
      </c>
      <c r="S25" s="338"/>
      <c r="T25" s="64"/>
      <c r="U25" s="64"/>
      <c r="V25" s="64"/>
      <c r="W25" s="64"/>
      <c r="X25" s="64"/>
      <c r="Y25" s="339"/>
      <c r="Z25" s="85"/>
      <c r="AA25" s="61" t="s">
        <v>43</v>
      </c>
      <c r="AB25" s="61" t="s">
        <v>45</v>
      </c>
      <c r="AC25" s="61" t="s">
        <v>46</v>
      </c>
      <c r="AD25" s="61" t="s">
        <v>42</v>
      </c>
      <c r="AE25" s="61" t="s">
        <v>41</v>
      </c>
      <c r="AF25" s="61" t="s">
        <v>44</v>
      </c>
    </row>
    <row r="26" spans="1:32" s="19" customFormat="1" ht="12.75" hidden="1" customHeight="1">
      <c r="A26" s="21" t="s">
        <v>7</v>
      </c>
      <c r="B26" s="1" t="s">
        <v>18</v>
      </c>
      <c r="C26" s="68">
        <v>0</v>
      </c>
      <c r="D26" s="68">
        <v>0</v>
      </c>
      <c r="E26" s="69">
        <f t="shared" ref="E26:F34" si="10">O26+Q26</f>
        <v>0</v>
      </c>
      <c r="F26" s="70">
        <f t="shared" si="10"/>
        <v>0</v>
      </c>
      <c r="G26" s="68">
        <f t="shared" ref="G26:H35" si="11">E26-C26</f>
        <v>0</v>
      </c>
      <c r="H26" s="68">
        <f t="shared" si="11"/>
        <v>0</v>
      </c>
      <c r="I26" s="70"/>
      <c r="J26" s="70"/>
      <c r="K26" s="70"/>
      <c r="L26" s="70"/>
      <c r="M26" s="70">
        <f t="shared" ref="M26:N39" si="12">I26+K26</f>
        <v>0</v>
      </c>
      <c r="N26" s="70">
        <f t="shared" si="12"/>
        <v>0</v>
      </c>
      <c r="O26" s="71"/>
      <c r="P26" s="71"/>
      <c r="Q26" s="70"/>
      <c r="R26" s="70"/>
      <c r="S26" s="72"/>
      <c r="T26" s="252" t="e">
        <f>E26/C26</f>
        <v>#DIV/0!</v>
      </c>
      <c r="U26" s="73"/>
      <c r="V26" s="73"/>
      <c r="W26" s="73"/>
      <c r="X26" s="73"/>
      <c r="Y26" s="339"/>
      <c r="Z26" s="85"/>
      <c r="AA26" s="61">
        <f>H22</f>
        <v>12</v>
      </c>
      <c r="AB26" s="61" t="str">
        <f>E22</f>
        <v>FCE-NY1-006 W</v>
      </c>
      <c r="AC26" s="74" t="s">
        <v>99</v>
      </c>
      <c r="AD26" s="61" t="str">
        <f t="shared" ref="AD26:AD39" si="13">A26</f>
        <v>KR</v>
      </c>
      <c r="AE26" s="61">
        <f t="shared" ref="AE26:AE39" si="14">C26</f>
        <v>0</v>
      </c>
      <c r="AF26" s="61">
        <f t="shared" ref="AF26:AF39" si="15">E26</f>
        <v>0</v>
      </c>
    </row>
    <row r="27" spans="1:32" s="19" customFormat="1" ht="12.75" hidden="1" customHeight="1">
      <c r="A27" s="23" t="s">
        <v>13</v>
      </c>
      <c r="B27" s="1" t="s">
        <v>18</v>
      </c>
      <c r="C27" s="68">
        <v>0</v>
      </c>
      <c r="D27" s="68">
        <v>0</v>
      </c>
      <c r="E27" s="69">
        <f t="shared" si="10"/>
        <v>0</v>
      </c>
      <c r="F27" s="70">
        <f t="shared" si="10"/>
        <v>0</v>
      </c>
      <c r="G27" s="68">
        <f t="shared" si="11"/>
        <v>0</v>
      </c>
      <c r="H27" s="68">
        <f t="shared" si="11"/>
        <v>0</v>
      </c>
      <c r="I27" s="75"/>
      <c r="J27" s="75"/>
      <c r="K27" s="70"/>
      <c r="L27" s="70"/>
      <c r="M27" s="70">
        <f t="shared" si="12"/>
        <v>0</v>
      </c>
      <c r="N27" s="70">
        <f t="shared" si="12"/>
        <v>0</v>
      </c>
      <c r="O27" s="75"/>
      <c r="P27" s="75"/>
      <c r="Q27" s="71"/>
      <c r="R27" s="71"/>
      <c r="S27" s="72"/>
      <c r="T27" s="252" t="e">
        <f t="shared" ref="T27:T37" si="16">E27/C27</f>
        <v>#DIV/0!</v>
      </c>
      <c r="U27" s="73"/>
      <c r="V27" s="73"/>
      <c r="W27" s="73"/>
      <c r="X27" s="73"/>
      <c r="Y27" s="65"/>
      <c r="Z27" s="65"/>
      <c r="AA27" s="61">
        <f>H22</f>
        <v>12</v>
      </c>
      <c r="AB27" s="61" t="str">
        <f>E22</f>
        <v>FCE-NY1-006 W</v>
      </c>
      <c r="AC27" s="74" t="s">
        <v>99</v>
      </c>
      <c r="AD27" s="61" t="str">
        <f t="shared" si="13"/>
        <v>TAO</v>
      </c>
      <c r="AE27" s="61">
        <f t="shared" si="14"/>
        <v>0</v>
      </c>
      <c r="AF27" s="61">
        <f t="shared" si="15"/>
        <v>0</v>
      </c>
    </row>
    <row r="28" spans="1:32" s="19" customFormat="1" ht="12.75" hidden="1" customHeight="1">
      <c r="A28" s="23" t="s">
        <v>9</v>
      </c>
      <c r="B28" s="1">
        <f>B7+7</f>
        <v>43166</v>
      </c>
      <c r="C28" s="68">
        <v>100</v>
      </c>
      <c r="D28" s="68">
        <v>1400</v>
      </c>
      <c r="E28" s="69">
        <f t="shared" si="10"/>
        <v>99</v>
      </c>
      <c r="F28" s="70">
        <f t="shared" si="10"/>
        <v>1627</v>
      </c>
      <c r="G28" s="68">
        <f t="shared" si="11"/>
        <v>-1</v>
      </c>
      <c r="H28" s="68">
        <f t="shared" si="11"/>
        <v>227</v>
      </c>
      <c r="I28" s="75">
        <v>15</v>
      </c>
      <c r="J28" s="75">
        <v>288</v>
      </c>
      <c r="K28" s="71">
        <v>25</v>
      </c>
      <c r="L28" s="71">
        <v>424</v>
      </c>
      <c r="M28" s="70">
        <f t="shared" si="12"/>
        <v>40</v>
      </c>
      <c r="N28" s="70">
        <f t="shared" si="12"/>
        <v>712</v>
      </c>
      <c r="O28" s="75">
        <v>99</v>
      </c>
      <c r="P28" s="75">
        <v>1627</v>
      </c>
      <c r="Q28" s="71"/>
      <c r="R28" s="71"/>
      <c r="S28" s="72"/>
      <c r="T28" s="252">
        <f t="shared" si="16"/>
        <v>0.99</v>
      </c>
      <c r="U28" s="73"/>
      <c r="V28" s="73"/>
      <c r="W28" s="73"/>
      <c r="X28" s="73"/>
      <c r="Y28" s="65"/>
      <c r="Z28" s="65"/>
      <c r="AA28" s="61">
        <f>H22</f>
        <v>12</v>
      </c>
      <c r="AB28" s="61" t="str">
        <f>E22</f>
        <v>FCE-NY1-006 W</v>
      </c>
      <c r="AC28" s="74" t="s">
        <v>99</v>
      </c>
      <c r="AD28" s="61" t="str">
        <f t="shared" si="13"/>
        <v>SHA</v>
      </c>
      <c r="AE28" s="61">
        <f t="shared" si="14"/>
        <v>100</v>
      </c>
      <c r="AF28" s="61">
        <f t="shared" si="15"/>
        <v>99</v>
      </c>
    </row>
    <row r="29" spans="1:32" s="19" customFormat="1" ht="12.75" hidden="1" customHeight="1">
      <c r="A29" s="23" t="s">
        <v>8</v>
      </c>
      <c r="B29" s="1">
        <f>B8+7</f>
        <v>43168</v>
      </c>
      <c r="C29" s="68">
        <v>120</v>
      </c>
      <c r="D29" s="68">
        <v>1680</v>
      </c>
      <c r="E29" s="69">
        <f t="shared" si="10"/>
        <v>40</v>
      </c>
      <c r="F29" s="70">
        <f t="shared" si="10"/>
        <v>768</v>
      </c>
      <c r="G29" s="68">
        <f t="shared" si="11"/>
        <v>-80</v>
      </c>
      <c r="H29" s="68">
        <f t="shared" si="11"/>
        <v>-912</v>
      </c>
      <c r="I29" s="71">
        <v>13</v>
      </c>
      <c r="J29" s="71">
        <v>90</v>
      </c>
      <c r="K29" s="71">
        <v>3</v>
      </c>
      <c r="L29" s="71">
        <v>28</v>
      </c>
      <c r="M29" s="70">
        <f t="shared" si="12"/>
        <v>16</v>
      </c>
      <c r="N29" s="70">
        <f t="shared" si="12"/>
        <v>118</v>
      </c>
      <c r="O29" s="71"/>
      <c r="P29" s="71"/>
      <c r="Q29" s="71">
        <v>40</v>
      </c>
      <c r="R29" s="71">
        <v>768</v>
      </c>
      <c r="S29" s="72"/>
      <c r="T29" s="252">
        <f t="shared" si="16"/>
        <v>0.33333333333333331</v>
      </c>
      <c r="U29" s="73"/>
      <c r="V29" s="73"/>
      <c r="W29" s="73"/>
      <c r="X29" s="73"/>
      <c r="Y29" s="65"/>
      <c r="Z29" s="65"/>
      <c r="AA29" s="61">
        <f>H22</f>
        <v>12</v>
      </c>
      <c r="AB29" s="61" t="str">
        <f>E22</f>
        <v>FCE-NY1-006 W</v>
      </c>
      <c r="AC29" s="74" t="s">
        <v>99</v>
      </c>
      <c r="AD29" s="61" t="str">
        <f t="shared" si="13"/>
        <v>NGB</v>
      </c>
      <c r="AE29" s="61">
        <f t="shared" si="14"/>
        <v>120</v>
      </c>
      <c r="AF29" s="61">
        <f t="shared" si="15"/>
        <v>40</v>
      </c>
    </row>
    <row r="30" spans="1:32" s="19" customFormat="1" ht="12.75" hidden="1" customHeight="1">
      <c r="A30" s="23" t="s">
        <v>10</v>
      </c>
      <c r="B30" s="1" t="s">
        <v>67</v>
      </c>
      <c r="C30" s="68">
        <v>50</v>
      </c>
      <c r="D30" s="68">
        <v>700</v>
      </c>
      <c r="E30" s="69">
        <f t="shared" si="10"/>
        <v>10</v>
      </c>
      <c r="F30" s="70">
        <f t="shared" si="10"/>
        <v>253</v>
      </c>
      <c r="G30" s="68">
        <f t="shared" si="11"/>
        <v>-40</v>
      </c>
      <c r="H30" s="68">
        <f t="shared" si="11"/>
        <v>-447</v>
      </c>
      <c r="I30" s="75"/>
      <c r="J30" s="75"/>
      <c r="K30" s="70"/>
      <c r="L30" s="70"/>
      <c r="M30" s="70">
        <f t="shared" si="12"/>
        <v>0</v>
      </c>
      <c r="N30" s="70">
        <f t="shared" si="12"/>
        <v>0</v>
      </c>
      <c r="O30" s="75">
        <v>10</v>
      </c>
      <c r="P30" s="75">
        <v>253</v>
      </c>
      <c r="Q30" s="70"/>
      <c r="R30" s="70"/>
      <c r="S30" s="72"/>
      <c r="T30" s="252">
        <f t="shared" si="16"/>
        <v>0.2</v>
      </c>
      <c r="U30" s="73"/>
      <c r="V30" s="73"/>
      <c r="W30" s="73"/>
      <c r="X30" s="73"/>
      <c r="Y30" s="65"/>
      <c r="Z30" s="65"/>
      <c r="AA30" s="61">
        <f>H22</f>
        <v>12</v>
      </c>
      <c r="AB30" s="61" t="str">
        <f>E22</f>
        <v>FCE-NY1-006 W</v>
      </c>
      <c r="AC30" s="74" t="s">
        <v>99</v>
      </c>
      <c r="AD30" s="61" t="str">
        <f t="shared" si="13"/>
        <v>WUH</v>
      </c>
      <c r="AE30" s="61">
        <f t="shared" si="14"/>
        <v>50</v>
      </c>
      <c r="AF30" s="61">
        <f t="shared" si="15"/>
        <v>10</v>
      </c>
    </row>
    <row r="31" spans="1:32" s="19" customFormat="1" ht="12.75" hidden="1" customHeight="1">
      <c r="A31" s="23" t="s">
        <v>11</v>
      </c>
      <c r="B31" s="1" t="s">
        <v>18</v>
      </c>
      <c r="C31" s="68">
        <v>0</v>
      </c>
      <c r="D31" s="68">
        <v>0</v>
      </c>
      <c r="E31" s="69">
        <f t="shared" si="10"/>
        <v>0</v>
      </c>
      <c r="F31" s="70">
        <f t="shared" si="10"/>
        <v>0</v>
      </c>
      <c r="G31" s="68">
        <f t="shared" si="11"/>
        <v>0</v>
      </c>
      <c r="H31" s="68">
        <f t="shared" si="11"/>
        <v>0</v>
      </c>
      <c r="I31" s="70"/>
      <c r="J31" s="70"/>
      <c r="K31" s="70"/>
      <c r="L31" s="70"/>
      <c r="M31" s="70">
        <f t="shared" si="12"/>
        <v>0</v>
      </c>
      <c r="N31" s="70">
        <f t="shared" si="12"/>
        <v>0</v>
      </c>
      <c r="O31" s="75"/>
      <c r="P31" s="75"/>
      <c r="Q31" s="70"/>
      <c r="R31" s="70"/>
      <c r="S31" s="72"/>
      <c r="T31" s="252" t="e">
        <f t="shared" si="16"/>
        <v>#DIV/0!</v>
      </c>
      <c r="U31" s="73"/>
      <c r="V31" s="73"/>
      <c r="W31" s="73"/>
      <c r="X31" s="73"/>
      <c r="Y31" s="65"/>
      <c r="Z31" s="65"/>
      <c r="AA31" s="61">
        <f>H22</f>
        <v>12</v>
      </c>
      <c r="AB31" s="61" t="str">
        <f>E22</f>
        <v>FCE-NY1-006 W</v>
      </c>
      <c r="AC31" s="74" t="s">
        <v>99</v>
      </c>
      <c r="AD31" s="61" t="str">
        <f t="shared" si="13"/>
        <v>DLC</v>
      </c>
      <c r="AE31" s="61">
        <f t="shared" si="14"/>
        <v>0</v>
      </c>
      <c r="AF31" s="61">
        <f t="shared" si="15"/>
        <v>0</v>
      </c>
    </row>
    <row r="32" spans="1:32" s="19" customFormat="1" ht="12.75" hidden="1" customHeight="1">
      <c r="A32" s="23" t="s">
        <v>12</v>
      </c>
      <c r="B32" s="1" t="s">
        <v>18</v>
      </c>
      <c r="C32" s="68">
        <v>0</v>
      </c>
      <c r="D32" s="68">
        <v>0</v>
      </c>
      <c r="E32" s="69">
        <f t="shared" si="10"/>
        <v>0</v>
      </c>
      <c r="F32" s="70">
        <f t="shared" si="10"/>
        <v>0</v>
      </c>
      <c r="G32" s="68">
        <f t="shared" si="11"/>
        <v>0</v>
      </c>
      <c r="H32" s="68">
        <f t="shared" si="11"/>
        <v>0</v>
      </c>
      <c r="I32" s="70"/>
      <c r="J32" s="70"/>
      <c r="K32" s="70"/>
      <c r="L32" s="70"/>
      <c r="M32" s="70">
        <f t="shared" si="12"/>
        <v>0</v>
      </c>
      <c r="N32" s="70">
        <f t="shared" si="12"/>
        <v>0</v>
      </c>
      <c r="O32" s="75"/>
      <c r="P32" s="75"/>
      <c r="Q32" s="76"/>
      <c r="R32" s="71"/>
      <c r="S32" s="72"/>
      <c r="T32" s="252" t="e">
        <f t="shared" si="16"/>
        <v>#DIV/0!</v>
      </c>
      <c r="U32" s="73"/>
      <c r="V32" s="73"/>
      <c r="W32" s="73"/>
      <c r="X32" s="73"/>
      <c r="Y32" s="65"/>
      <c r="Z32" s="65"/>
      <c r="AA32" s="61">
        <f>H22</f>
        <v>12</v>
      </c>
      <c r="AB32" s="61" t="str">
        <f>E22</f>
        <v>FCE-NY1-006 W</v>
      </c>
      <c r="AC32" s="74" t="s">
        <v>99</v>
      </c>
      <c r="AD32" s="61" t="str">
        <f t="shared" si="13"/>
        <v>TSN</v>
      </c>
      <c r="AE32" s="61">
        <f t="shared" si="14"/>
        <v>0</v>
      </c>
      <c r="AF32" s="61">
        <f t="shared" si="15"/>
        <v>0</v>
      </c>
    </row>
    <row r="33" spans="1:32" s="19" customFormat="1" ht="12.75" hidden="1" customHeight="1">
      <c r="A33" s="23" t="s">
        <v>14</v>
      </c>
      <c r="B33" s="1" t="s">
        <v>18</v>
      </c>
      <c r="C33" s="68">
        <v>0</v>
      </c>
      <c r="D33" s="68">
        <v>0</v>
      </c>
      <c r="E33" s="69">
        <f t="shared" si="10"/>
        <v>13</v>
      </c>
      <c r="F33" s="70">
        <f t="shared" si="10"/>
        <v>266</v>
      </c>
      <c r="G33" s="68">
        <f t="shared" si="11"/>
        <v>13</v>
      </c>
      <c r="H33" s="68">
        <f t="shared" si="11"/>
        <v>266</v>
      </c>
      <c r="I33" s="70"/>
      <c r="J33" s="70"/>
      <c r="K33" s="70"/>
      <c r="L33" s="70"/>
      <c r="M33" s="70">
        <f t="shared" si="12"/>
        <v>0</v>
      </c>
      <c r="N33" s="70">
        <f t="shared" si="12"/>
        <v>0</v>
      </c>
      <c r="O33" s="71"/>
      <c r="P33" s="71"/>
      <c r="Q33" s="70">
        <v>13</v>
      </c>
      <c r="R33" s="70">
        <v>266</v>
      </c>
      <c r="S33" s="72"/>
      <c r="T33" s="252" t="e">
        <f t="shared" si="16"/>
        <v>#DIV/0!</v>
      </c>
      <c r="U33" s="73"/>
      <c r="V33" s="73"/>
      <c r="W33" s="73"/>
      <c r="X33" s="73"/>
      <c r="Y33" s="65"/>
      <c r="Z33" s="65"/>
      <c r="AA33" s="61">
        <f>H22</f>
        <v>12</v>
      </c>
      <c r="AB33" s="61" t="str">
        <f>E22</f>
        <v>FCE-NY1-006 W</v>
      </c>
      <c r="AC33" s="74" t="s">
        <v>99</v>
      </c>
      <c r="AD33" s="61" t="str">
        <f t="shared" si="13"/>
        <v>XMN</v>
      </c>
      <c r="AE33" s="61">
        <f t="shared" si="14"/>
        <v>0</v>
      </c>
      <c r="AF33" s="61">
        <f t="shared" si="15"/>
        <v>13</v>
      </c>
    </row>
    <row r="34" spans="1:32" s="19" customFormat="1" ht="12.75" hidden="1" customHeight="1">
      <c r="A34" s="23" t="s">
        <v>19</v>
      </c>
      <c r="B34" s="1" t="s">
        <v>18</v>
      </c>
      <c r="C34" s="68">
        <v>0</v>
      </c>
      <c r="D34" s="68">
        <v>0</v>
      </c>
      <c r="E34" s="69">
        <f t="shared" si="10"/>
        <v>3</v>
      </c>
      <c r="F34" s="70">
        <f t="shared" si="10"/>
        <v>25</v>
      </c>
      <c r="G34" s="68">
        <f t="shared" si="11"/>
        <v>3</v>
      </c>
      <c r="H34" s="68">
        <f t="shared" si="11"/>
        <v>25</v>
      </c>
      <c r="I34" s="70"/>
      <c r="J34" s="70"/>
      <c r="K34" s="70"/>
      <c r="L34" s="70"/>
      <c r="M34" s="70">
        <f t="shared" si="12"/>
        <v>0</v>
      </c>
      <c r="N34" s="70">
        <f t="shared" si="12"/>
        <v>0</v>
      </c>
      <c r="O34" s="70"/>
      <c r="P34" s="70"/>
      <c r="Q34" s="70">
        <v>3</v>
      </c>
      <c r="R34" s="70">
        <v>25</v>
      </c>
      <c r="S34" s="72"/>
      <c r="T34" s="252" t="e">
        <f t="shared" si="16"/>
        <v>#DIV/0!</v>
      </c>
      <c r="U34" s="73"/>
      <c r="V34" s="73"/>
      <c r="W34" s="73"/>
      <c r="X34" s="73"/>
      <c r="Y34" s="65"/>
      <c r="Z34" s="65"/>
      <c r="AA34" s="61">
        <f>H22</f>
        <v>12</v>
      </c>
      <c r="AB34" s="61" t="str">
        <f>E22</f>
        <v>FCE-NY1-006 W</v>
      </c>
      <c r="AC34" s="74" t="s">
        <v>99</v>
      </c>
      <c r="AD34" s="61" t="str">
        <f t="shared" si="13"/>
        <v>TWC</v>
      </c>
      <c r="AE34" s="61">
        <f t="shared" si="14"/>
        <v>0</v>
      </c>
      <c r="AF34" s="61">
        <f t="shared" si="15"/>
        <v>3</v>
      </c>
    </row>
    <row r="35" spans="1:32" s="19" customFormat="1" ht="12.75" hidden="1" customHeight="1">
      <c r="A35" s="23" t="s">
        <v>16</v>
      </c>
      <c r="B35" s="1">
        <f>B14+7</f>
        <v>43171</v>
      </c>
      <c r="C35" s="68">
        <v>100</v>
      </c>
      <c r="D35" s="68">
        <v>1400</v>
      </c>
      <c r="E35" s="69">
        <f>O35+Q35</f>
        <v>87</v>
      </c>
      <c r="F35" s="70">
        <f>P35+R34</f>
        <v>25</v>
      </c>
      <c r="G35" s="68">
        <f t="shared" si="11"/>
        <v>-13</v>
      </c>
      <c r="H35" s="68">
        <f t="shared" si="11"/>
        <v>-1375</v>
      </c>
      <c r="I35" s="70"/>
      <c r="J35" s="70"/>
      <c r="K35" s="70"/>
      <c r="L35" s="70"/>
      <c r="M35" s="70">
        <f t="shared" si="12"/>
        <v>0</v>
      </c>
      <c r="N35" s="70">
        <f t="shared" si="12"/>
        <v>0</v>
      </c>
      <c r="O35" s="70"/>
      <c r="P35" s="70"/>
      <c r="Q35" s="70">
        <f>67+20</f>
        <v>87</v>
      </c>
      <c r="R35" s="84">
        <v>436</v>
      </c>
      <c r="S35" s="72"/>
      <c r="T35" s="252">
        <f t="shared" si="16"/>
        <v>0.87</v>
      </c>
      <c r="U35" s="73"/>
      <c r="V35" s="73"/>
      <c r="W35" s="73"/>
      <c r="X35" s="73"/>
      <c r="Y35" s="65"/>
      <c r="Z35" s="65"/>
      <c r="AA35" s="61">
        <f>H22</f>
        <v>12</v>
      </c>
      <c r="AB35" s="61" t="str">
        <f>E22</f>
        <v>FCE-NY1-006 W</v>
      </c>
      <c r="AC35" s="74" t="s">
        <v>99</v>
      </c>
      <c r="AD35" s="61" t="str">
        <f t="shared" si="13"/>
        <v>HUA</v>
      </c>
      <c r="AE35" s="61">
        <f t="shared" si="14"/>
        <v>100</v>
      </c>
      <c r="AF35" s="61">
        <f t="shared" si="15"/>
        <v>87</v>
      </c>
    </row>
    <row r="36" spans="1:32" s="19" customFormat="1" ht="12.75" hidden="1" customHeight="1">
      <c r="A36" s="23" t="s">
        <v>2</v>
      </c>
      <c r="B36" s="1">
        <f>B15+7</f>
        <v>43170</v>
      </c>
      <c r="C36" s="68"/>
      <c r="D36" s="68"/>
      <c r="E36" s="69">
        <f>O36+Q36</f>
        <v>0</v>
      </c>
      <c r="F36" s="70">
        <f>P36+R36</f>
        <v>0</v>
      </c>
      <c r="G36" s="68"/>
      <c r="H36" s="68"/>
      <c r="I36" s="70"/>
      <c r="J36" s="70"/>
      <c r="K36" s="70"/>
      <c r="L36" s="70"/>
      <c r="M36" s="70">
        <f t="shared" si="12"/>
        <v>0</v>
      </c>
      <c r="N36" s="70">
        <f t="shared" si="12"/>
        <v>0</v>
      </c>
      <c r="O36" s="70"/>
      <c r="P36" s="70"/>
      <c r="Q36" s="70"/>
      <c r="R36" s="70"/>
      <c r="S36" s="72"/>
      <c r="T36" s="252" t="e">
        <f t="shared" si="16"/>
        <v>#DIV/0!</v>
      </c>
      <c r="U36" s="73"/>
      <c r="V36" s="73"/>
      <c r="W36" s="73"/>
      <c r="X36" s="73"/>
      <c r="Y36" s="65"/>
      <c r="Z36" s="65"/>
      <c r="AA36" s="61">
        <f>H22</f>
        <v>12</v>
      </c>
      <c r="AB36" s="61" t="str">
        <f>E22</f>
        <v>FCE-NY1-006 W</v>
      </c>
      <c r="AC36" s="74" t="s">
        <v>99</v>
      </c>
      <c r="AD36" s="61" t="str">
        <f t="shared" si="13"/>
        <v>HKG</v>
      </c>
      <c r="AE36" s="61">
        <f t="shared" si="14"/>
        <v>0</v>
      </c>
      <c r="AF36" s="61">
        <f t="shared" si="15"/>
        <v>0</v>
      </c>
    </row>
    <row r="37" spans="1:32" s="19" customFormat="1" ht="12.75" hidden="1" customHeight="1">
      <c r="A37" s="23" t="s">
        <v>3</v>
      </c>
      <c r="B37" s="1">
        <f>B16+7</f>
        <v>43176</v>
      </c>
      <c r="C37" s="68">
        <v>100</v>
      </c>
      <c r="D37" s="68">
        <v>1400</v>
      </c>
      <c r="E37" s="69">
        <f>O37+Q37</f>
        <v>237</v>
      </c>
      <c r="F37" s="70">
        <f>P37+R37</f>
        <v>4712</v>
      </c>
      <c r="G37" s="68">
        <f t="shared" ref="G37:H40" si="17">E37-C37</f>
        <v>137</v>
      </c>
      <c r="H37" s="68">
        <f t="shared" si="17"/>
        <v>3312</v>
      </c>
      <c r="I37" s="70"/>
      <c r="J37" s="70"/>
      <c r="K37" s="70"/>
      <c r="L37" s="70"/>
      <c r="M37" s="70">
        <f t="shared" si="12"/>
        <v>0</v>
      </c>
      <c r="N37" s="70">
        <f t="shared" si="12"/>
        <v>0</v>
      </c>
      <c r="O37" s="68"/>
      <c r="P37" s="68"/>
      <c r="Q37" s="70">
        <v>237</v>
      </c>
      <c r="R37" s="70">
        <v>4712</v>
      </c>
      <c r="S37" s="72"/>
      <c r="T37" s="252">
        <f t="shared" si="16"/>
        <v>2.37</v>
      </c>
      <c r="U37" s="73"/>
      <c r="V37" s="73"/>
      <c r="W37" s="73"/>
      <c r="X37" s="73"/>
      <c r="Y37" s="65"/>
      <c r="Z37" s="65"/>
      <c r="AA37" s="61">
        <f>H22</f>
        <v>12</v>
      </c>
      <c r="AB37" s="61" t="str">
        <f>E22</f>
        <v>FCE-NY1-006 W</v>
      </c>
      <c r="AC37" s="74" t="s">
        <v>99</v>
      </c>
      <c r="AD37" s="61" t="str">
        <f t="shared" si="13"/>
        <v>SGP</v>
      </c>
      <c r="AE37" s="61">
        <f t="shared" si="14"/>
        <v>100</v>
      </c>
      <c r="AF37" s="61">
        <f t="shared" si="15"/>
        <v>237</v>
      </c>
    </row>
    <row r="38" spans="1:32" s="19" customFormat="1" ht="12.75" hidden="1" customHeight="1">
      <c r="A38" s="23" t="s">
        <v>4</v>
      </c>
      <c r="B38" s="1">
        <f>B17+7</f>
        <v>43177</v>
      </c>
      <c r="C38" s="68">
        <v>50</v>
      </c>
      <c r="D38" s="68">
        <v>700</v>
      </c>
      <c r="E38" s="69">
        <f>O38+Q38</f>
        <v>45</v>
      </c>
      <c r="F38" s="70">
        <f>P38+R38</f>
        <v>1048</v>
      </c>
      <c r="G38" s="68">
        <f t="shared" si="17"/>
        <v>-5</v>
      </c>
      <c r="H38" s="68">
        <f t="shared" si="17"/>
        <v>348</v>
      </c>
      <c r="I38" s="70"/>
      <c r="J38" s="70"/>
      <c r="K38" s="70"/>
      <c r="L38" s="70"/>
      <c r="M38" s="70">
        <f t="shared" si="12"/>
        <v>0</v>
      </c>
      <c r="N38" s="70">
        <f t="shared" si="12"/>
        <v>0</v>
      </c>
      <c r="O38" s="70"/>
      <c r="P38" s="70"/>
      <c r="Q38" s="70">
        <v>45</v>
      </c>
      <c r="R38" s="70">
        <v>1048</v>
      </c>
      <c r="S38" s="72"/>
      <c r="T38" s="252">
        <f>E38/C38</f>
        <v>0.9</v>
      </c>
      <c r="U38" s="73"/>
      <c r="V38" s="73"/>
      <c r="W38" s="73"/>
      <c r="X38" s="73"/>
      <c r="Y38" s="65"/>
      <c r="Z38" s="65"/>
      <c r="AA38" s="61">
        <f>H22</f>
        <v>12</v>
      </c>
      <c r="AB38" s="61" t="str">
        <f>E22</f>
        <v>FCE-NY1-006 W</v>
      </c>
      <c r="AC38" s="74" t="s">
        <v>99</v>
      </c>
      <c r="AD38" s="61" t="str">
        <f t="shared" si="13"/>
        <v>PKL</v>
      </c>
      <c r="AE38" s="61">
        <f t="shared" si="14"/>
        <v>50</v>
      </c>
      <c r="AF38" s="61">
        <f t="shared" si="15"/>
        <v>45</v>
      </c>
    </row>
    <row r="39" spans="1:32" s="19" customFormat="1" ht="12.75" hidden="1" customHeight="1">
      <c r="A39" s="23" t="s">
        <v>15</v>
      </c>
      <c r="B39" s="20"/>
      <c r="C39" s="68">
        <v>50</v>
      </c>
      <c r="D39" s="68">
        <v>700</v>
      </c>
      <c r="E39" s="69">
        <f>O39+Q39</f>
        <v>0</v>
      </c>
      <c r="F39" s="70">
        <f>P39+R39</f>
        <v>0</v>
      </c>
      <c r="G39" s="68">
        <f t="shared" si="17"/>
        <v>-50</v>
      </c>
      <c r="H39" s="68">
        <f t="shared" si="17"/>
        <v>-700</v>
      </c>
      <c r="I39" s="70"/>
      <c r="J39" s="70"/>
      <c r="K39" s="70"/>
      <c r="L39" s="70"/>
      <c r="M39" s="70">
        <f t="shared" si="12"/>
        <v>0</v>
      </c>
      <c r="N39" s="70">
        <f t="shared" si="12"/>
        <v>0</v>
      </c>
      <c r="O39" s="71"/>
      <c r="P39" s="71"/>
      <c r="Q39" s="71"/>
      <c r="R39" s="71"/>
      <c r="S39" s="72"/>
      <c r="T39" s="73"/>
      <c r="U39" s="73"/>
      <c r="V39" s="73"/>
      <c r="W39" s="73"/>
      <c r="X39" s="73"/>
      <c r="Y39" s="65"/>
      <c r="Z39" s="65"/>
      <c r="AA39" s="61">
        <f>H22</f>
        <v>12</v>
      </c>
      <c r="AB39" s="61" t="str">
        <f>E22</f>
        <v>FCE-NY1-006 W</v>
      </c>
      <c r="AC39" s="74" t="s">
        <v>99</v>
      </c>
      <c r="AD39" s="61" t="str">
        <f t="shared" si="13"/>
        <v>T/S</v>
      </c>
      <c r="AE39" s="61">
        <f t="shared" si="14"/>
        <v>50</v>
      </c>
      <c r="AF39" s="61">
        <f t="shared" si="15"/>
        <v>0</v>
      </c>
    </row>
    <row r="40" spans="1:32" s="19" customFormat="1" ht="12.75" hidden="1" customHeight="1">
      <c r="A40" s="21" t="s">
        <v>36</v>
      </c>
      <c r="B40" s="22"/>
      <c r="C40" s="71">
        <f>SUM(C26:C39)</f>
        <v>570</v>
      </c>
      <c r="D40" s="71">
        <f>SUM(D26:D39)</f>
        <v>7980</v>
      </c>
      <c r="E40" s="78">
        <f>SUM(E26:E39)</f>
        <v>534</v>
      </c>
      <c r="F40" s="76">
        <f>SUM(F26:F39)</f>
        <v>8724</v>
      </c>
      <c r="G40" s="71">
        <f t="shared" si="17"/>
        <v>-36</v>
      </c>
      <c r="H40" s="71">
        <f t="shared" si="17"/>
        <v>744</v>
      </c>
      <c r="I40" s="70">
        <f t="shared" ref="I40:L40" si="18">SUM(I26:I39)</f>
        <v>28</v>
      </c>
      <c r="J40" s="70">
        <f t="shared" si="18"/>
        <v>378</v>
      </c>
      <c r="K40" s="70">
        <f t="shared" si="18"/>
        <v>28</v>
      </c>
      <c r="L40" s="70">
        <f t="shared" si="18"/>
        <v>452</v>
      </c>
      <c r="M40" s="70"/>
      <c r="N40" s="70"/>
      <c r="O40" s="70">
        <f t="shared" ref="O40:R40" si="19">SUM(O26:O39)</f>
        <v>109</v>
      </c>
      <c r="P40" s="70">
        <f t="shared" si="19"/>
        <v>1880</v>
      </c>
      <c r="Q40" s="70">
        <f t="shared" si="19"/>
        <v>425</v>
      </c>
      <c r="R40" s="70">
        <f t="shared" si="19"/>
        <v>7255</v>
      </c>
      <c r="S40" s="72"/>
      <c r="T40" s="73"/>
      <c r="U40" s="73"/>
      <c r="V40" s="73"/>
      <c r="W40" s="73"/>
      <c r="X40" s="73"/>
      <c r="Y40" s="65"/>
      <c r="Z40" s="65"/>
      <c r="AA40" s="61"/>
      <c r="AB40" s="61"/>
      <c r="AC40" s="61"/>
      <c r="AD40" s="61"/>
      <c r="AE40" s="61"/>
      <c r="AF40" s="61"/>
    </row>
    <row r="41" spans="1:32" s="65" customFormat="1" ht="12.75" hidden="1" customHeight="1">
      <c r="A41" s="84">
        <f>D40/C40</f>
        <v>14</v>
      </c>
      <c r="C41" s="79">
        <f>F40-E41</f>
        <v>1542</v>
      </c>
      <c r="E41" s="65">
        <f>D40*0.9</f>
        <v>7182</v>
      </c>
      <c r="F41" s="79">
        <f>E40-L41</f>
        <v>21</v>
      </c>
      <c r="I41" s="80" t="s">
        <v>48</v>
      </c>
      <c r="J41" s="245">
        <f>E40/C40</f>
        <v>0.93684210526315792</v>
      </c>
      <c r="K41" s="80"/>
      <c r="L41" s="80">
        <f>C40*0.9</f>
        <v>513</v>
      </c>
      <c r="M41" s="80"/>
      <c r="N41" s="80"/>
      <c r="O41" s="80" t="s">
        <v>49</v>
      </c>
      <c r="P41" s="80"/>
      <c r="Q41" s="65">
        <f>P27+P28+P30+P31+P32+J27+J28+L27+L28+J30+R30</f>
        <v>2592</v>
      </c>
      <c r="R41" s="65">
        <v>16856</v>
      </c>
      <c r="AA41" s="81"/>
      <c r="AB41" s="81"/>
      <c r="AC41" s="81"/>
      <c r="AD41" s="81"/>
      <c r="AE41" s="81"/>
      <c r="AF41" s="81"/>
    </row>
    <row r="42" spans="1:32" s="19" customFormat="1" ht="12.75" hidden="1" customHeight="1">
      <c r="C42" s="65"/>
      <c r="D42" s="65"/>
      <c r="E42" s="65"/>
      <c r="F42" s="65"/>
      <c r="G42" s="65"/>
      <c r="H42" s="65"/>
      <c r="I42" s="80"/>
      <c r="J42" s="80"/>
      <c r="K42" s="80"/>
      <c r="L42" s="80"/>
      <c r="M42" s="80"/>
      <c r="N42" s="80"/>
      <c r="O42" s="80"/>
      <c r="P42" s="80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1"/>
      <c r="AB42" s="61"/>
      <c r="AC42" s="61"/>
      <c r="AD42" s="61"/>
      <c r="AE42" s="61"/>
      <c r="AF42" s="61"/>
    </row>
    <row r="43" spans="1:32" s="18" customFormat="1" ht="12.75" hidden="1" customHeight="1">
      <c r="A43" s="16" t="s">
        <v>97</v>
      </c>
      <c r="B43" s="17" t="s">
        <v>102</v>
      </c>
      <c r="C43" s="56"/>
      <c r="D43" s="57"/>
      <c r="E43" s="58" t="s">
        <v>480</v>
      </c>
      <c r="F43" s="57"/>
      <c r="G43" s="59" t="s">
        <v>37</v>
      </c>
      <c r="H43" s="60">
        <f>H22+1</f>
        <v>13</v>
      </c>
      <c r="I43" s="57"/>
      <c r="J43" s="57"/>
      <c r="K43" s="57"/>
      <c r="L43" s="57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2"/>
      <c r="Z43" s="62"/>
      <c r="AA43" s="62"/>
      <c r="AB43" s="62"/>
      <c r="AC43" s="62"/>
      <c r="AD43" s="63"/>
      <c r="AE43" s="63"/>
      <c r="AF43" s="63"/>
    </row>
    <row r="44" spans="1:32" s="19" customFormat="1" ht="12.75" hidden="1" customHeight="1">
      <c r="A44" s="340" t="s">
        <v>0</v>
      </c>
      <c r="B44" s="336" t="s">
        <v>1</v>
      </c>
      <c r="C44" s="331" t="s">
        <v>25</v>
      </c>
      <c r="D44" s="332"/>
      <c r="E44" s="331" t="s">
        <v>21</v>
      </c>
      <c r="F44" s="332"/>
      <c r="G44" s="335" t="s">
        <v>24</v>
      </c>
      <c r="H44" s="335"/>
      <c r="I44" s="328" t="s">
        <v>33</v>
      </c>
      <c r="J44" s="329"/>
      <c r="K44" s="329"/>
      <c r="L44" s="329"/>
      <c r="M44" s="329"/>
      <c r="N44" s="330"/>
      <c r="O44" s="331" t="s">
        <v>22</v>
      </c>
      <c r="P44" s="332"/>
      <c r="Q44" s="335" t="s">
        <v>23</v>
      </c>
      <c r="R44" s="335"/>
      <c r="S44" s="336" t="s">
        <v>27</v>
      </c>
      <c r="T44" s="64"/>
      <c r="U44" s="64"/>
      <c r="V44" s="64"/>
      <c r="W44" s="64"/>
      <c r="X44" s="64"/>
      <c r="Y44" s="339"/>
      <c r="Z44" s="85"/>
      <c r="AA44" s="61"/>
      <c r="AB44" s="61"/>
      <c r="AC44" s="74"/>
      <c r="AD44" s="61"/>
      <c r="AE44" s="61"/>
      <c r="AF44" s="61"/>
    </row>
    <row r="45" spans="1:32" s="19" customFormat="1" ht="12.75" hidden="1" customHeight="1">
      <c r="A45" s="341"/>
      <c r="B45" s="337"/>
      <c r="C45" s="333"/>
      <c r="D45" s="334"/>
      <c r="E45" s="333"/>
      <c r="F45" s="334"/>
      <c r="G45" s="335"/>
      <c r="H45" s="335"/>
      <c r="I45" s="66" t="s">
        <v>28</v>
      </c>
      <c r="J45" s="67" t="s">
        <v>3</v>
      </c>
      <c r="K45" s="66" t="s">
        <v>29</v>
      </c>
      <c r="L45" s="67" t="s">
        <v>4</v>
      </c>
      <c r="M45" s="328" t="s">
        <v>30</v>
      </c>
      <c r="N45" s="330"/>
      <c r="O45" s="333"/>
      <c r="P45" s="334"/>
      <c r="Q45" s="335"/>
      <c r="R45" s="335"/>
      <c r="S45" s="337"/>
      <c r="T45" s="64"/>
      <c r="U45" s="64"/>
      <c r="V45" s="64"/>
      <c r="W45" s="64"/>
      <c r="X45" s="64"/>
      <c r="Y45" s="339"/>
      <c r="Z45" s="85"/>
      <c r="AA45" s="61"/>
      <c r="AB45" s="61"/>
      <c r="AC45" s="74"/>
      <c r="AD45" s="61"/>
      <c r="AE45" s="61"/>
      <c r="AF45" s="61"/>
    </row>
    <row r="46" spans="1:32" s="19" customFormat="1" ht="12.75" hidden="1" customHeight="1">
      <c r="A46" s="342"/>
      <c r="B46" s="338"/>
      <c r="C46" s="68" t="s">
        <v>5</v>
      </c>
      <c r="D46" s="68" t="s">
        <v>6</v>
      </c>
      <c r="E46" s="67" t="s">
        <v>5</v>
      </c>
      <c r="F46" s="68" t="s">
        <v>6</v>
      </c>
      <c r="G46" s="68" t="s">
        <v>5</v>
      </c>
      <c r="H46" s="68" t="s">
        <v>6</v>
      </c>
      <c r="I46" s="67" t="s">
        <v>5</v>
      </c>
      <c r="J46" s="68" t="s">
        <v>6</v>
      </c>
      <c r="K46" s="67" t="s">
        <v>5</v>
      </c>
      <c r="L46" s="68" t="s">
        <v>6</v>
      </c>
      <c r="M46" s="68"/>
      <c r="N46" s="68"/>
      <c r="O46" s="67" t="s">
        <v>5</v>
      </c>
      <c r="P46" s="68" t="s">
        <v>6</v>
      </c>
      <c r="Q46" s="68" t="s">
        <v>5</v>
      </c>
      <c r="R46" s="68" t="s">
        <v>6</v>
      </c>
      <c r="S46" s="338"/>
      <c r="T46" s="64"/>
      <c r="U46" s="64"/>
      <c r="V46" s="64"/>
      <c r="W46" s="64"/>
      <c r="X46" s="64"/>
      <c r="Y46" s="339"/>
      <c r="Z46" s="85"/>
      <c r="AA46" s="61" t="s">
        <v>43</v>
      </c>
      <c r="AB46" s="61" t="s">
        <v>45</v>
      </c>
      <c r="AC46" s="61" t="s">
        <v>46</v>
      </c>
      <c r="AD46" s="61" t="s">
        <v>42</v>
      </c>
      <c r="AE46" s="61" t="s">
        <v>41</v>
      </c>
      <c r="AF46" s="61" t="s">
        <v>44</v>
      </c>
    </row>
    <row r="47" spans="1:32" s="19" customFormat="1" ht="12.75" hidden="1" customHeight="1">
      <c r="A47" s="21" t="s">
        <v>7</v>
      </c>
      <c r="B47" s="1" t="s">
        <v>18</v>
      </c>
      <c r="C47" s="68">
        <v>0</v>
      </c>
      <c r="D47" s="68">
        <v>0</v>
      </c>
      <c r="E47" s="69">
        <f t="shared" ref="E47:F55" si="20">O47+Q47</f>
        <v>0</v>
      </c>
      <c r="F47" s="70">
        <f t="shared" si="20"/>
        <v>0</v>
      </c>
      <c r="G47" s="68">
        <f t="shared" ref="G47:H56" si="21">E47-C47</f>
        <v>0</v>
      </c>
      <c r="H47" s="68">
        <f t="shared" si="21"/>
        <v>0</v>
      </c>
      <c r="I47" s="70"/>
      <c r="J47" s="70"/>
      <c r="K47" s="70"/>
      <c r="L47" s="70"/>
      <c r="M47" s="70">
        <f t="shared" ref="M47:N60" si="22">I47+K47</f>
        <v>0</v>
      </c>
      <c r="N47" s="70">
        <f t="shared" si="22"/>
        <v>0</v>
      </c>
      <c r="O47" s="71"/>
      <c r="P47" s="71"/>
      <c r="Q47" s="70"/>
      <c r="R47" s="70"/>
      <c r="S47" s="72"/>
      <c r="T47" s="252" t="e">
        <f>E47/C47</f>
        <v>#DIV/0!</v>
      </c>
      <c r="U47" s="73"/>
      <c r="V47" s="73"/>
      <c r="W47" s="73"/>
      <c r="X47" s="73"/>
      <c r="Y47" s="339"/>
      <c r="Z47" s="85"/>
      <c r="AA47" s="61">
        <f>H43</f>
        <v>13</v>
      </c>
      <c r="AB47" s="61" t="str">
        <f>E43</f>
        <v>FCE-RFE-152 W</v>
      </c>
      <c r="AC47" s="74" t="s">
        <v>99</v>
      </c>
      <c r="AD47" s="61" t="str">
        <f t="shared" ref="AD47:AD60" si="23">A47</f>
        <v>KR</v>
      </c>
      <c r="AE47" s="61">
        <f t="shared" ref="AE47:AE60" si="24">C47</f>
        <v>0</v>
      </c>
      <c r="AF47" s="61">
        <f t="shared" ref="AF47:AF60" si="25">E47</f>
        <v>0</v>
      </c>
    </row>
    <row r="48" spans="1:32" s="19" customFormat="1" ht="12.75" hidden="1" customHeight="1">
      <c r="A48" s="23" t="s">
        <v>13</v>
      </c>
      <c r="B48" s="1" t="s">
        <v>18</v>
      </c>
      <c r="C48" s="68">
        <v>0</v>
      </c>
      <c r="D48" s="68">
        <v>0</v>
      </c>
      <c r="E48" s="69">
        <f t="shared" si="20"/>
        <v>0</v>
      </c>
      <c r="F48" s="70">
        <f t="shared" si="20"/>
        <v>0</v>
      </c>
      <c r="G48" s="68">
        <f t="shared" si="21"/>
        <v>0</v>
      </c>
      <c r="H48" s="68">
        <f t="shared" si="21"/>
        <v>0</v>
      </c>
      <c r="I48" s="75"/>
      <c r="J48" s="75"/>
      <c r="K48" s="70"/>
      <c r="L48" s="70"/>
      <c r="M48" s="70">
        <f t="shared" si="22"/>
        <v>0</v>
      </c>
      <c r="N48" s="70">
        <f t="shared" si="22"/>
        <v>0</v>
      </c>
      <c r="O48" s="75"/>
      <c r="P48" s="75"/>
      <c r="Q48" s="71"/>
      <c r="R48" s="71"/>
      <c r="S48" s="72"/>
      <c r="T48" s="252" t="e">
        <f t="shared" ref="T48:T58" si="26">E48/C48</f>
        <v>#DIV/0!</v>
      </c>
      <c r="U48" s="73"/>
      <c r="V48" s="73"/>
      <c r="W48" s="73"/>
      <c r="X48" s="73"/>
      <c r="Y48" s="65"/>
      <c r="Z48" s="65"/>
      <c r="AA48" s="61">
        <f>H43</f>
        <v>13</v>
      </c>
      <c r="AB48" s="61" t="str">
        <f>E43</f>
        <v>FCE-RFE-152 W</v>
      </c>
      <c r="AC48" s="74" t="s">
        <v>99</v>
      </c>
      <c r="AD48" s="61" t="str">
        <f t="shared" si="23"/>
        <v>TAO</v>
      </c>
      <c r="AE48" s="61">
        <f t="shared" si="24"/>
        <v>0</v>
      </c>
      <c r="AF48" s="61">
        <f t="shared" si="25"/>
        <v>0</v>
      </c>
    </row>
    <row r="49" spans="1:32" s="19" customFormat="1" ht="12.75" hidden="1" customHeight="1">
      <c r="A49" s="23" t="s">
        <v>9</v>
      </c>
      <c r="B49" s="1">
        <f>B28+7</f>
        <v>43173</v>
      </c>
      <c r="C49" s="68">
        <v>100</v>
      </c>
      <c r="D49" s="68">
        <v>1400</v>
      </c>
      <c r="E49" s="69">
        <f t="shared" si="20"/>
        <v>51</v>
      </c>
      <c r="F49" s="70">
        <f t="shared" si="20"/>
        <v>748</v>
      </c>
      <c r="G49" s="68">
        <f t="shared" si="21"/>
        <v>-49</v>
      </c>
      <c r="H49" s="68">
        <f t="shared" si="21"/>
        <v>-652</v>
      </c>
      <c r="I49" s="75">
        <v>30</v>
      </c>
      <c r="J49" s="75">
        <v>561</v>
      </c>
      <c r="K49" s="71">
        <v>11</v>
      </c>
      <c r="L49" s="71">
        <v>112</v>
      </c>
      <c r="M49" s="70">
        <f t="shared" si="22"/>
        <v>41</v>
      </c>
      <c r="N49" s="70">
        <f t="shared" si="22"/>
        <v>673</v>
      </c>
      <c r="O49" s="75">
        <v>51</v>
      </c>
      <c r="P49" s="75">
        <v>748</v>
      </c>
      <c r="Q49" s="71"/>
      <c r="R49" s="71"/>
      <c r="S49" s="72"/>
      <c r="T49" s="252">
        <f t="shared" si="26"/>
        <v>0.51</v>
      </c>
      <c r="U49" s="73"/>
      <c r="V49" s="73"/>
      <c r="W49" s="73"/>
      <c r="X49" s="73"/>
      <c r="Y49" s="65"/>
      <c r="Z49" s="65"/>
      <c r="AA49" s="61">
        <f>H43</f>
        <v>13</v>
      </c>
      <c r="AB49" s="61" t="str">
        <f>E43</f>
        <v>FCE-RFE-152 W</v>
      </c>
      <c r="AC49" s="74" t="s">
        <v>99</v>
      </c>
      <c r="AD49" s="61" t="str">
        <f t="shared" si="23"/>
        <v>SHA</v>
      </c>
      <c r="AE49" s="61">
        <f t="shared" si="24"/>
        <v>100</v>
      </c>
      <c r="AF49" s="61">
        <f t="shared" si="25"/>
        <v>51</v>
      </c>
    </row>
    <row r="50" spans="1:32" s="19" customFormat="1" ht="12.75" hidden="1" customHeight="1">
      <c r="A50" s="23" t="s">
        <v>8</v>
      </c>
      <c r="B50" s="1">
        <f>B29+7</f>
        <v>43175</v>
      </c>
      <c r="C50" s="68">
        <v>120</v>
      </c>
      <c r="D50" s="68">
        <v>1680</v>
      </c>
      <c r="E50" s="69">
        <f t="shared" si="20"/>
        <v>135</v>
      </c>
      <c r="F50" s="70">
        <f t="shared" si="20"/>
        <v>1113</v>
      </c>
      <c r="G50" s="68">
        <f t="shared" si="21"/>
        <v>15</v>
      </c>
      <c r="H50" s="68">
        <f t="shared" si="21"/>
        <v>-567</v>
      </c>
      <c r="I50" s="71">
        <v>20</v>
      </c>
      <c r="J50" s="71">
        <v>183</v>
      </c>
      <c r="K50" s="71">
        <v>1</v>
      </c>
      <c r="L50" s="71">
        <v>9</v>
      </c>
      <c r="M50" s="70">
        <f t="shared" si="22"/>
        <v>21</v>
      </c>
      <c r="N50" s="70">
        <f t="shared" si="22"/>
        <v>192</v>
      </c>
      <c r="O50" s="71"/>
      <c r="P50" s="71"/>
      <c r="Q50" s="71">
        <f>95+40</f>
        <v>135</v>
      </c>
      <c r="R50" s="71">
        <v>1113</v>
      </c>
      <c r="S50" s="72"/>
      <c r="T50" s="252">
        <f t="shared" si="26"/>
        <v>1.125</v>
      </c>
      <c r="U50" s="73"/>
      <c r="V50" s="73"/>
      <c r="W50" s="73"/>
      <c r="X50" s="73"/>
      <c r="Y50" s="65"/>
      <c r="Z50" s="65"/>
      <c r="AA50" s="61">
        <f>H43</f>
        <v>13</v>
      </c>
      <c r="AB50" s="61" t="str">
        <f>E43</f>
        <v>FCE-RFE-152 W</v>
      </c>
      <c r="AC50" s="74" t="s">
        <v>99</v>
      </c>
      <c r="AD50" s="61" t="str">
        <f t="shared" si="23"/>
        <v>NGB</v>
      </c>
      <c r="AE50" s="61">
        <f t="shared" si="24"/>
        <v>120</v>
      </c>
      <c r="AF50" s="61">
        <f t="shared" si="25"/>
        <v>135</v>
      </c>
    </row>
    <row r="51" spans="1:32" s="19" customFormat="1" ht="12.75" hidden="1" customHeight="1">
      <c r="A51" s="23" t="s">
        <v>10</v>
      </c>
      <c r="B51" s="1" t="s">
        <v>67</v>
      </c>
      <c r="C51" s="68">
        <v>50</v>
      </c>
      <c r="D51" s="68">
        <v>700</v>
      </c>
      <c r="E51" s="69">
        <f t="shared" si="20"/>
        <v>4</v>
      </c>
      <c r="F51" s="70">
        <f t="shared" si="20"/>
        <v>86</v>
      </c>
      <c r="G51" s="68">
        <f t="shared" si="21"/>
        <v>-46</v>
      </c>
      <c r="H51" s="68">
        <f t="shared" si="21"/>
        <v>-614</v>
      </c>
      <c r="I51" s="75"/>
      <c r="J51" s="75"/>
      <c r="K51" s="70"/>
      <c r="L51" s="70"/>
      <c r="M51" s="70">
        <f t="shared" si="22"/>
        <v>0</v>
      </c>
      <c r="N51" s="70">
        <f t="shared" si="22"/>
        <v>0</v>
      </c>
      <c r="O51" s="75">
        <v>4</v>
      </c>
      <c r="P51" s="75">
        <v>86</v>
      </c>
      <c r="Q51" s="70"/>
      <c r="R51" s="70"/>
      <c r="S51" s="72"/>
      <c r="T51" s="252">
        <f t="shared" si="26"/>
        <v>0.08</v>
      </c>
      <c r="U51" s="73"/>
      <c r="V51" s="73"/>
      <c r="W51" s="73"/>
      <c r="X51" s="73"/>
      <c r="Y51" s="65"/>
      <c r="Z51" s="65"/>
      <c r="AA51" s="61">
        <f>H43</f>
        <v>13</v>
      </c>
      <c r="AB51" s="61" t="str">
        <f>E43</f>
        <v>FCE-RFE-152 W</v>
      </c>
      <c r="AC51" s="74" t="s">
        <v>99</v>
      </c>
      <c r="AD51" s="61" t="str">
        <f t="shared" si="23"/>
        <v>WUH</v>
      </c>
      <c r="AE51" s="61">
        <f t="shared" si="24"/>
        <v>50</v>
      </c>
      <c r="AF51" s="61">
        <f t="shared" si="25"/>
        <v>4</v>
      </c>
    </row>
    <row r="52" spans="1:32" s="19" customFormat="1" ht="12.75" hidden="1" customHeight="1">
      <c r="A52" s="23" t="s">
        <v>11</v>
      </c>
      <c r="B52" s="1" t="s">
        <v>18</v>
      </c>
      <c r="C52" s="68">
        <v>0</v>
      </c>
      <c r="D52" s="68">
        <v>0</v>
      </c>
      <c r="E52" s="69">
        <f t="shared" si="20"/>
        <v>0</v>
      </c>
      <c r="F52" s="70">
        <f t="shared" si="20"/>
        <v>0</v>
      </c>
      <c r="G52" s="68">
        <f t="shared" si="21"/>
        <v>0</v>
      </c>
      <c r="H52" s="68">
        <f t="shared" si="21"/>
        <v>0</v>
      </c>
      <c r="I52" s="70"/>
      <c r="J52" s="70"/>
      <c r="K52" s="70"/>
      <c r="L52" s="70"/>
      <c r="M52" s="70">
        <f t="shared" si="22"/>
        <v>0</v>
      </c>
      <c r="N52" s="70">
        <f t="shared" si="22"/>
        <v>0</v>
      </c>
      <c r="O52" s="75"/>
      <c r="P52" s="75"/>
      <c r="Q52" s="70"/>
      <c r="R52" s="70"/>
      <c r="S52" s="72"/>
      <c r="T52" s="252" t="e">
        <f t="shared" si="26"/>
        <v>#DIV/0!</v>
      </c>
      <c r="U52" s="73"/>
      <c r="V52" s="73"/>
      <c r="W52" s="73"/>
      <c r="X52" s="73"/>
      <c r="Y52" s="65"/>
      <c r="Z52" s="65"/>
      <c r="AA52" s="61">
        <f>H43</f>
        <v>13</v>
      </c>
      <c r="AB52" s="61" t="str">
        <f>E43</f>
        <v>FCE-RFE-152 W</v>
      </c>
      <c r="AC52" s="74" t="s">
        <v>99</v>
      </c>
      <c r="AD52" s="61" t="str">
        <f t="shared" si="23"/>
        <v>DLC</v>
      </c>
      <c r="AE52" s="61">
        <f t="shared" si="24"/>
        <v>0</v>
      </c>
      <c r="AF52" s="61">
        <f t="shared" si="25"/>
        <v>0</v>
      </c>
    </row>
    <row r="53" spans="1:32" s="19" customFormat="1" ht="12.75" hidden="1" customHeight="1">
      <c r="A53" s="23" t="s">
        <v>12</v>
      </c>
      <c r="B53" s="1" t="s">
        <v>18</v>
      </c>
      <c r="C53" s="68">
        <v>0</v>
      </c>
      <c r="D53" s="68">
        <v>0</v>
      </c>
      <c r="E53" s="69">
        <f t="shared" si="20"/>
        <v>0</v>
      </c>
      <c r="F53" s="70">
        <f t="shared" si="20"/>
        <v>0</v>
      </c>
      <c r="G53" s="68">
        <f t="shared" si="21"/>
        <v>0</v>
      </c>
      <c r="H53" s="68">
        <f t="shared" si="21"/>
        <v>0</v>
      </c>
      <c r="I53" s="70"/>
      <c r="J53" s="70"/>
      <c r="K53" s="70"/>
      <c r="L53" s="70"/>
      <c r="M53" s="70">
        <f t="shared" si="22"/>
        <v>0</v>
      </c>
      <c r="N53" s="70">
        <f t="shared" si="22"/>
        <v>0</v>
      </c>
      <c r="O53" s="75"/>
      <c r="P53" s="75"/>
      <c r="Q53" s="76"/>
      <c r="R53" s="71"/>
      <c r="S53" s="72"/>
      <c r="T53" s="252" t="e">
        <f t="shared" si="26"/>
        <v>#DIV/0!</v>
      </c>
      <c r="U53" s="73"/>
      <c r="V53" s="73"/>
      <c r="W53" s="73"/>
      <c r="X53" s="73"/>
      <c r="Y53" s="65"/>
      <c r="Z53" s="65"/>
      <c r="AA53" s="61">
        <f>H43</f>
        <v>13</v>
      </c>
      <c r="AB53" s="61" t="str">
        <f>E43</f>
        <v>FCE-RFE-152 W</v>
      </c>
      <c r="AC53" s="74" t="s">
        <v>99</v>
      </c>
      <c r="AD53" s="61" t="str">
        <f t="shared" si="23"/>
        <v>TSN</v>
      </c>
      <c r="AE53" s="61">
        <f t="shared" si="24"/>
        <v>0</v>
      </c>
      <c r="AF53" s="61">
        <f t="shared" si="25"/>
        <v>0</v>
      </c>
    </row>
    <row r="54" spans="1:32" s="19" customFormat="1" ht="12.75" hidden="1" customHeight="1">
      <c r="A54" s="23" t="s">
        <v>14</v>
      </c>
      <c r="B54" s="1" t="s">
        <v>18</v>
      </c>
      <c r="C54" s="68">
        <v>0</v>
      </c>
      <c r="D54" s="68">
        <v>0</v>
      </c>
      <c r="E54" s="69">
        <f t="shared" si="20"/>
        <v>9</v>
      </c>
      <c r="F54" s="70">
        <f t="shared" si="20"/>
        <v>117</v>
      </c>
      <c r="G54" s="68">
        <f t="shared" si="21"/>
        <v>9</v>
      </c>
      <c r="H54" s="68">
        <f t="shared" si="21"/>
        <v>117</v>
      </c>
      <c r="I54" s="70"/>
      <c r="J54" s="70"/>
      <c r="K54" s="70"/>
      <c r="L54" s="70"/>
      <c r="M54" s="70">
        <f t="shared" si="22"/>
        <v>0</v>
      </c>
      <c r="N54" s="70">
        <f t="shared" si="22"/>
        <v>0</v>
      </c>
      <c r="O54" s="71"/>
      <c r="P54" s="71"/>
      <c r="Q54" s="70">
        <v>9</v>
      </c>
      <c r="R54" s="70">
        <v>117</v>
      </c>
      <c r="S54" s="72"/>
      <c r="T54" s="252" t="e">
        <f t="shared" si="26"/>
        <v>#DIV/0!</v>
      </c>
      <c r="U54" s="73"/>
      <c r="V54" s="73"/>
      <c r="W54" s="73"/>
      <c r="X54" s="73"/>
      <c r="Y54" s="65"/>
      <c r="Z54" s="65"/>
      <c r="AA54" s="61">
        <f>H43</f>
        <v>13</v>
      </c>
      <c r="AB54" s="61" t="str">
        <f>E43</f>
        <v>FCE-RFE-152 W</v>
      </c>
      <c r="AC54" s="74" t="s">
        <v>99</v>
      </c>
      <c r="AD54" s="61" t="str">
        <f t="shared" si="23"/>
        <v>XMN</v>
      </c>
      <c r="AE54" s="61">
        <f t="shared" si="24"/>
        <v>0</v>
      </c>
      <c r="AF54" s="61">
        <f t="shared" si="25"/>
        <v>9</v>
      </c>
    </row>
    <row r="55" spans="1:32" s="19" customFormat="1" ht="12.75" hidden="1" customHeight="1">
      <c r="A55" s="23" t="s">
        <v>19</v>
      </c>
      <c r="B55" s="1" t="s">
        <v>18</v>
      </c>
      <c r="C55" s="68">
        <v>0</v>
      </c>
      <c r="D55" s="68">
        <v>0</v>
      </c>
      <c r="E55" s="69">
        <f t="shared" si="20"/>
        <v>2</v>
      </c>
      <c r="F55" s="70">
        <f t="shared" si="20"/>
        <v>20</v>
      </c>
      <c r="G55" s="68">
        <f t="shared" si="21"/>
        <v>2</v>
      </c>
      <c r="H55" s="68">
        <f t="shared" si="21"/>
        <v>20</v>
      </c>
      <c r="I55" s="70"/>
      <c r="J55" s="70"/>
      <c r="K55" s="70"/>
      <c r="L55" s="70"/>
      <c r="M55" s="70">
        <f t="shared" si="22"/>
        <v>0</v>
      </c>
      <c r="N55" s="70">
        <f t="shared" si="22"/>
        <v>0</v>
      </c>
      <c r="O55" s="70"/>
      <c r="P55" s="70"/>
      <c r="Q55" s="70">
        <v>2</v>
      </c>
      <c r="R55" s="70">
        <v>20</v>
      </c>
      <c r="S55" s="72"/>
      <c r="T55" s="252" t="e">
        <f t="shared" si="26"/>
        <v>#DIV/0!</v>
      </c>
      <c r="U55" s="73"/>
      <c r="V55" s="73"/>
      <c r="W55" s="73"/>
      <c r="X55" s="73"/>
      <c r="Y55" s="65"/>
      <c r="Z55" s="65"/>
      <c r="AA55" s="61">
        <f>H43</f>
        <v>13</v>
      </c>
      <c r="AB55" s="61" t="str">
        <f>E43</f>
        <v>FCE-RFE-152 W</v>
      </c>
      <c r="AC55" s="74" t="s">
        <v>99</v>
      </c>
      <c r="AD55" s="61" t="str">
        <f t="shared" si="23"/>
        <v>TWC</v>
      </c>
      <c r="AE55" s="61">
        <f t="shared" si="24"/>
        <v>0</v>
      </c>
      <c r="AF55" s="61">
        <f t="shared" si="25"/>
        <v>2</v>
      </c>
    </row>
    <row r="56" spans="1:32" s="19" customFormat="1" ht="12.75" hidden="1" customHeight="1">
      <c r="A56" s="23" t="s">
        <v>16</v>
      </c>
      <c r="B56" s="1">
        <f>B35+7</f>
        <v>43178</v>
      </c>
      <c r="C56" s="68">
        <v>100</v>
      </c>
      <c r="D56" s="68">
        <v>1400</v>
      </c>
      <c r="E56" s="69">
        <f>O56+Q56</f>
        <v>93</v>
      </c>
      <c r="F56" s="70">
        <f>P56+R55</f>
        <v>20</v>
      </c>
      <c r="G56" s="68">
        <f t="shared" si="21"/>
        <v>-7</v>
      </c>
      <c r="H56" s="68">
        <f t="shared" si="21"/>
        <v>-1380</v>
      </c>
      <c r="I56" s="70"/>
      <c r="J56" s="70"/>
      <c r="K56" s="70"/>
      <c r="L56" s="70"/>
      <c r="M56" s="70">
        <f t="shared" si="22"/>
        <v>0</v>
      </c>
      <c r="N56" s="70">
        <f t="shared" si="22"/>
        <v>0</v>
      </c>
      <c r="O56" s="70"/>
      <c r="P56" s="70"/>
      <c r="Q56" s="70">
        <v>93</v>
      </c>
      <c r="R56" s="84">
        <v>492</v>
      </c>
      <c r="S56" s="72"/>
      <c r="T56" s="252">
        <f t="shared" si="26"/>
        <v>0.93</v>
      </c>
      <c r="U56" s="73"/>
      <c r="V56" s="73"/>
      <c r="W56" s="73"/>
      <c r="X56" s="73"/>
      <c r="Y56" s="65"/>
      <c r="Z56" s="65"/>
      <c r="AA56" s="61">
        <f>H43</f>
        <v>13</v>
      </c>
      <c r="AB56" s="61" t="str">
        <f>E43</f>
        <v>FCE-RFE-152 W</v>
      </c>
      <c r="AC56" s="74" t="s">
        <v>99</v>
      </c>
      <c r="AD56" s="61" t="str">
        <f t="shared" si="23"/>
        <v>HUA</v>
      </c>
      <c r="AE56" s="61">
        <f t="shared" si="24"/>
        <v>100</v>
      </c>
      <c r="AF56" s="61">
        <f t="shared" si="25"/>
        <v>93</v>
      </c>
    </row>
    <row r="57" spans="1:32" s="19" customFormat="1" ht="12.75" hidden="1" customHeight="1">
      <c r="A57" s="23" t="s">
        <v>2</v>
      </c>
      <c r="B57" s="1">
        <f>B36+7</f>
        <v>43177</v>
      </c>
      <c r="C57" s="68"/>
      <c r="D57" s="68"/>
      <c r="E57" s="69">
        <f>O57+Q57</f>
        <v>0</v>
      </c>
      <c r="F57" s="70">
        <f>P57+R57</f>
        <v>0</v>
      </c>
      <c r="G57" s="68"/>
      <c r="H57" s="68"/>
      <c r="I57" s="70"/>
      <c r="J57" s="70"/>
      <c r="K57" s="70"/>
      <c r="L57" s="70"/>
      <c r="M57" s="70">
        <f t="shared" si="22"/>
        <v>0</v>
      </c>
      <c r="N57" s="70">
        <f t="shared" si="22"/>
        <v>0</v>
      </c>
      <c r="O57" s="70"/>
      <c r="P57" s="70"/>
      <c r="Q57" s="70"/>
      <c r="R57" s="70"/>
      <c r="S57" s="72"/>
      <c r="T57" s="252" t="e">
        <f t="shared" si="26"/>
        <v>#DIV/0!</v>
      </c>
      <c r="U57" s="73"/>
      <c r="V57" s="73"/>
      <c r="W57" s="73"/>
      <c r="X57" s="73"/>
      <c r="Y57" s="65"/>
      <c r="Z57" s="65"/>
      <c r="AA57" s="61">
        <f>H43</f>
        <v>13</v>
      </c>
      <c r="AB57" s="61" t="str">
        <f>E43</f>
        <v>FCE-RFE-152 W</v>
      </c>
      <c r="AC57" s="74" t="s">
        <v>99</v>
      </c>
      <c r="AD57" s="61" t="str">
        <f t="shared" si="23"/>
        <v>HKG</v>
      </c>
      <c r="AE57" s="61">
        <f t="shared" si="24"/>
        <v>0</v>
      </c>
      <c r="AF57" s="61">
        <f t="shared" si="25"/>
        <v>0</v>
      </c>
    </row>
    <row r="58" spans="1:32" s="19" customFormat="1" ht="12.75" hidden="1" customHeight="1">
      <c r="A58" s="23" t="s">
        <v>3</v>
      </c>
      <c r="B58" s="1">
        <f>B37+7</f>
        <v>43183</v>
      </c>
      <c r="C58" s="68">
        <v>100</v>
      </c>
      <c r="D58" s="68">
        <v>1400</v>
      </c>
      <c r="E58" s="69">
        <f>O58+Q58</f>
        <v>102</v>
      </c>
      <c r="F58" s="70">
        <f>P58+R58</f>
        <v>1770</v>
      </c>
      <c r="G58" s="68">
        <f t="shared" ref="G58:H61" si="27">E58-C58</f>
        <v>2</v>
      </c>
      <c r="H58" s="68">
        <f t="shared" si="27"/>
        <v>370</v>
      </c>
      <c r="I58" s="70"/>
      <c r="J58" s="70"/>
      <c r="K58" s="70"/>
      <c r="L58" s="70"/>
      <c r="M58" s="70">
        <f t="shared" si="22"/>
        <v>0</v>
      </c>
      <c r="N58" s="70">
        <f t="shared" si="22"/>
        <v>0</v>
      </c>
      <c r="O58" s="68"/>
      <c r="P58" s="68"/>
      <c r="Q58" s="70">
        <v>102</v>
      </c>
      <c r="R58" s="70">
        <v>1770</v>
      </c>
      <c r="S58" s="72"/>
      <c r="T58" s="252">
        <f t="shared" si="26"/>
        <v>1.02</v>
      </c>
      <c r="U58" s="73"/>
      <c r="V58" s="73"/>
      <c r="W58" s="73"/>
      <c r="X58" s="73"/>
      <c r="Y58" s="65"/>
      <c r="Z58" s="65"/>
      <c r="AA58" s="61">
        <f>H43</f>
        <v>13</v>
      </c>
      <c r="AB58" s="61" t="str">
        <f>E43</f>
        <v>FCE-RFE-152 W</v>
      </c>
      <c r="AC58" s="74" t="s">
        <v>99</v>
      </c>
      <c r="AD58" s="61" t="str">
        <f t="shared" si="23"/>
        <v>SGP</v>
      </c>
      <c r="AE58" s="61">
        <f t="shared" si="24"/>
        <v>100</v>
      </c>
      <c r="AF58" s="61">
        <f t="shared" si="25"/>
        <v>102</v>
      </c>
    </row>
    <row r="59" spans="1:32" s="19" customFormat="1" ht="12.75" hidden="1" customHeight="1">
      <c r="A59" s="23" t="s">
        <v>4</v>
      </c>
      <c r="B59" s="1">
        <f>B38+7</f>
        <v>43184</v>
      </c>
      <c r="C59" s="68">
        <v>50</v>
      </c>
      <c r="D59" s="68">
        <v>700</v>
      </c>
      <c r="E59" s="69">
        <f>O59+Q59</f>
        <v>56</v>
      </c>
      <c r="F59" s="70">
        <f>P59+R59</f>
        <v>988</v>
      </c>
      <c r="G59" s="68">
        <f t="shared" si="27"/>
        <v>6</v>
      </c>
      <c r="H59" s="68">
        <f t="shared" si="27"/>
        <v>288</v>
      </c>
      <c r="I59" s="70"/>
      <c r="J59" s="70"/>
      <c r="K59" s="70"/>
      <c r="L59" s="70"/>
      <c r="M59" s="70">
        <f t="shared" si="22"/>
        <v>0</v>
      </c>
      <c r="N59" s="70">
        <f t="shared" si="22"/>
        <v>0</v>
      </c>
      <c r="O59" s="70"/>
      <c r="P59" s="70"/>
      <c r="Q59" s="70">
        <v>56</v>
      </c>
      <c r="R59" s="70">
        <v>988</v>
      </c>
      <c r="S59" s="72"/>
      <c r="T59" s="252">
        <f>E59/C59</f>
        <v>1.1200000000000001</v>
      </c>
      <c r="U59" s="73"/>
      <c r="V59" s="73"/>
      <c r="W59" s="73"/>
      <c r="X59" s="73"/>
      <c r="Y59" s="65"/>
      <c r="Z59" s="65"/>
      <c r="AA59" s="61">
        <f>H43</f>
        <v>13</v>
      </c>
      <c r="AB59" s="61" t="str">
        <f>E43</f>
        <v>FCE-RFE-152 W</v>
      </c>
      <c r="AC59" s="74" t="s">
        <v>99</v>
      </c>
      <c r="AD59" s="61" t="str">
        <f t="shared" si="23"/>
        <v>PKL</v>
      </c>
      <c r="AE59" s="61">
        <f t="shared" si="24"/>
        <v>50</v>
      </c>
      <c r="AF59" s="61">
        <f t="shared" si="25"/>
        <v>56</v>
      </c>
    </row>
    <row r="60" spans="1:32" s="19" customFormat="1" ht="12.75" hidden="1" customHeight="1">
      <c r="A60" s="23" t="s">
        <v>15</v>
      </c>
      <c r="B60" s="20"/>
      <c r="C60" s="68">
        <v>50</v>
      </c>
      <c r="D60" s="68">
        <v>700</v>
      </c>
      <c r="E60" s="69">
        <f>O60+Q60</f>
        <v>0</v>
      </c>
      <c r="F60" s="70">
        <f>P60+R60</f>
        <v>0</v>
      </c>
      <c r="G60" s="68">
        <f t="shared" si="27"/>
        <v>-50</v>
      </c>
      <c r="H60" s="68">
        <f t="shared" si="27"/>
        <v>-700</v>
      </c>
      <c r="I60" s="70"/>
      <c r="J60" s="70"/>
      <c r="K60" s="70"/>
      <c r="L60" s="70"/>
      <c r="M60" s="70">
        <f t="shared" si="22"/>
        <v>0</v>
      </c>
      <c r="N60" s="70">
        <f t="shared" si="22"/>
        <v>0</v>
      </c>
      <c r="O60" s="71"/>
      <c r="P60" s="71"/>
      <c r="Q60" s="71"/>
      <c r="R60" s="71"/>
      <c r="S60" s="72"/>
      <c r="T60" s="73"/>
      <c r="U60" s="73"/>
      <c r="V60" s="73"/>
      <c r="W60" s="73"/>
      <c r="X60" s="73"/>
      <c r="Y60" s="65"/>
      <c r="Z60" s="65"/>
      <c r="AA60" s="61">
        <f>H43</f>
        <v>13</v>
      </c>
      <c r="AB60" s="61" t="str">
        <f>E43</f>
        <v>FCE-RFE-152 W</v>
      </c>
      <c r="AC60" s="74" t="s">
        <v>99</v>
      </c>
      <c r="AD60" s="61" t="str">
        <f t="shared" si="23"/>
        <v>T/S</v>
      </c>
      <c r="AE60" s="61">
        <f t="shared" si="24"/>
        <v>50</v>
      </c>
      <c r="AF60" s="61">
        <f t="shared" si="25"/>
        <v>0</v>
      </c>
    </row>
    <row r="61" spans="1:32" s="19" customFormat="1" ht="12.75" hidden="1" customHeight="1">
      <c r="A61" s="21" t="s">
        <v>36</v>
      </c>
      <c r="B61" s="22"/>
      <c r="C61" s="71">
        <f>SUM(C47:C60)</f>
        <v>570</v>
      </c>
      <c r="D61" s="71">
        <f>SUM(D47:D60)</f>
        <v>7980</v>
      </c>
      <c r="E61" s="78">
        <f>SUM(E47:E60)</f>
        <v>452</v>
      </c>
      <c r="F61" s="76">
        <f>SUM(F47:F60)</f>
        <v>4862</v>
      </c>
      <c r="G61" s="71">
        <f t="shared" si="27"/>
        <v>-118</v>
      </c>
      <c r="H61" s="71">
        <f t="shared" si="27"/>
        <v>-3118</v>
      </c>
      <c r="I61" s="70">
        <f t="shared" ref="I61:L61" si="28">SUM(I47:I60)</f>
        <v>50</v>
      </c>
      <c r="J61" s="70">
        <f t="shared" si="28"/>
        <v>744</v>
      </c>
      <c r="K61" s="70">
        <f t="shared" si="28"/>
        <v>12</v>
      </c>
      <c r="L61" s="70">
        <f t="shared" si="28"/>
        <v>121</v>
      </c>
      <c r="M61" s="70"/>
      <c r="N61" s="70"/>
      <c r="O61" s="70">
        <f t="shared" ref="O61:R61" si="29">SUM(O47:O60)</f>
        <v>55</v>
      </c>
      <c r="P61" s="70">
        <f t="shared" si="29"/>
        <v>834</v>
      </c>
      <c r="Q61" s="70">
        <f t="shared" si="29"/>
        <v>397</v>
      </c>
      <c r="R61" s="70">
        <f t="shared" si="29"/>
        <v>4500</v>
      </c>
      <c r="S61" s="72"/>
      <c r="T61" s="73"/>
      <c r="U61" s="73"/>
      <c r="V61" s="73"/>
      <c r="W61" s="73"/>
      <c r="X61" s="73"/>
      <c r="Y61" s="65"/>
      <c r="Z61" s="65"/>
      <c r="AA61" s="61"/>
      <c r="AB61" s="61"/>
      <c r="AC61" s="61"/>
      <c r="AD61" s="61"/>
      <c r="AE61" s="61"/>
      <c r="AF61" s="61"/>
    </row>
    <row r="62" spans="1:32" s="65" customFormat="1" ht="12.75" hidden="1" customHeight="1">
      <c r="A62" s="84">
        <f>D61/C61</f>
        <v>14</v>
      </c>
      <c r="C62" s="79">
        <f>F61-E62</f>
        <v>-2320</v>
      </c>
      <c r="E62" s="65">
        <f>D61*0.9</f>
        <v>7182</v>
      </c>
      <c r="F62" s="79">
        <f>E61-L62</f>
        <v>-61</v>
      </c>
      <c r="I62" s="80" t="s">
        <v>48</v>
      </c>
      <c r="J62" s="245">
        <f>E61/C61</f>
        <v>0.7929824561403509</v>
      </c>
      <c r="K62" s="80"/>
      <c r="L62" s="80">
        <f>C61*0.9</f>
        <v>513</v>
      </c>
      <c r="M62" s="80"/>
      <c r="N62" s="80"/>
      <c r="O62" s="80" t="s">
        <v>49</v>
      </c>
      <c r="P62" s="80"/>
      <c r="Q62" s="65">
        <f>P48+P49+P51+P52+P53+J48+J49+L48+L49+J51+R51</f>
        <v>1507</v>
      </c>
      <c r="R62" s="65">
        <v>16856</v>
      </c>
      <c r="AA62" s="81"/>
      <c r="AB62" s="81"/>
      <c r="AC62" s="81"/>
      <c r="AD62" s="81"/>
      <c r="AE62" s="81"/>
      <c r="AF62" s="81"/>
    </row>
    <row r="63" spans="1:32" hidden="1"/>
    <row r="64" spans="1:32" s="63" customFormat="1" ht="12.75" hidden="1" customHeight="1">
      <c r="A64" s="59" t="s">
        <v>97</v>
      </c>
      <c r="B64" s="58" t="s">
        <v>481</v>
      </c>
      <c r="C64" s="56"/>
      <c r="D64" s="57"/>
      <c r="E64" s="58" t="s">
        <v>535</v>
      </c>
      <c r="F64" s="57"/>
      <c r="G64" s="59" t="s">
        <v>37</v>
      </c>
      <c r="H64" s="60">
        <f>H43+1</f>
        <v>14</v>
      </c>
      <c r="I64" s="57"/>
      <c r="J64" s="57"/>
      <c r="K64" s="57"/>
      <c r="L64" s="57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2"/>
      <c r="Z64" s="62"/>
      <c r="AA64" s="62"/>
      <c r="AB64" s="62"/>
      <c r="AC64" s="62"/>
    </row>
    <row r="65" spans="1:32" s="65" customFormat="1" ht="12.75" hidden="1" customHeight="1">
      <c r="A65" s="340" t="s">
        <v>0</v>
      </c>
      <c r="B65" s="336" t="s">
        <v>1</v>
      </c>
      <c r="C65" s="331" t="s">
        <v>25</v>
      </c>
      <c r="D65" s="332"/>
      <c r="E65" s="331" t="s">
        <v>21</v>
      </c>
      <c r="F65" s="332"/>
      <c r="G65" s="335" t="s">
        <v>24</v>
      </c>
      <c r="H65" s="335"/>
      <c r="I65" s="328" t="s">
        <v>33</v>
      </c>
      <c r="J65" s="329"/>
      <c r="K65" s="329"/>
      <c r="L65" s="329"/>
      <c r="M65" s="329"/>
      <c r="N65" s="330"/>
      <c r="O65" s="331" t="s">
        <v>22</v>
      </c>
      <c r="P65" s="332"/>
      <c r="Q65" s="335" t="s">
        <v>23</v>
      </c>
      <c r="R65" s="335"/>
      <c r="S65" s="336" t="s">
        <v>27</v>
      </c>
      <c r="T65" s="64"/>
      <c r="U65" s="64"/>
      <c r="V65" s="64"/>
      <c r="W65" s="64"/>
      <c r="X65" s="64"/>
      <c r="Y65" s="339"/>
      <c r="Z65" s="85"/>
      <c r="AA65" s="61"/>
      <c r="AB65" s="61"/>
      <c r="AC65" s="74"/>
      <c r="AD65" s="61"/>
      <c r="AE65" s="61"/>
      <c r="AF65" s="61"/>
    </row>
    <row r="66" spans="1:32" s="65" customFormat="1" ht="12.75" hidden="1" customHeight="1">
      <c r="A66" s="341"/>
      <c r="B66" s="337"/>
      <c r="C66" s="333"/>
      <c r="D66" s="334"/>
      <c r="E66" s="333"/>
      <c r="F66" s="334"/>
      <c r="G66" s="335"/>
      <c r="H66" s="335"/>
      <c r="I66" s="66" t="s">
        <v>28</v>
      </c>
      <c r="J66" s="67" t="s">
        <v>3</v>
      </c>
      <c r="K66" s="66" t="s">
        <v>29</v>
      </c>
      <c r="L66" s="67" t="s">
        <v>4</v>
      </c>
      <c r="M66" s="328" t="s">
        <v>30</v>
      </c>
      <c r="N66" s="330"/>
      <c r="O66" s="333"/>
      <c r="P66" s="334"/>
      <c r="Q66" s="335"/>
      <c r="R66" s="335"/>
      <c r="S66" s="337"/>
      <c r="T66" s="64"/>
      <c r="U66" s="64"/>
      <c r="V66" s="64"/>
      <c r="W66" s="64"/>
      <c r="X66" s="64"/>
      <c r="Y66" s="339"/>
      <c r="Z66" s="85"/>
      <c r="AA66" s="61"/>
      <c r="AB66" s="61"/>
      <c r="AC66" s="74"/>
      <c r="AD66" s="61"/>
      <c r="AE66" s="61"/>
      <c r="AF66" s="61"/>
    </row>
    <row r="67" spans="1:32" s="65" customFormat="1" ht="12.75" hidden="1" customHeight="1">
      <c r="A67" s="342"/>
      <c r="B67" s="338"/>
      <c r="C67" s="68" t="s">
        <v>5</v>
      </c>
      <c r="D67" s="68" t="s">
        <v>6</v>
      </c>
      <c r="E67" s="67" t="s">
        <v>5</v>
      </c>
      <c r="F67" s="68" t="s">
        <v>6</v>
      </c>
      <c r="G67" s="68" t="s">
        <v>5</v>
      </c>
      <c r="H67" s="68" t="s">
        <v>6</v>
      </c>
      <c r="I67" s="67" t="s">
        <v>5</v>
      </c>
      <c r="J67" s="68" t="s">
        <v>6</v>
      </c>
      <c r="K67" s="67" t="s">
        <v>5</v>
      </c>
      <c r="L67" s="68" t="s">
        <v>6</v>
      </c>
      <c r="M67" s="68"/>
      <c r="N67" s="68"/>
      <c r="O67" s="67" t="s">
        <v>5</v>
      </c>
      <c r="P67" s="68" t="s">
        <v>6</v>
      </c>
      <c r="Q67" s="68" t="s">
        <v>5</v>
      </c>
      <c r="R67" s="68" t="s">
        <v>6</v>
      </c>
      <c r="S67" s="338"/>
      <c r="T67" s="64"/>
      <c r="U67" s="64"/>
      <c r="V67" s="64"/>
      <c r="W67" s="64"/>
      <c r="X67" s="64"/>
      <c r="Y67" s="339"/>
      <c r="Z67" s="85"/>
      <c r="AA67" s="61" t="s">
        <v>43</v>
      </c>
      <c r="AB67" s="61" t="s">
        <v>45</v>
      </c>
      <c r="AC67" s="61" t="s">
        <v>46</v>
      </c>
      <c r="AD67" s="61" t="s">
        <v>42</v>
      </c>
      <c r="AE67" s="61" t="s">
        <v>41</v>
      </c>
      <c r="AF67" s="61" t="s">
        <v>44</v>
      </c>
    </row>
    <row r="68" spans="1:32" s="65" customFormat="1" ht="12.75" hidden="1" customHeight="1">
      <c r="A68" s="51" t="s">
        <v>7</v>
      </c>
      <c r="B68" s="1" t="s">
        <v>18</v>
      </c>
      <c r="C68" s="68">
        <v>0</v>
      </c>
      <c r="D68" s="68">
        <v>0</v>
      </c>
      <c r="E68" s="69">
        <f t="shared" ref="E68:E76" si="30">O68+Q68</f>
        <v>0</v>
      </c>
      <c r="F68" s="70">
        <f t="shared" ref="F68:F76" si="31">P68+R68</f>
        <v>0</v>
      </c>
      <c r="G68" s="68">
        <f t="shared" ref="G68:G77" si="32">E68-C68</f>
        <v>0</v>
      </c>
      <c r="H68" s="68">
        <f t="shared" ref="H68:H77" si="33">F68-D68</f>
        <v>0</v>
      </c>
      <c r="I68" s="70"/>
      <c r="J68" s="70"/>
      <c r="K68" s="70"/>
      <c r="L68" s="70"/>
      <c r="M68" s="70">
        <f t="shared" ref="M68:M81" si="34">I68+K68</f>
        <v>0</v>
      </c>
      <c r="N68" s="70">
        <f t="shared" ref="N68:N81" si="35">J68+L68</f>
        <v>0</v>
      </c>
      <c r="O68" s="71"/>
      <c r="P68" s="71"/>
      <c r="Q68" s="70"/>
      <c r="R68" s="70"/>
      <c r="S68" s="72"/>
      <c r="T68" s="252" t="e">
        <f>E68/C68</f>
        <v>#DIV/0!</v>
      </c>
      <c r="U68" s="73"/>
      <c r="V68" s="73"/>
      <c r="W68" s="73"/>
      <c r="X68" s="73"/>
      <c r="Y68" s="339"/>
      <c r="Z68" s="85"/>
      <c r="AA68" s="61">
        <f>H64</f>
        <v>14</v>
      </c>
      <c r="AB68" s="61" t="str">
        <f>E64</f>
        <v>FCE-N7E-101 W</v>
      </c>
      <c r="AC68" s="74" t="s">
        <v>97</v>
      </c>
      <c r="AD68" s="61" t="str">
        <f t="shared" ref="AD68:AD81" si="36">A68</f>
        <v>KR</v>
      </c>
      <c r="AE68" s="61">
        <f t="shared" ref="AE68:AE81" si="37">C68</f>
        <v>0</v>
      </c>
      <c r="AF68" s="61">
        <f t="shared" ref="AF68:AF81" si="38">E68</f>
        <v>0</v>
      </c>
    </row>
    <row r="69" spans="1:32" s="65" customFormat="1" ht="12.75" hidden="1" customHeight="1">
      <c r="A69" s="52" t="s">
        <v>13</v>
      </c>
      <c r="B69" s="1" t="s">
        <v>18</v>
      </c>
      <c r="C69" s="68">
        <v>0</v>
      </c>
      <c r="D69" s="68">
        <v>0</v>
      </c>
      <c r="E69" s="69">
        <f t="shared" si="30"/>
        <v>0</v>
      </c>
      <c r="F69" s="70">
        <f t="shared" si="31"/>
        <v>0</v>
      </c>
      <c r="G69" s="68">
        <f t="shared" si="32"/>
        <v>0</v>
      </c>
      <c r="H69" s="68">
        <f t="shared" si="33"/>
        <v>0</v>
      </c>
      <c r="I69" s="75"/>
      <c r="J69" s="75"/>
      <c r="K69" s="70"/>
      <c r="L69" s="70"/>
      <c r="M69" s="70">
        <f t="shared" si="34"/>
        <v>0</v>
      </c>
      <c r="N69" s="70">
        <f t="shared" si="35"/>
        <v>0</v>
      </c>
      <c r="O69" s="75"/>
      <c r="P69" s="75"/>
      <c r="Q69" s="71"/>
      <c r="R69" s="71"/>
      <c r="S69" s="72"/>
      <c r="T69" s="252" t="e">
        <f t="shared" ref="T69:T79" si="39">E69/C69</f>
        <v>#DIV/0!</v>
      </c>
      <c r="U69" s="73"/>
      <c r="V69" s="73"/>
      <c r="W69" s="73"/>
      <c r="X69" s="73"/>
      <c r="AA69" s="61">
        <f>H64</f>
        <v>14</v>
      </c>
      <c r="AB69" s="61" t="str">
        <f>E64</f>
        <v>FCE-N7E-101 W</v>
      </c>
      <c r="AC69" s="74" t="s">
        <v>97</v>
      </c>
      <c r="AD69" s="61" t="str">
        <f t="shared" si="36"/>
        <v>TAO</v>
      </c>
      <c r="AE69" s="61">
        <f t="shared" si="37"/>
        <v>0</v>
      </c>
      <c r="AF69" s="61">
        <f t="shared" si="38"/>
        <v>0</v>
      </c>
    </row>
    <row r="70" spans="1:32" s="65" customFormat="1" ht="12.75" hidden="1" customHeight="1">
      <c r="A70" s="52" t="s">
        <v>9</v>
      </c>
      <c r="B70" s="1">
        <f>B49+7</f>
        <v>43180</v>
      </c>
      <c r="C70" s="68">
        <v>100</v>
      </c>
      <c r="D70" s="68">
        <v>1400</v>
      </c>
      <c r="E70" s="69">
        <f t="shared" si="30"/>
        <v>20</v>
      </c>
      <c r="F70" s="70">
        <f t="shared" si="31"/>
        <v>393</v>
      </c>
      <c r="G70" s="68">
        <f t="shared" si="32"/>
        <v>-80</v>
      </c>
      <c r="H70" s="68">
        <f t="shared" si="33"/>
        <v>-1007</v>
      </c>
      <c r="I70" s="75"/>
      <c r="J70" s="75"/>
      <c r="K70" s="71">
        <v>51</v>
      </c>
      <c r="L70" s="71">
        <v>1250</v>
      </c>
      <c r="M70" s="70">
        <f t="shared" si="34"/>
        <v>51</v>
      </c>
      <c r="N70" s="70">
        <f t="shared" si="35"/>
        <v>1250</v>
      </c>
      <c r="O70" s="75">
        <f>19+1</f>
        <v>20</v>
      </c>
      <c r="P70" s="75">
        <v>393</v>
      </c>
      <c r="Q70" s="71"/>
      <c r="R70" s="71"/>
      <c r="S70" s="72"/>
      <c r="T70" s="252">
        <f t="shared" si="39"/>
        <v>0.2</v>
      </c>
      <c r="U70" s="73"/>
      <c r="V70" s="73"/>
      <c r="W70" s="73"/>
      <c r="X70" s="73"/>
      <c r="AA70" s="61">
        <f>H64</f>
        <v>14</v>
      </c>
      <c r="AB70" s="61" t="str">
        <f>E64</f>
        <v>FCE-N7E-101 W</v>
      </c>
      <c r="AC70" s="74" t="s">
        <v>97</v>
      </c>
      <c r="AD70" s="61" t="str">
        <f t="shared" si="36"/>
        <v>SHA</v>
      </c>
      <c r="AE70" s="61">
        <f t="shared" si="37"/>
        <v>100</v>
      </c>
      <c r="AF70" s="61">
        <f t="shared" si="38"/>
        <v>20</v>
      </c>
    </row>
    <row r="71" spans="1:32" s="65" customFormat="1" ht="12.75" hidden="1" customHeight="1">
      <c r="A71" s="52" t="s">
        <v>8</v>
      </c>
      <c r="B71" s="1">
        <f>B50+7</f>
        <v>43182</v>
      </c>
      <c r="C71" s="68">
        <v>120</v>
      </c>
      <c r="D71" s="68">
        <v>1680</v>
      </c>
      <c r="E71" s="69">
        <f t="shared" si="30"/>
        <v>52</v>
      </c>
      <c r="F71" s="70">
        <f t="shared" si="31"/>
        <v>481</v>
      </c>
      <c r="G71" s="68">
        <f t="shared" si="32"/>
        <v>-68</v>
      </c>
      <c r="H71" s="68">
        <f t="shared" si="33"/>
        <v>-1199</v>
      </c>
      <c r="I71" s="71">
        <v>23</v>
      </c>
      <c r="J71" s="71">
        <v>162</v>
      </c>
      <c r="K71" s="71">
        <v>7</v>
      </c>
      <c r="L71" s="71">
        <v>62</v>
      </c>
      <c r="M71" s="70">
        <f t="shared" si="34"/>
        <v>30</v>
      </c>
      <c r="N71" s="70">
        <f t="shared" si="35"/>
        <v>224</v>
      </c>
      <c r="O71" s="71"/>
      <c r="P71" s="71"/>
      <c r="Q71" s="71">
        <v>52</v>
      </c>
      <c r="R71" s="71">
        <v>481</v>
      </c>
      <c r="S71" s="72"/>
      <c r="T71" s="252">
        <f t="shared" si="39"/>
        <v>0.43333333333333335</v>
      </c>
      <c r="U71" s="73"/>
      <c r="V71" s="73"/>
      <c r="W71" s="73"/>
      <c r="X71" s="73"/>
      <c r="AA71" s="61">
        <f>H64</f>
        <v>14</v>
      </c>
      <c r="AB71" s="61" t="str">
        <f>E64</f>
        <v>FCE-N7E-101 W</v>
      </c>
      <c r="AC71" s="74" t="s">
        <v>97</v>
      </c>
      <c r="AD71" s="61" t="str">
        <f t="shared" si="36"/>
        <v>NGB</v>
      </c>
      <c r="AE71" s="61">
        <f t="shared" si="37"/>
        <v>120</v>
      </c>
      <c r="AF71" s="61">
        <f t="shared" si="38"/>
        <v>52</v>
      </c>
    </row>
    <row r="72" spans="1:32" s="65" customFormat="1" ht="12.75" hidden="1" customHeight="1">
      <c r="A72" s="52" t="s">
        <v>10</v>
      </c>
      <c r="B72" s="1" t="s">
        <v>18</v>
      </c>
      <c r="C72" s="68">
        <v>50</v>
      </c>
      <c r="D72" s="68">
        <v>700</v>
      </c>
      <c r="E72" s="69">
        <f t="shared" si="30"/>
        <v>46</v>
      </c>
      <c r="F72" s="70">
        <f t="shared" si="31"/>
        <v>202</v>
      </c>
      <c r="G72" s="68">
        <f t="shared" si="32"/>
        <v>-4</v>
      </c>
      <c r="H72" s="68">
        <f t="shared" si="33"/>
        <v>-498</v>
      </c>
      <c r="I72" s="75"/>
      <c r="J72" s="75"/>
      <c r="K72" s="70"/>
      <c r="L72" s="70"/>
      <c r="M72" s="70">
        <f t="shared" si="34"/>
        <v>0</v>
      </c>
      <c r="N72" s="70">
        <f t="shared" si="35"/>
        <v>0</v>
      </c>
      <c r="O72" s="75">
        <f>26+20</f>
        <v>46</v>
      </c>
      <c r="P72" s="75">
        <v>202</v>
      </c>
      <c r="Q72" s="70"/>
      <c r="R72" s="70"/>
      <c r="S72" s="72"/>
      <c r="T72" s="252">
        <f t="shared" si="39"/>
        <v>0.92</v>
      </c>
      <c r="U72" s="73"/>
      <c r="V72" s="73"/>
      <c r="W72" s="73"/>
      <c r="X72" s="73"/>
      <c r="AA72" s="61">
        <f>H64</f>
        <v>14</v>
      </c>
      <c r="AB72" s="61" t="str">
        <f>E64</f>
        <v>FCE-N7E-101 W</v>
      </c>
      <c r="AC72" s="74" t="s">
        <v>97</v>
      </c>
      <c r="AD72" s="61" t="str">
        <f t="shared" si="36"/>
        <v>WUH</v>
      </c>
      <c r="AE72" s="61">
        <f t="shared" si="37"/>
        <v>50</v>
      </c>
      <c r="AF72" s="61">
        <f t="shared" si="38"/>
        <v>46</v>
      </c>
    </row>
    <row r="73" spans="1:32" s="65" customFormat="1" ht="12.75" hidden="1" customHeight="1">
      <c r="A73" s="52" t="s">
        <v>11</v>
      </c>
      <c r="B73" s="1" t="s">
        <v>18</v>
      </c>
      <c r="C73" s="68">
        <v>0</v>
      </c>
      <c r="D73" s="68">
        <v>0</v>
      </c>
      <c r="E73" s="69">
        <f t="shared" si="30"/>
        <v>10</v>
      </c>
      <c r="F73" s="70">
        <f t="shared" si="31"/>
        <v>27</v>
      </c>
      <c r="G73" s="68">
        <f t="shared" si="32"/>
        <v>10</v>
      </c>
      <c r="H73" s="68">
        <f t="shared" si="33"/>
        <v>27</v>
      </c>
      <c r="I73" s="70"/>
      <c r="J73" s="70"/>
      <c r="K73" s="70"/>
      <c r="L73" s="70"/>
      <c r="M73" s="70">
        <f t="shared" si="34"/>
        <v>0</v>
      </c>
      <c r="N73" s="70">
        <f t="shared" si="35"/>
        <v>0</v>
      </c>
      <c r="O73" s="75"/>
      <c r="P73" s="75"/>
      <c r="Q73" s="70">
        <v>10</v>
      </c>
      <c r="R73" s="70">
        <v>27</v>
      </c>
      <c r="S73" s="72"/>
      <c r="T73" s="252" t="e">
        <f t="shared" si="39"/>
        <v>#DIV/0!</v>
      </c>
      <c r="U73" s="73"/>
      <c r="V73" s="73"/>
      <c r="W73" s="73"/>
      <c r="X73" s="73"/>
      <c r="AA73" s="61">
        <f>H64</f>
        <v>14</v>
      </c>
      <c r="AB73" s="61" t="str">
        <f>E64</f>
        <v>FCE-N7E-101 W</v>
      </c>
      <c r="AC73" s="74" t="s">
        <v>97</v>
      </c>
      <c r="AD73" s="61" t="str">
        <f t="shared" si="36"/>
        <v>DLC</v>
      </c>
      <c r="AE73" s="61">
        <f t="shared" si="37"/>
        <v>0</v>
      </c>
      <c r="AF73" s="61">
        <f t="shared" si="38"/>
        <v>10</v>
      </c>
    </row>
    <row r="74" spans="1:32" s="65" customFormat="1" ht="12.75" hidden="1" customHeight="1">
      <c r="A74" s="52" t="s">
        <v>12</v>
      </c>
      <c r="B74" s="1" t="s">
        <v>18</v>
      </c>
      <c r="C74" s="68">
        <v>0</v>
      </c>
      <c r="D74" s="68">
        <v>0</v>
      </c>
      <c r="E74" s="69">
        <f t="shared" si="30"/>
        <v>0</v>
      </c>
      <c r="F74" s="70">
        <f t="shared" si="31"/>
        <v>0</v>
      </c>
      <c r="G74" s="68">
        <f t="shared" si="32"/>
        <v>0</v>
      </c>
      <c r="H74" s="68">
        <f t="shared" si="33"/>
        <v>0</v>
      </c>
      <c r="I74" s="70"/>
      <c r="J74" s="70"/>
      <c r="K74" s="70"/>
      <c r="L74" s="70"/>
      <c r="M74" s="70">
        <f t="shared" si="34"/>
        <v>0</v>
      </c>
      <c r="N74" s="70">
        <f t="shared" si="35"/>
        <v>0</v>
      </c>
      <c r="O74" s="75"/>
      <c r="P74" s="75"/>
      <c r="Q74" s="76"/>
      <c r="R74" s="71"/>
      <c r="S74" s="72"/>
      <c r="T74" s="252" t="e">
        <f t="shared" si="39"/>
        <v>#DIV/0!</v>
      </c>
      <c r="U74" s="73"/>
      <c r="V74" s="73"/>
      <c r="W74" s="73"/>
      <c r="X74" s="73"/>
      <c r="AA74" s="61">
        <f>H64</f>
        <v>14</v>
      </c>
      <c r="AB74" s="61" t="str">
        <f>E64</f>
        <v>FCE-N7E-101 W</v>
      </c>
      <c r="AC74" s="74" t="s">
        <v>97</v>
      </c>
      <c r="AD74" s="61" t="str">
        <f t="shared" si="36"/>
        <v>TSN</v>
      </c>
      <c r="AE74" s="61">
        <f t="shared" si="37"/>
        <v>0</v>
      </c>
      <c r="AF74" s="61">
        <f t="shared" si="38"/>
        <v>0</v>
      </c>
    </row>
    <row r="75" spans="1:32" s="65" customFormat="1" ht="12.75" hidden="1" customHeight="1">
      <c r="A75" s="52" t="s">
        <v>14</v>
      </c>
      <c r="B75" s="1" t="s">
        <v>18</v>
      </c>
      <c r="C75" s="68">
        <v>0</v>
      </c>
      <c r="D75" s="68">
        <v>0</v>
      </c>
      <c r="E75" s="69">
        <f t="shared" si="30"/>
        <v>19</v>
      </c>
      <c r="F75" s="70">
        <f t="shared" si="31"/>
        <v>146</v>
      </c>
      <c r="G75" s="68">
        <f t="shared" si="32"/>
        <v>19</v>
      </c>
      <c r="H75" s="68">
        <f t="shared" si="33"/>
        <v>146</v>
      </c>
      <c r="I75" s="70"/>
      <c r="J75" s="70"/>
      <c r="K75" s="70"/>
      <c r="L75" s="70"/>
      <c r="M75" s="70">
        <f t="shared" si="34"/>
        <v>0</v>
      </c>
      <c r="N75" s="70">
        <f t="shared" si="35"/>
        <v>0</v>
      </c>
      <c r="O75" s="71"/>
      <c r="P75" s="71"/>
      <c r="Q75" s="70">
        <v>19</v>
      </c>
      <c r="R75" s="70">
        <v>146</v>
      </c>
      <c r="S75" s="72"/>
      <c r="T75" s="252" t="e">
        <f t="shared" si="39"/>
        <v>#DIV/0!</v>
      </c>
      <c r="U75" s="73"/>
      <c r="V75" s="73"/>
      <c r="W75" s="73"/>
      <c r="X75" s="73"/>
      <c r="AA75" s="61">
        <f>H64</f>
        <v>14</v>
      </c>
      <c r="AB75" s="61" t="str">
        <f>E64</f>
        <v>FCE-N7E-101 W</v>
      </c>
      <c r="AC75" s="74" t="s">
        <v>97</v>
      </c>
      <c r="AD75" s="61" t="str">
        <f t="shared" si="36"/>
        <v>XMN</v>
      </c>
      <c r="AE75" s="61">
        <f t="shared" si="37"/>
        <v>0</v>
      </c>
      <c r="AF75" s="61">
        <f t="shared" si="38"/>
        <v>19</v>
      </c>
    </row>
    <row r="76" spans="1:32" s="65" customFormat="1" ht="12.75" hidden="1" customHeight="1">
      <c r="A76" s="52" t="s">
        <v>19</v>
      </c>
      <c r="B76" s="1" t="s">
        <v>18</v>
      </c>
      <c r="C76" s="68">
        <v>0</v>
      </c>
      <c r="D76" s="68">
        <v>0</v>
      </c>
      <c r="E76" s="69">
        <f t="shared" si="30"/>
        <v>1</v>
      </c>
      <c r="F76" s="70">
        <f t="shared" si="31"/>
        <v>26</v>
      </c>
      <c r="G76" s="68">
        <f t="shared" si="32"/>
        <v>1</v>
      </c>
      <c r="H76" s="68">
        <f t="shared" si="33"/>
        <v>26</v>
      </c>
      <c r="I76" s="70"/>
      <c r="J76" s="70"/>
      <c r="K76" s="70"/>
      <c r="L76" s="70"/>
      <c r="M76" s="70">
        <f t="shared" si="34"/>
        <v>0</v>
      </c>
      <c r="N76" s="70">
        <f t="shared" si="35"/>
        <v>0</v>
      </c>
      <c r="O76" s="70"/>
      <c r="P76" s="70"/>
      <c r="Q76" s="70">
        <v>1</v>
      </c>
      <c r="R76" s="70">
        <v>26</v>
      </c>
      <c r="S76" s="72"/>
      <c r="T76" s="252" t="e">
        <f t="shared" si="39"/>
        <v>#DIV/0!</v>
      </c>
      <c r="U76" s="73"/>
      <c r="V76" s="73"/>
      <c r="W76" s="73"/>
      <c r="X76" s="73"/>
      <c r="AA76" s="61">
        <f>H64</f>
        <v>14</v>
      </c>
      <c r="AB76" s="61" t="str">
        <f>E64</f>
        <v>FCE-N7E-101 W</v>
      </c>
      <c r="AC76" s="74" t="s">
        <v>97</v>
      </c>
      <c r="AD76" s="61" t="str">
        <f t="shared" si="36"/>
        <v>TWC</v>
      </c>
      <c r="AE76" s="61">
        <f t="shared" si="37"/>
        <v>0</v>
      </c>
      <c r="AF76" s="61">
        <f t="shared" si="38"/>
        <v>1</v>
      </c>
    </row>
    <row r="77" spans="1:32" s="65" customFormat="1" ht="12.75" hidden="1" customHeight="1">
      <c r="A77" s="52" t="s">
        <v>16</v>
      </c>
      <c r="B77" s="1">
        <f>B56+7</f>
        <v>43185</v>
      </c>
      <c r="C77" s="68">
        <v>100</v>
      </c>
      <c r="D77" s="68">
        <v>1400</v>
      </c>
      <c r="E77" s="69">
        <f>O77+Q77</f>
        <v>168</v>
      </c>
      <c r="F77" s="70">
        <f>P77+R76</f>
        <v>26</v>
      </c>
      <c r="G77" s="68">
        <f t="shared" si="32"/>
        <v>68</v>
      </c>
      <c r="H77" s="68">
        <f t="shared" si="33"/>
        <v>-1374</v>
      </c>
      <c r="I77" s="70"/>
      <c r="J77" s="70"/>
      <c r="K77" s="70"/>
      <c r="L77" s="70"/>
      <c r="M77" s="70">
        <f t="shared" si="34"/>
        <v>0</v>
      </c>
      <c r="N77" s="70">
        <f t="shared" si="35"/>
        <v>0</v>
      </c>
      <c r="O77" s="70"/>
      <c r="P77" s="70"/>
      <c r="Q77" s="70">
        <v>168</v>
      </c>
      <c r="R77" s="84">
        <v>929</v>
      </c>
      <c r="S77" s="72"/>
      <c r="T77" s="252">
        <f t="shared" si="39"/>
        <v>1.68</v>
      </c>
      <c r="U77" s="73"/>
      <c r="V77" s="73"/>
      <c r="W77" s="73"/>
      <c r="X77" s="73"/>
      <c r="AA77" s="61">
        <f>H64</f>
        <v>14</v>
      </c>
      <c r="AB77" s="61" t="str">
        <f>E64</f>
        <v>FCE-N7E-101 W</v>
      </c>
      <c r="AC77" s="74" t="s">
        <v>97</v>
      </c>
      <c r="AD77" s="61" t="str">
        <f t="shared" si="36"/>
        <v>HUA</v>
      </c>
      <c r="AE77" s="61">
        <f t="shared" si="37"/>
        <v>100</v>
      </c>
      <c r="AF77" s="61">
        <f t="shared" si="38"/>
        <v>168</v>
      </c>
    </row>
    <row r="78" spans="1:32" s="65" customFormat="1" ht="12.75" hidden="1" customHeight="1">
      <c r="A78" s="52" t="s">
        <v>2</v>
      </c>
      <c r="B78" s="1">
        <f>B57+7</f>
        <v>43184</v>
      </c>
      <c r="C78" s="68"/>
      <c r="D78" s="68"/>
      <c r="E78" s="69">
        <f>O78+Q78</f>
        <v>0</v>
      </c>
      <c r="F78" s="70">
        <f>P78+R78</f>
        <v>0</v>
      </c>
      <c r="G78" s="68"/>
      <c r="H78" s="68"/>
      <c r="I78" s="70"/>
      <c r="J78" s="70"/>
      <c r="K78" s="70"/>
      <c r="L78" s="70"/>
      <c r="M78" s="70">
        <f t="shared" si="34"/>
        <v>0</v>
      </c>
      <c r="N78" s="70">
        <f t="shared" si="35"/>
        <v>0</v>
      </c>
      <c r="O78" s="70"/>
      <c r="P78" s="70"/>
      <c r="Q78" s="70"/>
      <c r="R78" s="70"/>
      <c r="S78" s="72"/>
      <c r="T78" s="252" t="e">
        <f t="shared" si="39"/>
        <v>#DIV/0!</v>
      </c>
      <c r="U78" s="73"/>
      <c r="V78" s="73"/>
      <c r="W78" s="73"/>
      <c r="X78" s="73"/>
      <c r="AA78" s="61">
        <f>H64</f>
        <v>14</v>
      </c>
      <c r="AB78" s="61" t="str">
        <f>E64</f>
        <v>FCE-N7E-101 W</v>
      </c>
      <c r="AC78" s="74" t="s">
        <v>97</v>
      </c>
      <c r="AD78" s="61" t="str">
        <f t="shared" si="36"/>
        <v>HKG</v>
      </c>
      <c r="AE78" s="61">
        <f t="shared" si="37"/>
        <v>0</v>
      </c>
      <c r="AF78" s="61">
        <f t="shared" si="38"/>
        <v>0</v>
      </c>
    </row>
    <row r="79" spans="1:32" s="65" customFormat="1" ht="12.75" hidden="1" customHeight="1">
      <c r="A79" s="52" t="s">
        <v>3</v>
      </c>
      <c r="B79" s="1">
        <f>B58+7</f>
        <v>43190</v>
      </c>
      <c r="C79" s="68">
        <v>100</v>
      </c>
      <c r="D79" s="68">
        <v>1400</v>
      </c>
      <c r="E79" s="69">
        <f>O79+Q79</f>
        <v>151</v>
      </c>
      <c r="F79" s="70">
        <f>P79+R79</f>
        <v>2686</v>
      </c>
      <c r="G79" s="68">
        <f t="shared" ref="G79:G82" si="40">E79-C79</f>
        <v>51</v>
      </c>
      <c r="H79" s="68">
        <f t="shared" ref="H79:H82" si="41">F79-D79</f>
        <v>1286</v>
      </c>
      <c r="I79" s="70"/>
      <c r="J79" s="70"/>
      <c r="K79" s="70"/>
      <c r="L79" s="70"/>
      <c r="M79" s="70">
        <f t="shared" si="34"/>
        <v>0</v>
      </c>
      <c r="N79" s="70">
        <f t="shared" si="35"/>
        <v>0</v>
      </c>
      <c r="O79" s="68"/>
      <c r="P79" s="68"/>
      <c r="Q79" s="70">
        <v>151</v>
      </c>
      <c r="R79" s="70">
        <v>2686</v>
      </c>
      <c r="S79" s="72"/>
      <c r="T79" s="252">
        <f t="shared" si="39"/>
        <v>1.51</v>
      </c>
      <c r="U79" s="73"/>
      <c r="V79" s="73"/>
      <c r="W79" s="73"/>
      <c r="X79" s="73"/>
      <c r="AA79" s="61">
        <f>H64</f>
        <v>14</v>
      </c>
      <c r="AB79" s="61" t="str">
        <f>E64</f>
        <v>FCE-N7E-101 W</v>
      </c>
      <c r="AC79" s="74" t="s">
        <v>97</v>
      </c>
      <c r="AD79" s="61" t="str">
        <f t="shared" si="36"/>
        <v>SGP</v>
      </c>
      <c r="AE79" s="61">
        <f t="shared" si="37"/>
        <v>100</v>
      </c>
      <c r="AF79" s="61">
        <f t="shared" si="38"/>
        <v>151</v>
      </c>
    </row>
    <row r="80" spans="1:32" s="65" customFormat="1" ht="12.75" hidden="1" customHeight="1">
      <c r="A80" s="52" t="s">
        <v>4</v>
      </c>
      <c r="B80" s="1">
        <f>B59+7</f>
        <v>43191</v>
      </c>
      <c r="C80" s="68">
        <v>50</v>
      </c>
      <c r="D80" s="68">
        <v>700</v>
      </c>
      <c r="E80" s="69">
        <f>O80+Q80</f>
        <v>51</v>
      </c>
      <c r="F80" s="70">
        <f>P80+R80</f>
        <v>1171</v>
      </c>
      <c r="G80" s="68">
        <f t="shared" si="40"/>
        <v>1</v>
      </c>
      <c r="H80" s="68">
        <f t="shared" si="41"/>
        <v>471</v>
      </c>
      <c r="I80" s="70"/>
      <c r="J80" s="70"/>
      <c r="K80" s="70"/>
      <c r="L80" s="70"/>
      <c r="M80" s="70">
        <f t="shared" si="34"/>
        <v>0</v>
      </c>
      <c r="N80" s="70">
        <f t="shared" si="35"/>
        <v>0</v>
      </c>
      <c r="O80" s="70"/>
      <c r="P80" s="70"/>
      <c r="Q80" s="70">
        <v>51</v>
      </c>
      <c r="R80" s="70">
        <v>1171</v>
      </c>
      <c r="S80" s="72"/>
      <c r="T80" s="252">
        <f>E80/C80</f>
        <v>1.02</v>
      </c>
      <c r="U80" s="73"/>
      <c r="V80" s="73"/>
      <c r="W80" s="73"/>
      <c r="X80" s="73"/>
      <c r="AA80" s="61">
        <f>H64</f>
        <v>14</v>
      </c>
      <c r="AB80" s="61" t="str">
        <f>E64</f>
        <v>FCE-N7E-101 W</v>
      </c>
      <c r="AC80" s="74" t="s">
        <v>97</v>
      </c>
      <c r="AD80" s="61" t="str">
        <f t="shared" si="36"/>
        <v>PKL</v>
      </c>
      <c r="AE80" s="61">
        <f t="shared" si="37"/>
        <v>50</v>
      </c>
      <c r="AF80" s="61">
        <f t="shared" si="38"/>
        <v>51</v>
      </c>
    </row>
    <row r="81" spans="1:32" s="65" customFormat="1" ht="12.75" hidden="1" customHeight="1">
      <c r="A81" s="52" t="s">
        <v>15</v>
      </c>
      <c r="B81" s="68"/>
      <c r="C81" s="68">
        <v>50</v>
      </c>
      <c r="D81" s="68">
        <v>700</v>
      </c>
      <c r="E81" s="69">
        <f>O81+Q81</f>
        <v>0</v>
      </c>
      <c r="F81" s="70">
        <f>P81+R81</f>
        <v>0</v>
      </c>
      <c r="G81" s="68">
        <f t="shared" si="40"/>
        <v>-50</v>
      </c>
      <c r="H81" s="68">
        <f t="shared" si="41"/>
        <v>-700</v>
      </c>
      <c r="I81" s="70"/>
      <c r="J81" s="70"/>
      <c r="K81" s="70"/>
      <c r="L81" s="70"/>
      <c r="M81" s="70">
        <f t="shared" si="34"/>
        <v>0</v>
      </c>
      <c r="N81" s="70">
        <f t="shared" si="35"/>
        <v>0</v>
      </c>
      <c r="O81" s="71"/>
      <c r="P81" s="71"/>
      <c r="Q81" s="71"/>
      <c r="R81" s="71"/>
      <c r="S81" s="72"/>
      <c r="T81" s="73"/>
      <c r="U81" s="73"/>
      <c r="V81" s="73"/>
      <c r="W81" s="73"/>
      <c r="X81" s="73"/>
      <c r="AA81" s="61">
        <f>H64</f>
        <v>14</v>
      </c>
      <c r="AB81" s="61" t="str">
        <f>E64</f>
        <v>FCE-N7E-101 W</v>
      </c>
      <c r="AC81" s="74" t="s">
        <v>97</v>
      </c>
      <c r="AD81" s="61" t="str">
        <f t="shared" si="36"/>
        <v>T/S</v>
      </c>
      <c r="AE81" s="61">
        <f t="shared" si="37"/>
        <v>50</v>
      </c>
      <c r="AF81" s="61">
        <f t="shared" si="38"/>
        <v>0</v>
      </c>
    </row>
    <row r="82" spans="1:32" s="65" customFormat="1" ht="12.75" hidden="1" customHeight="1">
      <c r="A82" s="51" t="s">
        <v>36</v>
      </c>
      <c r="B82" s="72"/>
      <c r="C82" s="71">
        <f>SUM(C68:C81)</f>
        <v>570</v>
      </c>
      <c r="D82" s="71">
        <f>SUM(D68:D81)</f>
        <v>7980</v>
      </c>
      <c r="E82" s="78">
        <f>SUM(E68:E81)</f>
        <v>518</v>
      </c>
      <c r="F82" s="76">
        <f>SUM(F68:F81)</f>
        <v>5158</v>
      </c>
      <c r="G82" s="71">
        <f t="shared" si="40"/>
        <v>-52</v>
      </c>
      <c r="H82" s="71">
        <f t="shared" si="41"/>
        <v>-2822</v>
      </c>
      <c r="I82" s="70">
        <f t="shared" ref="I82:L82" si="42">SUM(I68:I81)</f>
        <v>23</v>
      </c>
      <c r="J82" s="70">
        <f t="shared" si="42"/>
        <v>162</v>
      </c>
      <c r="K82" s="70">
        <f t="shared" si="42"/>
        <v>58</v>
      </c>
      <c r="L82" s="70">
        <f t="shared" si="42"/>
        <v>1312</v>
      </c>
      <c r="M82" s="70"/>
      <c r="N82" s="70"/>
      <c r="O82" s="70">
        <f t="shared" ref="O82:R82" si="43">SUM(O68:O81)</f>
        <v>66</v>
      </c>
      <c r="P82" s="70">
        <f t="shared" si="43"/>
        <v>595</v>
      </c>
      <c r="Q82" s="70">
        <f t="shared" si="43"/>
        <v>452</v>
      </c>
      <c r="R82" s="70">
        <f t="shared" si="43"/>
        <v>5466</v>
      </c>
      <c r="S82" s="72"/>
      <c r="T82" s="73"/>
      <c r="U82" s="73"/>
      <c r="V82" s="73"/>
      <c r="W82" s="73"/>
      <c r="X82" s="73"/>
      <c r="AA82" s="61"/>
      <c r="AB82" s="61"/>
      <c r="AC82" s="61"/>
      <c r="AD82" s="61"/>
      <c r="AE82" s="61"/>
      <c r="AF82" s="61"/>
    </row>
    <row r="83" spans="1:32" s="65" customFormat="1" ht="12.75" hidden="1" customHeight="1">
      <c r="A83" s="84">
        <f>D82/C82</f>
        <v>14</v>
      </c>
      <c r="C83" s="79">
        <f>F82-E83</f>
        <v>-2024</v>
      </c>
      <c r="E83" s="65">
        <f>D82*0.9</f>
        <v>7182</v>
      </c>
      <c r="F83" s="79">
        <f>E82-L83</f>
        <v>5</v>
      </c>
      <c r="I83" s="80" t="s">
        <v>48</v>
      </c>
      <c r="J83" s="245">
        <f>E82/C82</f>
        <v>0.90877192982456145</v>
      </c>
      <c r="K83" s="80"/>
      <c r="L83" s="80">
        <f>C82*0.9</f>
        <v>513</v>
      </c>
      <c r="M83" s="80"/>
      <c r="N83" s="80"/>
      <c r="O83" s="80" t="s">
        <v>49</v>
      </c>
      <c r="P83" s="80"/>
      <c r="Q83" s="65">
        <f>P69+P70+P72+P73+P74+J69+J70+L69+L70+J72+R72</f>
        <v>1845</v>
      </c>
      <c r="R83" s="65">
        <v>16856</v>
      </c>
      <c r="AA83" s="81"/>
      <c r="AB83" s="81"/>
      <c r="AC83" s="81"/>
      <c r="AD83" s="81"/>
      <c r="AE83" s="81"/>
      <c r="AF83" s="81"/>
    </row>
    <row r="84" spans="1:32" hidden="1"/>
    <row r="85" spans="1:32" s="63" customFormat="1" ht="12.75" customHeight="1">
      <c r="A85" s="59" t="s">
        <v>97</v>
      </c>
      <c r="B85" s="58" t="s">
        <v>557</v>
      </c>
      <c r="C85" s="56"/>
      <c r="D85" s="57"/>
      <c r="E85" s="58" t="s">
        <v>529</v>
      </c>
      <c r="F85" s="57"/>
      <c r="G85" s="59" t="s">
        <v>37</v>
      </c>
      <c r="H85" s="60">
        <f>H64+1</f>
        <v>15</v>
      </c>
      <c r="I85" s="57"/>
      <c r="J85" s="57"/>
      <c r="K85" s="57"/>
      <c r="L85" s="57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2"/>
      <c r="Z85" s="62"/>
      <c r="AA85" s="62"/>
      <c r="AB85" s="62"/>
      <c r="AC85" s="62"/>
    </row>
    <row r="86" spans="1:32" s="65" customFormat="1" ht="12.75" customHeight="1">
      <c r="A86" s="340" t="s">
        <v>0</v>
      </c>
      <c r="B86" s="336" t="s">
        <v>1</v>
      </c>
      <c r="C86" s="331" t="s">
        <v>25</v>
      </c>
      <c r="D86" s="332"/>
      <c r="E86" s="331" t="s">
        <v>21</v>
      </c>
      <c r="F86" s="332"/>
      <c r="G86" s="335" t="s">
        <v>24</v>
      </c>
      <c r="H86" s="335"/>
      <c r="I86" s="328" t="s">
        <v>33</v>
      </c>
      <c r="J86" s="329"/>
      <c r="K86" s="329"/>
      <c r="L86" s="329"/>
      <c r="M86" s="329"/>
      <c r="N86" s="330"/>
      <c r="O86" s="331" t="s">
        <v>22</v>
      </c>
      <c r="P86" s="332"/>
      <c r="Q86" s="335" t="s">
        <v>23</v>
      </c>
      <c r="R86" s="335"/>
      <c r="S86" s="336" t="s">
        <v>27</v>
      </c>
      <c r="T86" s="64"/>
      <c r="U86" s="64"/>
      <c r="V86" s="64"/>
      <c r="W86" s="64"/>
      <c r="X86" s="64"/>
      <c r="Y86" s="339"/>
      <c r="Z86" s="247"/>
      <c r="AA86" s="61"/>
      <c r="AB86" s="61"/>
      <c r="AC86" s="74"/>
      <c r="AD86" s="61"/>
      <c r="AE86" s="61"/>
      <c r="AF86" s="61"/>
    </row>
    <row r="87" spans="1:32" s="65" customFormat="1" ht="12.75" customHeight="1">
      <c r="A87" s="341"/>
      <c r="B87" s="337"/>
      <c r="C87" s="333"/>
      <c r="D87" s="334"/>
      <c r="E87" s="333"/>
      <c r="F87" s="334"/>
      <c r="G87" s="335"/>
      <c r="H87" s="335"/>
      <c r="I87" s="248" t="s">
        <v>28</v>
      </c>
      <c r="J87" s="249" t="s">
        <v>3</v>
      </c>
      <c r="K87" s="248" t="s">
        <v>29</v>
      </c>
      <c r="L87" s="249" t="s">
        <v>4</v>
      </c>
      <c r="M87" s="328" t="s">
        <v>30</v>
      </c>
      <c r="N87" s="330"/>
      <c r="O87" s="333"/>
      <c r="P87" s="334"/>
      <c r="Q87" s="335"/>
      <c r="R87" s="335"/>
      <c r="S87" s="337"/>
      <c r="T87" s="64"/>
      <c r="U87" s="64"/>
      <c r="V87" s="64"/>
      <c r="W87" s="64"/>
      <c r="X87" s="64"/>
      <c r="Y87" s="339"/>
      <c r="Z87" s="247"/>
      <c r="AA87" s="61"/>
      <c r="AB87" s="61"/>
      <c r="AC87" s="74"/>
      <c r="AD87" s="61"/>
      <c r="AE87" s="61"/>
      <c r="AF87" s="61"/>
    </row>
    <row r="88" spans="1:32" s="65" customFormat="1" ht="12.75" customHeight="1">
      <c r="A88" s="342"/>
      <c r="B88" s="338"/>
      <c r="C88" s="250" t="s">
        <v>5</v>
      </c>
      <c r="D88" s="250" t="s">
        <v>6</v>
      </c>
      <c r="E88" s="249" t="s">
        <v>5</v>
      </c>
      <c r="F88" s="250" t="s">
        <v>6</v>
      </c>
      <c r="G88" s="250" t="s">
        <v>5</v>
      </c>
      <c r="H88" s="250" t="s">
        <v>6</v>
      </c>
      <c r="I88" s="249" t="s">
        <v>5</v>
      </c>
      <c r="J88" s="250" t="s">
        <v>6</v>
      </c>
      <c r="K88" s="249" t="s">
        <v>5</v>
      </c>
      <c r="L88" s="250" t="s">
        <v>6</v>
      </c>
      <c r="M88" s="250"/>
      <c r="N88" s="250"/>
      <c r="O88" s="249" t="s">
        <v>5</v>
      </c>
      <c r="P88" s="250" t="s">
        <v>6</v>
      </c>
      <c r="Q88" s="250" t="s">
        <v>5</v>
      </c>
      <c r="R88" s="250" t="s">
        <v>6</v>
      </c>
      <c r="S88" s="338"/>
      <c r="T88" s="64"/>
      <c r="U88" s="64"/>
      <c r="V88" s="64"/>
      <c r="W88" s="64"/>
      <c r="X88" s="64"/>
      <c r="Y88" s="339"/>
      <c r="Z88" s="247"/>
      <c r="AA88" s="61" t="s">
        <v>43</v>
      </c>
      <c r="AB88" s="61" t="s">
        <v>45</v>
      </c>
      <c r="AC88" s="61" t="s">
        <v>46</v>
      </c>
      <c r="AD88" s="61" t="s">
        <v>42</v>
      </c>
      <c r="AE88" s="61" t="s">
        <v>41</v>
      </c>
      <c r="AF88" s="61" t="s">
        <v>44</v>
      </c>
    </row>
    <row r="89" spans="1:32" s="65" customFormat="1" ht="12.75" customHeight="1">
      <c r="A89" s="51" t="s">
        <v>7</v>
      </c>
      <c r="B89" s="1" t="s">
        <v>18</v>
      </c>
      <c r="C89" s="250">
        <v>0</v>
      </c>
      <c r="D89" s="250">
        <v>0</v>
      </c>
      <c r="E89" s="69">
        <f t="shared" ref="E89:E97" si="44">O89+Q89</f>
        <v>0</v>
      </c>
      <c r="F89" s="70">
        <f t="shared" ref="F89:F97" si="45">P89+R89</f>
        <v>0</v>
      </c>
      <c r="G89" s="250">
        <f t="shared" ref="G89:G98" si="46">E89-C89</f>
        <v>0</v>
      </c>
      <c r="H89" s="250">
        <f t="shared" ref="H89:H98" si="47">F89-D89</f>
        <v>0</v>
      </c>
      <c r="I89" s="70"/>
      <c r="J89" s="70"/>
      <c r="K89" s="70"/>
      <c r="L89" s="70"/>
      <c r="M89" s="70">
        <f t="shared" ref="M89:M102" si="48">I89+K89</f>
        <v>0</v>
      </c>
      <c r="N89" s="70">
        <f t="shared" ref="N89:N102" si="49">J89+L89</f>
        <v>0</v>
      </c>
      <c r="O89" s="71"/>
      <c r="P89" s="71"/>
      <c r="Q89" s="70"/>
      <c r="R89" s="70"/>
      <c r="S89" s="72"/>
      <c r="T89" s="252" t="e">
        <f>E89/C89</f>
        <v>#DIV/0!</v>
      </c>
      <c r="U89" s="73"/>
      <c r="V89" s="73"/>
      <c r="W89" s="73"/>
      <c r="X89" s="73"/>
      <c r="Y89" s="339"/>
      <c r="Z89" s="247"/>
      <c r="AA89" s="61">
        <f>H85</f>
        <v>15</v>
      </c>
      <c r="AB89" s="61" t="str">
        <f>E85</f>
        <v>FCE-QT1-181 W</v>
      </c>
      <c r="AC89" s="74" t="s">
        <v>97</v>
      </c>
      <c r="AD89" s="61" t="str">
        <f t="shared" ref="AD89:AD102" si="50">A89</f>
        <v>KR</v>
      </c>
      <c r="AE89" s="61">
        <f t="shared" ref="AE89:AE102" si="51">C89</f>
        <v>0</v>
      </c>
      <c r="AF89" s="61">
        <f t="shared" ref="AF89:AF102" si="52">E89</f>
        <v>0</v>
      </c>
    </row>
    <row r="90" spans="1:32" s="65" customFormat="1" ht="12.75" customHeight="1">
      <c r="A90" s="52" t="s">
        <v>13</v>
      </c>
      <c r="B90" s="1" t="s">
        <v>18</v>
      </c>
      <c r="C90" s="250">
        <v>0</v>
      </c>
      <c r="D90" s="250">
        <v>0</v>
      </c>
      <c r="E90" s="69">
        <f t="shared" si="44"/>
        <v>0</v>
      </c>
      <c r="F90" s="70">
        <f t="shared" si="45"/>
        <v>0</v>
      </c>
      <c r="G90" s="250">
        <f t="shared" si="46"/>
        <v>0</v>
      </c>
      <c r="H90" s="250">
        <f t="shared" si="47"/>
        <v>0</v>
      </c>
      <c r="I90" s="75"/>
      <c r="J90" s="75"/>
      <c r="K90" s="70"/>
      <c r="L90" s="70"/>
      <c r="M90" s="70">
        <f t="shared" si="48"/>
        <v>0</v>
      </c>
      <c r="N90" s="70">
        <f t="shared" si="49"/>
        <v>0</v>
      </c>
      <c r="O90" s="75"/>
      <c r="P90" s="75"/>
      <c r="Q90" s="71"/>
      <c r="R90" s="71"/>
      <c r="S90" s="72"/>
      <c r="T90" s="252" t="e">
        <f t="shared" ref="T90:T100" si="53">E90/C90</f>
        <v>#DIV/0!</v>
      </c>
      <c r="U90" s="73"/>
      <c r="V90" s="73"/>
      <c r="W90" s="73"/>
      <c r="X90" s="73"/>
      <c r="AA90" s="61">
        <f>H85</f>
        <v>15</v>
      </c>
      <c r="AB90" s="61" t="str">
        <f>E85</f>
        <v>FCE-QT1-181 W</v>
      </c>
      <c r="AC90" s="74" t="s">
        <v>97</v>
      </c>
      <c r="AD90" s="61" t="str">
        <f t="shared" si="50"/>
        <v>TAO</v>
      </c>
      <c r="AE90" s="61">
        <f t="shared" si="51"/>
        <v>0</v>
      </c>
      <c r="AF90" s="61">
        <f t="shared" si="52"/>
        <v>0</v>
      </c>
    </row>
    <row r="91" spans="1:32" s="65" customFormat="1" ht="12.75" customHeight="1">
      <c r="A91" s="52" t="s">
        <v>9</v>
      </c>
      <c r="B91" s="1">
        <f>B70+7</f>
        <v>43187</v>
      </c>
      <c r="C91" s="250">
        <v>100</v>
      </c>
      <c r="D91" s="250">
        <v>1400</v>
      </c>
      <c r="E91" s="69">
        <f t="shared" si="44"/>
        <v>127</v>
      </c>
      <c r="F91" s="70">
        <f t="shared" si="45"/>
        <v>1937</v>
      </c>
      <c r="G91" s="250">
        <f t="shared" si="46"/>
        <v>27</v>
      </c>
      <c r="H91" s="250">
        <f t="shared" si="47"/>
        <v>537</v>
      </c>
      <c r="I91" s="75">
        <v>16</v>
      </c>
      <c r="J91" s="75">
        <v>260</v>
      </c>
      <c r="K91" s="71">
        <v>75</v>
      </c>
      <c r="L91" s="71">
        <v>1218</v>
      </c>
      <c r="M91" s="70">
        <f t="shared" si="48"/>
        <v>91</v>
      </c>
      <c r="N91" s="70">
        <f t="shared" si="49"/>
        <v>1478</v>
      </c>
      <c r="O91" s="75">
        <f>107+20</f>
        <v>127</v>
      </c>
      <c r="P91" s="75">
        <v>1937</v>
      </c>
      <c r="Q91" s="71"/>
      <c r="R91" s="71"/>
      <c r="S91" s="72"/>
      <c r="T91" s="252">
        <f t="shared" si="53"/>
        <v>1.27</v>
      </c>
      <c r="U91" s="73"/>
      <c r="V91" s="73"/>
      <c r="W91" s="73"/>
      <c r="X91" s="73"/>
      <c r="AA91" s="61">
        <f>H85</f>
        <v>15</v>
      </c>
      <c r="AB91" s="61" t="str">
        <f>E85</f>
        <v>FCE-QT1-181 W</v>
      </c>
      <c r="AC91" s="74" t="s">
        <v>97</v>
      </c>
      <c r="AD91" s="61" t="str">
        <f t="shared" si="50"/>
        <v>SHA</v>
      </c>
      <c r="AE91" s="61">
        <f t="shared" si="51"/>
        <v>100</v>
      </c>
      <c r="AF91" s="61">
        <f t="shared" si="52"/>
        <v>127</v>
      </c>
    </row>
    <row r="92" spans="1:32" s="65" customFormat="1" ht="12.75" customHeight="1">
      <c r="A92" s="52" t="s">
        <v>8</v>
      </c>
      <c r="B92" s="1">
        <f>B71+7</f>
        <v>43189</v>
      </c>
      <c r="C92" s="250">
        <v>120</v>
      </c>
      <c r="D92" s="250">
        <v>1680</v>
      </c>
      <c r="E92" s="69">
        <f t="shared" si="44"/>
        <v>79</v>
      </c>
      <c r="F92" s="70">
        <f t="shared" si="45"/>
        <v>556</v>
      </c>
      <c r="G92" s="250">
        <f t="shared" si="46"/>
        <v>-41</v>
      </c>
      <c r="H92" s="250">
        <f t="shared" si="47"/>
        <v>-1124</v>
      </c>
      <c r="I92" s="71">
        <v>24</v>
      </c>
      <c r="J92" s="71">
        <v>175</v>
      </c>
      <c r="K92" s="71">
        <v>12</v>
      </c>
      <c r="L92" s="71">
        <v>250</v>
      </c>
      <c r="M92" s="70">
        <f t="shared" si="48"/>
        <v>36</v>
      </c>
      <c r="N92" s="70">
        <f t="shared" si="49"/>
        <v>425</v>
      </c>
      <c r="O92" s="71"/>
      <c r="P92" s="71"/>
      <c r="Q92" s="71">
        <v>79</v>
      </c>
      <c r="R92" s="71">
        <v>556</v>
      </c>
      <c r="S92" s="72"/>
      <c r="T92" s="252">
        <f t="shared" si="53"/>
        <v>0.65833333333333333</v>
      </c>
      <c r="U92" s="73"/>
      <c r="V92" s="73"/>
      <c r="W92" s="73"/>
      <c r="X92" s="73"/>
      <c r="AA92" s="61">
        <f>H85</f>
        <v>15</v>
      </c>
      <c r="AB92" s="61" t="str">
        <f>E85</f>
        <v>FCE-QT1-181 W</v>
      </c>
      <c r="AC92" s="74" t="s">
        <v>97</v>
      </c>
      <c r="AD92" s="61" t="str">
        <f t="shared" si="50"/>
        <v>NGB</v>
      </c>
      <c r="AE92" s="61">
        <f t="shared" si="51"/>
        <v>120</v>
      </c>
      <c r="AF92" s="61">
        <f t="shared" si="52"/>
        <v>79</v>
      </c>
    </row>
    <row r="93" spans="1:32" s="65" customFormat="1" ht="12.75" customHeight="1">
      <c r="A93" s="52" t="s">
        <v>10</v>
      </c>
      <c r="B93" s="1" t="s">
        <v>18</v>
      </c>
      <c r="C93" s="250">
        <v>50</v>
      </c>
      <c r="D93" s="250">
        <v>700</v>
      </c>
      <c r="E93" s="69">
        <f t="shared" si="44"/>
        <v>2</v>
      </c>
      <c r="F93" s="70">
        <f t="shared" si="45"/>
        <v>49</v>
      </c>
      <c r="G93" s="250">
        <f t="shared" si="46"/>
        <v>-48</v>
      </c>
      <c r="H93" s="250">
        <f t="shared" si="47"/>
        <v>-651</v>
      </c>
      <c r="I93" s="75"/>
      <c r="J93" s="75"/>
      <c r="K93" s="70"/>
      <c r="L93" s="70"/>
      <c r="M93" s="70">
        <f t="shared" si="48"/>
        <v>0</v>
      </c>
      <c r="N93" s="70">
        <f t="shared" si="49"/>
        <v>0</v>
      </c>
      <c r="O93" s="75">
        <v>2</v>
      </c>
      <c r="P93" s="75">
        <v>49</v>
      </c>
      <c r="Q93" s="70"/>
      <c r="R93" s="70"/>
      <c r="S93" s="72"/>
      <c r="T93" s="252">
        <f t="shared" si="53"/>
        <v>0.04</v>
      </c>
      <c r="U93" s="73"/>
      <c r="V93" s="73"/>
      <c r="W93" s="73"/>
      <c r="X93" s="73"/>
      <c r="AA93" s="61">
        <f>H85</f>
        <v>15</v>
      </c>
      <c r="AB93" s="61" t="str">
        <f>E85</f>
        <v>FCE-QT1-181 W</v>
      </c>
      <c r="AC93" s="74" t="s">
        <v>97</v>
      </c>
      <c r="AD93" s="61" t="str">
        <f t="shared" si="50"/>
        <v>WUH</v>
      </c>
      <c r="AE93" s="61">
        <f t="shared" si="51"/>
        <v>50</v>
      </c>
      <c r="AF93" s="61">
        <f t="shared" si="52"/>
        <v>2</v>
      </c>
    </row>
    <row r="94" spans="1:32" s="65" customFormat="1" ht="12.75" customHeight="1">
      <c r="A94" s="52" t="s">
        <v>11</v>
      </c>
      <c r="B94" s="1" t="s">
        <v>18</v>
      </c>
      <c r="C94" s="250">
        <v>0</v>
      </c>
      <c r="D94" s="250">
        <v>0</v>
      </c>
      <c r="E94" s="69">
        <f t="shared" si="44"/>
        <v>10</v>
      </c>
      <c r="F94" s="70">
        <f t="shared" si="45"/>
        <v>273</v>
      </c>
      <c r="G94" s="250">
        <f t="shared" si="46"/>
        <v>10</v>
      </c>
      <c r="H94" s="250">
        <f t="shared" si="47"/>
        <v>273</v>
      </c>
      <c r="I94" s="70"/>
      <c r="J94" s="70"/>
      <c r="K94" s="70"/>
      <c r="L94" s="70"/>
      <c r="M94" s="70">
        <f t="shared" si="48"/>
        <v>0</v>
      </c>
      <c r="N94" s="70">
        <f t="shared" si="49"/>
        <v>0</v>
      </c>
      <c r="O94" s="75"/>
      <c r="P94" s="75"/>
      <c r="Q94" s="70">
        <v>10</v>
      </c>
      <c r="R94" s="70">
        <v>273</v>
      </c>
      <c r="S94" s="72"/>
      <c r="T94" s="252" t="e">
        <f t="shared" si="53"/>
        <v>#DIV/0!</v>
      </c>
      <c r="U94" s="73"/>
      <c r="V94" s="73"/>
      <c r="W94" s="73"/>
      <c r="X94" s="73"/>
      <c r="AA94" s="61">
        <f>H85</f>
        <v>15</v>
      </c>
      <c r="AB94" s="61" t="str">
        <f>E85</f>
        <v>FCE-QT1-181 W</v>
      </c>
      <c r="AC94" s="74" t="s">
        <v>97</v>
      </c>
      <c r="AD94" s="61" t="str">
        <f t="shared" si="50"/>
        <v>DLC</v>
      </c>
      <c r="AE94" s="61">
        <f t="shared" si="51"/>
        <v>0</v>
      </c>
      <c r="AF94" s="61">
        <f t="shared" si="52"/>
        <v>10</v>
      </c>
    </row>
    <row r="95" spans="1:32" s="65" customFormat="1" ht="12.75" customHeight="1">
      <c r="A95" s="52" t="s">
        <v>12</v>
      </c>
      <c r="B95" s="1" t="s">
        <v>18</v>
      </c>
      <c r="C95" s="250">
        <v>0</v>
      </c>
      <c r="D95" s="250">
        <v>0</v>
      </c>
      <c r="E95" s="69">
        <f t="shared" si="44"/>
        <v>0</v>
      </c>
      <c r="F95" s="70">
        <f t="shared" si="45"/>
        <v>0</v>
      </c>
      <c r="G95" s="250">
        <f t="shared" si="46"/>
        <v>0</v>
      </c>
      <c r="H95" s="250">
        <f t="shared" si="47"/>
        <v>0</v>
      </c>
      <c r="I95" s="70"/>
      <c r="J95" s="70"/>
      <c r="K95" s="70"/>
      <c r="L95" s="70"/>
      <c r="M95" s="70">
        <f t="shared" si="48"/>
        <v>0</v>
      </c>
      <c r="N95" s="70">
        <f t="shared" si="49"/>
        <v>0</v>
      </c>
      <c r="O95" s="75"/>
      <c r="P95" s="75"/>
      <c r="Q95" s="76"/>
      <c r="R95" s="71"/>
      <c r="S95" s="72"/>
      <c r="T95" s="252" t="e">
        <f t="shared" si="53"/>
        <v>#DIV/0!</v>
      </c>
      <c r="U95" s="73"/>
      <c r="V95" s="73"/>
      <c r="W95" s="73"/>
      <c r="X95" s="73"/>
      <c r="AA95" s="61">
        <f>H85</f>
        <v>15</v>
      </c>
      <c r="AB95" s="61" t="str">
        <f>E85</f>
        <v>FCE-QT1-181 W</v>
      </c>
      <c r="AC95" s="74" t="s">
        <v>97</v>
      </c>
      <c r="AD95" s="61" t="str">
        <f t="shared" si="50"/>
        <v>TSN</v>
      </c>
      <c r="AE95" s="61">
        <f t="shared" si="51"/>
        <v>0</v>
      </c>
      <c r="AF95" s="61">
        <f t="shared" si="52"/>
        <v>0</v>
      </c>
    </row>
    <row r="96" spans="1:32" s="65" customFormat="1" ht="12.75" customHeight="1">
      <c r="A96" s="52" t="s">
        <v>14</v>
      </c>
      <c r="B96" s="1" t="s">
        <v>18</v>
      </c>
      <c r="C96" s="250">
        <v>0</v>
      </c>
      <c r="D96" s="250">
        <v>0</v>
      </c>
      <c r="E96" s="69">
        <f t="shared" si="44"/>
        <v>9</v>
      </c>
      <c r="F96" s="70">
        <f t="shared" si="45"/>
        <v>81</v>
      </c>
      <c r="G96" s="250">
        <f t="shared" si="46"/>
        <v>9</v>
      </c>
      <c r="H96" s="250">
        <f t="shared" si="47"/>
        <v>81</v>
      </c>
      <c r="I96" s="70"/>
      <c r="J96" s="70"/>
      <c r="K96" s="70"/>
      <c r="L96" s="70"/>
      <c r="M96" s="70">
        <f t="shared" si="48"/>
        <v>0</v>
      </c>
      <c r="N96" s="70">
        <f t="shared" si="49"/>
        <v>0</v>
      </c>
      <c r="O96" s="71"/>
      <c r="P96" s="71"/>
      <c r="Q96" s="70">
        <v>9</v>
      </c>
      <c r="R96" s="70">
        <v>81</v>
      </c>
      <c r="S96" s="72"/>
      <c r="T96" s="252" t="e">
        <f t="shared" si="53"/>
        <v>#DIV/0!</v>
      </c>
      <c r="U96" s="73"/>
      <c r="V96" s="73"/>
      <c r="W96" s="73"/>
      <c r="X96" s="73"/>
      <c r="AA96" s="61">
        <f>H85</f>
        <v>15</v>
      </c>
      <c r="AB96" s="61" t="str">
        <f>E85</f>
        <v>FCE-QT1-181 W</v>
      </c>
      <c r="AC96" s="74" t="s">
        <v>97</v>
      </c>
      <c r="AD96" s="61" t="str">
        <f t="shared" si="50"/>
        <v>XMN</v>
      </c>
      <c r="AE96" s="61">
        <f t="shared" si="51"/>
        <v>0</v>
      </c>
      <c r="AF96" s="61">
        <f t="shared" si="52"/>
        <v>9</v>
      </c>
    </row>
    <row r="97" spans="1:32" s="65" customFormat="1" ht="12.75" customHeight="1">
      <c r="A97" s="52" t="s">
        <v>19</v>
      </c>
      <c r="B97" s="1" t="s">
        <v>18</v>
      </c>
      <c r="C97" s="250">
        <v>0</v>
      </c>
      <c r="D97" s="250">
        <v>0</v>
      </c>
      <c r="E97" s="69">
        <f t="shared" si="44"/>
        <v>0</v>
      </c>
      <c r="F97" s="70">
        <f t="shared" si="45"/>
        <v>0</v>
      </c>
      <c r="G97" s="250">
        <f t="shared" si="46"/>
        <v>0</v>
      </c>
      <c r="H97" s="250">
        <f t="shared" si="47"/>
        <v>0</v>
      </c>
      <c r="I97" s="70"/>
      <c r="J97" s="70"/>
      <c r="K97" s="70"/>
      <c r="L97" s="70"/>
      <c r="M97" s="70">
        <f t="shared" si="48"/>
        <v>0</v>
      </c>
      <c r="N97" s="70">
        <f t="shared" si="49"/>
        <v>0</v>
      </c>
      <c r="O97" s="70"/>
      <c r="P97" s="70"/>
      <c r="Q97" s="70"/>
      <c r="R97" s="70"/>
      <c r="S97" s="72"/>
      <c r="T97" s="252" t="e">
        <f t="shared" si="53"/>
        <v>#DIV/0!</v>
      </c>
      <c r="U97" s="73"/>
      <c r="V97" s="73"/>
      <c r="W97" s="73"/>
      <c r="X97" s="73"/>
      <c r="AA97" s="61">
        <f>H85</f>
        <v>15</v>
      </c>
      <c r="AB97" s="61" t="str">
        <f>E85</f>
        <v>FCE-QT1-181 W</v>
      </c>
      <c r="AC97" s="74" t="s">
        <v>97</v>
      </c>
      <c r="AD97" s="61" t="str">
        <f t="shared" si="50"/>
        <v>TWC</v>
      </c>
      <c r="AE97" s="61">
        <f t="shared" si="51"/>
        <v>0</v>
      </c>
      <c r="AF97" s="61">
        <f t="shared" si="52"/>
        <v>0</v>
      </c>
    </row>
    <row r="98" spans="1:32" s="65" customFormat="1" ht="12.75" customHeight="1">
      <c r="A98" s="52" t="s">
        <v>16</v>
      </c>
      <c r="B98" s="1">
        <f>B77+7</f>
        <v>43192</v>
      </c>
      <c r="C98" s="250">
        <v>100</v>
      </c>
      <c r="D98" s="250">
        <v>1400</v>
      </c>
      <c r="E98" s="69">
        <f>O98+Q98</f>
        <v>165</v>
      </c>
      <c r="F98" s="70">
        <f>P98+R97</f>
        <v>0</v>
      </c>
      <c r="G98" s="250">
        <f t="shared" si="46"/>
        <v>65</v>
      </c>
      <c r="H98" s="250">
        <f t="shared" si="47"/>
        <v>-1400</v>
      </c>
      <c r="I98" s="70"/>
      <c r="J98" s="70"/>
      <c r="K98" s="70"/>
      <c r="L98" s="70"/>
      <c r="M98" s="70">
        <f t="shared" si="48"/>
        <v>0</v>
      </c>
      <c r="N98" s="70">
        <f t="shared" si="49"/>
        <v>0</v>
      </c>
      <c r="O98" s="70"/>
      <c r="P98" s="70"/>
      <c r="Q98" s="70">
        <v>165</v>
      </c>
      <c r="R98" s="84">
        <v>1115</v>
      </c>
      <c r="S98" s="72"/>
      <c r="T98" s="252">
        <f t="shared" si="53"/>
        <v>1.65</v>
      </c>
      <c r="U98" s="73"/>
      <c r="V98" s="73"/>
      <c r="W98" s="73"/>
      <c r="X98" s="73"/>
      <c r="AA98" s="61">
        <f>H85</f>
        <v>15</v>
      </c>
      <c r="AB98" s="61" t="str">
        <f>E85</f>
        <v>FCE-QT1-181 W</v>
      </c>
      <c r="AC98" s="74" t="s">
        <v>97</v>
      </c>
      <c r="AD98" s="61" t="str">
        <f t="shared" si="50"/>
        <v>HUA</v>
      </c>
      <c r="AE98" s="61">
        <f t="shared" si="51"/>
        <v>100</v>
      </c>
      <c r="AF98" s="61">
        <f t="shared" si="52"/>
        <v>165</v>
      </c>
    </row>
    <row r="99" spans="1:32" s="65" customFormat="1" ht="12.75" customHeight="1">
      <c r="A99" s="52" t="s">
        <v>2</v>
      </c>
      <c r="B99" s="1">
        <f>B78+7</f>
        <v>43191</v>
      </c>
      <c r="C99" s="250"/>
      <c r="D99" s="250"/>
      <c r="E99" s="69">
        <f>O99+Q99</f>
        <v>0</v>
      </c>
      <c r="F99" s="70">
        <f>P99+R99</f>
        <v>0</v>
      </c>
      <c r="G99" s="250"/>
      <c r="H99" s="250"/>
      <c r="I99" s="70"/>
      <c r="J99" s="70"/>
      <c r="K99" s="70">
        <v>2</v>
      </c>
      <c r="L99" s="70">
        <v>55</v>
      </c>
      <c r="M99" s="70">
        <f t="shared" si="48"/>
        <v>2</v>
      </c>
      <c r="N99" s="70">
        <f t="shared" si="49"/>
        <v>55</v>
      </c>
      <c r="O99" s="70"/>
      <c r="P99" s="70"/>
      <c r="Q99" s="70"/>
      <c r="R99" s="70"/>
      <c r="S99" s="72"/>
      <c r="T99" s="252" t="e">
        <f t="shared" si="53"/>
        <v>#DIV/0!</v>
      </c>
      <c r="U99" s="73"/>
      <c r="V99" s="73"/>
      <c r="W99" s="73"/>
      <c r="X99" s="73"/>
      <c r="AA99" s="61">
        <f>H85</f>
        <v>15</v>
      </c>
      <c r="AB99" s="61" t="str">
        <f>E85</f>
        <v>FCE-QT1-181 W</v>
      </c>
      <c r="AC99" s="74" t="s">
        <v>97</v>
      </c>
      <c r="AD99" s="61" t="str">
        <f t="shared" si="50"/>
        <v>HKG</v>
      </c>
      <c r="AE99" s="61">
        <f t="shared" si="51"/>
        <v>0</v>
      </c>
      <c r="AF99" s="61">
        <f t="shared" si="52"/>
        <v>0</v>
      </c>
    </row>
    <row r="100" spans="1:32" s="65" customFormat="1" ht="12.75" customHeight="1">
      <c r="A100" s="52" t="s">
        <v>3</v>
      </c>
      <c r="B100" s="1">
        <f>B79+7</f>
        <v>43197</v>
      </c>
      <c r="C100" s="250">
        <v>100</v>
      </c>
      <c r="D100" s="250">
        <v>1400</v>
      </c>
      <c r="E100" s="69">
        <f>O100+Q100</f>
        <v>112</v>
      </c>
      <c r="F100" s="70">
        <f>P100+R100</f>
        <v>1922</v>
      </c>
      <c r="G100" s="250">
        <f t="shared" ref="G100:G103" si="54">E100-C100</f>
        <v>12</v>
      </c>
      <c r="H100" s="250">
        <f t="shared" ref="H100:H103" si="55">F100-D100</f>
        <v>522</v>
      </c>
      <c r="I100" s="70"/>
      <c r="J100" s="70"/>
      <c r="K100" s="70"/>
      <c r="L100" s="70"/>
      <c r="M100" s="70">
        <f t="shared" si="48"/>
        <v>0</v>
      </c>
      <c r="N100" s="70">
        <f t="shared" si="49"/>
        <v>0</v>
      </c>
      <c r="O100" s="250"/>
      <c r="P100" s="250"/>
      <c r="Q100" s="70">
        <v>112</v>
      </c>
      <c r="R100" s="70">
        <v>1922</v>
      </c>
      <c r="S100" s="72"/>
      <c r="T100" s="252">
        <f t="shared" si="53"/>
        <v>1.1200000000000001</v>
      </c>
      <c r="U100" s="73"/>
      <c r="V100" s="73"/>
      <c r="W100" s="73"/>
      <c r="X100" s="73"/>
      <c r="AA100" s="61">
        <f>H85</f>
        <v>15</v>
      </c>
      <c r="AB100" s="61" t="str">
        <f>E85</f>
        <v>FCE-QT1-181 W</v>
      </c>
      <c r="AC100" s="74" t="s">
        <v>97</v>
      </c>
      <c r="AD100" s="61" t="str">
        <f t="shared" si="50"/>
        <v>SGP</v>
      </c>
      <c r="AE100" s="61">
        <f t="shared" si="51"/>
        <v>100</v>
      </c>
      <c r="AF100" s="61">
        <f t="shared" si="52"/>
        <v>112</v>
      </c>
    </row>
    <row r="101" spans="1:32" s="65" customFormat="1" ht="12.75" customHeight="1">
      <c r="A101" s="52" t="s">
        <v>4</v>
      </c>
      <c r="B101" s="1">
        <f>B80+7</f>
        <v>43198</v>
      </c>
      <c r="C101" s="250">
        <v>50</v>
      </c>
      <c r="D101" s="250">
        <v>700</v>
      </c>
      <c r="E101" s="69">
        <f>O101+Q101</f>
        <v>57</v>
      </c>
      <c r="F101" s="70">
        <f>P101+R101</f>
        <v>1064</v>
      </c>
      <c r="G101" s="250">
        <f t="shared" si="54"/>
        <v>7</v>
      </c>
      <c r="H101" s="250">
        <f t="shared" si="55"/>
        <v>364</v>
      </c>
      <c r="I101" s="70"/>
      <c r="J101" s="70"/>
      <c r="K101" s="70"/>
      <c r="L101" s="70"/>
      <c r="M101" s="70">
        <f t="shared" si="48"/>
        <v>0</v>
      </c>
      <c r="N101" s="70">
        <f t="shared" si="49"/>
        <v>0</v>
      </c>
      <c r="O101" s="70"/>
      <c r="P101" s="70"/>
      <c r="Q101" s="70">
        <v>57</v>
      </c>
      <c r="R101" s="70">
        <v>1064</v>
      </c>
      <c r="S101" s="72"/>
      <c r="T101" s="252">
        <f>E101/C101</f>
        <v>1.1399999999999999</v>
      </c>
      <c r="U101" s="73"/>
      <c r="V101" s="73"/>
      <c r="W101" s="73"/>
      <c r="X101" s="73"/>
      <c r="AA101" s="61">
        <f>H85</f>
        <v>15</v>
      </c>
      <c r="AB101" s="61" t="str">
        <f>E85</f>
        <v>FCE-QT1-181 W</v>
      </c>
      <c r="AC101" s="74" t="s">
        <v>97</v>
      </c>
      <c r="AD101" s="61" t="str">
        <f t="shared" si="50"/>
        <v>PKL</v>
      </c>
      <c r="AE101" s="61">
        <f t="shared" si="51"/>
        <v>50</v>
      </c>
      <c r="AF101" s="61">
        <f t="shared" si="52"/>
        <v>57</v>
      </c>
    </row>
    <row r="102" spans="1:32" s="65" customFormat="1" ht="12.75" customHeight="1">
      <c r="A102" s="52" t="s">
        <v>15</v>
      </c>
      <c r="B102" s="250"/>
      <c r="C102" s="250">
        <v>50</v>
      </c>
      <c r="D102" s="250">
        <v>700</v>
      </c>
      <c r="E102" s="69">
        <f>O102+Q102</f>
        <v>32</v>
      </c>
      <c r="F102" s="70">
        <f>P102+R102</f>
        <v>580</v>
      </c>
      <c r="G102" s="250">
        <f t="shared" si="54"/>
        <v>-18</v>
      </c>
      <c r="H102" s="250">
        <f t="shared" si="55"/>
        <v>-120</v>
      </c>
      <c r="I102" s="70"/>
      <c r="J102" s="70"/>
      <c r="K102" s="70"/>
      <c r="L102" s="70"/>
      <c r="M102" s="70">
        <f t="shared" si="48"/>
        <v>0</v>
      </c>
      <c r="N102" s="70">
        <f t="shared" si="49"/>
        <v>0</v>
      </c>
      <c r="O102" s="71"/>
      <c r="P102" s="71"/>
      <c r="Q102" s="71">
        <v>32</v>
      </c>
      <c r="R102" s="71">
        <v>580</v>
      </c>
      <c r="S102" s="72"/>
      <c r="T102" s="73"/>
      <c r="U102" s="73"/>
      <c r="V102" s="73"/>
      <c r="W102" s="73"/>
      <c r="X102" s="73"/>
      <c r="AA102" s="61">
        <f>H85</f>
        <v>15</v>
      </c>
      <c r="AB102" s="61" t="str">
        <f>E85</f>
        <v>FCE-QT1-181 W</v>
      </c>
      <c r="AC102" s="74" t="s">
        <v>97</v>
      </c>
      <c r="AD102" s="61" t="str">
        <f t="shared" si="50"/>
        <v>T/S</v>
      </c>
      <c r="AE102" s="61">
        <f t="shared" si="51"/>
        <v>50</v>
      </c>
      <c r="AF102" s="61">
        <f t="shared" si="52"/>
        <v>32</v>
      </c>
    </row>
    <row r="103" spans="1:32" s="65" customFormat="1" ht="12.75" customHeight="1">
      <c r="A103" s="51" t="s">
        <v>36</v>
      </c>
      <c r="B103" s="72"/>
      <c r="C103" s="71">
        <f>SUM(C89:C102)</f>
        <v>570</v>
      </c>
      <c r="D103" s="71">
        <f>SUM(D89:D102)</f>
        <v>7980</v>
      </c>
      <c r="E103" s="78">
        <f>SUM(E89:E102)</f>
        <v>593</v>
      </c>
      <c r="F103" s="76">
        <f>SUM(F89:F102)</f>
        <v>6462</v>
      </c>
      <c r="G103" s="71">
        <f t="shared" si="54"/>
        <v>23</v>
      </c>
      <c r="H103" s="71">
        <f t="shared" si="55"/>
        <v>-1518</v>
      </c>
      <c r="I103" s="70">
        <f t="shared" ref="I103:L103" si="56">SUM(I89:I102)</f>
        <v>40</v>
      </c>
      <c r="J103" s="70">
        <f t="shared" si="56"/>
        <v>435</v>
      </c>
      <c r="K103" s="70">
        <f t="shared" si="56"/>
        <v>89</v>
      </c>
      <c r="L103" s="70">
        <f t="shared" si="56"/>
        <v>1523</v>
      </c>
      <c r="M103" s="70"/>
      <c r="N103" s="70"/>
      <c r="O103" s="70">
        <f t="shared" ref="O103:R103" si="57">SUM(O89:O102)</f>
        <v>129</v>
      </c>
      <c r="P103" s="70">
        <f t="shared" si="57"/>
        <v>1986</v>
      </c>
      <c r="Q103" s="70">
        <f t="shared" si="57"/>
        <v>464</v>
      </c>
      <c r="R103" s="70">
        <f t="shared" si="57"/>
        <v>5591</v>
      </c>
      <c r="S103" s="72"/>
      <c r="T103" s="73"/>
      <c r="U103" s="73"/>
      <c r="V103" s="73"/>
      <c r="W103" s="73"/>
      <c r="X103" s="73"/>
      <c r="AA103" s="61"/>
      <c r="AB103" s="61"/>
      <c r="AC103" s="61"/>
      <c r="AD103" s="61"/>
      <c r="AE103" s="61"/>
      <c r="AF103" s="61"/>
    </row>
    <row r="104" spans="1:32" s="65" customFormat="1" ht="12.75" customHeight="1">
      <c r="A104" s="84">
        <f>D103/C103</f>
        <v>14</v>
      </c>
      <c r="C104" s="246">
        <f>F103-E104</f>
        <v>-720</v>
      </c>
      <c r="E104" s="65">
        <f>D103*0.9</f>
        <v>7182</v>
      </c>
      <c r="F104" s="246">
        <f>E103-L104</f>
        <v>80</v>
      </c>
      <c r="I104" s="80" t="s">
        <v>48</v>
      </c>
      <c r="J104" s="245">
        <f>E103/C103</f>
        <v>1.0403508771929824</v>
      </c>
      <c r="K104" s="80"/>
      <c r="L104" s="80">
        <f>C103*0.9</f>
        <v>513</v>
      </c>
      <c r="M104" s="80"/>
      <c r="N104" s="80"/>
      <c r="O104" s="80" t="s">
        <v>49</v>
      </c>
      <c r="P104" s="80"/>
      <c r="Q104" s="65">
        <f>P90+P91+P93+P94+P95+J90+J91+L90+L91+J93+R93</f>
        <v>3464</v>
      </c>
      <c r="R104" s="65">
        <v>16856</v>
      </c>
      <c r="AA104" s="81"/>
      <c r="AB104" s="81"/>
      <c r="AC104" s="81"/>
      <c r="AD104" s="81"/>
      <c r="AE104" s="81"/>
      <c r="AF104" s="81"/>
    </row>
    <row r="106" spans="1:32" s="63" customFormat="1" ht="12.75" customHeight="1">
      <c r="A106" s="59" t="s">
        <v>97</v>
      </c>
      <c r="B106" s="58" t="s">
        <v>592</v>
      </c>
      <c r="C106" s="56"/>
      <c r="D106" s="57"/>
      <c r="E106" s="58" t="s">
        <v>591</v>
      </c>
      <c r="F106" s="57"/>
      <c r="G106" s="59" t="s">
        <v>37</v>
      </c>
      <c r="H106" s="60">
        <f>H85+1</f>
        <v>16</v>
      </c>
      <c r="I106" s="57"/>
      <c r="J106" s="286"/>
      <c r="K106" s="57"/>
      <c r="L106" s="57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2"/>
      <c r="Z106" s="62"/>
      <c r="AA106" s="62"/>
      <c r="AB106" s="62"/>
      <c r="AC106" s="62"/>
    </row>
    <row r="107" spans="1:32" s="65" customFormat="1" ht="12.75" customHeight="1">
      <c r="A107" s="340" t="s">
        <v>0</v>
      </c>
      <c r="B107" s="336" t="s">
        <v>1</v>
      </c>
      <c r="C107" s="331" t="s">
        <v>25</v>
      </c>
      <c r="D107" s="332"/>
      <c r="E107" s="331" t="s">
        <v>21</v>
      </c>
      <c r="F107" s="332"/>
      <c r="G107" s="335" t="s">
        <v>24</v>
      </c>
      <c r="H107" s="335"/>
      <c r="I107" s="328" t="s">
        <v>33</v>
      </c>
      <c r="J107" s="329"/>
      <c r="K107" s="329"/>
      <c r="L107" s="329"/>
      <c r="M107" s="329"/>
      <c r="N107" s="330"/>
      <c r="O107" s="331" t="s">
        <v>22</v>
      </c>
      <c r="P107" s="332"/>
      <c r="Q107" s="335" t="s">
        <v>23</v>
      </c>
      <c r="R107" s="335"/>
      <c r="S107" s="336" t="s">
        <v>27</v>
      </c>
      <c r="T107" s="64"/>
      <c r="U107" s="64"/>
      <c r="V107" s="64"/>
      <c r="W107" s="64"/>
      <c r="X107" s="64"/>
      <c r="Y107" s="339"/>
      <c r="Z107" s="282"/>
      <c r="AA107" s="61"/>
      <c r="AB107" s="61"/>
      <c r="AC107" s="74"/>
      <c r="AD107" s="61"/>
      <c r="AE107" s="61"/>
      <c r="AF107" s="61"/>
    </row>
    <row r="108" spans="1:32" s="65" customFormat="1" ht="12.75" customHeight="1">
      <c r="A108" s="341"/>
      <c r="B108" s="337"/>
      <c r="C108" s="333"/>
      <c r="D108" s="334"/>
      <c r="E108" s="333"/>
      <c r="F108" s="334"/>
      <c r="G108" s="335"/>
      <c r="H108" s="335"/>
      <c r="I108" s="283" t="s">
        <v>28</v>
      </c>
      <c r="J108" s="284" t="s">
        <v>3</v>
      </c>
      <c r="K108" s="283" t="s">
        <v>29</v>
      </c>
      <c r="L108" s="284" t="s">
        <v>4</v>
      </c>
      <c r="M108" s="328" t="s">
        <v>30</v>
      </c>
      <c r="N108" s="330"/>
      <c r="O108" s="333"/>
      <c r="P108" s="334"/>
      <c r="Q108" s="335"/>
      <c r="R108" s="335"/>
      <c r="S108" s="337"/>
      <c r="T108" s="64"/>
      <c r="U108" s="64"/>
      <c r="V108" s="64"/>
      <c r="W108" s="64"/>
      <c r="X108" s="64"/>
      <c r="Y108" s="339"/>
      <c r="Z108" s="282"/>
      <c r="AA108" s="61"/>
      <c r="AB108" s="61"/>
      <c r="AC108" s="74"/>
      <c r="AD108" s="61"/>
      <c r="AE108" s="61"/>
      <c r="AF108" s="61"/>
    </row>
    <row r="109" spans="1:32" s="65" customFormat="1" ht="12.75" customHeight="1">
      <c r="A109" s="342"/>
      <c r="B109" s="338"/>
      <c r="C109" s="285" t="s">
        <v>5</v>
      </c>
      <c r="D109" s="285" t="s">
        <v>6</v>
      </c>
      <c r="E109" s="284" t="s">
        <v>5</v>
      </c>
      <c r="F109" s="285" t="s">
        <v>6</v>
      </c>
      <c r="G109" s="285" t="s">
        <v>5</v>
      </c>
      <c r="H109" s="285" t="s">
        <v>6</v>
      </c>
      <c r="I109" s="284" t="s">
        <v>5</v>
      </c>
      <c r="J109" s="285" t="s">
        <v>6</v>
      </c>
      <c r="K109" s="284" t="s">
        <v>5</v>
      </c>
      <c r="L109" s="285" t="s">
        <v>6</v>
      </c>
      <c r="M109" s="285"/>
      <c r="N109" s="285"/>
      <c r="O109" s="284" t="s">
        <v>5</v>
      </c>
      <c r="P109" s="285" t="s">
        <v>6</v>
      </c>
      <c r="Q109" s="285" t="s">
        <v>5</v>
      </c>
      <c r="R109" s="285" t="s">
        <v>6</v>
      </c>
      <c r="S109" s="338"/>
      <c r="T109" s="64"/>
      <c r="U109" s="64"/>
      <c r="V109" s="64"/>
      <c r="W109" s="64"/>
      <c r="X109" s="64"/>
      <c r="Y109" s="339"/>
      <c r="Z109" s="282"/>
      <c r="AA109" s="61" t="s">
        <v>43</v>
      </c>
      <c r="AB109" s="61" t="s">
        <v>45</v>
      </c>
      <c r="AC109" s="61" t="s">
        <v>46</v>
      </c>
      <c r="AD109" s="61" t="s">
        <v>42</v>
      </c>
      <c r="AE109" s="61" t="s">
        <v>41</v>
      </c>
      <c r="AF109" s="61" t="s">
        <v>44</v>
      </c>
    </row>
    <row r="110" spans="1:32" s="65" customFormat="1" ht="12.75" customHeight="1">
      <c r="A110" s="51" t="s">
        <v>7</v>
      </c>
      <c r="B110" s="1" t="s">
        <v>18</v>
      </c>
      <c r="C110" s="285">
        <v>0</v>
      </c>
      <c r="D110" s="285">
        <v>0</v>
      </c>
      <c r="E110" s="69">
        <f t="shared" ref="E110:E118" si="58">O110+Q110</f>
        <v>0</v>
      </c>
      <c r="F110" s="70">
        <f t="shared" ref="F110:F118" si="59">P110+R110</f>
        <v>0</v>
      </c>
      <c r="G110" s="285">
        <f t="shared" ref="G110:G119" si="60">E110-C110</f>
        <v>0</v>
      </c>
      <c r="H110" s="285">
        <f t="shared" ref="H110:H119" si="61">F110-D110</f>
        <v>0</v>
      </c>
      <c r="I110" s="70"/>
      <c r="J110" s="70"/>
      <c r="K110" s="70"/>
      <c r="L110" s="70"/>
      <c r="M110" s="70">
        <f t="shared" ref="M110:M123" si="62">I110+K110</f>
        <v>0</v>
      </c>
      <c r="N110" s="70">
        <f t="shared" ref="N110:N123" si="63">J110+L110</f>
        <v>0</v>
      </c>
      <c r="O110" s="71"/>
      <c r="P110" s="71"/>
      <c r="Q110" s="70"/>
      <c r="R110" s="70"/>
      <c r="S110" s="72"/>
      <c r="T110" s="252" t="e">
        <f>E110/C110</f>
        <v>#DIV/0!</v>
      </c>
      <c r="U110" s="73"/>
      <c r="V110" s="73"/>
      <c r="W110" s="73"/>
      <c r="X110" s="73"/>
      <c r="Y110" s="339"/>
      <c r="Z110" s="282"/>
      <c r="AA110" s="61">
        <f>H106</f>
        <v>16</v>
      </c>
      <c r="AB110" s="61" t="str">
        <f>E106</f>
        <v>FCE-RXF-124 W</v>
      </c>
      <c r="AC110" s="74" t="s">
        <v>97</v>
      </c>
      <c r="AD110" s="61" t="str">
        <f t="shared" ref="AD110:AD123" si="64">A110</f>
        <v>KR</v>
      </c>
      <c r="AE110" s="61">
        <f t="shared" ref="AE110:AE123" si="65">C110</f>
        <v>0</v>
      </c>
      <c r="AF110" s="61">
        <f t="shared" ref="AF110:AF123" si="66">E110</f>
        <v>0</v>
      </c>
    </row>
    <row r="111" spans="1:32" s="65" customFormat="1" ht="12.75" customHeight="1">
      <c r="A111" s="52" t="s">
        <v>13</v>
      </c>
      <c r="B111" s="1" t="s">
        <v>18</v>
      </c>
      <c r="C111" s="285">
        <v>0</v>
      </c>
      <c r="D111" s="285">
        <v>0</v>
      </c>
      <c r="E111" s="69">
        <f t="shared" si="58"/>
        <v>0</v>
      </c>
      <c r="F111" s="70">
        <f t="shared" si="59"/>
        <v>0</v>
      </c>
      <c r="G111" s="285">
        <f t="shared" si="60"/>
        <v>0</v>
      </c>
      <c r="H111" s="285">
        <f t="shared" si="61"/>
        <v>0</v>
      </c>
      <c r="I111" s="75"/>
      <c r="J111" s="75"/>
      <c r="K111" s="70"/>
      <c r="L111" s="70"/>
      <c r="M111" s="70">
        <f t="shared" si="62"/>
        <v>0</v>
      </c>
      <c r="N111" s="70">
        <f t="shared" si="63"/>
        <v>0</v>
      </c>
      <c r="O111" s="75"/>
      <c r="P111" s="75"/>
      <c r="Q111" s="71"/>
      <c r="R111" s="71"/>
      <c r="S111" s="72"/>
      <c r="T111" s="252" t="e">
        <f t="shared" ref="T111:T121" si="67">E111/C111</f>
        <v>#DIV/0!</v>
      </c>
      <c r="U111" s="73"/>
      <c r="V111" s="73"/>
      <c r="W111" s="73"/>
      <c r="X111" s="73"/>
      <c r="AA111" s="61">
        <f>H106</f>
        <v>16</v>
      </c>
      <c r="AB111" s="61" t="str">
        <f>E106</f>
        <v>FCE-RXF-124 W</v>
      </c>
      <c r="AC111" s="74" t="s">
        <v>97</v>
      </c>
      <c r="AD111" s="61" t="str">
        <f t="shared" si="64"/>
        <v>TAO</v>
      </c>
      <c r="AE111" s="61">
        <f t="shared" si="65"/>
        <v>0</v>
      </c>
      <c r="AF111" s="61">
        <f t="shared" si="66"/>
        <v>0</v>
      </c>
    </row>
    <row r="112" spans="1:32" s="65" customFormat="1" ht="12.75" customHeight="1">
      <c r="A112" s="52" t="s">
        <v>9</v>
      </c>
      <c r="B112" s="1">
        <f>B91+7</f>
        <v>43194</v>
      </c>
      <c r="C112" s="285">
        <v>100</v>
      </c>
      <c r="D112" s="285">
        <v>1400</v>
      </c>
      <c r="E112" s="69">
        <f t="shared" si="58"/>
        <v>64</v>
      </c>
      <c r="F112" s="70">
        <f t="shared" si="59"/>
        <v>1106</v>
      </c>
      <c r="G112" s="285">
        <f t="shared" si="60"/>
        <v>-36</v>
      </c>
      <c r="H112" s="285">
        <f t="shared" si="61"/>
        <v>-294</v>
      </c>
      <c r="I112" s="75">
        <v>31</v>
      </c>
      <c r="J112" s="75">
        <v>364</v>
      </c>
      <c r="K112" s="71">
        <v>35</v>
      </c>
      <c r="L112" s="71">
        <v>679</v>
      </c>
      <c r="M112" s="70">
        <f t="shared" si="62"/>
        <v>66</v>
      </c>
      <c r="N112" s="70">
        <f t="shared" si="63"/>
        <v>1043</v>
      </c>
      <c r="O112" s="75">
        <f>54+10</f>
        <v>64</v>
      </c>
      <c r="P112" s="75">
        <v>1106</v>
      </c>
      <c r="Q112" s="71"/>
      <c r="R112" s="71"/>
      <c r="S112" s="72"/>
      <c r="T112" s="252">
        <f t="shared" si="67"/>
        <v>0.64</v>
      </c>
      <c r="U112" s="73"/>
      <c r="V112" s="73"/>
      <c r="W112" s="73"/>
      <c r="X112" s="73"/>
      <c r="AA112" s="61">
        <f>H106</f>
        <v>16</v>
      </c>
      <c r="AB112" s="61" t="str">
        <f>E106</f>
        <v>FCE-RXF-124 W</v>
      </c>
      <c r="AC112" s="74" t="s">
        <v>97</v>
      </c>
      <c r="AD112" s="61" t="str">
        <f t="shared" si="64"/>
        <v>SHA</v>
      </c>
      <c r="AE112" s="61">
        <f t="shared" si="65"/>
        <v>100</v>
      </c>
      <c r="AF112" s="61">
        <f t="shared" si="66"/>
        <v>64</v>
      </c>
    </row>
    <row r="113" spans="1:32" s="65" customFormat="1" ht="12.75" customHeight="1">
      <c r="A113" s="52" t="s">
        <v>8</v>
      </c>
      <c r="B113" s="1">
        <f>B92+7</f>
        <v>43196</v>
      </c>
      <c r="C113" s="285">
        <v>120</v>
      </c>
      <c r="D113" s="285">
        <v>1680</v>
      </c>
      <c r="E113" s="69">
        <f t="shared" si="58"/>
        <v>122</v>
      </c>
      <c r="F113" s="70">
        <f t="shared" si="59"/>
        <v>1072</v>
      </c>
      <c r="G113" s="285">
        <f t="shared" si="60"/>
        <v>2</v>
      </c>
      <c r="H113" s="285">
        <f t="shared" si="61"/>
        <v>-608</v>
      </c>
      <c r="I113" s="71">
        <v>65</v>
      </c>
      <c r="J113" s="71">
        <v>4555</v>
      </c>
      <c r="K113" s="71">
        <v>22</v>
      </c>
      <c r="L113" s="71">
        <v>235</v>
      </c>
      <c r="M113" s="70">
        <f t="shared" si="62"/>
        <v>87</v>
      </c>
      <c r="N113" s="70">
        <f t="shared" si="63"/>
        <v>4790</v>
      </c>
      <c r="O113" s="71"/>
      <c r="P113" s="71"/>
      <c r="Q113" s="71">
        <v>122</v>
      </c>
      <c r="R113" s="71">
        <v>1072</v>
      </c>
      <c r="S113" s="72"/>
      <c r="T113" s="252">
        <f t="shared" si="67"/>
        <v>1.0166666666666666</v>
      </c>
      <c r="U113" s="73"/>
      <c r="V113" s="73"/>
      <c r="W113" s="73"/>
      <c r="X113" s="73"/>
      <c r="AA113" s="61">
        <f>H106</f>
        <v>16</v>
      </c>
      <c r="AB113" s="61" t="str">
        <f>E106</f>
        <v>FCE-RXF-124 W</v>
      </c>
      <c r="AC113" s="74" t="s">
        <v>97</v>
      </c>
      <c r="AD113" s="61" t="str">
        <f t="shared" si="64"/>
        <v>NGB</v>
      </c>
      <c r="AE113" s="61">
        <f t="shared" si="65"/>
        <v>120</v>
      </c>
      <c r="AF113" s="61">
        <f t="shared" si="66"/>
        <v>122</v>
      </c>
    </row>
    <row r="114" spans="1:32" s="65" customFormat="1" ht="12.75" customHeight="1">
      <c r="A114" s="52" t="s">
        <v>10</v>
      </c>
      <c r="B114" s="1" t="s">
        <v>18</v>
      </c>
      <c r="C114" s="285">
        <v>50</v>
      </c>
      <c r="D114" s="285">
        <v>700</v>
      </c>
      <c r="E114" s="69">
        <f t="shared" si="58"/>
        <v>5</v>
      </c>
      <c r="F114" s="70">
        <f t="shared" si="59"/>
        <v>103</v>
      </c>
      <c r="G114" s="285">
        <f t="shared" si="60"/>
        <v>-45</v>
      </c>
      <c r="H114" s="285">
        <f t="shared" si="61"/>
        <v>-597</v>
      </c>
      <c r="I114" s="75"/>
      <c r="J114" s="75"/>
      <c r="K114" s="70"/>
      <c r="L114" s="70"/>
      <c r="M114" s="70">
        <f t="shared" si="62"/>
        <v>0</v>
      </c>
      <c r="N114" s="70">
        <f t="shared" si="63"/>
        <v>0</v>
      </c>
      <c r="O114" s="75">
        <v>5</v>
      </c>
      <c r="P114" s="75">
        <v>103</v>
      </c>
      <c r="Q114" s="70"/>
      <c r="R114" s="70"/>
      <c r="S114" s="72"/>
      <c r="T114" s="252">
        <f t="shared" si="67"/>
        <v>0.1</v>
      </c>
      <c r="U114" s="73"/>
      <c r="V114" s="73"/>
      <c r="W114" s="73"/>
      <c r="X114" s="73"/>
      <c r="AA114" s="61">
        <f>H106</f>
        <v>16</v>
      </c>
      <c r="AB114" s="61" t="str">
        <f>E106</f>
        <v>FCE-RXF-124 W</v>
      </c>
      <c r="AC114" s="74" t="s">
        <v>97</v>
      </c>
      <c r="AD114" s="61" t="str">
        <f t="shared" si="64"/>
        <v>WUH</v>
      </c>
      <c r="AE114" s="61">
        <f t="shared" si="65"/>
        <v>50</v>
      </c>
      <c r="AF114" s="61">
        <f t="shared" si="66"/>
        <v>5</v>
      </c>
    </row>
    <row r="115" spans="1:32" s="65" customFormat="1" ht="12.75" customHeight="1">
      <c r="A115" s="52" t="s">
        <v>11</v>
      </c>
      <c r="B115" s="1" t="s">
        <v>18</v>
      </c>
      <c r="C115" s="285">
        <v>0</v>
      </c>
      <c r="D115" s="285">
        <v>0</v>
      </c>
      <c r="E115" s="69">
        <f t="shared" si="58"/>
        <v>10</v>
      </c>
      <c r="F115" s="70">
        <f t="shared" si="59"/>
        <v>273</v>
      </c>
      <c r="G115" s="285">
        <f t="shared" si="60"/>
        <v>10</v>
      </c>
      <c r="H115" s="285">
        <f t="shared" si="61"/>
        <v>273</v>
      </c>
      <c r="I115" s="70"/>
      <c r="J115" s="70"/>
      <c r="K115" s="70"/>
      <c r="L115" s="70"/>
      <c r="M115" s="70">
        <f t="shared" si="62"/>
        <v>0</v>
      </c>
      <c r="N115" s="70">
        <f t="shared" si="63"/>
        <v>0</v>
      </c>
      <c r="O115" s="75"/>
      <c r="P115" s="75"/>
      <c r="Q115" s="70">
        <v>10</v>
      </c>
      <c r="R115" s="70">
        <v>273</v>
      </c>
      <c r="S115" s="72"/>
      <c r="T115" s="252" t="e">
        <f t="shared" si="67"/>
        <v>#DIV/0!</v>
      </c>
      <c r="U115" s="73"/>
      <c r="V115" s="73"/>
      <c r="W115" s="73"/>
      <c r="X115" s="73"/>
      <c r="AA115" s="61">
        <f>H106</f>
        <v>16</v>
      </c>
      <c r="AB115" s="61" t="str">
        <f>E106</f>
        <v>FCE-RXF-124 W</v>
      </c>
      <c r="AC115" s="74" t="s">
        <v>97</v>
      </c>
      <c r="AD115" s="61" t="str">
        <f t="shared" si="64"/>
        <v>DLC</v>
      </c>
      <c r="AE115" s="61">
        <f t="shared" si="65"/>
        <v>0</v>
      </c>
      <c r="AF115" s="61">
        <f t="shared" si="66"/>
        <v>10</v>
      </c>
    </row>
    <row r="116" spans="1:32" s="65" customFormat="1" ht="12.75" customHeight="1">
      <c r="A116" s="52" t="s">
        <v>12</v>
      </c>
      <c r="B116" s="1" t="s">
        <v>18</v>
      </c>
      <c r="C116" s="285">
        <v>0</v>
      </c>
      <c r="D116" s="285">
        <v>0</v>
      </c>
      <c r="E116" s="69">
        <f t="shared" si="58"/>
        <v>0</v>
      </c>
      <c r="F116" s="70">
        <f t="shared" si="59"/>
        <v>0</v>
      </c>
      <c r="G116" s="285">
        <f t="shared" si="60"/>
        <v>0</v>
      </c>
      <c r="H116" s="285">
        <f t="shared" si="61"/>
        <v>0</v>
      </c>
      <c r="I116" s="70"/>
      <c r="J116" s="70"/>
      <c r="K116" s="70"/>
      <c r="L116" s="70"/>
      <c r="M116" s="70">
        <f t="shared" si="62"/>
        <v>0</v>
      </c>
      <c r="N116" s="70">
        <f t="shared" si="63"/>
        <v>0</v>
      </c>
      <c r="O116" s="75"/>
      <c r="P116" s="75"/>
      <c r="Q116" s="76"/>
      <c r="R116" s="71"/>
      <c r="S116" s="72"/>
      <c r="T116" s="252" t="e">
        <f t="shared" si="67"/>
        <v>#DIV/0!</v>
      </c>
      <c r="U116" s="73"/>
      <c r="V116" s="73"/>
      <c r="W116" s="73"/>
      <c r="X116" s="73"/>
      <c r="AA116" s="61">
        <f>H106</f>
        <v>16</v>
      </c>
      <c r="AB116" s="61" t="str">
        <f>E106</f>
        <v>FCE-RXF-124 W</v>
      </c>
      <c r="AC116" s="74" t="s">
        <v>97</v>
      </c>
      <c r="AD116" s="61" t="str">
        <f t="shared" si="64"/>
        <v>TSN</v>
      </c>
      <c r="AE116" s="61">
        <f t="shared" si="65"/>
        <v>0</v>
      </c>
      <c r="AF116" s="61">
        <f t="shared" si="66"/>
        <v>0</v>
      </c>
    </row>
    <row r="117" spans="1:32" s="65" customFormat="1" ht="12.75" customHeight="1">
      <c r="A117" s="52" t="s">
        <v>14</v>
      </c>
      <c r="B117" s="1" t="s">
        <v>18</v>
      </c>
      <c r="C117" s="285">
        <v>0</v>
      </c>
      <c r="D117" s="285">
        <v>0</v>
      </c>
      <c r="E117" s="69">
        <f t="shared" si="58"/>
        <v>27</v>
      </c>
      <c r="F117" s="70">
        <f t="shared" si="59"/>
        <v>228</v>
      </c>
      <c r="G117" s="285">
        <f t="shared" si="60"/>
        <v>27</v>
      </c>
      <c r="H117" s="285">
        <f t="shared" si="61"/>
        <v>228</v>
      </c>
      <c r="I117" s="70"/>
      <c r="J117" s="70"/>
      <c r="K117" s="70"/>
      <c r="L117" s="70"/>
      <c r="M117" s="70">
        <f t="shared" si="62"/>
        <v>0</v>
      </c>
      <c r="N117" s="70">
        <f t="shared" si="63"/>
        <v>0</v>
      </c>
      <c r="O117" s="71"/>
      <c r="P117" s="71"/>
      <c r="Q117" s="70">
        <v>27</v>
      </c>
      <c r="R117" s="70">
        <v>228</v>
      </c>
      <c r="S117" s="72"/>
      <c r="T117" s="252" t="e">
        <f t="shared" si="67"/>
        <v>#DIV/0!</v>
      </c>
      <c r="U117" s="73"/>
      <c r="V117" s="73"/>
      <c r="W117" s="73"/>
      <c r="X117" s="73"/>
      <c r="AA117" s="61">
        <f>H106</f>
        <v>16</v>
      </c>
      <c r="AB117" s="61" t="str">
        <f>E106</f>
        <v>FCE-RXF-124 W</v>
      </c>
      <c r="AC117" s="74" t="s">
        <v>97</v>
      </c>
      <c r="AD117" s="61" t="str">
        <f t="shared" si="64"/>
        <v>XMN</v>
      </c>
      <c r="AE117" s="61">
        <f t="shared" si="65"/>
        <v>0</v>
      </c>
      <c r="AF117" s="61">
        <f t="shared" si="66"/>
        <v>27</v>
      </c>
    </row>
    <row r="118" spans="1:32" s="65" customFormat="1" ht="12.75" customHeight="1">
      <c r="A118" s="52" t="s">
        <v>19</v>
      </c>
      <c r="B118" s="1" t="s">
        <v>18</v>
      </c>
      <c r="C118" s="285">
        <v>0</v>
      </c>
      <c r="D118" s="285">
        <v>0</v>
      </c>
      <c r="E118" s="69">
        <f t="shared" si="58"/>
        <v>6</v>
      </c>
      <c r="F118" s="70">
        <f t="shared" si="59"/>
        <v>60</v>
      </c>
      <c r="G118" s="285">
        <f t="shared" si="60"/>
        <v>6</v>
      </c>
      <c r="H118" s="285">
        <f t="shared" si="61"/>
        <v>60</v>
      </c>
      <c r="I118" s="70"/>
      <c r="J118" s="70"/>
      <c r="K118" s="70"/>
      <c r="L118" s="70"/>
      <c r="M118" s="70">
        <f t="shared" si="62"/>
        <v>0</v>
      </c>
      <c r="N118" s="70">
        <f t="shared" si="63"/>
        <v>0</v>
      </c>
      <c r="O118" s="70"/>
      <c r="P118" s="70"/>
      <c r="Q118" s="70">
        <v>6</v>
      </c>
      <c r="R118" s="70">
        <v>60</v>
      </c>
      <c r="S118" s="72"/>
      <c r="T118" s="252" t="e">
        <f t="shared" si="67"/>
        <v>#DIV/0!</v>
      </c>
      <c r="U118" s="73"/>
      <c r="V118" s="73"/>
      <c r="W118" s="73"/>
      <c r="X118" s="73"/>
      <c r="AA118" s="61">
        <f>H106</f>
        <v>16</v>
      </c>
      <c r="AB118" s="61" t="str">
        <f>E106</f>
        <v>FCE-RXF-124 W</v>
      </c>
      <c r="AC118" s="74" t="s">
        <v>97</v>
      </c>
      <c r="AD118" s="61" t="str">
        <f t="shared" si="64"/>
        <v>TWC</v>
      </c>
      <c r="AE118" s="61">
        <f t="shared" si="65"/>
        <v>0</v>
      </c>
      <c r="AF118" s="61">
        <f t="shared" si="66"/>
        <v>6</v>
      </c>
    </row>
    <row r="119" spans="1:32" s="65" customFormat="1" ht="12.75" customHeight="1">
      <c r="A119" s="52" t="s">
        <v>16</v>
      </c>
      <c r="B119" s="1">
        <f>B98+7</f>
        <v>43199</v>
      </c>
      <c r="C119" s="285">
        <v>100</v>
      </c>
      <c r="D119" s="285">
        <v>1400</v>
      </c>
      <c r="E119" s="69">
        <f>O119+Q119</f>
        <v>93</v>
      </c>
      <c r="F119" s="70">
        <f>P119+R118</f>
        <v>60</v>
      </c>
      <c r="G119" s="285">
        <f t="shared" si="60"/>
        <v>-7</v>
      </c>
      <c r="H119" s="285">
        <f t="shared" si="61"/>
        <v>-1340</v>
      </c>
      <c r="I119" s="70">
        <v>2</v>
      </c>
      <c r="J119" s="70">
        <v>11</v>
      </c>
      <c r="K119" s="70">
        <v>8</v>
      </c>
      <c r="L119" s="70">
        <v>99</v>
      </c>
      <c r="M119" s="70">
        <f t="shared" si="62"/>
        <v>10</v>
      </c>
      <c r="N119" s="70">
        <f t="shared" si="63"/>
        <v>110</v>
      </c>
      <c r="O119" s="70"/>
      <c r="P119" s="70"/>
      <c r="Q119" s="70">
        <v>93</v>
      </c>
      <c r="R119" s="84">
        <v>625</v>
      </c>
      <c r="S119" s="77" t="s">
        <v>616</v>
      </c>
      <c r="T119" s="252">
        <f t="shared" si="67"/>
        <v>0.93</v>
      </c>
      <c r="U119" s="73"/>
      <c r="V119" s="73"/>
      <c r="W119" s="73"/>
      <c r="X119" s="73"/>
      <c r="AA119" s="61">
        <f>H106</f>
        <v>16</v>
      </c>
      <c r="AB119" s="61" t="str">
        <f>E106</f>
        <v>FCE-RXF-124 W</v>
      </c>
      <c r="AC119" s="74" t="s">
        <v>97</v>
      </c>
      <c r="AD119" s="61" t="str">
        <f t="shared" si="64"/>
        <v>HUA</v>
      </c>
      <c r="AE119" s="61">
        <f t="shared" si="65"/>
        <v>100</v>
      </c>
      <c r="AF119" s="61">
        <f t="shared" si="66"/>
        <v>93</v>
      </c>
    </row>
    <row r="120" spans="1:32" s="65" customFormat="1" ht="12.75" customHeight="1">
      <c r="A120" s="52" t="s">
        <v>556</v>
      </c>
      <c r="B120" s="1">
        <f>B99+7</f>
        <v>43198</v>
      </c>
      <c r="C120" s="285"/>
      <c r="D120" s="285"/>
      <c r="E120" s="69">
        <f>O120+Q120</f>
        <v>11</v>
      </c>
      <c r="F120" s="70">
        <f>P120+R120</f>
        <v>267</v>
      </c>
      <c r="G120" s="285"/>
      <c r="H120" s="285"/>
      <c r="I120" s="70"/>
      <c r="J120" s="70"/>
      <c r="K120" s="70"/>
      <c r="L120" s="70"/>
      <c r="M120" s="70">
        <f t="shared" si="62"/>
        <v>0</v>
      </c>
      <c r="N120" s="70">
        <f t="shared" si="63"/>
        <v>0</v>
      </c>
      <c r="O120" s="70"/>
      <c r="P120" s="70"/>
      <c r="Q120" s="70">
        <v>11</v>
      </c>
      <c r="R120" s="70">
        <v>267</v>
      </c>
      <c r="S120" s="72"/>
      <c r="T120" s="252" t="e">
        <f t="shared" si="67"/>
        <v>#DIV/0!</v>
      </c>
      <c r="U120" s="73"/>
      <c r="V120" s="73"/>
      <c r="W120" s="73"/>
      <c r="X120" s="73"/>
      <c r="AA120" s="61">
        <f>H106</f>
        <v>16</v>
      </c>
      <c r="AB120" s="61" t="str">
        <f>E106</f>
        <v>FCE-RXF-124 W</v>
      </c>
      <c r="AC120" s="74" t="s">
        <v>97</v>
      </c>
      <c r="AD120" s="61" t="str">
        <f t="shared" si="64"/>
        <v>HAK</v>
      </c>
      <c r="AE120" s="61">
        <f t="shared" si="65"/>
        <v>0</v>
      </c>
      <c r="AF120" s="61">
        <f t="shared" si="66"/>
        <v>11</v>
      </c>
    </row>
    <row r="121" spans="1:32" s="65" customFormat="1" ht="12.75" customHeight="1">
      <c r="A121" s="52" t="s">
        <v>3</v>
      </c>
      <c r="B121" s="1">
        <f>B100+7</f>
        <v>43204</v>
      </c>
      <c r="C121" s="285">
        <v>100</v>
      </c>
      <c r="D121" s="285">
        <v>1400</v>
      </c>
      <c r="E121" s="69">
        <f>O121+Q121</f>
        <v>100</v>
      </c>
      <c r="F121" s="70">
        <f>P121+R121</f>
        <v>1400</v>
      </c>
      <c r="G121" s="285">
        <f t="shared" ref="G121:G124" si="68">E121-C121</f>
        <v>0</v>
      </c>
      <c r="H121" s="285">
        <f t="shared" ref="H121:H124" si="69">F121-D121</f>
        <v>0</v>
      </c>
      <c r="I121" s="70"/>
      <c r="J121" s="70"/>
      <c r="K121" s="70"/>
      <c r="L121" s="70"/>
      <c r="M121" s="70">
        <f t="shared" si="62"/>
        <v>0</v>
      </c>
      <c r="N121" s="70">
        <f t="shared" si="63"/>
        <v>0</v>
      </c>
      <c r="O121" s="285"/>
      <c r="P121" s="285"/>
      <c r="Q121" s="70">
        <v>100</v>
      </c>
      <c r="R121" s="70">
        <v>1400</v>
      </c>
      <c r="S121" s="72"/>
      <c r="T121" s="252">
        <f t="shared" si="67"/>
        <v>1</v>
      </c>
      <c r="U121" s="73"/>
      <c r="V121" s="73"/>
      <c r="W121" s="73"/>
      <c r="X121" s="73"/>
      <c r="AA121" s="61">
        <f>H106</f>
        <v>16</v>
      </c>
      <c r="AB121" s="61" t="str">
        <f>E106</f>
        <v>FCE-RXF-124 W</v>
      </c>
      <c r="AC121" s="74" t="s">
        <v>97</v>
      </c>
      <c r="AD121" s="61" t="str">
        <f t="shared" si="64"/>
        <v>SGP</v>
      </c>
      <c r="AE121" s="61">
        <f t="shared" si="65"/>
        <v>100</v>
      </c>
      <c r="AF121" s="61">
        <f t="shared" si="66"/>
        <v>100</v>
      </c>
    </row>
    <row r="122" spans="1:32" s="65" customFormat="1" ht="12.75" customHeight="1">
      <c r="A122" s="52" t="s">
        <v>4</v>
      </c>
      <c r="B122" s="1">
        <f>B101+7</f>
        <v>43205</v>
      </c>
      <c r="C122" s="285">
        <v>50</v>
      </c>
      <c r="D122" s="285">
        <v>700</v>
      </c>
      <c r="E122" s="69">
        <f>O122+Q122</f>
        <v>0</v>
      </c>
      <c r="F122" s="70">
        <f>P122+R122</f>
        <v>0</v>
      </c>
      <c r="G122" s="285">
        <f t="shared" si="68"/>
        <v>-50</v>
      </c>
      <c r="H122" s="285">
        <f t="shared" si="69"/>
        <v>-700</v>
      </c>
      <c r="I122" s="70"/>
      <c r="J122" s="70"/>
      <c r="K122" s="70"/>
      <c r="L122" s="70"/>
      <c r="M122" s="70">
        <f t="shared" si="62"/>
        <v>0</v>
      </c>
      <c r="N122" s="70">
        <f t="shared" si="63"/>
        <v>0</v>
      </c>
      <c r="O122" s="70"/>
      <c r="P122" s="70"/>
      <c r="Q122" s="70"/>
      <c r="R122" s="70"/>
      <c r="S122" s="77" t="s">
        <v>615</v>
      </c>
      <c r="T122" s="252">
        <f>E122/C122</f>
        <v>0</v>
      </c>
      <c r="U122" s="73"/>
      <c r="V122" s="73"/>
      <c r="W122" s="73"/>
      <c r="X122" s="73"/>
      <c r="AA122" s="61">
        <f>H106</f>
        <v>16</v>
      </c>
      <c r="AB122" s="61" t="str">
        <f>E106</f>
        <v>FCE-RXF-124 W</v>
      </c>
      <c r="AC122" s="74" t="s">
        <v>97</v>
      </c>
      <c r="AD122" s="61" t="str">
        <f t="shared" si="64"/>
        <v>PKL</v>
      </c>
      <c r="AE122" s="61">
        <f t="shared" si="65"/>
        <v>50</v>
      </c>
      <c r="AF122" s="61">
        <f t="shared" si="66"/>
        <v>0</v>
      </c>
    </row>
    <row r="123" spans="1:32" s="65" customFormat="1" ht="12.75" customHeight="1">
      <c r="A123" s="52" t="s">
        <v>15</v>
      </c>
      <c r="B123" s="285"/>
      <c r="C123" s="285">
        <v>50</v>
      </c>
      <c r="D123" s="285">
        <v>700</v>
      </c>
      <c r="E123" s="69">
        <f>O123+Q123</f>
        <v>103</v>
      </c>
      <c r="F123" s="70">
        <f>P123+R123</f>
        <v>1561</v>
      </c>
      <c r="G123" s="285">
        <f t="shared" si="68"/>
        <v>53</v>
      </c>
      <c r="H123" s="285">
        <f t="shared" si="69"/>
        <v>861</v>
      </c>
      <c r="I123" s="70"/>
      <c r="J123" s="70"/>
      <c r="K123" s="70"/>
      <c r="L123" s="70"/>
      <c r="M123" s="70">
        <f t="shared" si="62"/>
        <v>0</v>
      </c>
      <c r="N123" s="70">
        <f t="shared" si="63"/>
        <v>0</v>
      </c>
      <c r="O123" s="71">
        <v>78</v>
      </c>
      <c r="P123" s="71">
        <v>1315</v>
      </c>
      <c r="Q123" s="71">
        <v>25</v>
      </c>
      <c r="R123" s="71">
        <v>246</v>
      </c>
      <c r="S123" s="72"/>
      <c r="T123" s="73"/>
      <c r="U123" s="73"/>
      <c r="V123" s="73"/>
      <c r="W123" s="73"/>
      <c r="X123" s="73"/>
      <c r="AA123" s="61">
        <f>H106</f>
        <v>16</v>
      </c>
      <c r="AB123" s="61" t="str">
        <f>E106</f>
        <v>FCE-RXF-124 W</v>
      </c>
      <c r="AC123" s="74" t="s">
        <v>97</v>
      </c>
      <c r="AD123" s="61" t="str">
        <f t="shared" si="64"/>
        <v>T/S</v>
      </c>
      <c r="AE123" s="61">
        <f t="shared" si="65"/>
        <v>50</v>
      </c>
      <c r="AF123" s="61">
        <f t="shared" si="66"/>
        <v>103</v>
      </c>
    </row>
    <row r="124" spans="1:32" s="65" customFormat="1" ht="12.75" customHeight="1">
      <c r="A124" s="51" t="s">
        <v>36</v>
      </c>
      <c r="B124" s="72"/>
      <c r="C124" s="71">
        <f>SUM(C110:C123)</f>
        <v>570</v>
      </c>
      <c r="D124" s="71">
        <f>SUM(D110:D123)</f>
        <v>7980</v>
      </c>
      <c r="E124" s="78">
        <f>SUM(E110:E123)</f>
        <v>541</v>
      </c>
      <c r="F124" s="76">
        <f>SUM(F110:F123)</f>
        <v>6130</v>
      </c>
      <c r="G124" s="71">
        <f t="shared" si="68"/>
        <v>-29</v>
      </c>
      <c r="H124" s="71">
        <f t="shared" si="69"/>
        <v>-1850</v>
      </c>
      <c r="I124" s="70">
        <f t="shared" ref="I124:L124" si="70">SUM(I110:I123)</f>
        <v>98</v>
      </c>
      <c r="J124" s="70">
        <f t="shared" si="70"/>
        <v>4930</v>
      </c>
      <c r="K124" s="70">
        <f t="shared" si="70"/>
        <v>65</v>
      </c>
      <c r="L124" s="70">
        <f t="shared" si="70"/>
        <v>1013</v>
      </c>
      <c r="M124" s="70"/>
      <c r="N124" s="70"/>
      <c r="O124" s="70">
        <f t="shared" ref="O124:R124" si="71">SUM(O110:O123)</f>
        <v>147</v>
      </c>
      <c r="P124" s="70">
        <f t="shared" si="71"/>
        <v>2524</v>
      </c>
      <c r="Q124" s="70">
        <f t="shared" si="71"/>
        <v>394</v>
      </c>
      <c r="R124" s="70">
        <f t="shared" si="71"/>
        <v>4171</v>
      </c>
      <c r="S124" s="72"/>
      <c r="T124" s="73"/>
      <c r="U124" s="73"/>
      <c r="V124" s="73"/>
      <c r="W124" s="73"/>
      <c r="X124" s="73"/>
      <c r="AA124" s="61"/>
      <c r="AB124" s="61"/>
      <c r="AC124" s="61"/>
      <c r="AD124" s="61"/>
      <c r="AE124" s="61"/>
      <c r="AF124" s="61"/>
    </row>
    <row r="125" spans="1:32" s="65" customFormat="1" ht="12.75" customHeight="1">
      <c r="A125" s="84">
        <f>D124/C124</f>
        <v>14</v>
      </c>
      <c r="C125" s="281">
        <f>F124-E125</f>
        <v>-1052</v>
      </c>
      <c r="E125" s="65">
        <f>D124*0.9</f>
        <v>7182</v>
      </c>
      <c r="F125" s="281">
        <f>E124-L125</f>
        <v>28</v>
      </c>
      <c r="I125" s="80" t="s">
        <v>48</v>
      </c>
      <c r="J125" s="245">
        <f>E124/C124</f>
        <v>0.94912280701754381</v>
      </c>
      <c r="K125" s="80"/>
      <c r="L125" s="80">
        <f>C124*0.9</f>
        <v>513</v>
      </c>
      <c r="M125" s="80"/>
      <c r="N125" s="80"/>
      <c r="O125" s="80" t="s">
        <v>49</v>
      </c>
      <c r="P125" s="80"/>
      <c r="Q125" s="65">
        <f>P111+P112+P114+P115+P116+J111+J112+L111+L112+J114+R114</f>
        <v>2252</v>
      </c>
      <c r="R125" s="65">
        <v>16856</v>
      </c>
      <c r="AA125" s="81"/>
      <c r="AB125" s="81"/>
      <c r="AC125" s="81"/>
      <c r="AD125" s="81"/>
      <c r="AE125" s="81"/>
      <c r="AF125" s="81"/>
    </row>
    <row r="127" spans="1:32" s="63" customFormat="1" ht="12.75" customHeight="1">
      <c r="A127" s="59" t="s">
        <v>97</v>
      </c>
      <c r="B127" s="298" t="s">
        <v>589</v>
      </c>
      <c r="C127" s="56"/>
      <c r="D127" s="57"/>
      <c r="E127" s="58" t="s">
        <v>590</v>
      </c>
      <c r="F127" s="57"/>
      <c r="G127" s="59" t="s">
        <v>37</v>
      </c>
      <c r="H127" s="60">
        <f>H106+1</f>
        <v>17</v>
      </c>
      <c r="I127" s="57"/>
      <c r="J127" s="286"/>
      <c r="K127" s="57"/>
      <c r="L127" s="57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2"/>
      <c r="Z127" s="62"/>
      <c r="AA127" s="62"/>
      <c r="AB127" s="62"/>
      <c r="AC127" s="62"/>
    </row>
    <row r="128" spans="1:32" s="65" customFormat="1" ht="12.75" customHeight="1">
      <c r="A128" s="340" t="s">
        <v>0</v>
      </c>
      <c r="B128" s="336" t="s">
        <v>1</v>
      </c>
      <c r="C128" s="331" t="s">
        <v>25</v>
      </c>
      <c r="D128" s="332"/>
      <c r="E128" s="331" t="s">
        <v>21</v>
      </c>
      <c r="F128" s="332"/>
      <c r="G128" s="335" t="s">
        <v>24</v>
      </c>
      <c r="H128" s="335"/>
      <c r="I128" s="328" t="s">
        <v>33</v>
      </c>
      <c r="J128" s="329"/>
      <c r="K128" s="329"/>
      <c r="L128" s="329"/>
      <c r="M128" s="329"/>
      <c r="N128" s="330"/>
      <c r="O128" s="331" t="s">
        <v>22</v>
      </c>
      <c r="P128" s="332"/>
      <c r="Q128" s="335" t="s">
        <v>23</v>
      </c>
      <c r="R128" s="335"/>
      <c r="S128" s="336" t="s">
        <v>27</v>
      </c>
      <c r="T128" s="64"/>
      <c r="U128" s="64"/>
      <c r="V128" s="64"/>
      <c r="W128" s="64"/>
      <c r="X128" s="64"/>
      <c r="Y128" s="339"/>
      <c r="Z128" s="297"/>
      <c r="AA128" s="61"/>
      <c r="AB128" s="61"/>
      <c r="AC128" s="74"/>
      <c r="AD128" s="61"/>
      <c r="AE128" s="61"/>
      <c r="AF128" s="61"/>
    </row>
    <row r="129" spans="1:32" s="65" customFormat="1" ht="12.75" customHeight="1">
      <c r="A129" s="341"/>
      <c r="B129" s="337"/>
      <c r="C129" s="333"/>
      <c r="D129" s="334"/>
      <c r="E129" s="333"/>
      <c r="F129" s="334"/>
      <c r="G129" s="335"/>
      <c r="H129" s="335"/>
      <c r="I129" s="293" t="s">
        <v>28</v>
      </c>
      <c r="J129" s="294" t="s">
        <v>3</v>
      </c>
      <c r="K129" s="293" t="s">
        <v>29</v>
      </c>
      <c r="L129" s="294" t="s">
        <v>4</v>
      </c>
      <c r="M129" s="328" t="s">
        <v>30</v>
      </c>
      <c r="N129" s="330"/>
      <c r="O129" s="333"/>
      <c r="P129" s="334"/>
      <c r="Q129" s="335"/>
      <c r="R129" s="335"/>
      <c r="S129" s="337"/>
      <c r="T129" s="64"/>
      <c r="U129" s="64"/>
      <c r="V129" s="64"/>
      <c r="W129" s="64"/>
      <c r="X129" s="64"/>
      <c r="Y129" s="339"/>
      <c r="Z129" s="297"/>
      <c r="AA129" s="61"/>
      <c r="AB129" s="61"/>
      <c r="AC129" s="74"/>
      <c r="AD129" s="61"/>
      <c r="AE129" s="61"/>
      <c r="AF129" s="61"/>
    </row>
    <row r="130" spans="1:32" s="65" customFormat="1" ht="12.75" customHeight="1">
      <c r="A130" s="342"/>
      <c r="B130" s="338"/>
      <c r="C130" s="295" t="s">
        <v>5</v>
      </c>
      <c r="D130" s="295" t="s">
        <v>6</v>
      </c>
      <c r="E130" s="294" t="s">
        <v>5</v>
      </c>
      <c r="F130" s="295" t="s">
        <v>6</v>
      </c>
      <c r="G130" s="295" t="s">
        <v>5</v>
      </c>
      <c r="H130" s="295" t="s">
        <v>6</v>
      </c>
      <c r="I130" s="294" t="s">
        <v>5</v>
      </c>
      <c r="J130" s="295" t="s">
        <v>6</v>
      </c>
      <c r="K130" s="294" t="s">
        <v>5</v>
      </c>
      <c r="L130" s="295" t="s">
        <v>6</v>
      </c>
      <c r="M130" s="295"/>
      <c r="N130" s="295"/>
      <c r="O130" s="294" t="s">
        <v>5</v>
      </c>
      <c r="P130" s="295" t="s">
        <v>6</v>
      </c>
      <c r="Q130" s="295" t="s">
        <v>5</v>
      </c>
      <c r="R130" s="295" t="s">
        <v>6</v>
      </c>
      <c r="S130" s="338"/>
      <c r="T130" s="64"/>
      <c r="U130" s="64"/>
      <c r="V130" s="64"/>
      <c r="W130" s="64"/>
      <c r="X130" s="64"/>
      <c r="Y130" s="339"/>
      <c r="Z130" s="297"/>
      <c r="AA130" s="61" t="s">
        <v>43</v>
      </c>
      <c r="AB130" s="61" t="s">
        <v>45</v>
      </c>
      <c r="AC130" s="61" t="s">
        <v>46</v>
      </c>
      <c r="AD130" s="61" t="s">
        <v>42</v>
      </c>
      <c r="AE130" s="61" t="s">
        <v>41</v>
      </c>
      <c r="AF130" s="61" t="s">
        <v>44</v>
      </c>
    </row>
    <row r="131" spans="1:32" s="65" customFormat="1" ht="12.75" customHeight="1">
      <c r="A131" s="51" t="s">
        <v>7</v>
      </c>
      <c r="B131" s="1" t="s">
        <v>18</v>
      </c>
      <c r="C131" s="295">
        <v>0</v>
      </c>
      <c r="D131" s="295">
        <v>0</v>
      </c>
      <c r="E131" s="69">
        <f t="shared" ref="E131:E139" si="72">O131+Q131</f>
        <v>0</v>
      </c>
      <c r="F131" s="70">
        <f t="shared" ref="F131:F139" si="73">P131+R131</f>
        <v>0</v>
      </c>
      <c r="G131" s="295">
        <f t="shared" ref="G131:G140" si="74">E131-C131</f>
        <v>0</v>
      </c>
      <c r="H131" s="295">
        <f t="shared" ref="H131:H140" si="75">F131-D131</f>
        <v>0</v>
      </c>
      <c r="I131" s="70"/>
      <c r="J131" s="70"/>
      <c r="K131" s="70"/>
      <c r="L131" s="70"/>
      <c r="M131" s="70">
        <f t="shared" ref="M131:M144" si="76">I131+K131</f>
        <v>0</v>
      </c>
      <c r="N131" s="70">
        <f t="shared" ref="N131:N144" si="77">J131+L131</f>
        <v>0</v>
      </c>
      <c r="O131" s="71"/>
      <c r="P131" s="71"/>
      <c r="Q131" s="70"/>
      <c r="R131" s="70"/>
      <c r="S131" s="72"/>
      <c r="T131" s="252" t="e">
        <f>E131/C131</f>
        <v>#DIV/0!</v>
      </c>
      <c r="U131" s="73"/>
      <c r="V131" s="73"/>
      <c r="W131" s="73"/>
      <c r="X131" s="73"/>
      <c r="Y131" s="339"/>
      <c r="Z131" s="297"/>
      <c r="AA131" s="61">
        <f>H127</f>
        <v>17</v>
      </c>
      <c r="AB131" s="61" t="str">
        <f>E127</f>
        <v>FCE-NY1-007 W</v>
      </c>
      <c r="AC131" s="74" t="s">
        <v>97</v>
      </c>
      <c r="AD131" s="61" t="str">
        <f t="shared" ref="AD131:AD144" si="78">A131</f>
        <v>KR</v>
      </c>
      <c r="AE131" s="61">
        <f t="shared" ref="AE131:AE144" si="79">C131</f>
        <v>0</v>
      </c>
      <c r="AF131" s="61">
        <f t="shared" ref="AF131:AF144" si="80">E131</f>
        <v>0</v>
      </c>
    </row>
    <row r="132" spans="1:32" s="65" customFormat="1" ht="12.75" customHeight="1">
      <c r="A132" s="52" t="s">
        <v>13</v>
      </c>
      <c r="B132" s="1" t="s">
        <v>18</v>
      </c>
      <c r="C132" s="295">
        <v>0</v>
      </c>
      <c r="D132" s="295">
        <v>0</v>
      </c>
      <c r="E132" s="69">
        <f t="shared" si="72"/>
        <v>0</v>
      </c>
      <c r="F132" s="70">
        <f t="shared" si="73"/>
        <v>0</v>
      </c>
      <c r="G132" s="295">
        <f t="shared" si="74"/>
        <v>0</v>
      </c>
      <c r="H132" s="295">
        <f t="shared" si="75"/>
        <v>0</v>
      </c>
      <c r="I132" s="75"/>
      <c r="J132" s="75"/>
      <c r="K132" s="70"/>
      <c r="L132" s="70"/>
      <c r="M132" s="70">
        <f t="shared" si="76"/>
        <v>0</v>
      </c>
      <c r="N132" s="70">
        <f t="shared" si="77"/>
        <v>0</v>
      </c>
      <c r="O132" s="75"/>
      <c r="P132" s="75"/>
      <c r="Q132" s="71"/>
      <c r="R132" s="71"/>
      <c r="S132" s="72"/>
      <c r="T132" s="252" t="e">
        <f t="shared" ref="T132:T142" si="81">E132/C132</f>
        <v>#DIV/0!</v>
      </c>
      <c r="U132" s="73"/>
      <c r="V132" s="73"/>
      <c r="W132" s="73"/>
      <c r="X132" s="73"/>
      <c r="AA132" s="61">
        <f>H127</f>
        <v>17</v>
      </c>
      <c r="AB132" s="61" t="str">
        <f>E127</f>
        <v>FCE-NY1-007 W</v>
      </c>
      <c r="AC132" s="74" t="s">
        <v>97</v>
      </c>
      <c r="AD132" s="61" t="str">
        <f t="shared" si="78"/>
        <v>TAO</v>
      </c>
      <c r="AE132" s="61">
        <f t="shared" si="79"/>
        <v>0</v>
      </c>
      <c r="AF132" s="61">
        <f t="shared" si="80"/>
        <v>0</v>
      </c>
    </row>
    <row r="133" spans="1:32" s="65" customFormat="1" ht="12.75" customHeight="1">
      <c r="A133" s="52" t="s">
        <v>9</v>
      </c>
      <c r="B133" s="1">
        <f>B112+7</f>
        <v>43201</v>
      </c>
      <c r="C133" s="295">
        <v>100</v>
      </c>
      <c r="D133" s="295">
        <v>1400</v>
      </c>
      <c r="E133" s="69">
        <f t="shared" si="72"/>
        <v>59</v>
      </c>
      <c r="F133" s="70">
        <f t="shared" si="73"/>
        <v>1334</v>
      </c>
      <c r="G133" s="295">
        <f t="shared" si="74"/>
        <v>-41</v>
      </c>
      <c r="H133" s="295">
        <f t="shared" si="75"/>
        <v>-66</v>
      </c>
      <c r="I133" s="75">
        <v>8</v>
      </c>
      <c r="J133" s="75">
        <v>82</v>
      </c>
      <c r="K133" s="71">
        <v>53</v>
      </c>
      <c r="L133" s="71">
        <v>899</v>
      </c>
      <c r="M133" s="70">
        <f t="shared" si="76"/>
        <v>61</v>
      </c>
      <c r="N133" s="70">
        <f t="shared" si="77"/>
        <v>981</v>
      </c>
      <c r="O133" s="75">
        <v>59</v>
      </c>
      <c r="P133" s="75">
        <v>1334</v>
      </c>
      <c r="Q133" s="71"/>
      <c r="R133" s="71"/>
      <c r="S133" s="72"/>
      <c r="T133" s="252">
        <f t="shared" si="81"/>
        <v>0.59</v>
      </c>
      <c r="U133" s="73"/>
      <c r="V133" s="73"/>
      <c r="W133" s="73"/>
      <c r="X133" s="73"/>
      <c r="AA133" s="61">
        <f>H127</f>
        <v>17</v>
      </c>
      <c r="AB133" s="61" t="str">
        <f>E127</f>
        <v>FCE-NY1-007 W</v>
      </c>
      <c r="AC133" s="74" t="s">
        <v>97</v>
      </c>
      <c r="AD133" s="61" t="str">
        <f t="shared" si="78"/>
        <v>SHA</v>
      </c>
      <c r="AE133" s="61">
        <f t="shared" si="79"/>
        <v>100</v>
      </c>
      <c r="AF133" s="61">
        <f t="shared" si="80"/>
        <v>59</v>
      </c>
    </row>
    <row r="134" spans="1:32" s="65" customFormat="1" ht="12.75" customHeight="1">
      <c r="A134" s="52" t="s">
        <v>8</v>
      </c>
      <c r="B134" s="1">
        <f>B113+7</f>
        <v>43203</v>
      </c>
      <c r="C134" s="295">
        <v>120</v>
      </c>
      <c r="D134" s="295">
        <v>1680</v>
      </c>
      <c r="E134" s="69">
        <f t="shared" si="72"/>
        <v>120</v>
      </c>
      <c r="F134" s="70">
        <f t="shared" si="73"/>
        <v>1116</v>
      </c>
      <c r="G134" s="295">
        <f t="shared" si="74"/>
        <v>0</v>
      </c>
      <c r="H134" s="295">
        <f t="shared" si="75"/>
        <v>-564</v>
      </c>
      <c r="I134" s="71">
        <v>34</v>
      </c>
      <c r="J134" s="71">
        <v>274</v>
      </c>
      <c r="K134" s="71">
        <v>43</v>
      </c>
      <c r="L134" s="71">
        <v>350</v>
      </c>
      <c r="M134" s="70">
        <f t="shared" si="76"/>
        <v>77</v>
      </c>
      <c r="N134" s="70">
        <f t="shared" si="77"/>
        <v>624</v>
      </c>
      <c r="O134" s="71"/>
      <c r="P134" s="71"/>
      <c r="Q134" s="71">
        <v>120</v>
      </c>
      <c r="R134" s="71">
        <v>1116</v>
      </c>
      <c r="S134" s="72"/>
      <c r="T134" s="252">
        <f t="shared" si="81"/>
        <v>1</v>
      </c>
      <c r="U134" s="73"/>
      <c r="V134" s="73"/>
      <c r="W134" s="73"/>
      <c r="X134" s="73"/>
      <c r="AA134" s="61">
        <f>H127</f>
        <v>17</v>
      </c>
      <c r="AB134" s="61" t="str">
        <f>E127</f>
        <v>FCE-NY1-007 W</v>
      </c>
      <c r="AC134" s="74" t="s">
        <v>97</v>
      </c>
      <c r="AD134" s="61" t="str">
        <f t="shared" si="78"/>
        <v>NGB</v>
      </c>
      <c r="AE134" s="61">
        <f t="shared" si="79"/>
        <v>120</v>
      </c>
      <c r="AF134" s="61">
        <f t="shared" si="80"/>
        <v>120</v>
      </c>
    </row>
    <row r="135" spans="1:32" s="65" customFormat="1" ht="12.75" customHeight="1">
      <c r="A135" s="52" t="s">
        <v>10</v>
      </c>
      <c r="B135" s="1" t="s">
        <v>18</v>
      </c>
      <c r="C135" s="295">
        <v>50</v>
      </c>
      <c r="D135" s="295">
        <v>700</v>
      </c>
      <c r="E135" s="69">
        <f t="shared" si="72"/>
        <v>3</v>
      </c>
      <c r="F135" s="70">
        <f t="shared" si="73"/>
        <v>55</v>
      </c>
      <c r="G135" s="295">
        <f t="shared" si="74"/>
        <v>-47</v>
      </c>
      <c r="H135" s="295">
        <f t="shared" si="75"/>
        <v>-645</v>
      </c>
      <c r="I135" s="75"/>
      <c r="J135" s="75"/>
      <c r="K135" s="70"/>
      <c r="L135" s="70"/>
      <c r="M135" s="70">
        <f t="shared" si="76"/>
        <v>0</v>
      </c>
      <c r="N135" s="70">
        <f t="shared" si="77"/>
        <v>0</v>
      </c>
      <c r="O135" s="75">
        <v>3</v>
      </c>
      <c r="P135" s="75">
        <v>55</v>
      </c>
      <c r="Q135" s="70"/>
      <c r="R135" s="70"/>
      <c r="S135" s="72"/>
      <c r="T135" s="252">
        <f t="shared" si="81"/>
        <v>0.06</v>
      </c>
      <c r="U135" s="73"/>
      <c r="V135" s="73"/>
      <c r="W135" s="73"/>
      <c r="X135" s="73"/>
      <c r="AA135" s="61">
        <f>H127</f>
        <v>17</v>
      </c>
      <c r="AB135" s="61" t="str">
        <f>E127</f>
        <v>FCE-NY1-007 W</v>
      </c>
      <c r="AC135" s="74" t="s">
        <v>97</v>
      </c>
      <c r="AD135" s="61" t="str">
        <f t="shared" si="78"/>
        <v>WUH</v>
      </c>
      <c r="AE135" s="61">
        <f t="shared" si="79"/>
        <v>50</v>
      </c>
      <c r="AF135" s="61">
        <f t="shared" si="80"/>
        <v>3</v>
      </c>
    </row>
    <row r="136" spans="1:32" s="65" customFormat="1" ht="12.75" customHeight="1">
      <c r="A136" s="52" t="s">
        <v>11</v>
      </c>
      <c r="B136" s="1" t="s">
        <v>18</v>
      </c>
      <c r="C136" s="295">
        <v>0</v>
      </c>
      <c r="D136" s="295">
        <v>0</v>
      </c>
      <c r="E136" s="69">
        <f t="shared" si="72"/>
        <v>20</v>
      </c>
      <c r="F136" s="70">
        <f t="shared" si="73"/>
        <v>547</v>
      </c>
      <c r="G136" s="295">
        <f t="shared" si="74"/>
        <v>20</v>
      </c>
      <c r="H136" s="295">
        <f t="shared" si="75"/>
        <v>547</v>
      </c>
      <c r="I136" s="70"/>
      <c r="J136" s="70"/>
      <c r="K136" s="70"/>
      <c r="L136" s="70"/>
      <c r="M136" s="70">
        <f t="shared" si="76"/>
        <v>0</v>
      </c>
      <c r="N136" s="70">
        <f t="shared" si="77"/>
        <v>0</v>
      </c>
      <c r="O136" s="75"/>
      <c r="P136" s="75"/>
      <c r="Q136" s="70">
        <v>20</v>
      </c>
      <c r="R136" s="70">
        <v>547</v>
      </c>
      <c r="S136" s="72"/>
      <c r="T136" s="252" t="e">
        <f t="shared" si="81"/>
        <v>#DIV/0!</v>
      </c>
      <c r="U136" s="73"/>
      <c r="V136" s="73"/>
      <c r="W136" s="73"/>
      <c r="X136" s="73"/>
      <c r="AA136" s="61">
        <f>H127</f>
        <v>17</v>
      </c>
      <c r="AB136" s="61" t="str">
        <f>E127</f>
        <v>FCE-NY1-007 W</v>
      </c>
      <c r="AC136" s="74" t="s">
        <v>97</v>
      </c>
      <c r="AD136" s="61" t="str">
        <f t="shared" si="78"/>
        <v>DLC</v>
      </c>
      <c r="AE136" s="61">
        <f t="shared" si="79"/>
        <v>0</v>
      </c>
      <c r="AF136" s="61">
        <f t="shared" si="80"/>
        <v>20</v>
      </c>
    </row>
    <row r="137" spans="1:32" s="65" customFormat="1" ht="12.75" customHeight="1">
      <c r="A137" s="52" t="s">
        <v>12</v>
      </c>
      <c r="B137" s="1" t="s">
        <v>18</v>
      </c>
      <c r="C137" s="295">
        <v>0</v>
      </c>
      <c r="D137" s="295">
        <v>0</v>
      </c>
      <c r="E137" s="69">
        <f t="shared" si="72"/>
        <v>0</v>
      </c>
      <c r="F137" s="70">
        <f t="shared" si="73"/>
        <v>0</v>
      </c>
      <c r="G137" s="295">
        <f t="shared" si="74"/>
        <v>0</v>
      </c>
      <c r="H137" s="295">
        <f t="shared" si="75"/>
        <v>0</v>
      </c>
      <c r="I137" s="70"/>
      <c r="J137" s="70"/>
      <c r="K137" s="70"/>
      <c r="L137" s="70"/>
      <c r="M137" s="70">
        <f t="shared" si="76"/>
        <v>0</v>
      </c>
      <c r="N137" s="70">
        <f t="shared" si="77"/>
        <v>0</v>
      </c>
      <c r="O137" s="75"/>
      <c r="P137" s="75"/>
      <c r="Q137" s="76"/>
      <c r="R137" s="71"/>
      <c r="S137" s="72"/>
      <c r="T137" s="252" t="e">
        <f t="shared" si="81"/>
        <v>#DIV/0!</v>
      </c>
      <c r="U137" s="73"/>
      <c r="V137" s="73"/>
      <c r="W137" s="73"/>
      <c r="X137" s="73"/>
      <c r="AA137" s="61">
        <f>H127</f>
        <v>17</v>
      </c>
      <c r="AB137" s="61" t="str">
        <f>E127</f>
        <v>FCE-NY1-007 W</v>
      </c>
      <c r="AC137" s="74" t="s">
        <v>97</v>
      </c>
      <c r="AD137" s="61" t="str">
        <f t="shared" si="78"/>
        <v>TSN</v>
      </c>
      <c r="AE137" s="61">
        <f t="shared" si="79"/>
        <v>0</v>
      </c>
      <c r="AF137" s="61">
        <f t="shared" si="80"/>
        <v>0</v>
      </c>
    </row>
    <row r="138" spans="1:32" s="65" customFormat="1" ht="12.75" customHeight="1">
      <c r="A138" s="52" t="s">
        <v>14</v>
      </c>
      <c r="B138" s="1" t="s">
        <v>18</v>
      </c>
      <c r="C138" s="295">
        <v>0</v>
      </c>
      <c r="D138" s="295">
        <v>0</v>
      </c>
      <c r="E138" s="69">
        <f t="shared" si="72"/>
        <v>3</v>
      </c>
      <c r="F138" s="70">
        <f t="shared" si="73"/>
        <v>15</v>
      </c>
      <c r="G138" s="295">
        <f t="shared" si="74"/>
        <v>3</v>
      </c>
      <c r="H138" s="295">
        <f t="shared" si="75"/>
        <v>15</v>
      </c>
      <c r="I138" s="70"/>
      <c r="J138" s="70"/>
      <c r="K138" s="70"/>
      <c r="L138" s="70"/>
      <c r="M138" s="70">
        <f t="shared" si="76"/>
        <v>0</v>
      </c>
      <c r="N138" s="70">
        <f t="shared" si="77"/>
        <v>0</v>
      </c>
      <c r="O138" s="71"/>
      <c r="P138" s="71"/>
      <c r="Q138" s="70">
        <v>3</v>
      </c>
      <c r="R138" s="70">
        <v>15</v>
      </c>
      <c r="S138" s="72"/>
      <c r="T138" s="252" t="e">
        <f t="shared" si="81"/>
        <v>#DIV/0!</v>
      </c>
      <c r="U138" s="73"/>
      <c r="V138" s="73"/>
      <c r="W138" s="73"/>
      <c r="X138" s="73"/>
      <c r="AA138" s="61">
        <f>H127</f>
        <v>17</v>
      </c>
      <c r="AB138" s="61" t="str">
        <f>E127</f>
        <v>FCE-NY1-007 W</v>
      </c>
      <c r="AC138" s="74" t="s">
        <v>97</v>
      </c>
      <c r="AD138" s="61" t="str">
        <f t="shared" si="78"/>
        <v>XMN</v>
      </c>
      <c r="AE138" s="61">
        <f t="shared" si="79"/>
        <v>0</v>
      </c>
      <c r="AF138" s="61">
        <f t="shared" si="80"/>
        <v>3</v>
      </c>
    </row>
    <row r="139" spans="1:32" s="65" customFormat="1" ht="12.75" customHeight="1">
      <c r="A139" s="52" t="s">
        <v>19</v>
      </c>
      <c r="B139" s="1" t="s">
        <v>18</v>
      </c>
      <c r="C139" s="295">
        <v>0</v>
      </c>
      <c r="D139" s="295">
        <v>0</v>
      </c>
      <c r="E139" s="69">
        <f t="shared" si="72"/>
        <v>10</v>
      </c>
      <c r="F139" s="70">
        <f t="shared" si="73"/>
        <v>94</v>
      </c>
      <c r="G139" s="295">
        <f t="shared" si="74"/>
        <v>10</v>
      </c>
      <c r="H139" s="295">
        <f t="shared" si="75"/>
        <v>94</v>
      </c>
      <c r="I139" s="70"/>
      <c r="J139" s="70"/>
      <c r="K139" s="70"/>
      <c r="L139" s="70"/>
      <c r="M139" s="70">
        <f t="shared" si="76"/>
        <v>0</v>
      </c>
      <c r="N139" s="70">
        <f t="shared" si="77"/>
        <v>0</v>
      </c>
      <c r="O139" s="70"/>
      <c r="P139" s="70"/>
      <c r="Q139" s="70">
        <v>10</v>
      </c>
      <c r="R139" s="70">
        <v>94</v>
      </c>
      <c r="S139" s="72"/>
      <c r="T139" s="252" t="e">
        <f t="shared" si="81"/>
        <v>#DIV/0!</v>
      </c>
      <c r="U139" s="73"/>
      <c r="V139" s="73"/>
      <c r="W139" s="73"/>
      <c r="X139" s="73"/>
      <c r="AA139" s="61">
        <f>H127</f>
        <v>17</v>
      </c>
      <c r="AB139" s="61" t="str">
        <f>E127</f>
        <v>FCE-NY1-007 W</v>
      </c>
      <c r="AC139" s="74" t="s">
        <v>97</v>
      </c>
      <c r="AD139" s="61" t="str">
        <f t="shared" si="78"/>
        <v>TWC</v>
      </c>
      <c r="AE139" s="61">
        <f t="shared" si="79"/>
        <v>0</v>
      </c>
      <c r="AF139" s="61">
        <f t="shared" si="80"/>
        <v>10</v>
      </c>
    </row>
    <row r="140" spans="1:32" s="65" customFormat="1" ht="12.75" customHeight="1">
      <c r="A140" s="52" t="s">
        <v>16</v>
      </c>
      <c r="B140" s="1">
        <f>B119+7</f>
        <v>43206</v>
      </c>
      <c r="C140" s="295">
        <v>100</v>
      </c>
      <c r="D140" s="295">
        <v>1400</v>
      </c>
      <c r="E140" s="69">
        <f>O140+Q140</f>
        <v>147</v>
      </c>
      <c r="F140" s="70">
        <f>P140+R139</f>
        <v>94</v>
      </c>
      <c r="G140" s="295">
        <f t="shared" si="74"/>
        <v>47</v>
      </c>
      <c r="H140" s="295">
        <f t="shared" si="75"/>
        <v>-1306</v>
      </c>
      <c r="I140" s="70"/>
      <c r="J140" s="70"/>
      <c r="K140" s="70">
        <v>2</v>
      </c>
      <c r="L140" s="70">
        <v>27</v>
      </c>
      <c r="M140" s="70">
        <f t="shared" si="76"/>
        <v>2</v>
      </c>
      <c r="N140" s="70">
        <f t="shared" si="77"/>
        <v>27</v>
      </c>
      <c r="O140" s="70"/>
      <c r="P140" s="70"/>
      <c r="Q140" s="70">
        <v>147</v>
      </c>
      <c r="R140" s="84">
        <v>925</v>
      </c>
      <c r="S140" s="72"/>
      <c r="T140" s="252">
        <f t="shared" si="81"/>
        <v>1.47</v>
      </c>
      <c r="U140" s="73"/>
      <c r="V140" s="73"/>
      <c r="W140" s="73"/>
      <c r="X140" s="73"/>
      <c r="AA140" s="61">
        <f>H127</f>
        <v>17</v>
      </c>
      <c r="AB140" s="61" t="str">
        <f>E127</f>
        <v>FCE-NY1-007 W</v>
      </c>
      <c r="AC140" s="74" t="s">
        <v>97</v>
      </c>
      <c r="AD140" s="61" t="str">
        <f t="shared" si="78"/>
        <v>HUA</v>
      </c>
      <c r="AE140" s="61">
        <f t="shared" si="79"/>
        <v>100</v>
      </c>
      <c r="AF140" s="61">
        <f t="shared" si="80"/>
        <v>147</v>
      </c>
    </row>
    <row r="141" spans="1:32" s="65" customFormat="1" ht="12.75" customHeight="1">
      <c r="A141" s="52" t="s">
        <v>620</v>
      </c>
      <c r="B141" s="1">
        <f>B120+7</f>
        <v>43205</v>
      </c>
      <c r="C141" s="295"/>
      <c r="D141" s="295"/>
      <c r="E141" s="69">
        <f>O141+Q141</f>
        <v>20</v>
      </c>
      <c r="F141" s="70">
        <f>P141+R141</f>
        <v>491</v>
      </c>
      <c r="G141" s="295"/>
      <c r="H141" s="295"/>
      <c r="I141" s="70">
        <v>6</v>
      </c>
      <c r="J141" s="70">
        <v>81</v>
      </c>
      <c r="K141" s="70">
        <v>4</v>
      </c>
      <c r="L141" s="70">
        <v>63</v>
      </c>
      <c r="M141" s="70">
        <f t="shared" si="76"/>
        <v>10</v>
      </c>
      <c r="N141" s="70">
        <f t="shared" si="77"/>
        <v>144</v>
      </c>
      <c r="O141" s="70"/>
      <c r="P141" s="70"/>
      <c r="Q141" s="70">
        <v>20</v>
      </c>
      <c r="R141" s="70">
        <v>491</v>
      </c>
      <c r="S141" s="72"/>
      <c r="T141" s="252" t="e">
        <f t="shared" si="81"/>
        <v>#DIV/0!</v>
      </c>
      <c r="U141" s="73"/>
      <c r="V141" s="73"/>
      <c r="W141" s="73"/>
      <c r="X141" s="73"/>
      <c r="AA141" s="61">
        <f>H127</f>
        <v>17</v>
      </c>
      <c r="AB141" s="61" t="str">
        <f>E127</f>
        <v>FCE-NY1-007 W</v>
      </c>
      <c r="AC141" s="74" t="s">
        <v>97</v>
      </c>
      <c r="AD141" s="61" t="str">
        <f t="shared" si="78"/>
        <v>HAK</v>
      </c>
      <c r="AE141" s="61">
        <f t="shared" si="79"/>
        <v>0</v>
      </c>
      <c r="AF141" s="61">
        <f t="shared" si="80"/>
        <v>20</v>
      </c>
    </row>
    <row r="142" spans="1:32" s="65" customFormat="1" ht="12.75" customHeight="1">
      <c r="A142" s="52" t="s">
        <v>3</v>
      </c>
      <c r="B142" s="1">
        <f>B121+7</f>
        <v>43211</v>
      </c>
      <c r="C142" s="295">
        <v>100</v>
      </c>
      <c r="D142" s="295">
        <v>1400</v>
      </c>
      <c r="E142" s="69">
        <f>O142+Q142</f>
        <v>100</v>
      </c>
      <c r="F142" s="70">
        <f>P142+R142</f>
        <v>1400</v>
      </c>
      <c r="G142" s="295">
        <f t="shared" ref="G142:G145" si="82">E142-C142</f>
        <v>0</v>
      </c>
      <c r="H142" s="295">
        <f t="shared" ref="H142:H145" si="83">F142-D142</f>
        <v>0</v>
      </c>
      <c r="I142" s="70"/>
      <c r="J142" s="70"/>
      <c r="K142" s="70">
        <v>40</v>
      </c>
      <c r="L142" s="70">
        <v>403</v>
      </c>
      <c r="M142" s="70">
        <f t="shared" si="76"/>
        <v>40</v>
      </c>
      <c r="N142" s="70">
        <f t="shared" si="77"/>
        <v>403</v>
      </c>
      <c r="O142" s="295"/>
      <c r="P142" s="295"/>
      <c r="Q142" s="70">
        <v>100</v>
      </c>
      <c r="R142" s="70">
        <v>1400</v>
      </c>
      <c r="S142" s="72"/>
      <c r="T142" s="252">
        <f t="shared" si="81"/>
        <v>1</v>
      </c>
      <c r="U142" s="73"/>
      <c r="V142" s="73"/>
      <c r="W142" s="73"/>
      <c r="X142" s="73"/>
      <c r="AA142" s="61">
        <f>H127</f>
        <v>17</v>
      </c>
      <c r="AB142" s="61" t="str">
        <f>E127</f>
        <v>FCE-NY1-007 W</v>
      </c>
      <c r="AC142" s="74" t="s">
        <v>97</v>
      </c>
      <c r="AD142" s="61" t="str">
        <f t="shared" si="78"/>
        <v>SGP</v>
      </c>
      <c r="AE142" s="61">
        <f t="shared" si="79"/>
        <v>100</v>
      </c>
      <c r="AF142" s="61">
        <f t="shared" si="80"/>
        <v>100</v>
      </c>
    </row>
    <row r="143" spans="1:32" s="65" customFormat="1" ht="12.75" customHeight="1">
      <c r="A143" s="52" t="s">
        <v>4</v>
      </c>
      <c r="B143" s="1">
        <f>B122+7</f>
        <v>43212</v>
      </c>
      <c r="C143" s="295">
        <v>50</v>
      </c>
      <c r="D143" s="295">
        <v>700</v>
      </c>
      <c r="E143" s="69">
        <f>O143+Q143</f>
        <v>0</v>
      </c>
      <c r="F143" s="70">
        <f>P143+R143</f>
        <v>0</v>
      </c>
      <c r="G143" s="295">
        <f t="shared" si="82"/>
        <v>-50</v>
      </c>
      <c r="H143" s="295">
        <f t="shared" si="83"/>
        <v>-700</v>
      </c>
      <c r="I143" s="70"/>
      <c r="J143" s="70"/>
      <c r="K143" s="70"/>
      <c r="L143" s="70"/>
      <c r="M143" s="70">
        <f t="shared" si="76"/>
        <v>0</v>
      </c>
      <c r="N143" s="70">
        <f t="shared" si="77"/>
        <v>0</v>
      </c>
      <c r="O143" s="70"/>
      <c r="P143" s="70"/>
      <c r="Q143" s="70"/>
      <c r="R143" s="70"/>
      <c r="S143" s="72"/>
      <c r="T143" s="252">
        <f>E143/C143</f>
        <v>0</v>
      </c>
      <c r="U143" s="73"/>
      <c r="V143" s="73"/>
      <c r="W143" s="73"/>
      <c r="X143" s="73"/>
      <c r="AA143" s="61">
        <f>H127</f>
        <v>17</v>
      </c>
      <c r="AB143" s="61" t="str">
        <f>E127</f>
        <v>FCE-NY1-007 W</v>
      </c>
      <c r="AC143" s="74" t="s">
        <v>97</v>
      </c>
      <c r="AD143" s="61" t="str">
        <f t="shared" si="78"/>
        <v>PKL</v>
      </c>
      <c r="AE143" s="61">
        <f t="shared" si="79"/>
        <v>50</v>
      </c>
      <c r="AF143" s="61">
        <f t="shared" si="80"/>
        <v>0</v>
      </c>
    </row>
    <row r="144" spans="1:32" s="65" customFormat="1" ht="12.75" customHeight="1">
      <c r="A144" s="52" t="s">
        <v>15</v>
      </c>
      <c r="B144" s="295"/>
      <c r="C144" s="295">
        <v>50</v>
      </c>
      <c r="D144" s="295">
        <v>700</v>
      </c>
      <c r="E144" s="69">
        <f>O144+Q144</f>
        <v>0</v>
      </c>
      <c r="F144" s="70">
        <f>P144+R144</f>
        <v>0</v>
      </c>
      <c r="G144" s="295">
        <f t="shared" si="82"/>
        <v>-50</v>
      </c>
      <c r="H144" s="295">
        <f t="shared" si="83"/>
        <v>-700</v>
      </c>
      <c r="I144" s="70"/>
      <c r="J144" s="70"/>
      <c r="K144" s="70"/>
      <c r="L144" s="70"/>
      <c r="M144" s="70">
        <f t="shared" si="76"/>
        <v>0</v>
      </c>
      <c r="N144" s="70">
        <f t="shared" si="77"/>
        <v>0</v>
      </c>
      <c r="O144" s="71"/>
      <c r="P144" s="71"/>
      <c r="Q144" s="71"/>
      <c r="R144" s="71"/>
      <c r="S144" s="72"/>
      <c r="T144" s="73"/>
      <c r="U144" s="73"/>
      <c r="V144" s="73"/>
      <c r="W144" s="73"/>
      <c r="X144" s="73"/>
      <c r="AA144" s="61">
        <f>H127</f>
        <v>17</v>
      </c>
      <c r="AB144" s="61" t="str">
        <f>E127</f>
        <v>FCE-NY1-007 W</v>
      </c>
      <c r="AC144" s="74" t="s">
        <v>97</v>
      </c>
      <c r="AD144" s="61" t="str">
        <f t="shared" si="78"/>
        <v>T/S</v>
      </c>
      <c r="AE144" s="61">
        <f t="shared" si="79"/>
        <v>50</v>
      </c>
      <c r="AF144" s="61">
        <f t="shared" si="80"/>
        <v>0</v>
      </c>
    </row>
    <row r="145" spans="1:32" s="65" customFormat="1" ht="12.75" customHeight="1">
      <c r="A145" s="51" t="s">
        <v>36</v>
      </c>
      <c r="B145" s="72"/>
      <c r="C145" s="71">
        <f>SUM(C131:C144)</f>
        <v>570</v>
      </c>
      <c r="D145" s="71">
        <f>SUM(D131:D144)</f>
        <v>7980</v>
      </c>
      <c r="E145" s="78">
        <f>SUM(E131:E144)</f>
        <v>482</v>
      </c>
      <c r="F145" s="76">
        <f>SUM(F131:F144)</f>
        <v>5146</v>
      </c>
      <c r="G145" s="71">
        <f t="shared" si="82"/>
        <v>-88</v>
      </c>
      <c r="H145" s="71">
        <f t="shared" si="83"/>
        <v>-2834</v>
      </c>
      <c r="I145" s="70">
        <f t="shared" ref="I145:L145" si="84">SUM(I131:I144)</f>
        <v>48</v>
      </c>
      <c r="J145" s="70">
        <f t="shared" si="84"/>
        <v>437</v>
      </c>
      <c r="K145" s="70">
        <f t="shared" si="84"/>
        <v>142</v>
      </c>
      <c r="L145" s="70">
        <f t="shared" si="84"/>
        <v>1742</v>
      </c>
      <c r="M145" s="70"/>
      <c r="N145" s="70"/>
      <c r="O145" s="70">
        <f t="shared" ref="O145:R145" si="85">SUM(O131:O144)</f>
        <v>62</v>
      </c>
      <c r="P145" s="70">
        <f t="shared" si="85"/>
        <v>1389</v>
      </c>
      <c r="Q145" s="70">
        <f t="shared" si="85"/>
        <v>420</v>
      </c>
      <c r="R145" s="70">
        <f t="shared" si="85"/>
        <v>4588</v>
      </c>
      <c r="S145" s="72"/>
      <c r="T145" s="73"/>
      <c r="U145" s="73"/>
      <c r="V145" s="73"/>
      <c r="W145" s="73"/>
      <c r="X145" s="73"/>
      <c r="AA145" s="61"/>
      <c r="AB145" s="61"/>
      <c r="AC145" s="61"/>
      <c r="AD145" s="61"/>
      <c r="AE145" s="61"/>
      <c r="AF145" s="61"/>
    </row>
    <row r="146" spans="1:32" s="65" customFormat="1" ht="12.75" customHeight="1">
      <c r="A146" s="84">
        <f>D145/C145</f>
        <v>14</v>
      </c>
      <c r="C146" s="296">
        <f>F145-E146</f>
        <v>-2036</v>
      </c>
      <c r="E146" s="65">
        <f>D145*0.9</f>
        <v>7182</v>
      </c>
      <c r="F146" s="296">
        <f>E145-L146</f>
        <v>-31</v>
      </c>
      <c r="I146" s="80" t="s">
        <v>48</v>
      </c>
      <c r="J146" s="245">
        <f>E145/C145</f>
        <v>0.84561403508771926</v>
      </c>
      <c r="K146" s="80"/>
      <c r="L146" s="80">
        <f>C145*0.9</f>
        <v>513</v>
      </c>
      <c r="M146" s="80"/>
      <c r="N146" s="80"/>
      <c r="O146" s="80" t="s">
        <v>49</v>
      </c>
      <c r="P146" s="80"/>
      <c r="Q146" s="65">
        <f>P132+P133+P135+P136+P137+J132+J133+L132+L133+J135+R135</f>
        <v>2370</v>
      </c>
      <c r="R146" s="65">
        <v>16856</v>
      </c>
      <c r="AA146" s="81"/>
      <c r="AB146" s="81"/>
      <c r="AC146" s="81"/>
      <c r="AD146" s="81"/>
      <c r="AE146" s="81"/>
      <c r="AF146" s="81"/>
    </row>
    <row r="148" spans="1:32" s="63" customFormat="1" ht="12.75" customHeight="1">
      <c r="A148" s="59" t="s">
        <v>97</v>
      </c>
      <c r="B148" s="298" t="s">
        <v>613</v>
      </c>
      <c r="C148" s="56"/>
      <c r="D148" s="57"/>
      <c r="E148" s="58" t="s">
        <v>609</v>
      </c>
      <c r="F148" s="57"/>
      <c r="G148" s="59" t="s">
        <v>37</v>
      </c>
      <c r="H148" s="60">
        <f>H127+1</f>
        <v>18</v>
      </c>
      <c r="I148" s="57"/>
      <c r="J148" s="286"/>
      <c r="K148" s="57"/>
      <c r="L148" s="57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2"/>
      <c r="Z148" s="62"/>
      <c r="AA148" s="62"/>
      <c r="AB148" s="62"/>
      <c r="AC148" s="62"/>
    </row>
    <row r="149" spans="1:32" s="65" customFormat="1" ht="12.75" customHeight="1">
      <c r="A149" s="340" t="s">
        <v>0</v>
      </c>
      <c r="B149" s="336" t="s">
        <v>1</v>
      </c>
      <c r="C149" s="331" t="s">
        <v>25</v>
      </c>
      <c r="D149" s="332"/>
      <c r="E149" s="331" t="s">
        <v>21</v>
      </c>
      <c r="F149" s="332"/>
      <c r="G149" s="335" t="s">
        <v>24</v>
      </c>
      <c r="H149" s="335"/>
      <c r="I149" s="328" t="s">
        <v>33</v>
      </c>
      <c r="J149" s="329"/>
      <c r="K149" s="329"/>
      <c r="L149" s="329"/>
      <c r="M149" s="329"/>
      <c r="N149" s="330"/>
      <c r="O149" s="331" t="s">
        <v>22</v>
      </c>
      <c r="P149" s="332"/>
      <c r="Q149" s="335" t="s">
        <v>23</v>
      </c>
      <c r="R149" s="335"/>
      <c r="S149" s="336" t="s">
        <v>27</v>
      </c>
      <c r="T149" s="64"/>
      <c r="U149" s="64"/>
      <c r="V149" s="64"/>
      <c r="W149" s="64"/>
      <c r="X149" s="64"/>
      <c r="Y149" s="339"/>
      <c r="Z149" s="308"/>
      <c r="AA149" s="61"/>
      <c r="AB149" s="61"/>
      <c r="AC149" s="74"/>
      <c r="AD149" s="61"/>
      <c r="AE149" s="61"/>
      <c r="AF149" s="61"/>
    </row>
    <row r="150" spans="1:32" s="65" customFormat="1" ht="12.75" customHeight="1">
      <c r="A150" s="341"/>
      <c r="B150" s="337"/>
      <c r="C150" s="333"/>
      <c r="D150" s="334"/>
      <c r="E150" s="333"/>
      <c r="F150" s="334"/>
      <c r="G150" s="335"/>
      <c r="H150" s="335"/>
      <c r="I150" s="304" t="s">
        <v>28</v>
      </c>
      <c r="J150" s="305" t="s">
        <v>3</v>
      </c>
      <c r="K150" s="304" t="s">
        <v>29</v>
      </c>
      <c r="L150" s="305" t="s">
        <v>4</v>
      </c>
      <c r="M150" s="328" t="s">
        <v>30</v>
      </c>
      <c r="N150" s="330"/>
      <c r="O150" s="333"/>
      <c r="P150" s="334"/>
      <c r="Q150" s="335"/>
      <c r="R150" s="335"/>
      <c r="S150" s="337"/>
      <c r="T150" s="64"/>
      <c r="U150" s="64"/>
      <c r="V150" s="64"/>
      <c r="W150" s="64"/>
      <c r="X150" s="64"/>
      <c r="Y150" s="339"/>
      <c r="Z150" s="308"/>
      <c r="AA150" s="61"/>
      <c r="AB150" s="61"/>
      <c r="AC150" s="74"/>
      <c r="AD150" s="61"/>
      <c r="AE150" s="61"/>
      <c r="AF150" s="61"/>
    </row>
    <row r="151" spans="1:32" s="65" customFormat="1" ht="12.75" customHeight="1">
      <c r="A151" s="342"/>
      <c r="B151" s="338"/>
      <c r="C151" s="306" t="s">
        <v>5</v>
      </c>
      <c r="D151" s="306" t="s">
        <v>6</v>
      </c>
      <c r="E151" s="305" t="s">
        <v>5</v>
      </c>
      <c r="F151" s="306" t="s">
        <v>6</v>
      </c>
      <c r="G151" s="306" t="s">
        <v>5</v>
      </c>
      <c r="H151" s="306" t="s">
        <v>6</v>
      </c>
      <c r="I151" s="305" t="s">
        <v>5</v>
      </c>
      <c r="J151" s="306" t="s">
        <v>6</v>
      </c>
      <c r="K151" s="305" t="s">
        <v>5</v>
      </c>
      <c r="L151" s="306" t="s">
        <v>6</v>
      </c>
      <c r="M151" s="306"/>
      <c r="N151" s="306"/>
      <c r="O151" s="305" t="s">
        <v>5</v>
      </c>
      <c r="P151" s="306" t="s">
        <v>6</v>
      </c>
      <c r="Q151" s="306" t="s">
        <v>5</v>
      </c>
      <c r="R151" s="306" t="s">
        <v>6</v>
      </c>
      <c r="S151" s="338"/>
      <c r="T151" s="64"/>
      <c r="U151" s="64"/>
      <c r="V151" s="64"/>
      <c r="W151" s="64"/>
      <c r="X151" s="64"/>
      <c r="Y151" s="339"/>
      <c r="Z151" s="308"/>
      <c r="AA151" s="61" t="s">
        <v>43</v>
      </c>
      <c r="AB151" s="61" t="s">
        <v>45</v>
      </c>
      <c r="AC151" s="61" t="s">
        <v>46</v>
      </c>
      <c r="AD151" s="61" t="s">
        <v>42</v>
      </c>
      <c r="AE151" s="61" t="s">
        <v>41</v>
      </c>
      <c r="AF151" s="61" t="s">
        <v>44</v>
      </c>
    </row>
    <row r="152" spans="1:32" s="65" customFormat="1" ht="12.75" customHeight="1">
      <c r="A152" s="51" t="s">
        <v>7</v>
      </c>
      <c r="B152" s="1" t="s">
        <v>18</v>
      </c>
      <c r="C152" s="306">
        <v>0</v>
      </c>
      <c r="D152" s="306">
        <v>0</v>
      </c>
      <c r="E152" s="69">
        <f t="shared" ref="E152:E160" si="86">O152+Q152</f>
        <v>0</v>
      </c>
      <c r="F152" s="70">
        <f t="shared" ref="F152:F160" si="87">P152+R152</f>
        <v>0</v>
      </c>
      <c r="G152" s="306">
        <f t="shared" ref="G152:G161" si="88">E152-C152</f>
        <v>0</v>
      </c>
      <c r="H152" s="306">
        <f t="shared" ref="H152:H161" si="89">F152-D152</f>
        <v>0</v>
      </c>
      <c r="I152" s="70"/>
      <c r="J152" s="70"/>
      <c r="K152" s="70"/>
      <c r="L152" s="70"/>
      <c r="M152" s="70">
        <f t="shared" ref="M152:M165" si="90">I152+K152</f>
        <v>0</v>
      </c>
      <c r="N152" s="70">
        <f t="shared" ref="N152:N165" si="91">J152+L152</f>
        <v>0</v>
      </c>
      <c r="O152" s="71"/>
      <c r="P152" s="71"/>
      <c r="Q152" s="70"/>
      <c r="R152" s="70"/>
      <c r="S152" s="72"/>
      <c r="T152" s="252" t="e">
        <f>E152/C152</f>
        <v>#DIV/0!</v>
      </c>
      <c r="U152" s="73"/>
      <c r="V152" s="73"/>
      <c r="W152" s="73"/>
      <c r="X152" s="73"/>
      <c r="Y152" s="339"/>
      <c r="Z152" s="308"/>
      <c r="AA152" s="61">
        <f>H148</f>
        <v>18</v>
      </c>
      <c r="AB152" s="61" t="str">
        <f>E148</f>
        <v>FCE-RFE-153 W</v>
      </c>
      <c r="AC152" s="74" t="s">
        <v>97</v>
      </c>
      <c r="AD152" s="61" t="str">
        <f t="shared" ref="AD152:AD165" si="92">A152</f>
        <v>KR</v>
      </c>
      <c r="AE152" s="61">
        <f t="shared" ref="AE152:AE165" si="93">C152</f>
        <v>0</v>
      </c>
      <c r="AF152" s="61">
        <f t="shared" ref="AF152:AF165" si="94">E152</f>
        <v>0</v>
      </c>
    </row>
    <row r="153" spans="1:32" s="65" customFormat="1" ht="12.75" customHeight="1">
      <c r="A153" s="52" t="s">
        <v>13</v>
      </c>
      <c r="B153" s="1" t="s">
        <v>18</v>
      </c>
      <c r="C153" s="306">
        <v>0</v>
      </c>
      <c r="D153" s="306">
        <v>0</v>
      </c>
      <c r="E153" s="69">
        <f t="shared" si="86"/>
        <v>0</v>
      </c>
      <c r="F153" s="70">
        <f t="shared" si="87"/>
        <v>0</v>
      </c>
      <c r="G153" s="306">
        <f t="shared" si="88"/>
        <v>0</v>
      </c>
      <c r="H153" s="306">
        <f t="shared" si="89"/>
        <v>0</v>
      </c>
      <c r="I153" s="75"/>
      <c r="J153" s="75"/>
      <c r="K153" s="70"/>
      <c r="L153" s="70"/>
      <c r="M153" s="70">
        <f t="shared" si="90"/>
        <v>0</v>
      </c>
      <c r="N153" s="70">
        <f t="shared" si="91"/>
        <v>0</v>
      </c>
      <c r="O153" s="75"/>
      <c r="P153" s="75"/>
      <c r="Q153" s="71"/>
      <c r="R153" s="71"/>
      <c r="S153" s="72"/>
      <c r="T153" s="252" t="e">
        <f t="shared" ref="T153:T163" si="95">E153/C153</f>
        <v>#DIV/0!</v>
      </c>
      <c r="U153" s="73"/>
      <c r="V153" s="73"/>
      <c r="W153" s="73"/>
      <c r="X153" s="73"/>
      <c r="AA153" s="61">
        <f>H148</f>
        <v>18</v>
      </c>
      <c r="AB153" s="61" t="str">
        <f>E148</f>
        <v>FCE-RFE-153 W</v>
      </c>
      <c r="AC153" s="74" t="s">
        <v>97</v>
      </c>
      <c r="AD153" s="61" t="str">
        <f t="shared" si="92"/>
        <v>TAO</v>
      </c>
      <c r="AE153" s="61">
        <f t="shared" si="93"/>
        <v>0</v>
      </c>
      <c r="AF153" s="61">
        <f t="shared" si="94"/>
        <v>0</v>
      </c>
    </row>
    <row r="154" spans="1:32" s="65" customFormat="1" ht="12.75" customHeight="1">
      <c r="A154" s="52" t="s">
        <v>9</v>
      </c>
      <c r="B154" s="1">
        <f>B133+7</f>
        <v>43208</v>
      </c>
      <c r="C154" s="306">
        <v>100</v>
      </c>
      <c r="D154" s="306">
        <v>1400</v>
      </c>
      <c r="E154" s="69">
        <f t="shared" si="86"/>
        <v>44</v>
      </c>
      <c r="F154" s="70">
        <f t="shared" si="87"/>
        <v>578</v>
      </c>
      <c r="G154" s="306">
        <f t="shared" si="88"/>
        <v>-56</v>
      </c>
      <c r="H154" s="306">
        <f t="shared" si="89"/>
        <v>-822</v>
      </c>
      <c r="I154" s="75">
        <v>34</v>
      </c>
      <c r="J154" s="75">
        <v>474</v>
      </c>
      <c r="K154" s="71">
        <v>93</v>
      </c>
      <c r="L154" s="71">
        <v>1155</v>
      </c>
      <c r="M154" s="70">
        <f t="shared" si="90"/>
        <v>127</v>
      </c>
      <c r="N154" s="70">
        <f t="shared" si="91"/>
        <v>1629</v>
      </c>
      <c r="O154" s="75">
        <v>44</v>
      </c>
      <c r="P154" s="75">
        <v>578</v>
      </c>
      <c r="Q154" s="71"/>
      <c r="R154" s="71"/>
      <c r="S154" s="72"/>
      <c r="T154" s="252">
        <f t="shared" si="95"/>
        <v>0.44</v>
      </c>
      <c r="U154" s="73"/>
      <c r="V154" s="73"/>
      <c r="W154" s="73"/>
      <c r="X154" s="73"/>
      <c r="AA154" s="61">
        <f>H148</f>
        <v>18</v>
      </c>
      <c r="AB154" s="61" t="str">
        <f>E148</f>
        <v>FCE-RFE-153 W</v>
      </c>
      <c r="AC154" s="74" t="s">
        <v>97</v>
      </c>
      <c r="AD154" s="61" t="str">
        <f t="shared" si="92"/>
        <v>SHA</v>
      </c>
      <c r="AE154" s="61">
        <f t="shared" si="93"/>
        <v>100</v>
      </c>
      <c r="AF154" s="61">
        <f t="shared" si="94"/>
        <v>44</v>
      </c>
    </row>
    <row r="155" spans="1:32" s="65" customFormat="1" ht="12.75" customHeight="1">
      <c r="A155" s="52" t="s">
        <v>8</v>
      </c>
      <c r="B155" s="1">
        <f>B134+7</f>
        <v>43210</v>
      </c>
      <c r="C155" s="306">
        <v>120</v>
      </c>
      <c r="D155" s="306">
        <v>1680</v>
      </c>
      <c r="E155" s="69">
        <f t="shared" si="86"/>
        <v>150</v>
      </c>
      <c r="F155" s="70">
        <f t="shared" si="87"/>
        <v>1801</v>
      </c>
      <c r="G155" s="306">
        <f t="shared" si="88"/>
        <v>30</v>
      </c>
      <c r="H155" s="306">
        <f t="shared" si="89"/>
        <v>121</v>
      </c>
      <c r="I155" s="71">
        <v>86</v>
      </c>
      <c r="J155" s="71">
        <v>802</v>
      </c>
      <c r="K155" s="71">
        <v>86</v>
      </c>
      <c r="L155" s="71">
        <v>873</v>
      </c>
      <c r="M155" s="70">
        <f t="shared" si="90"/>
        <v>172</v>
      </c>
      <c r="N155" s="70">
        <f t="shared" si="91"/>
        <v>1675</v>
      </c>
      <c r="O155" s="71"/>
      <c r="P155" s="71"/>
      <c r="Q155" s="71">
        <v>150</v>
      </c>
      <c r="R155" s="71">
        <v>1801</v>
      </c>
      <c r="S155" s="72"/>
      <c r="T155" s="252">
        <f t="shared" si="95"/>
        <v>1.25</v>
      </c>
      <c r="U155" s="73"/>
      <c r="V155" s="73"/>
      <c r="W155" s="73"/>
      <c r="X155" s="73"/>
      <c r="AA155" s="61">
        <f>H148</f>
        <v>18</v>
      </c>
      <c r="AB155" s="61" t="str">
        <f>E148</f>
        <v>FCE-RFE-153 W</v>
      </c>
      <c r="AC155" s="74" t="s">
        <v>97</v>
      </c>
      <c r="AD155" s="61" t="str">
        <f t="shared" si="92"/>
        <v>NGB</v>
      </c>
      <c r="AE155" s="61">
        <f t="shared" si="93"/>
        <v>120</v>
      </c>
      <c r="AF155" s="61">
        <f t="shared" si="94"/>
        <v>150</v>
      </c>
    </row>
    <row r="156" spans="1:32" s="65" customFormat="1" ht="12.75" customHeight="1">
      <c r="A156" s="52" t="s">
        <v>10</v>
      </c>
      <c r="B156" s="1" t="s">
        <v>18</v>
      </c>
      <c r="C156" s="306">
        <v>50</v>
      </c>
      <c r="D156" s="306">
        <v>700</v>
      </c>
      <c r="E156" s="69">
        <f t="shared" si="86"/>
        <v>8</v>
      </c>
      <c r="F156" s="70">
        <f t="shared" si="87"/>
        <v>177</v>
      </c>
      <c r="G156" s="306">
        <f t="shared" si="88"/>
        <v>-42</v>
      </c>
      <c r="H156" s="306">
        <f t="shared" si="89"/>
        <v>-523</v>
      </c>
      <c r="I156" s="75"/>
      <c r="J156" s="75"/>
      <c r="K156" s="70"/>
      <c r="L156" s="70"/>
      <c r="M156" s="70">
        <f t="shared" si="90"/>
        <v>0</v>
      </c>
      <c r="N156" s="70">
        <f t="shared" si="91"/>
        <v>0</v>
      </c>
      <c r="O156" s="75">
        <v>8</v>
      </c>
      <c r="P156" s="75">
        <v>177</v>
      </c>
      <c r="Q156" s="70"/>
      <c r="R156" s="70"/>
      <c r="S156" s="72"/>
      <c r="T156" s="252">
        <f t="shared" si="95"/>
        <v>0.16</v>
      </c>
      <c r="U156" s="73"/>
      <c r="V156" s="73"/>
      <c r="W156" s="73"/>
      <c r="X156" s="73"/>
      <c r="AA156" s="61">
        <f>H148</f>
        <v>18</v>
      </c>
      <c r="AB156" s="61" t="str">
        <f>E148</f>
        <v>FCE-RFE-153 W</v>
      </c>
      <c r="AC156" s="74" t="s">
        <v>97</v>
      </c>
      <c r="AD156" s="61" t="str">
        <f t="shared" si="92"/>
        <v>WUH</v>
      </c>
      <c r="AE156" s="61">
        <f t="shared" si="93"/>
        <v>50</v>
      </c>
      <c r="AF156" s="61">
        <f t="shared" si="94"/>
        <v>8</v>
      </c>
    </row>
    <row r="157" spans="1:32" s="65" customFormat="1" ht="12.75" customHeight="1">
      <c r="A157" s="52" t="s">
        <v>11</v>
      </c>
      <c r="B157" s="1" t="s">
        <v>18</v>
      </c>
      <c r="C157" s="306">
        <v>0</v>
      </c>
      <c r="D157" s="306">
        <v>0</v>
      </c>
      <c r="E157" s="69">
        <f t="shared" si="86"/>
        <v>30</v>
      </c>
      <c r="F157" s="70">
        <f t="shared" si="87"/>
        <v>820</v>
      </c>
      <c r="G157" s="306">
        <f t="shared" si="88"/>
        <v>30</v>
      </c>
      <c r="H157" s="306">
        <f t="shared" si="89"/>
        <v>820</v>
      </c>
      <c r="I157" s="70"/>
      <c r="J157" s="70"/>
      <c r="K157" s="70"/>
      <c r="L157" s="70"/>
      <c r="M157" s="70">
        <f t="shared" si="90"/>
        <v>0</v>
      </c>
      <c r="N157" s="70">
        <f t="shared" si="91"/>
        <v>0</v>
      </c>
      <c r="O157" s="75"/>
      <c r="P157" s="75"/>
      <c r="Q157" s="70">
        <v>30</v>
      </c>
      <c r="R157" s="70">
        <v>820</v>
      </c>
      <c r="S157" s="72"/>
      <c r="T157" s="252" t="e">
        <f t="shared" si="95"/>
        <v>#DIV/0!</v>
      </c>
      <c r="U157" s="73"/>
      <c r="V157" s="73"/>
      <c r="W157" s="73"/>
      <c r="X157" s="73"/>
      <c r="AA157" s="61">
        <f>H148</f>
        <v>18</v>
      </c>
      <c r="AB157" s="61" t="str">
        <f>E148</f>
        <v>FCE-RFE-153 W</v>
      </c>
      <c r="AC157" s="74" t="s">
        <v>97</v>
      </c>
      <c r="AD157" s="61" t="str">
        <f t="shared" si="92"/>
        <v>DLC</v>
      </c>
      <c r="AE157" s="61">
        <f t="shared" si="93"/>
        <v>0</v>
      </c>
      <c r="AF157" s="61">
        <f t="shared" si="94"/>
        <v>30</v>
      </c>
    </row>
    <row r="158" spans="1:32" s="65" customFormat="1" ht="12.75" customHeight="1">
      <c r="A158" s="52" t="s">
        <v>12</v>
      </c>
      <c r="B158" s="1" t="s">
        <v>18</v>
      </c>
      <c r="C158" s="306">
        <v>0</v>
      </c>
      <c r="D158" s="306">
        <v>0</v>
      </c>
      <c r="E158" s="69">
        <f t="shared" si="86"/>
        <v>0</v>
      </c>
      <c r="F158" s="70">
        <f t="shared" si="87"/>
        <v>0</v>
      </c>
      <c r="G158" s="306">
        <f t="shared" si="88"/>
        <v>0</v>
      </c>
      <c r="H158" s="306">
        <f t="shared" si="89"/>
        <v>0</v>
      </c>
      <c r="I158" s="70"/>
      <c r="J158" s="70"/>
      <c r="K158" s="70"/>
      <c r="L158" s="70"/>
      <c r="M158" s="70">
        <f t="shared" si="90"/>
        <v>0</v>
      </c>
      <c r="N158" s="70">
        <f t="shared" si="91"/>
        <v>0</v>
      </c>
      <c r="O158" s="75"/>
      <c r="P158" s="75"/>
      <c r="Q158" s="76"/>
      <c r="R158" s="71"/>
      <c r="S158" s="72"/>
      <c r="T158" s="252" t="e">
        <f t="shared" si="95"/>
        <v>#DIV/0!</v>
      </c>
      <c r="U158" s="73"/>
      <c r="V158" s="73"/>
      <c r="W158" s="73"/>
      <c r="X158" s="73"/>
      <c r="AA158" s="61">
        <f>H148</f>
        <v>18</v>
      </c>
      <c r="AB158" s="61" t="str">
        <f>E148</f>
        <v>FCE-RFE-153 W</v>
      </c>
      <c r="AC158" s="74" t="s">
        <v>97</v>
      </c>
      <c r="AD158" s="61" t="str">
        <f t="shared" si="92"/>
        <v>TSN</v>
      </c>
      <c r="AE158" s="61">
        <f t="shared" si="93"/>
        <v>0</v>
      </c>
      <c r="AF158" s="61">
        <f t="shared" si="94"/>
        <v>0</v>
      </c>
    </row>
    <row r="159" spans="1:32" s="65" customFormat="1" ht="12.75" customHeight="1">
      <c r="A159" s="52" t="s">
        <v>14</v>
      </c>
      <c r="B159" s="1" t="s">
        <v>18</v>
      </c>
      <c r="C159" s="306">
        <v>0</v>
      </c>
      <c r="D159" s="306">
        <v>0</v>
      </c>
      <c r="E159" s="69">
        <f t="shared" si="86"/>
        <v>0</v>
      </c>
      <c r="F159" s="70">
        <f t="shared" si="87"/>
        <v>0</v>
      </c>
      <c r="G159" s="306">
        <f t="shared" si="88"/>
        <v>0</v>
      </c>
      <c r="H159" s="306">
        <f t="shared" si="89"/>
        <v>0</v>
      </c>
      <c r="I159" s="70"/>
      <c r="J159" s="70"/>
      <c r="K159" s="70"/>
      <c r="L159" s="70"/>
      <c r="M159" s="70">
        <f t="shared" si="90"/>
        <v>0</v>
      </c>
      <c r="N159" s="70">
        <f t="shared" si="91"/>
        <v>0</v>
      </c>
      <c r="O159" s="71"/>
      <c r="P159" s="71"/>
      <c r="Q159" s="70"/>
      <c r="R159" s="70"/>
      <c r="S159" s="72"/>
      <c r="T159" s="252" t="e">
        <f t="shared" si="95"/>
        <v>#DIV/0!</v>
      </c>
      <c r="U159" s="73"/>
      <c r="V159" s="73"/>
      <c r="W159" s="73"/>
      <c r="X159" s="73"/>
      <c r="AA159" s="61">
        <f>H148</f>
        <v>18</v>
      </c>
      <c r="AB159" s="61" t="str">
        <f>E148</f>
        <v>FCE-RFE-153 W</v>
      </c>
      <c r="AC159" s="74" t="s">
        <v>97</v>
      </c>
      <c r="AD159" s="61" t="str">
        <f t="shared" si="92"/>
        <v>XMN</v>
      </c>
      <c r="AE159" s="61">
        <f t="shared" si="93"/>
        <v>0</v>
      </c>
      <c r="AF159" s="61">
        <f t="shared" si="94"/>
        <v>0</v>
      </c>
    </row>
    <row r="160" spans="1:32" s="65" customFormat="1" ht="12.75" customHeight="1">
      <c r="A160" s="52" t="s">
        <v>19</v>
      </c>
      <c r="B160" s="1" t="s">
        <v>18</v>
      </c>
      <c r="C160" s="306">
        <v>0</v>
      </c>
      <c r="D160" s="306">
        <v>0</v>
      </c>
      <c r="E160" s="69">
        <f t="shared" si="86"/>
        <v>0</v>
      </c>
      <c r="F160" s="70">
        <f t="shared" si="87"/>
        <v>0</v>
      </c>
      <c r="G160" s="306">
        <f t="shared" si="88"/>
        <v>0</v>
      </c>
      <c r="H160" s="306">
        <f t="shared" si="89"/>
        <v>0</v>
      </c>
      <c r="I160" s="70"/>
      <c r="J160" s="70"/>
      <c r="K160" s="70"/>
      <c r="L160" s="70"/>
      <c r="M160" s="70">
        <f t="shared" si="90"/>
        <v>0</v>
      </c>
      <c r="N160" s="70">
        <f t="shared" si="91"/>
        <v>0</v>
      </c>
      <c r="O160" s="70"/>
      <c r="P160" s="70"/>
      <c r="Q160" s="70"/>
      <c r="R160" s="70"/>
      <c r="S160" s="72"/>
      <c r="T160" s="252" t="e">
        <f t="shared" si="95"/>
        <v>#DIV/0!</v>
      </c>
      <c r="U160" s="73"/>
      <c r="V160" s="73"/>
      <c r="W160" s="73"/>
      <c r="X160" s="73"/>
      <c r="AA160" s="61">
        <f>H148</f>
        <v>18</v>
      </c>
      <c r="AB160" s="61" t="str">
        <f>E148</f>
        <v>FCE-RFE-153 W</v>
      </c>
      <c r="AC160" s="74" t="s">
        <v>97</v>
      </c>
      <c r="AD160" s="61" t="str">
        <f t="shared" si="92"/>
        <v>TWC</v>
      </c>
      <c r="AE160" s="61">
        <f t="shared" si="93"/>
        <v>0</v>
      </c>
      <c r="AF160" s="61">
        <f t="shared" si="94"/>
        <v>0</v>
      </c>
    </row>
    <row r="161" spans="1:32" s="65" customFormat="1" ht="12.75" customHeight="1">
      <c r="A161" s="52" t="s">
        <v>16</v>
      </c>
      <c r="B161" s="1">
        <f>B140+7</f>
        <v>43213</v>
      </c>
      <c r="C161" s="306">
        <v>100</v>
      </c>
      <c r="D161" s="306">
        <v>1400</v>
      </c>
      <c r="E161" s="69">
        <f>O161+Q161</f>
        <v>116</v>
      </c>
      <c r="F161" s="70">
        <f>P161+R160</f>
        <v>0</v>
      </c>
      <c r="G161" s="306">
        <f t="shared" si="88"/>
        <v>16</v>
      </c>
      <c r="H161" s="306">
        <f t="shared" si="89"/>
        <v>-1400</v>
      </c>
      <c r="I161" s="70"/>
      <c r="J161" s="70"/>
      <c r="K161" s="70"/>
      <c r="L161" s="70"/>
      <c r="M161" s="70">
        <f t="shared" si="90"/>
        <v>0</v>
      </c>
      <c r="N161" s="70">
        <f t="shared" si="91"/>
        <v>0</v>
      </c>
      <c r="O161" s="70"/>
      <c r="P161" s="70"/>
      <c r="Q161" s="70">
        <v>116</v>
      </c>
      <c r="R161" s="84">
        <v>682</v>
      </c>
      <c r="S161" s="72"/>
      <c r="T161" s="252">
        <f t="shared" si="95"/>
        <v>1.1599999999999999</v>
      </c>
      <c r="U161" s="73"/>
      <c r="V161" s="73"/>
      <c r="W161" s="73"/>
      <c r="X161" s="73"/>
      <c r="AA161" s="61">
        <f>H148</f>
        <v>18</v>
      </c>
      <c r="AB161" s="61" t="str">
        <f>E148</f>
        <v>FCE-RFE-153 W</v>
      </c>
      <c r="AC161" s="74" t="s">
        <v>97</v>
      </c>
      <c r="AD161" s="61" t="str">
        <f t="shared" si="92"/>
        <v>HUA</v>
      </c>
      <c r="AE161" s="61">
        <f t="shared" si="93"/>
        <v>100</v>
      </c>
      <c r="AF161" s="61">
        <f t="shared" si="94"/>
        <v>116</v>
      </c>
    </row>
    <row r="162" spans="1:32" s="65" customFormat="1" ht="12.75" customHeight="1">
      <c r="A162" s="52" t="s">
        <v>619</v>
      </c>
      <c r="B162" s="1">
        <f>B141+7</f>
        <v>43212</v>
      </c>
      <c r="C162" s="306"/>
      <c r="D162" s="306"/>
      <c r="E162" s="69">
        <f>O162+Q162</f>
        <v>0</v>
      </c>
      <c r="F162" s="70">
        <f>P162+R162</f>
        <v>0</v>
      </c>
      <c r="G162" s="306"/>
      <c r="H162" s="306"/>
      <c r="I162" s="70"/>
      <c r="J162" s="70"/>
      <c r="K162" s="70">
        <v>24</v>
      </c>
      <c r="L162" s="70">
        <v>197</v>
      </c>
      <c r="M162" s="70">
        <f t="shared" si="90"/>
        <v>24</v>
      </c>
      <c r="N162" s="70">
        <f t="shared" si="91"/>
        <v>197</v>
      </c>
      <c r="O162" s="70"/>
      <c r="P162" s="70"/>
      <c r="Q162" s="70"/>
      <c r="R162" s="70"/>
      <c r="S162" s="72"/>
      <c r="T162" s="252" t="e">
        <f t="shared" si="95"/>
        <v>#DIV/0!</v>
      </c>
      <c r="U162" s="73"/>
      <c r="V162" s="73"/>
      <c r="W162" s="73"/>
      <c r="X162" s="73"/>
      <c r="AA162" s="61">
        <f>H148</f>
        <v>18</v>
      </c>
      <c r="AB162" s="61" t="str">
        <f>E148</f>
        <v>FCE-RFE-153 W</v>
      </c>
      <c r="AC162" s="74" t="s">
        <v>97</v>
      </c>
      <c r="AD162" s="61" t="str">
        <f t="shared" si="92"/>
        <v>HKG</v>
      </c>
      <c r="AE162" s="61">
        <f t="shared" si="93"/>
        <v>0</v>
      </c>
      <c r="AF162" s="61">
        <f t="shared" si="94"/>
        <v>0</v>
      </c>
    </row>
    <row r="163" spans="1:32" s="65" customFormat="1" ht="12.75" customHeight="1">
      <c r="A163" s="52" t="s">
        <v>3</v>
      </c>
      <c r="B163" s="1">
        <f>B142+7</f>
        <v>43218</v>
      </c>
      <c r="C163" s="306">
        <v>100</v>
      </c>
      <c r="D163" s="306">
        <v>1400</v>
      </c>
      <c r="E163" s="69">
        <f>O163+Q163</f>
        <v>100</v>
      </c>
      <c r="F163" s="70">
        <f>P163+R163</f>
        <v>1400</v>
      </c>
      <c r="G163" s="306">
        <f t="shared" ref="G163:G166" si="96">E163-C163</f>
        <v>0</v>
      </c>
      <c r="H163" s="306">
        <f t="shared" ref="H163:H166" si="97">F163-D163</f>
        <v>0</v>
      </c>
      <c r="I163" s="70"/>
      <c r="J163" s="70"/>
      <c r="K163" s="70"/>
      <c r="L163" s="70"/>
      <c r="M163" s="70">
        <f t="shared" si="90"/>
        <v>0</v>
      </c>
      <c r="N163" s="70">
        <f t="shared" si="91"/>
        <v>0</v>
      </c>
      <c r="O163" s="306"/>
      <c r="P163" s="306"/>
      <c r="Q163" s="70">
        <v>100</v>
      </c>
      <c r="R163" s="70">
        <v>1400</v>
      </c>
      <c r="S163" s="72"/>
      <c r="T163" s="252">
        <f t="shared" si="95"/>
        <v>1</v>
      </c>
      <c r="U163" s="73"/>
      <c r="V163" s="73"/>
      <c r="W163" s="73"/>
      <c r="X163" s="73"/>
      <c r="AA163" s="61">
        <f>H148</f>
        <v>18</v>
      </c>
      <c r="AB163" s="61" t="str">
        <f>E148</f>
        <v>FCE-RFE-153 W</v>
      </c>
      <c r="AC163" s="74" t="s">
        <v>97</v>
      </c>
      <c r="AD163" s="61" t="str">
        <f t="shared" si="92"/>
        <v>SGP</v>
      </c>
      <c r="AE163" s="61">
        <f t="shared" si="93"/>
        <v>100</v>
      </c>
      <c r="AF163" s="61">
        <f t="shared" si="94"/>
        <v>100</v>
      </c>
    </row>
    <row r="164" spans="1:32" s="65" customFormat="1" ht="12.75" customHeight="1">
      <c r="A164" s="52" t="s">
        <v>4</v>
      </c>
      <c r="B164" s="1">
        <f>B143+7</f>
        <v>43219</v>
      </c>
      <c r="C164" s="306">
        <v>50</v>
      </c>
      <c r="D164" s="306">
        <v>700</v>
      </c>
      <c r="E164" s="69">
        <f>O164+Q164</f>
        <v>38</v>
      </c>
      <c r="F164" s="70">
        <f>P164+R164</f>
        <v>748</v>
      </c>
      <c r="G164" s="306">
        <f t="shared" si="96"/>
        <v>-12</v>
      </c>
      <c r="H164" s="306">
        <f t="shared" si="97"/>
        <v>48</v>
      </c>
      <c r="I164" s="70"/>
      <c r="J164" s="70"/>
      <c r="K164" s="70"/>
      <c r="L164" s="70"/>
      <c r="M164" s="70">
        <f t="shared" si="90"/>
        <v>0</v>
      </c>
      <c r="N164" s="70">
        <f t="shared" si="91"/>
        <v>0</v>
      </c>
      <c r="O164" s="70"/>
      <c r="P164" s="70"/>
      <c r="Q164" s="70">
        <v>38</v>
      </c>
      <c r="R164" s="70">
        <v>748</v>
      </c>
      <c r="S164" s="72"/>
      <c r="T164" s="252">
        <f>E164/C164</f>
        <v>0.76</v>
      </c>
      <c r="U164" s="73"/>
      <c r="V164" s="73"/>
      <c r="W164" s="73"/>
      <c r="X164" s="73"/>
      <c r="AA164" s="61">
        <f>H148</f>
        <v>18</v>
      </c>
      <c r="AB164" s="61" t="str">
        <f>E148</f>
        <v>FCE-RFE-153 W</v>
      </c>
      <c r="AC164" s="74" t="s">
        <v>97</v>
      </c>
      <c r="AD164" s="61" t="str">
        <f t="shared" si="92"/>
        <v>PKL</v>
      </c>
      <c r="AE164" s="61">
        <f t="shared" si="93"/>
        <v>50</v>
      </c>
      <c r="AF164" s="61">
        <f t="shared" si="94"/>
        <v>38</v>
      </c>
    </row>
    <row r="165" spans="1:32" s="65" customFormat="1" ht="12.75" customHeight="1">
      <c r="A165" s="52" t="s">
        <v>15</v>
      </c>
      <c r="B165" s="306"/>
      <c r="C165" s="306">
        <v>50</v>
      </c>
      <c r="D165" s="306">
        <v>700</v>
      </c>
      <c r="E165" s="69">
        <f>O165+Q165</f>
        <v>0</v>
      </c>
      <c r="F165" s="70">
        <f>P165+R165</f>
        <v>0</v>
      </c>
      <c r="G165" s="306">
        <f t="shared" si="96"/>
        <v>-50</v>
      </c>
      <c r="H165" s="306">
        <f t="shared" si="97"/>
        <v>-700</v>
      </c>
      <c r="I165" s="70">
        <v>6</v>
      </c>
      <c r="J165" s="70">
        <v>76</v>
      </c>
      <c r="K165" s="70">
        <v>51</v>
      </c>
      <c r="L165" s="70">
        <v>595</v>
      </c>
      <c r="M165" s="70">
        <f t="shared" si="90"/>
        <v>57</v>
      </c>
      <c r="N165" s="70">
        <f t="shared" si="91"/>
        <v>671</v>
      </c>
      <c r="O165" s="71"/>
      <c r="P165" s="71"/>
      <c r="Q165" s="71"/>
      <c r="R165" s="71"/>
      <c r="S165" s="72"/>
      <c r="T165" s="73"/>
      <c r="U165" s="73"/>
      <c r="V165" s="73"/>
      <c r="W165" s="73"/>
      <c r="X165" s="73"/>
      <c r="AA165" s="61">
        <f>H148</f>
        <v>18</v>
      </c>
      <c r="AB165" s="61" t="str">
        <f>E148</f>
        <v>FCE-RFE-153 W</v>
      </c>
      <c r="AC165" s="74" t="s">
        <v>97</v>
      </c>
      <c r="AD165" s="61" t="str">
        <f t="shared" si="92"/>
        <v>T/S</v>
      </c>
      <c r="AE165" s="61">
        <f t="shared" si="93"/>
        <v>50</v>
      </c>
      <c r="AF165" s="61">
        <f t="shared" si="94"/>
        <v>0</v>
      </c>
    </row>
    <row r="166" spans="1:32" s="65" customFormat="1" ht="12.75" customHeight="1">
      <c r="A166" s="51" t="s">
        <v>36</v>
      </c>
      <c r="B166" s="72"/>
      <c r="C166" s="71">
        <f>SUM(C152:C165)</f>
        <v>570</v>
      </c>
      <c r="D166" s="71">
        <f>SUM(D152:D165)</f>
        <v>7980</v>
      </c>
      <c r="E166" s="78">
        <f>SUM(E152:E165)</f>
        <v>486</v>
      </c>
      <c r="F166" s="76">
        <f>SUM(F152:F165)</f>
        <v>5524</v>
      </c>
      <c r="G166" s="71">
        <f t="shared" si="96"/>
        <v>-84</v>
      </c>
      <c r="H166" s="71">
        <f t="shared" si="97"/>
        <v>-2456</v>
      </c>
      <c r="I166" s="70">
        <f t="shared" ref="I166:L166" si="98">SUM(I152:I165)</f>
        <v>126</v>
      </c>
      <c r="J166" s="70">
        <f t="shared" si="98"/>
        <v>1352</v>
      </c>
      <c r="K166" s="70">
        <f t="shared" si="98"/>
        <v>254</v>
      </c>
      <c r="L166" s="70">
        <f t="shared" si="98"/>
        <v>2820</v>
      </c>
      <c r="M166" s="70"/>
      <c r="N166" s="70"/>
      <c r="O166" s="70">
        <f t="shared" ref="O166:R166" si="99">SUM(O152:O165)</f>
        <v>52</v>
      </c>
      <c r="P166" s="70">
        <f t="shared" si="99"/>
        <v>755</v>
      </c>
      <c r="Q166" s="70">
        <f t="shared" si="99"/>
        <v>434</v>
      </c>
      <c r="R166" s="70">
        <f t="shared" si="99"/>
        <v>5451</v>
      </c>
      <c r="S166" s="72"/>
      <c r="T166" s="73"/>
      <c r="U166" s="73"/>
      <c r="V166" s="73"/>
      <c r="W166" s="73"/>
      <c r="X166" s="73"/>
      <c r="AA166" s="61"/>
      <c r="AB166" s="61"/>
      <c r="AC166" s="61"/>
      <c r="AD166" s="61"/>
      <c r="AE166" s="61"/>
      <c r="AF166" s="61"/>
    </row>
    <row r="167" spans="1:32" s="65" customFormat="1" ht="12.75" customHeight="1">
      <c r="A167" s="84">
        <f>D166/C166</f>
        <v>14</v>
      </c>
      <c r="C167" s="307">
        <f>F166-E167</f>
        <v>-1658</v>
      </c>
      <c r="E167" s="65">
        <f>D166*0.9</f>
        <v>7182</v>
      </c>
      <c r="F167" s="307">
        <f>E166-L167</f>
        <v>-27</v>
      </c>
      <c r="I167" s="80" t="s">
        <v>48</v>
      </c>
      <c r="J167" s="245">
        <f>E166/C166</f>
        <v>0.85263157894736841</v>
      </c>
      <c r="K167" s="80"/>
      <c r="L167" s="80">
        <f>C166*0.9</f>
        <v>513</v>
      </c>
      <c r="M167" s="80"/>
      <c r="N167" s="80"/>
      <c r="O167" s="80" t="s">
        <v>49</v>
      </c>
      <c r="P167" s="80"/>
      <c r="Q167" s="65">
        <f>P153+P154+P156+P157+P158+J153+J154+L153+L154+J156+R156</f>
        <v>2384</v>
      </c>
      <c r="R167" s="65">
        <v>16856</v>
      </c>
      <c r="AA167" s="81"/>
      <c r="AB167" s="81"/>
      <c r="AC167" s="81"/>
      <c r="AD167" s="81"/>
      <c r="AE167" s="81"/>
      <c r="AF167" s="81"/>
    </row>
    <row r="169" spans="1:32" s="63" customFormat="1" ht="12.75" customHeight="1">
      <c r="A169" s="59" t="s">
        <v>97</v>
      </c>
      <c r="B169" s="298" t="s">
        <v>632</v>
      </c>
      <c r="C169" s="56"/>
      <c r="D169" s="57"/>
      <c r="E169" s="58" t="s">
        <v>633</v>
      </c>
      <c r="F169" s="57"/>
      <c r="G169" s="59" t="s">
        <v>37</v>
      </c>
      <c r="H169" s="60">
        <f>H148+1</f>
        <v>19</v>
      </c>
      <c r="I169" s="57"/>
      <c r="J169" s="286"/>
      <c r="K169" s="57"/>
      <c r="L169" s="57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2"/>
      <c r="Z169" s="62"/>
      <c r="AA169" s="62"/>
      <c r="AB169" s="62"/>
      <c r="AC169" s="62"/>
    </row>
    <row r="170" spans="1:32" s="65" customFormat="1" ht="12.75" customHeight="1">
      <c r="A170" s="340" t="s">
        <v>0</v>
      </c>
      <c r="B170" s="336" t="s">
        <v>1</v>
      </c>
      <c r="C170" s="331" t="s">
        <v>25</v>
      </c>
      <c r="D170" s="332"/>
      <c r="E170" s="331" t="s">
        <v>21</v>
      </c>
      <c r="F170" s="332"/>
      <c r="G170" s="335" t="s">
        <v>24</v>
      </c>
      <c r="H170" s="335"/>
      <c r="I170" s="328" t="s">
        <v>33</v>
      </c>
      <c r="J170" s="329"/>
      <c r="K170" s="329"/>
      <c r="L170" s="329"/>
      <c r="M170" s="329"/>
      <c r="N170" s="330"/>
      <c r="O170" s="331" t="s">
        <v>22</v>
      </c>
      <c r="P170" s="332"/>
      <c r="Q170" s="335" t="s">
        <v>23</v>
      </c>
      <c r="R170" s="335"/>
      <c r="S170" s="336" t="s">
        <v>27</v>
      </c>
      <c r="T170" s="64"/>
      <c r="U170" s="64"/>
      <c r="V170" s="64"/>
      <c r="W170" s="64"/>
      <c r="X170" s="64"/>
      <c r="Y170" s="339"/>
      <c r="Z170" s="327"/>
      <c r="AA170" s="61"/>
      <c r="AB170" s="61"/>
      <c r="AC170" s="74"/>
      <c r="AD170" s="61"/>
      <c r="AE170" s="61"/>
      <c r="AF170" s="61"/>
    </row>
    <row r="171" spans="1:32" s="65" customFormat="1" ht="12.75" customHeight="1">
      <c r="A171" s="341"/>
      <c r="B171" s="337"/>
      <c r="C171" s="333"/>
      <c r="D171" s="334"/>
      <c r="E171" s="333"/>
      <c r="F171" s="334"/>
      <c r="G171" s="335"/>
      <c r="H171" s="335"/>
      <c r="I171" s="323" t="s">
        <v>28</v>
      </c>
      <c r="J171" s="324" t="s">
        <v>3</v>
      </c>
      <c r="K171" s="323" t="s">
        <v>29</v>
      </c>
      <c r="L171" s="324" t="s">
        <v>4</v>
      </c>
      <c r="M171" s="328" t="s">
        <v>30</v>
      </c>
      <c r="N171" s="330"/>
      <c r="O171" s="333"/>
      <c r="P171" s="334"/>
      <c r="Q171" s="335"/>
      <c r="R171" s="335"/>
      <c r="S171" s="337"/>
      <c r="T171" s="64"/>
      <c r="U171" s="64"/>
      <c r="V171" s="64"/>
      <c r="W171" s="64"/>
      <c r="X171" s="64"/>
      <c r="Y171" s="339"/>
      <c r="Z171" s="327"/>
      <c r="AA171" s="61"/>
      <c r="AB171" s="61"/>
      <c r="AC171" s="74"/>
      <c r="AD171" s="61"/>
      <c r="AE171" s="61"/>
      <c r="AF171" s="61"/>
    </row>
    <row r="172" spans="1:32" s="65" customFormat="1" ht="12.75" customHeight="1">
      <c r="A172" s="342"/>
      <c r="B172" s="338"/>
      <c r="C172" s="325" t="s">
        <v>5</v>
      </c>
      <c r="D172" s="325" t="s">
        <v>6</v>
      </c>
      <c r="E172" s="324" t="s">
        <v>5</v>
      </c>
      <c r="F172" s="325" t="s">
        <v>6</v>
      </c>
      <c r="G172" s="325" t="s">
        <v>5</v>
      </c>
      <c r="H172" s="325" t="s">
        <v>6</v>
      </c>
      <c r="I172" s="324" t="s">
        <v>5</v>
      </c>
      <c r="J172" s="325" t="s">
        <v>6</v>
      </c>
      <c r="K172" s="324" t="s">
        <v>5</v>
      </c>
      <c r="L172" s="325" t="s">
        <v>6</v>
      </c>
      <c r="M172" s="325"/>
      <c r="N172" s="325"/>
      <c r="O172" s="324" t="s">
        <v>5</v>
      </c>
      <c r="P172" s="325" t="s">
        <v>6</v>
      </c>
      <c r="Q172" s="325" t="s">
        <v>5</v>
      </c>
      <c r="R172" s="325" t="s">
        <v>6</v>
      </c>
      <c r="S172" s="338"/>
      <c r="T172" s="64"/>
      <c r="U172" s="64"/>
      <c r="V172" s="64"/>
      <c r="W172" s="64"/>
      <c r="X172" s="64"/>
      <c r="Y172" s="339"/>
      <c r="Z172" s="327"/>
      <c r="AA172" s="61" t="s">
        <v>43</v>
      </c>
      <c r="AB172" s="61" t="s">
        <v>45</v>
      </c>
      <c r="AC172" s="61" t="s">
        <v>46</v>
      </c>
      <c r="AD172" s="61" t="s">
        <v>42</v>
      </c>
      <c r="AE172" s="61" t="s">
        <v>41</v>
      </c>
      <c r="AF172" s="61" t="s">
        <v>44</v>
      </c>
    </row>
    <row r="173" spans="1:32" s="65" customFormat="1" ht="12.75" customHeight="1">
      <c r="A173" s="51" t="s">
        <v>7</v>
      </c>
      <c r="B173" s="1" t="s">
        <v>18</v>
      </c>
      <c r="C173" s="325">
        <v>0</v>
      </c>
      <c r="D173" s="325">
        <v>0</v>
      </c>
      <c r="E173" s="69">
        <f t="shared" ref="E173:E181" si="100">O173+Q173</f>
        <v>0</v>
      </c>
      <c r="F173" s="70">
        <f t="shared" ref="F173:F181" si="101">P173+R173</f>
        <v>0</v>
      </c>
      <c r="G173" s="325">
        <f t="shared" ref="G173:G182" si="102">E173-C173</f>
        <v>0</v>
      </c>
      <c r="H173" s="325">
        <f t="shared" ref="H173:H182" si="103">F173-D173</f>
        <v>0</v>
      </c>
      <c r="I173" s="70"/>
      <c r="J173" s="70"/>
      <c r="K173" s="70"/>
      <c r="L173" s="70"/>
      <c r="M173" s="70">
        <f t="shared" ref="M173:M186" si="104">I173+K173</f>
        <v>0</v>
      </c>
      <c r="N173" s="70">
        <f t="shared" ref="N173:N186" si="105">J173+L173</f>
        <v>0</v>
      </c>
      <c r="O173" s="71"/>
      <c r="P173" s="71"/>
      <c r="Q173" s="70"/>
      <c r="R173" s="70"/>
      <c r="S173" s="72"/>
      <c r="T173" s="252" t="e">
        <f>E173/C173</f>
        <v>#DIV/0!</v>
      </c>
      <c r="U173" s="73"/>
      <c r="V173" s="73"/>
      <c r="W173" s="73"/>
      <c r="X173" s="73"/>
      <c r="Y173" s="339"/>
      <c r="Z173" s="327"/>
      <c r="AA173" s="61">
        <f>H169</f>
        <v>19</v>
      </c>
      <c r="AB173" s="61" t="str">
        <f>E169</f>
        <v>FCE-N7E-102 W</v>
      </c>
      <c r="AC173" s="74" t="s">
        <v>97</v>
      </c>
      <c r="AD173" s="61" t="str">
        <f t="shared" ref="AD173:AD186" si="106">A173</f>
        <v>KR</v>
      </c>
      <c r="AE173" s="61">
        <f t="shared" ref="AE173:AE186" si="107">C173</f>
        <v>0</v>
      </c>
      <c r="AF173" s="61">
        <f t="shared" ref="AF173:AF186" si="108">E173</f>
        <v>0</v>
      </c>
    </row>
    <row r="174" spans="1:32" s="65" customFormat="1" ht="12.75" customHeight="1">
      <c r="A174" s="52" t="s">
        <v>13</v>
      </c>
      <c r="B174" s="1" t="s">
        <v>18</v>
      </c>
      <c r="C174" s="325">
        <v>0</v>
      </c>
      <c r="D174" s="325">
        <v>0</v>
      </c>
      <c r="E174" s="69">
        <f t="shared" si="100"/>
        <v>0</v>
      </c>
      <c r="F174" s="70">
        <f t="shared" si="101"/>
        <v>0</v>
      </c>
      <c r="G174" s="325">
        <f t="shared" si="102"/>
        <v>0</v>
      </c>
      <c r="H174" s="325">
        <f t="shared" si="103"/>
        <v>0</v>
      </c>
      <c r="I174" s="75"/>
      <c r="J174" s="75"/>
      <c r="K174" s="70"/>
      <c r="L174" s="70"/>
      <c r="M174" s="70">
        <f t="shared" si="104"/>
        <v>0</v>
      </c>
      <c r="N174" s="70">
        <f t="shared" si="105"/>
        <v>0</v>
      </c>
      <c r="O174" s="75"/>
      <c r="P174" s="75"/>
      <c r="Q174" s="71"/>
      <c r="R174" s="71"/>
      <c r="S174" s="72"/>
      <c r="T174" s="252" t="e">
        <f t="shared" ref="T174:T184" si="109">E174/C174</f>
        <v>#DIV/0!</v>
      </c>
      <c r="U174" s="73"/>
      <c r="V174" s="73"/>
      <c r="W174" s="73"/>
      <c r="X174" s="73"/>
      <c r="AA174" s="61">
        <f>H169</f>
        <v>19</v>
      </c>
      <c r="AB174" s="61" t="str">
        <f>E169</f>
        <v>FCE-N7E-102 W</v>
      </c>
      <c r="AC174" s="74" t="s">
        <v>97</v>
      </c>
      <c r="AD174" s="61" t="str">
        <f t="shared" si="106"/>
        <v>TAO</v>
      </c>
      <c r="AE174" s="61">
        <f t="shared" si="107"/>
        <v>0</v>
      </c>
      <c r="AF174" s="61">
        <f t="shared" si="108"/>
        <v>0</v>
      </c>
    </row>
    <row r="175" spans="1:32" s="65" customFormat="1" ht="12.75" customHeight="1">
      <c r="A175" s="52" t="s">
        <v>9</v>
      </c>
      <c r="B175" s="1">
        <f>B154+7</f>
        <v>43215</v>
      </c>
      <c r="C175" s="325">
        <v>100</v>
      </c>
      <c r="D175" s="325">
        <v>1400</v>
      </c>
      <c r="E175" s="69">
        <f t="shared" si="100"/>
        <v>35</v>
      </c>
      <c r="F175" s="70">
        <f t="shared" si="101"/>
        <v>666</v>
      </c>
      <c r="G175" s="325">
        <f t="shared" si="102"/>
        <v>-65</v>
      </c>
      <c r="H175" s="325">
        <f t="shared" si="103"/>
        <v>-734</v>
      </c>
      <c r="I175" s="75">
        <v>11</v>
      </c>
      <c r="J175" s="75">
        <v>63</v>
      </c>
      <c r="K175" s="71">
        <v>77</v>
      </c>
      <c r="L175" s="71">
        <v>893</v>
      </c>
      <c r="M175" s="70">
        <f t="shared" si="104"/>
        <v>88</v>
      </c>
      <c r="N175" s="70">
        <f t="shared" si="105"/>
        <v>956</v>
      </c>
      <c r="O175" s="75">
        <v>35</v>
      </c>
      <c r="P175" s="75">
        <v>666</v>
      </c>
      <c r="Q175" s="71"/>
      <c r="R175" s="71"/>
      <c r="S175" s="72"/>
      <c r="T175" s="252">
        <f t="shared" si="109"/>
        <v>0.35</v>
      </c>
      <c r="U175" s="73"/>
      <c r="V175" s="73"/>
      <c r="W175" s="73"/>
      <c r="X175" s="73"/>
      <c r="AA175" s="61">
        <f>H169</f>
        <v>19</v>
      </c>
      <c r="AB175" s="61" t="str">
        <f>E169</f>
        <v>FCE-N7E-102 W</v>
      </c>
      <c r="AC175" s="74" t="s">
        <v>97</v>
      </c>
      <c r="AD175" s="61" t="str">
        <f t="shared" si="106"/>
        <v>SHA</v>
      </c>
      <c r="AE175" s="61">
        <f t="shared" si="107"/>
        <v>100</v>
      </c>
      <c r="AF175" s="61">
        <f t="shared" si="108"/>
        <v>35</v>
      </c>
    </row>
    <row r="176" spans="1:32" s="65" customFormat="1" ht="12.75" customHeight="1">
      <c r="A176" s="52" t="s">
        <v>8</v>
      </c>
      <c r="B176" s="1">
        <f>B155+7</f>
        <v>43217</v>
      </c>
      <c r="C176" s="325">
        <v>120</v>
      </c>
      <c r="D176" s="325">
        <v>1680</v>
      </c>
      <c r="E176" s="69">
        <f t="shared" si="100"/>
        <v>52</v>
      </c>
      <c r="F176" s="70">
        <f t="shared" si="101"/>
        <v>550</v>
      </c>
      <c r="G176" s="325">
        <f t="shared" si="102"/>
        <v>-68</v>
      </c>
      <c r="H176" s="325">
        <f t="shared" si="103"/>
        <v>-1130</v>
      </c>
      <c r="I176" s="71">
        <v>6</v>
      </c>
      <c r="J176" s="71">
        <v>50</v>
      </c>
      <c r="K176" s="71">
        <v>5</v>
      </c>
      <c r="L176" s="71">
        <v>39</v>
      </c>
      <c r="M176" s="70">
        <f t="shared" si="104"/>
        <v>11</v>
      </c>
      <c r="N176" s="70">
        <f t="shared" si="105"/>
        <v>89</v>
      </c>
      <c r="O176" s="71"/>
      <c r="P176" s="71"/>
      <c r="Q176" s="71">
        <v>52</v>
      </c>
      <c r="R176" s="71">
        <v>550</v>
      </c>
      <c r="S176" s="72"/>
      <c r="T176" s="252">
        <f t="shared" si="109"/>
        <v>0.43333333333333335</v>
      </c>
      <c r="U176" s="73"/>
      <c r="V176" s="73"/>
      <c r="W176" s="73"/>
      <c r="X176" s="73"/>
      <c r="AA176" s="61">
        <f>H169</f>
        <v>19</v>
      </c>
      <c r="AB176" s="61" t="str">
        <f>E169</f>
        <v>FCE-N7E-102 W</v>
      </c>
      <c r="AC176" s="74" t="s">
        <v>97</v>
      </c>
      <c r="AD176" s="61" t="str">
        <f t="shared" si="106"/>
        <v>NGB</v>
      </c>
      <c r="AE176" s="61">
        <f t="shared" si="107"/>
        <v>120</v>
      </c>
      <c r="AF176" s="61">
        <f t="shared" si="108"/>
        <v>52</v>
      </c>
    </row>
    <row r="177" spans="1:32" s="65" customFormat="1" ht="12.75" customHeight="1">
      <c r="A177" s="52" t="s">
        <v>10</v>
      </c>
      <c r="B177" s="1" t="s">
        <v>18</v>
      </c>
      <c r="C177" s="325">
        <v>50</v>
      </c>
      <c r="D177" s="325">
        <v>700</v>
      </c>
      <c r="E177" s="69">
        <f t="shared" si="100"/>
        <v>39</v>
      </c>
      <c r="F177" s="70">
        <f t="shared" si="101"/>
        <v>890</v>
      </c>
      <c r="G177" s="325">
        <f t="shared" si="102"/>
        <v>-11</v>
      </c>
      <c r="H177" s="325">
        <f t="shared" si="103"/>
        <v>190</v>
      </c>
      <c r="I177" s="75"/>
      <c r="J177" s="75"/>
      <c r="K177" s="70"/>
      <c r="L177" s="70"/>
      <c r="M177" s="70">
        <f t="shared" si="104"/>
        <v>0</v>
      </c>
      <c r="N177" s="70">
        <f t="shared" si="105"/>
        <v>0</v>
      </c>
      <c r="O177" s="75">
        <v>39</v>
      </c>
      <c r="P177" s="75">
        <v>890</v>
      </c>
      <c r="Q177" s="70"/>
      <c r="R177" s="70"/>
      <c r="S177" s="72"/>
      <c r="T177" s="252">
        <f t="shared" si="109"/>
        <v>0.78</v>
      </c>
      <c r="U177" s="73"/>
      <c r="V177" s="73"/>
      <c r="W177" s="73"/>
      <c r="X177" s="73"/>
      <c r="AA177" s="61">
        <f>H169</f>
        <v>19</v>
      </c>
      <c r="AB177" s="61" t="str">
        <f>E169</f>
        <v>FCE-N7E-102 W</v>
      </c>
      <c r="AC177" s="74" t="s">
        <v>97</v>
      </c>
      <c r="AD177" s="61" t="str">
        <f t="shared" si="106"/>
        <v>WUH</v>
      </c>
      <c r="AE177" s="61">
        <f t="shared" si="107"/>
        <v>50</v>
      </c>
      <c r="AF177" s="61">
        <f t="shared" si="108"/>
        <v>39</v>
      </c>
    </row>
    <row r="178" spans="1:32" s="65" customFormat="1" ht="12.75" customHeight="1">
      <c r="A178" s="52" t="s">
        <v>11</v>
      </c>
      <c r="B178" s="1" t="s">
        <v>18</v>
      </c>
      <c r="C178" s="325">
        <v>0</v>
      </c>
      <c r="D178" s="325">
        <v>0</v>
      </c>
      <c r="E178" s="69">
        <f t="shared" si="100"/>
        <v>44</v>
      </c>
      <c r="F178" s="70">
        <f t="shared" si="101"/>
        <v>958</v>
      </c>
      <c r="G178" s="325">
        <f t="shared" si="102"/>
        <v>44</v>
      </c>
      <c r="H178" s="325">
        <f t="shared" si="103"/>
        <v>958</v>
      </c>
      <c r="I178" s="70"/>
      <c r="J178" s="70"/>
      <c r="K178" s="70"/>
      <c r="L178" s="70"/>
      <c r="M178" s="70">
        <f t="shared" si="104"/>
        <v>0</v>
      </c>
      <c r="N178" s="70">
        <f t="shared" si="105"/>
        <v>0</v>
      </c>
      <c r="O178" s="75"/>
      <c r="P178" s="75"/>
      <c r="Q178" s="70">
        <v>44</v>
      </c>
      <c r="R178" s="70">
        <v>958</v>
      </c>
      <c r="S178" s="72"/>
      <c r="T178" s="252" t="e">
        <f t="shared" si="109"/>
        <v>#DIV/0!</v>
      </c>
      <c r="U178" s="73"/>
      <c r="V178" s="73"/>
      <c r="W178" s="73"/>
      <c r="X178" s="73"/>
      <c r="AA178" s="61">
        <f>H169</f>
        <v>19</v>
      </c>
      <c r="AB178" s="61" t="str">
        <f>E169</f>
        <v>FCE-N7E-102 W</v>
      </c>
      <c r="AC178" s="74" t="s">
        <v>97</v>
      </c>
      <c r="AD178" s="61" t="str">
        <f t="shared" si="106"/>
        <v>DLC</v>
      </c>
      <c r="AE178" s="61">
        <f t="shared" si="107"/>
        <v>0</v>
      </c>
      <c r="AF178" s="61">
        <f t="shared" si="108"/>
        <v>44</v>
      </c>
    </row>
    <row r="179" spans="1:32" s="65" customFormat="1" ht="12.75" customHeight="1">
      <c r="A179" s="52" t="s">
        <v>12</v>
      </c>
      <c r="B179" s="1" t="s">
        <v>18</v>
      </c>
      <c r="C179" s="325">
        <v>0</v>
      </c>
      <c r="D179" s="325">
        <v>0</v>
      </c>
      <c r="E179" s="69">
        <f t="shared" si="100"/>
        <v>0</v>
      </c>
      <c r="F179" s="70">
        <f t="shared" si="101"/>
        <v>0</v>
      </c>
      <c r="G179" s="325">
        <f t="shared" si="102"/>
        <v>0</v>
      </c>
      <c r="H179" s="325">
        <f t="shared" si="103"/>
        <v>0</v>
      </c>
      <c r="I179" s="70"/>
      <c r="J179" s="70"/>
      <c r="K179" s="70"/>
      <c r="L179" s="70"/>
      <c r="M179" s="70">
        <f t="shared" si="104"/>
        <v>0</v>
      </c>
      <c r="N179" s="70">
        <f t="shared" si="105"/>
        <v>0</v>
      </c>
      <c r="O179" s="75"/>
      <c r="P179" s="75"/>
      <c r="Q179" s="76"/>
      <c r="R179" s="71"/>
      <c r="S179" s="72"/>
      <c r="T179" s="252" t="e">
        <f t="shared" si="109"/>
        <v>#DIV/0!</v>
      </c>
      <c r="U179" s="73"/>
      <c r="V179" s="73"/>
      <c r="W179" s="73"/>
      <c r="X179" s="73"/>
      <c r="AA179" s="61">
        <f>H169</f>
        <v>19</v>
      </c>
      <c r="AB179" s="61" t="str">
        <f>E169</f>
        <v>FCE-N7E-102 W</v>
      </c>
      <c r="AC179" s="74" t="s">
        <v>97</v>
      </c>
      <c r="AD179" s="61" t="str">
        <f t="shared" si="106"/>
        <v>TSN</v>
      </c>
      <c r="AE179" s="61">
        <f t="shared" si="107"/>
        <v>0</v>
      </c>
      <c r="AF179" s="61">
        <f t="shared" si="108"/>
        <v>0</v>
      </c>
    </row>
    <row r="180" spans="1:32" s="65" customFormat="1" ht="12.75" customHeight="1">
      <c r="A180" s="52" t="s">
        <v>14</v>
      </c>
      <c r="B180" s="1" t="s">
        <v>18</v>
      </c>
      <c r="C180" s="325">
        <v>0</v>
      </c>
      <c r="D180" s="325">
        <v>0</v>
      </c>
      <c r="E180" s="69">
        <f t="shared" si="100"/>
        <v>12</v>
      </c>
      <c r="F180" s="70">
        <f t="shared" si="101"/>
        <v>125</v>
      </c>
      <c r="G180" s="325">
        <f t="shared" si="102"/>
        <v>12</v>
      </c>
      <c r="H180" s="325">
        <f t="shared" si="103"/>
        <v>125</v>
      </c>
      <c r="I180" s="70"/>
      <c r="J180" s="70"/>
      <c r="K180" s="70"/>
      <c r="L180" s="70"/>
      <c r="M180" s="70">
        <f t="shared" si="104"/>
        <v>0</v>
      </c>
      <c r="N180" s="70">
        <f t="shared" si="105"/>
        <v>0</v>
      </c>
      <c r="O180" s="71"/>
      <c r="P180" s="71"/>
      <c r="Q180" s="70">
        <v>12</v>
      </c>
      <c r="R180" s="70">
        <v>125</v>
      </c>
      <c r="S180" s="72"/>
      <c r="T180" s="252" t="e">
        <f t="shared" si="109"/>
        <v>#DIV/0!</v>
      </c>
      <c r="U180" s="73"/>
      <c r="V180" s="73"/>
      <c r="W180" s="73"/>
      <c r="X180" s="73"/>
      <c r="AA180" s="61">
        <f>H169</f>
        <v>19</v>
      </c>
      <c r="AB180" s="61" t="str">
        <f>E169</f>
        <v>FCE-N7E-102 W</v>
      </c>
      <c r="AC180" s="74" t="s">
        <v>97</v>
      </c>
      <c r="AD180" s="61" t="str">
        <f t="shared" si="106"/>
        <v>XMN</v>
      </c>
      <c r="AE180" s="61">
        <f t="shared" si="107"/>
        <v>0</v>
      </c>
      <c r="AF180" s="61">
        <f t="shared" si="108"/>
        <v>12</v>
      </c>
    </row>
    <row r="181" spans="1:32" s="65" customFormat="1" ht="12.75" customHeight="1">
      <c r="A181" s="52" t="s">
        <v>19</v>
      </c>
      <c r="B181" s="1" t="s">
        <v>18</v>
      </c>
      <c r="C181" s="325">
        <v>0</v>
      </c>
      <c r="D181" s="325">
        <v>0</v>
      </c>
      <c r="E181" s="69">
        <f t="shared" si="100"/>
        <v>12</v>
      </c>
      <c r="F181" s="70">
        <f t="shared" si="101"/>
        <v>228</v>
      </c>
      <c r="G181" s="325">
        <f t="shared" si="102"/>
        <v>12</v>
      </c>
      <c r="H181" s="325">
        <f t="shared" si="103"/>
        <v>228</v>
      </c>
      <c r="I181" s="70"/>
      <c r="J181" s="70"/>
      <c r="K181" s="70"/>
      <c r="L181" s="70"/>
      <c r="M181" s="70">
        <f t="shared" si="104"/>
        <v>0</v>
      </c>
      <c r="N181" s="70">
        <f t="shared" si="105"/>
        <v>0</v>
      </c>
      <c r="O181" s="70"/>
      <c r="P181" s="70"/>
      <c r="Q181" s="70">
        <v>12</v>
      </c>
      <c r="R181" s="70">
        <v>228</v>
      </c>
      <c r="S181" s="72"/>
      <c r="T181" s="252" t="e">
        <f t="shared" si="109"/>
        <v>#DIV/0!</v>
      </c>
      <c r="U181" s="73"/>
      <c r="V181" s="73"/>
      <c r="W181" s="73"/>
      <c r="X181" s="73"/>
      <c r="AA181" s="61">
        <f>H169</f>
        <v>19</v>
      </c>
      <c r="AB181" s="61" t="str">
        <f>E169</f>
        <v>FCE-N7E-102 W</v>
      </c>
      <c r="AC181" s="74" t="s">
        <v>97</v>
      </c>
      <c r="AD181" s="61" t="str">
        <f t="shared" si="106"/>
        <v>TWC</v>
      </c>
      <c r="AE181" s="61">
        <f t="shared" si="107"/>
        <v>0</v>
      </c>
      <c r="AF181" s="61">
        <f t="shared" si="108"/>
        <v>12</v>
      </c>
    </row>
    <row r="182" spans="1:32" s="65" customFormat="1" ht="12.75" customHeight="1">
      <c r="A182" s="52" t="s">
        <v>16</v>
      </c>
      <c r="B182" s="1">
        <f>B161+7</f>
        <v>43220</v>
      </c>
      <c r="C182" s="325">
        <v>100</v>
      </c>
      <c r="D182" s="325">
        <v>1400</v>
      </c>
      <c r="E182" s="69">
        <f>O182+Q182</f>
        <v>47</v>
      </c>
      <c r="F182" s="70">
        <f>P182+R181</f>
        <v>228</v>
      </c>
      <c r="G182" s="325">
        <f t="shared" si="102"/>
        <v>-53</v>
      </c>
      <c r="H182" s="325">
        <f t="shared" si="103"/>
        <v>-1172</v>
      </c>
      <c r="I182" s="70"/>
      <c r="J182" s="70"/>
      <c r="K182" s="70">
        <v>2</v>
      </c>
      <c r="L182" s="70">
        <v>24</v>
      </c>
      <c r="M182" s="70">
        <f t="shared" si="104"/>
        <v>2</v>
      </c>
      <c r="N182" s="70">
        <f t="shared" si="105"/>
        <v>24</v>
      </c>
      <c r="O182" s="70"/>
      <c r="P182" s="70"/>
      <c r="Q182" s="70">
        <v>47</v>
      </c>
      <c r="R182" s="84">
        <v>365</v>
      </c>
      <c r="S182" s="72"/>
      <c r="T182" s="252">
        <f t="shared" si="109"/>
        <v>0.47</v>
      </c>
      <c r="U182" s="73"/>
      <c r="V182" s="73"/>
      <c r="W182" s="73"/>
      <c r="X182" s="73"/>
      <c r="AA182" s="61">
        <f>H169</f>
        <v>19</v>
      </c>
      <c r="AB182" s="61" t="str">
        <f>E169</f>
        <v>FCE-N7E-102 W</v>
      </c>
      <c r="AC182" s="74" t="s">
        <v>97</v>
      </c>
      <c r="AD182" s="61" t="str">
        <f t="shared" si="106"/>
        <v>HUA</v>
      </c>
      <c r="AE182" s="61">
        <f t="shared" si="107"/>
        <v>100</v>
      </c>
      <c r="AF182" s="61">
        <f t="shared" si="108"/>
        <v>47</v>
      </c>
    </row>
    <row r="183" spans="1:32" s="65" customFormat="1" ht="12.75" customHeight="1">
      <c r="A183" s="52" t="s">
        <v>77</v>
      </c>
      <c r="B183" s="1">
        <f>B162+7</f>
        <v>43219</v>
      </c>
      <c r="C183" s="325"/>
      <c r="D183" s="325"/>
      <c r="E183" s="69">
        <f>O183+Q183</f>
        <v>0</v>
      </c>
      <c r="F183" s="70">
        <f>P183+R183</f>
        <v>0</v>
      </c>
      <c r="G183" s="325"/>
      <c r="H183" s="325"/>
      <c r="I183" s="70"/>
      <c r="J183" s="70"/>
      <c r="K183" s="70">
        <v>3</v>
      </c>
      <c r="L183" s="70">
        <v>30</v>
      </c>
      <c r="M183" s="70">
        <f t="shared" si="104"/>
        <v>3</v>
      </c>
      <c r="N183" s="70">
        <f t="shared" si="105"/>
        <v>30</v>
      </c>
      <c r="O183" s="70"/>
      <c r="P183" s="70"/>
      <c r="Q183" s="70"/>
      <c r="R183" s="70"/>
      <c r="S183" s="72"/>
      <c r="T183" s="252" t="e">
        <f t="shared" si="109"/>
        <v>#DIV/0!</v>
      </c>
      <c r="U183" s="73"/>
      <c r="V183" s="73"/>
      <c r="W183" s="73"/>
      <c r="X183" s="73"/>
      <c r="AA183" s="61">
        <f>H169</f>
        <v>19</v>
      </c>
      <c r="AB183" s="61" t="str">
        <f>E169</f>
        <v>FCE-N7E-102 W</v>
      </c>
      <c r="AC183" s="74" t="s">
        <v>97</v>
      </c>
      <c r="AD183" s="61" t="str">
        <f t="shared" si="106"/>
        <v>HKG</v>
      </c>
      <c r="AE183" s="61">
        <f t="shared" si="107"/>
        <v>0</v>
      </c>
      <c r="AF183" s="61">
        <f t="shared" si="108"/>
        <v>0</v>
      </c>
    </row>
    <row r="184" spans="1:32" s="65" customFormat="1" ht="12.75" customHeight="1">
      <c r="A184" s="52" t="s">
        <v>3</v>
      </c>
      <c r="B184" s="1">
        <f>B163+7</f>
        <v>43225</v>
      </c>
      <c r="C184" s="325">
        <v>100</v>
      </c>
      <c r="D184" s="325">
        <v>1400</v>
      </c>
      <c r="E184" s="69">
        <f>O184+Q184</f>
        <v>100</v>
      </c>
      <c r="F184" s="70">
        <f>P184+R184</f>
        <v>1400</v>
      </c>
      <c r="G184" s="325">
        <f t="shared" ref="G184:G187" si="110">E184-C184</f>
        <v>0</v>
      </c>
      <c r="H184" s="325">
        <f t="shared" ref="H184:H187" si="111">F184-D184</f>
        <v>0</v>
      </c>
      <c r="I184" s="70"/>
      <c r="J184" s="70"/>
      <c r="K184" s="70"/>
      <c r="L184" s="70"/>
      <c r="M184" s="70">
        <f t="shared" si="104"/>
        <v>0</v>
      </c>
      <c r="N184" s="70">
        <f t="shared" si="105"/>
        <v>0</v>
      </c>
      <c r="O184" s="325"/>
      <c r="P184" s="325"/>
      <c r="Q184" s="70">
        <v>100</v>
      </c>
      <c r="R184" s="70">
        <v>1400</v>
      </c>
      <c r="S184" s="72"/>
      <c r="T184" s="252">
        <f t="shared" si="109"/>
        <v>1</v>
      </c>
      <c r="U184" s="73"/>
      <c r="V184" s="73"/>
      <c r="W184" s="73"/>
      <c r="X184" s="73"/>
      <c r="AA184" s="61">
        <f>H169</f>
        <v>19</v>
      </c>
      <c r="AB184" s="61" t="str">
        <f>E169</f>
        <v>FCE-N7E-102 W</v>
      </c>
      <c r="AC184" s="74" t="s">
        <v>97</v>
      </c>
      <c r="AD184" s="61" t="str">
        <f t="shared" si="106"/>
        <v>SGP</v>
      </c>
      <c r="AE184" s="61">
        <f t="shared" si="107"/>
        <v>100</v>
      </c>
      <c r="AF184" s="61">
        <f t="shared" si="108"/>
        <v>100</v>
      </c>
    </row>
    <row r="185" spans="1:32" s="65" customFormat="1" ht="12.75" customHeight="1">
      <c r="A185" s="52" t="s">
        <v>4</v>
      </c>
      <c r="B185" s="1">
        <f>B164+7</f>
        <v>43226</v>
      </c>
      <c r="C185" s="325">
        <v>50</v>
      </c>
      <c r="D185" s="325">
        <v>700</v>
      </c>
      <c r="E185" s="69">
        <f>O185+Q185</f>
        <v>50</v>
      </c>
      <c r="F185" s="70">
        <f>P185+R185</f>
        <v>700</v>
      </c>
      <c r="G185" s="325">
        <f t="shared" si="110"/>
        <v>0</v>
      </c>
      <c r="H185" s="325">
        <f t="shared" si="111"/>
        <v>0</v>
      </c>
      <c r="I185" s="70"/>
      <c r="J185" s="70"/>
      <c r="K185" s="70"/>
      <c r="L185" s="70"/>
      <c r="M185" s="70">
        <f t="shared" si="104"/>
        <v>0</v>
      </c>
      <c r="N185" s="70">
        <f t="shared" si="105"/>
        <v>0</v>
      </c>
      <c r="O185" s="70"/>
      <c r="P185" s="70"/>
      <c r="Q185" s="70">
        <v>50</v>
      </c>
      <c r="R185" s="70">
        <v>700</v>
      </c>
      <c r="S185" s="72"/>
      <c r="T185" s="252">
        <f>E185/C185</f>
        <v>1</v>
      </c>
      <c r="U185" s="73"/>
      <c r="V185" s="73"/>
      <c r="W185" s="73"/>
      <c r="X185" s="73"/>
      <c r="AA185" s="61">
        <f>H169</f>
        <v>19</v>
      </c>
      <c r="AB185" s="61" t="str">
        <f>E169</f>
        <v>FCE-N7E-102 W</v>
      </c>
      <c r="AC185" s="74" t="s">
        <v>97</v>
      </c>
      <c r="AD185" s="61" t="str">
        <f t="shared" si="106"/>
        <v>PKL</v>
      </c>
      <c r="AE185" s="61">
        <f t="shared" si="107"/>
        <v>50</v>
      </c>
      <c r="AF185" s="61">
        <f t="shared" si="108"/>
        <v>50</v>
      </c>
    </row>
    <row r="186" spans="1:32" s="65" customFormat="1" ht="12.75" customHeight="1">
      <c r="A186" s="52" t="s">
        <v>15</v>
      </c>
      <c r="B186" s="325"/>
      <c r="C186" s="325">
        <v>50</v>
      </c>
      <c r="D186" s="325">
        <v>700</v>
      </c>
      <c r="E186" s="69">
        <f>O186+Q186</f>
        <v>0</v>
      </c>
      <c r="F186" s="70">
        <f>P186+R186</f>
        <v>0</v>
      </c>
      <c r="G186" s="325">
        <f t="shared" si="110"/>
        <v>-50</v>
      </c>
      <c r="H186" s="325">
        <f t="shared" si="111"/>
        <v>-700</v>
      </c>
      <c r="I186" s="70">
        <v>6</v>
      </c>
      <c r="J186" s="70">
        <v>76</v>
      </c>
      <c r="K186" s="70">
        <v>51</v>
      </c>
      <c r="L186" s="70">
        <v>595</v>
      </c>
      <c r="M186" s="70">
        <f t="shared" si="104"/>
        <v>57</v>
      </c>
      <c r="N186" s="70">
        <f t="shared" si="105"/>
        <v>671</v>
      </c>
      <c r="O186" s="71"/>
      <c r="P186" s="71"/>
      <c r="Q186" s="71"/>
      <c r="R186" s="71"/>
      <c r="S186" s="72"/>
      <c r="T186" s="73"/>
      <c r="U186" s="73"/>
      <c r="V186" s="73"/>
      <c r="W186" s="73"/>
      <c r="X186" s="73"/>
      <c r="AA186" s="61">
        <f>H169</f>
        <v>19</v>
      </c>
      <c r="AB186" s="61" t="str">
        <f>E169</f>
        <v>FCE-N7E-102 W</v>
      </c>
      <c r="AC186" s="74" t="s">
        <v>97</v>
      </c>
      <c r="AD186" s="61" t="str">
        <f t="shared" si="106"/>
        <v>T/S</v>
      </c>
      <c r="AE186" s="61">
        <f t="shared" si="107"/>
        <v>50</v>
      </c>
      <c r="AF186" s="61">
        <f t="shared" si="108"/>
        <v>0</v>
      </c>
    </row>
    <row r="187" spans="1:32" s="65" customFormat="1" ht="12.75" customHeight="1">
      <c r="A187" s="51" t="s">
        <v>36</v>
      </c>
      <c r="B187" s="72"/>
      <c r="C187" s="71">
        <f>SUM(C173:C186)</f>
        <v>570</v>
      </c>
      <c r="D187" s="71">
        <f>SUM(D173:D186)</f>
        <v>7980</v>
      </c>
      <c r="E187" s="78">
        <f>SUM(E173:E186)</f>
        <v>391</v>
      </c>
      <c r="F187" s="76">
        <f>SUM(F173:F186)</f>
        <v>5745</v>
      </c>
      <c r="G187" s="71">
        <f t="shared" si="110"/>
        <v>-179</v>
      </c>
      <c r="H187" s="71">
        <f t="shared" si="111"/>
        <v>-2235</v>
      </c>
      <c r="I187" s="70">
        <f t="shared" ref="I187:L187" si="112">SUM(I173:I186)</f>
        <v>23</v>
      </c>
      <c r="J187" s="70">
        <f t="shared" si="112"/>
        <v>189</v>
      </c>
      <c r="K187" s="70">
        <f t="shared" si="112"/>
        <v>138</v>
      </c>
      <c r="L187" s="70">
        <f t="shared" si="112"/>
        <v>1581</v>
      </c>
      <c r="M187" s="70"/>
      <c r="N187" s="70"/>
      <c r="O187" s="70">
        <f t="shared" ref="O187:R187" si="113">SUM(O173:O186)</f>
        <v>74</v>
      </c>
      <c r="P187" s="70">
        <f t="shared" si="113"/>
        <v>1556</v>
      </c>
      <c r="Q187" s="70">
        <f t="shared" si="113"/>
        <v>317</v>
      </c>
      <c r="R187" s="70">
        <f t="shared" si="113"/>
        <v>4326</v>
      </c>
      <c r="S187" s="72"/>
      <c r="T187" s="73"/>
      <c r="U187" s="73"/>
      <c r="V187" s="73"/>
      <c r="W187" s="73"/>
      <c r="X187" s="73"/>
      <c r="AA187" s="61"/>
      <c r="AB187" s="61"/>
      <c r="AC187" s="61"/>
      <c r="AD187" s="61"/>
      <c r="AE187" s="61"/>
      <c r="AF187" s="61"/>
    </row>
    <row r="188" spans="1:32" s="65" customFormat="1" ht="12.75" customHeight="1">
      <c r="A188" s="84">
        <f>D187/C187</f>
        <v>14</v>
      </c>
      <c r="C188" s="326">
        <f>F187-E188</f>
        <v>-1437</v>
      </c>
      <c r="E188" s="65">
        <f>D187*0.9</f>
        <v>7182</v>
      </c>
      <c r="F188" s="326">
        <f>E187-L188</f>
        <v>-122</v>
      </c>
      <c r="I188" s="80" t="s">
        <v>48</v>
      </c>
      <c r="J188" s="245">
        <f>E187/C187</f>
        <v>0.68596491228070178</v>
      </c>
      <c r="K188" s="80"/>
      <c r="L188" s="80">
        <f>C187*0.9</f>
        <v>513</v>
      </c>
      <c r="M188" s="80"/>
      <c r="N188" s="80"/>
      <c r="O188" s="80" t="s">
        <v>49</v>
      </c>
      <c r="P188" s="80"/>
      <c r="Q188" s="65">
        <f>P174+P175+P177+P178+P179+J174+J175+L174+L175+J177+R177</f>
        <v>2512</v>
      </c>
      <c r="R188" s="65">
        <v>16856</v>
      </c>
      <c r="AA188" s="81"/>
      <c r="AB188" s="81"/>
      <c r="AC188" s="81"/>
      <c r="AD188" s="81"/>
      <c r="AE188" s="81"/>
      <c r="AF188" s="81"/>
    </row>
  </sheetData>
  <mergeCells count="108">
    <mergeCell ref="Y65:Y66"/>
    <mergeCell ref="M66:N66"/>
    <mergeCell ref="Y67:Y68"/>
    <mergeCell ref="A149:A151"/>
    <mergeCell ref="B149:B151"/>
    <mergeCell ref="C149:D150"/>
    <mergeCell ref="E149:F150"/>
    <mergeCell ref="G149:H150"/>
    <mergeCell ref="I149:N149"/>
    <mergeCell ref="O149:P150"/>
    <mergeCell ref="Q149:R150"/>
    <mergeCell ref="S149:S151"/>
    <mergeCell ref="Y149:Y150"/>
    <mergeCell ref="M150:N150"/>
    <mergeCell ref="Y151:Y152"/>
    <mergeCell ref="A65:A67"/>
    <mergeCell ref="B65:B67"/>
    <mergeCell ref="C65:D66"/>
    <mergeCell ref="E65:F66"/>
    <mergeCell ref="G65:H66"/>
    <mergeCell ref="I65:N65"/>
    <mergeCell ref="O65:P66"/>
    <mergeCell ref="Q65:R66"/>
    <mergeCell ref="S65:S67"/>
    <mergeCell ref="A44:A46"/>
    <mergeCell ref="B44:B46"/>
    <mergeCell ref="C44:D45"/>
    <mergeCell ref="E44:F45"/>
    <mergeCell ref="G44:H45"/>
    <mergeCell ref="O44:P45"/>
    <mergeCell ref="Q44:R45"/>
    <mergeCell ref="S44:S46"/>
    <mergeCell ref="Y44:Y45"/>
    <mergeCell ref="M45:N45"/>
    <mergeCell ref="Y46:Y47"/>
    <mergeCell ref="I44:N44"/>
    <mergeCell ref="A23:A25"/>
    <mergeCell ref="B23:B25"/>
    <mergeCell ref="C23:D24"/>
    <mergeCell ref="E23:F24"/>
    <mergeCell ref="G23:H24"/>
    <mergeCell ref="O23:P24"/>
    <mergeCell ref="Q23:R24"/>
    <mergeCell ref="S23:S25"/>
    <mergeCell ref="Y23:Y24"/>
    <mergeCell ref="M24:N24"/>
    <mergeCell ref="Y25:Y26"/>
    <mergeCell ref="I23:N23"/>
    <mergeCell ref="A2:A4"/>
    <mergeCell ref="B2:B4"/>
    <mergeCell ref="C2:D3"/>
    <mergeCell ref="E2:F3"/>
    <mergeCell ref="G2:H3"/>
    <mergeCell ref="O2:P3"/>
    <mergeCell ref="Q2:R3"/>
    <mergeCell ref="S2:S4"/>
    <mergeCell ref="Y2:Y3"/>
    <mergeCell ref="M3:N3"/>
    <mergeCell ref="Y4:Y5"/>
    <mergeCell ref="I2:N2"/>
    <mergeCell ref="I86:N86"/>
    <mergeCell ref="O86:P87"/>
    <mergeCell ref="Q86:R87"/>
    <mergeCell ref="S86:S88"/>
    <mergeCell ref="Y86:Y87"/>
    <mergeCell ref="M87:N87"/>
    <mergeCell ref="Y88:Y89"/>
    <mergeCell ref="A86:A88"/>
    <mergeCell ref="B86:B88"/>
    <mergeCell ref="C86:D87"/>
    <mergeCell ref="E86:F87"/>
    <mergeCell ref="G86:H87"/>
    <mergeCell ref="I107:N107"/>
    <mergeCell ref="O107:P108"/>
    <mergeCell ref="Q107:R108"/>
    <mergeCell ref="S107:S109"/>
    <mergeCell ref="Y107:Y108"/>
    <mergeCell ref="M108:N108"/>
    <mergeCell ref="Y109:Y110"/>
    <mergeCell ref="A107:A109"/>
    <mergeCell ref="B107:B109"/>
    <mergeCell ref="C107:D108"/>
    <mergeCell ref="E107:F108"/>
    <mergeCell ref="G107:H108"/>
    <mergeCell ref="I128:N128"/>
    <mergeCell ref="O128:P129"/>
    <mergeCell ref="Q128:R129"/>
    <mergeCell ref="S128:S130"/>
    <mergeCell ref="Y128:Y129"/>
    <mergeCell ref="M129:N129"/>
    <mergeCell ref="Y130:Y131"/>
    <mergeCell ref="A128:A130"/>
    <mergeCell ref="B128:B130"/>
    <mergeCell ref="C128:D129"/>
    <mergeCell ref="E128:F129"/>
    <mergeCell ref="G128:H129"/>
    <mergeCell ref="I170:N170"/>
    <mergeCell ref="O170:P171"/>
    <mergeCell ref="Q170:R171"/>
    <mergeCell ref="S170:S172"/>
    <mergeCell ref="Y170:Y171"/>
    <mergeCell ref="M171:N171"/>
    <mergeCell ref="Y172:Y173"/>
    <mergeCell ref="A170:A172"/>
    <mergeCell ref="B170:B172"/>
    <mergeCell ref="C170:D171"/>
    <mergeCell ref="E170:F171"/>
    <mergeCell ref="G170:H171"/>
  </mergeCells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88"/>
  <sheetViews>
    <sheetView topLeftCell="A133" workbookViewId="0">
      <selection activeCell="B148" sqref="B148"/>
    </sheetView>
  </sheetViews>
  <sheetFormatPr defaultRowHeight="13.5"/>
  <cols>
    <col min="1" max="2" width="9" style="25"/>
    <col min="3" max="18" width="6.375" style="87" customWidth="1"/>
    <col min="19" max="32" width="9" style="87"/>
    <col min="33" max="16384" width="9" style="25"/>
  </cols>
  <sheetData>
    <row r="1" spans="1:32" s="18" customFormat="1" ht="12.75" hidden="1" customHeight="1">
      <c r="A1" s="16" t="s">
        <v>440</v>
      </c>
      <c r="B1" s="17" t="s">
        <v>430</v>
      </c>
      <c r="C1" s="56"/>
      <c r="D1" s="57"/>
      <c r="E1" s="58" t="s">
        <v>452</v>
      </c>
      <c r="F1" s="57"/>
      <c r="G1" s="59" t="s">
        <v>37</v>
      </c>
      <c r="H1" s="60">
        <v>11</v>
      </c>
      <c r="I1" s="57"/>
      <c r="J1" s="57" t="s">
        <v>55</v>
      </c>
      <c r="K1" s="57"/>
      <c r="L1" s="57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2"/>
      <c r="Z1" s="62"/>
      <c r="AA1" s="62"/>
      <c r="AB1" s="62"/>
      <c r="AC1" s="62"/>
      <c r="AD1" s="63"/>
      <c r="AE1" s="63"/>
      <c r="AF1" s="63"/>
    </row>
    <row r="2" spans="1:32" s="19" customFormat="1" ht="12.75" hidden="1" customHeight="1">
      <c r="A2" s="340" t="s">
        <v>0</v>
      </c>
      <c r="B2" s="336" t="s">
        <v>1</v>
      </c>
      <c r="C2" s="331" t="s">
        <v>25</v>
      </c>
      <c r="D2" s="332"/>
      <c r="E2" s="331" t="s">
        <v>21</v>
      </c>
      <c r="F2" s="332"/>
      <c r="G2" s="335" t="s">
        <v>24</v>
      </c>
      <c r="H2" s="335"/>
      <c r="I2" s="328" t="s">
        <v>33</v>
      </c>
      <c r="J2" s="329"/>
      <c r="K2" s="329"/>
      <c r="L2" s="329"/>
      <c r="M2" s="329"/>
      <c r="N2" s="330"/>
      <c r="O2" s="331" t="s">
        <v>22</v>
      </c>
      <c r="P2" s="332"/>
      <c r="Q2" s="335" t="s">
        <v>23</v>
      </c>
      <c r="R2" s="335"/>
      <c r="S2" s="336" t="s">
        <v>27</v>
      </c>
      <c r="T2" s="64"/>
      <c r="U2" s="64"/>
      <c r="V2" s="64"/>
      <c r="W2" s="64"/>
      <c r="X2" s="64"/>
      <c r="Y2" s="339"/>
      <c r="Z2" s="85"/>
      <c r="AA2" s="61"/>
      <c r="AB2" s="61"/>
      <c r="AC2" s="61"/>
      <c r="AD2" s="61"/>
      <c r="AE2" s="61"/>
      <c r="AF2" s="61"/>
    </row>
    <row r="3" spans="1:32" s="19" customFormat="1" ht="12.75" hidden="1" customHeight="1">
      <c r="A3" s="341"/>
      <c r="B3" s="337"/>
      <c r="C3" s="333"/>
      <c r="D3" s="334"/>
      <c r="E3" s="333"/>
      <c r="F3" s="334"/>
      <c r="G3" s="335"/>
      <c r="H3" s="335"/>
      <c r="I3" s="66" t="s">
        <v>28</v>
      </c>
      <c r="J3" s="67" t="s">
        <v>3</v>
      </c>
      <c r="K3" s="66" t="s">
        <v>29</v>
      </c>
      <c r="L3" s="67" t="s">
        <v>4</v>
      </c>
      <c r="M3" s="328" t="s">
        <v>30</v>
      </c>
      <c r="N3" s="330"/>
      <c r="O3" s="333"/>
      <c r="P3" s="334"/>
      <c r="Q3" s="335"/>
      <c r="R3" s="335"/>
      <c r="S3" s="337"/>
      <c r="T3" s="64"/>
      <c r="U3" s="64"/>
      <c r="V3" s="64"/>
      <c r="W3" s="64"/>
      <c r="X3" s="64"/>
      <c r="Y3" s="339"/>
      <c r="Z3" s="85"/>
      <c r="AA3" s="61"/>
      <c r="AB3" s="61"/>
      <c r="AC3" s="61"/>
      <c r="AD3" s="61"/>
      <c r="AE3" s="61"/>
      <c r="AF3" s="61"/>
    </row>
    <row r="4" spans="1:32" s="19" customFormat="1" ht="12.75" hidden="1" customHeight="1">
      <c r="A4" s="342"/>
      <c r="B4" s="338"/>
      <c r="C4" s="68" t="s">
        <v>5</v>
      </c>
      <c r="D4" s="68" t="s">
        <v>6</v>
      </c>
      <c r="E4" s="67" t="s">
        <v>5</v>
      </c>
      <c r="F4" s="68" t="s">
        <v>6</v>
      </c>
      <c r="G4" s="68" t="s">
        <v>5</v>
      </c>
      <c r="H4" s="68" t="s">
        <v>6</v>
      </c>
      <c r="I4" s="67" t="s">
        <v>5</v>
      </c>
      <c r="J4" s="68" t="s">
        <v>6</v>
      </c>
      <c r="K4" s="67" t="s">
        <v>5</v>
      </c>
      <c r="L4" s="68" t="s">
        <v>6</v>
      </c>
      <c r="M4" s="68"/>
      <c r="N4" s="68"/>
      <c r="O4" s="67" t="s">
        <v>5</v>
      </c>
      <c r="P4" s="68" t="s">
        <v>6</v>
      </c>
      <c r="Q4" s="68" t="s">
        <v>5</v>
      </c>
      <c r="R4" s="68" t="s">
        <v>6</v>
      </c>
      <c r="S4" s="338"/>
      <c r="T4" s="64"/>
      <c r="U4" s="64"/>
      <c r="V4" s="64"/>
      <c r="W4" s="64"/>
      <c r="X4" s="64"/>
      <c r="Y4" s="339"/>
      <c r="Z4" s="85"/>
      <c r="AA4" s="61" t="s">
        <v>43</v>
      </c>
      <c r="AB4" s="61" t="s">
        <v>45</v>
      </c>
      <c r="AC4" s="61" t="s">
        <v>46</v>
      </c>
      <c r="AD4" s="61" t="s">
        <v>42</v>
      </c>
      <c r="AE4" s="61" t="s">
        <v>41</v>
      </c>
      <c r="AF4" s="61" t="s">
        <v>44</v>
      </c>
    </row>
    <row r="5" spans="1:32" s="19" customFormat="1" ht="12.75" hidden="1" customHeight="1">
      <c r="A5" s="21" t="s">
        <v>7</v>
      </c>
      <c r="B5" s="1" t="s">
        <v>67</v>
      </c>
      <c r="C5" s="68">
        <v>0</v>
      </c>
      <c r="D5" s="68">
        <v>0</v>
      </c>
      <c r="E5" s="69">
        <f t="shared" ref="E5:F11" si="0">O5+Q5</f>
        <v>0</v>
      </c>
      <c r="F5" s="70">
        <f t="shared" si="0"/>
        <v>0</v>
      </c>
      <c r="G5" s="68">
        <f t="shared" ref="G5:H14" si="1">E5-C5</f>
        <v>0</v>
      </c>
      <c r="H5" s="68">
        <f t="shared" si="1"/>
        <v>0</v>
      </c>
      <c r="I5" s="70"/>
      <c r="J5" s="70"/>
      <c r="K5" s="70"/>
      <c r="L5" s="70"/>
      <c r="M5" s="70">
        <f t="shared" ref="M5:N18" si="2">I5+K5</f>
        <v>0</v>
      </c>
      <c r="N5" s="70">
        <f t="shared" si="2"/>
        <v>0</v>
      </c>
      <c r="O5" s="71"/>
      <c r="P5" s="71"/>
      <c r="Q5" s="70"/>
      <c r="R5" s="70"/>
      <c r="S5" s="72"/>
      <c r="T5" s="73"/>
      <c r="U5" s="73"/>
      <c r="V5" s="73"/>
      <c r="W5" s="73"/>
      <c r="X5" s="73"/>
      <c r="Y5" s="339"/>
      <c r="Z5" s="85"/>
      <c r="AA5" s="61">
        <f>H1</f>
        <v>11</v>
      </c>
      <c r="AB5" s="61" t="str">
        <f>E1</f>
        <v>CI1-NP1-014 W</v>
      </c>
      <c r="AC5" s="74" t="s">
        <v>440</v>
      </c>
      <c r="AD5" s="61" t="str">
        <f t="shared" ref="AD5:AD18" si="3">A5</f>
        <v>KR</v>
      </c>
      <c r="AE5" s="61">
        <f t="shared" ref="AE5:AE18" si="4">C5</f>
        <v>0</v>
      </c>
      <c r="AF5" s="61">
        <f t="shared" ref="AF5:AF18" si="5">E5</f>
        <v>0</v>
      </c>
    </row>
    <row r="6" spans="1:32" s="19" customFormat="1" ht="12.75" hidden="1" customHeight="1">
      <c r="A6" s="23" t="s">
        <v>13</v>
      </c>
      <c r="B6" s="1" t="s">
        <v>67</v>
      </c>
      <c r="C6" s="68">
        <v>0</v>
      </c>
      <c r="D6" s="68">
        <v>0</v>
      </c>
      <c r="E6" s="69">
        <f t="shared" si="0"/>
        <v>25</v>
      </c>
      <c r="F6" s="70">
        <f t="shared" si="0"/>
        <v>318</v>
      </c>
      <c r="G6" s="68">
        <f t="shared" si="1"/>
        <v>25</v>
      </c>
      <c r="H6" s="68">
        <f t="shared" si="1"/>
        <v>318</v>
      </c>
      <c r="I6" s="75"/>
      <c r="J6" s="75"/>
      <c r="K6" s="70"/>
      <c r="L6" s="70"/>
      <c r="M6" s="70">
        <f t="shared" si="2"/>
        <v>0</v>
      </c>
      <c r="N6" s="70">
        <f t="shared" si="2"/>
        <v>0</v>
      </c>
      <c r="O6" s="75"/>
      <c r="P6" s="75"/>
      <c r="Q6" s="71">
        <v>25</v>
      </c>
      <c r="R6" s="71">
        <v>318</v>
      </c>
      <c r="S6" s="72"/>
      <c r="T6" s="73"/>
      <c r="U6" s="73"/>
      <c r="V6" s="73"/>
      <c r="W6" s="73"/>
      <c r="X6" s="73"/>
      <c r="Y6" s="65"/>
      <c r="Z6" s="65"/>
      <c r="AA6" s="61">
        <f>H1</f>
        <v>11</v>
      </c>
      <c r="AB6" s="61" t="str">
        <f>E1</f>
        <v>CI1-NP1-014 W</v>
      </c>
      <c r="AC6" s="74" t="s">
        <v>440</v>
      </c>
      <c r="AD6" s="61" t="str">
        <f t="shared" si="3"/>
        <v>TAO</v>
      </c>
      <c r="AE6" s="61">
        <f t="shared" si="4"/>
        <v>0</v>
      </c>
      <c r="AF6" s="61">
        <f t="shared" si="5"/>
        <v>25</v>
      </c>
    </row>
    <row r="7" spans="1:32" s="19" customFormat="1" ht="12.75" hidden="1" customHeight="1">
      <c r="A7" s="23" t="s">
        <v>9</v>
      </c>
      <c r="B7" s="1">
        <v>43159</v>
      </c>
      <c r="C7" s="68">
        <v>750</v>
      </c>
      <c r="D7" s="68">
        <v>10125</v>
      </c>
      <c r="E7" s="69">
        <f t="shared" si="0"/>
        <v>498</v>
      </c>
      <c r="F7" s="70">
        <f t="shared" si="0"/>
        <v>5076</v>
      </c>
      <c r="G7" s="68">
        <f t="shared" si="1"/>
        <v>-252</v>
      </c>
      <c r="H7" s="68">
        <f t="shared" si="1"/>
        <v>-5049</v>
      </c>
      <c r="I7" s="75">
        <v>157</v>
      </c>
      <c r="J7" s="75">
        <v>2621</v>
      </c>
      <c r="K7" s="71"/>
      <c r="L7" s="71"/>
      <c r="M7" s="70">
        <f t="shared" si="2"/>
        <v>157</v>
      </c>
      <c r="N7" s="70">
        <f t="shared" si="2"/>
        <v>2621</v>
      </c>
      <c r="O7" s="75">
        <v>498</v>
      </c>
      <c r="P7" s="75">
        <v>5076</v>
      </c>
      <c r="Q7" s="71"/>
      <c r="R7" s="71"/>
      <c r="S7" s="72"/>
      <c r="T7" s="73"/>
      <c r="U7" s="73"/>
      <c r="V7" s="73"/>
      <c r="W7" s="73"/>
      <c r="X7" s="73"/>
      <c r="Y7" s="65"/>
      <c r="Z7" s="65"/>
      <c r="AA7" s="61">
        <f>H1</f>
        <v>11</v>
      </c>
      <c r="AB7" s="61" t="str">
        <f>E1</f>
        <v>CI1-NP1-014 W</v>
      </c>
      <c r="AC7" s="74" t="s">
        <v>440</v>
      </c>
      <c r="AD7" s="61" t="str">
        <f t="shared" si="3"/>
        <v>SHA</v>
      </c>
      <c r="AE7" s="61">
        <f t="shared" si="4"/>
        <v>750</v>
      </c>
      <c r="AF7" s="61">
        <f t="shared" si="5"/>
        <v>498</v>
      </c>
    </row>
    <row r="8" spans="1:32" s="19" customFormat="1" ht="12.75" hidden="1" customHeight="1">
      <c r="A8" s="23" t="s">
        <v>8</v>
      </c>
      <c r="B8" s="1">
        <v>43161</v>
      </c>
      <c r="C8" s="68">
        <v>300</v>
      </c>
      <c r="D8" s="68">
        <v>4050</v>
      </c>
      <c r="E8" s="69">
        <f t="shared" si="0"/>
        <v>127</v>
      </c>
      <c r="F8" s="70">
        <f t="shared" si="0"/>
        <v>1097</v>
      </c>
      <c r="G8" s="68">
        <f t="shared" si="1"/>
        <v>-173</v>
      </c>
      <c r="H8" s="68">
        <f t="shared" si="1"/>
        <v>-2953</v>
      </c>
      <c r="I8" s="71">
        <v>4</v>
      </c>
      <c r="J8" s="71">
        <v>78</v>
      </c>
      <c r="K8" s="71"/>
      <c r="L8" s="71"/>
      <c r="M8" s="70">
        <f t="shared" si="2"/>
        <v>4</v>
      </c>
      <c r="N8" s="70">
        <f t="shared" si="2"/>
        <v>78</v>
      </c>
      <c r="O8" s="71"/>
      <c r="P8" s="71"/>
      <c r="Q8" s="71">
        <v>127</v>
      </c>
      <c r="R8" s="71">
        <v>1097</v>
      </c>
      <c r="S8" s="72"/>
      <c r="T8" s="73"/>
      <c r="U8" s="73"/>
      <c r="V8" s="73"/>
      <c r="W8" s="73"/>
      <c r="X8" s="73"/>
      <c r="Y8" s="65"/>
      <c r="Z8" s="65"/>
      <c r="AA8" s="61">
        <f>H1</f>
        <v>11</v>
      </c>
      <c r="AB8" s="61" t="str">
        <f>E1</f>
        <v>CI1-NP1-014 W</v>
      </c>
      <c r="AC8" s="74" t="s">
        <v>440</v>
      </c>
      <c r="AD8" s="61" t="str">
        <f t="shared" si="3"/>
        <v>NGB</v>
      </c>
      <c r="AE8" s="61">
        <f t="shared" si="4"/>
        <v>300</v>
      </c>
      <c r="AF8" s="61">
        <f t="shared" si="5"/>
        <v>127</v>
      </c>
    </row>
    <row r="9" spans="1:32" s="19" customFormat="1" ht="12.75" hidden="1" customHeight="1">
      <c r="A9" s="23" t="s">
        <v>10</v>
      </c>
      <c r="B9" s="1" t="s">
        <v>67</v>
      </c>
      <c r="C9" s="68">
        <v>100</v>
      </c>
      <c r="D9" s="68">
        <v>1350</v>
      </c>
      <c r="E9" s="69">
        <f t="shared" si="0"/>
        <v>192</v>
      </c>
      <c r="F9" s="70">
        <f t="shared" si="0"/>
        <v>3267</v>
      </c>
      <c r="G9" s="68">
        <f t="shared" si="1"/>
        <v>92</v>
      </c>
      <c r="H9" s="68">
        <f t="shared" si="1"/>
        <v>1917</v>
      </c>
      <c r="I9" s="75"/>
      <c r="J9" s="75"/>
      <c r="K9" s="70"/>
      <c r="L9" s="70"/>
      <c r="M9" s="70">
        <f t="shared" si="2"/>
        <v>0</v>
      </c>
      <c r="N9" s="70">
        <f t="shared" si="2"/>
        <v>0</v>
      </c>
      <c r="O9" s="75">
        <v>192</v>
      </c>
      <c r="P9" s="75">
        <v>3267</v>
      </c>
      <c r="Q9" s="70"/>
      <c r="R9" s="70"/>
      <c r="S9" s="72"/>
      <c r="T9" s="73"/>
      <c r="U9" s="73"/>
      <c r="V9" s="73"/>
      <c r="W9" s="73"/>
      <c r="X9" s="73"/>
      <c r="Y9" s="65"/>
      <c r="Z9" s="65"/>
      <c r="AA9" s="61">
        <f>H1</f>
        <v>11</v>
      </c>
      <c r="AB9" s="61" t="str">
        <f>E1</f>
        <v>CI1-NP1-014 W</v>
      </c>
      <c r="AC9" s="74" t="s">
        <v>440</v>
      </c>
      <c r="AD9" s="61" t="str">
        <f t="shared" si="3"/>
        <v>WUH</v>
      </c>
      <c r="AE9" s="61">
        <f t="shared" si="4"/>
        <v>100</v>
      </c>
      <c r="AF9" s="61">
        <f t="shared" si="5"/>
        <v>192</v>
      </c>
    </row>
    <row r="10" spans="1:32" s="19" customFormat="1" ht="12.75" hidden="1" customHeight="1">
      <c r="A10" s="23" t="s">
        <v>11</v>
      </c>
      <c r="B10" s="1" t="s">
        <v>18</v>
      </c>
      <c r="C10" s="68">
        <v>50</v>
      </c>
      <c r="D10" s="68">
        <v>675</v>
      </c>
      <c r="E10" s="69">
        <f t="shared" si="0"/>
        <v>47</v>
      </c>
      <c r="F10" s="70">
        <f t="shared" si="0"/>
        <v>1078</v>
      </c>
      <c r="G10" s="68">
        <f t="shared" si="1"/>
        <v>-3</v>
      </c>
      <c r="H10" s="68">
        <f t="shared" si="1"/>
        <v>403</v>
      </c>
      <c r="I10" s="70"/>
      <c r="J10" s="70"/>
      <c r="K10" s="70"/>
      <c r="L10" s="70"/>
      <c r="M10" s="70">
        <f t="shared" si="2"/>
        <v>0</v>
      </c>
      <c r="N10" s="70">
        <f t="shared" si="2"/>
        <v>0</v>
      </c>
      <c r="O10" s="75"/>
      <c r="P10" s="75"/>
      <c r="Q10" s="70">
        <v>47</v>
      </c>
      <c r="R10" s="70">
        <v>1078</v>
      </c>
      <c r="S10" s="72"/>
      <c r="T10" s="73"/>
      <c r="U10" s="73"/>
      <c r="V10" s="73"/>
      <c r="W10" s="73"/>
      <c r="X10" s="73"/>
      <c r="Y10" s="65"/>
      <c r="Z10" s="65"/>
      <c r="AA10" s="61">
        <f>H1</f>
        <v>11</v>
      </c>
      <c r="AB10" s="61" t="str">
        <f>E1</f>
        <v>CI1-NP1-014 W</v>
      </c>
      <c r="AC10" s="74" t="s">
        <v>440</v>
      </c>
      <c r="AD10" s="61" t="str">
        <f t="shared" si="3"/>
        <v>DLC</v>
      </c>
      <c r="AE10" s="61">
        <f t="shared" si="4"/>
        <v>50</v>
      </c>
      <c r="AF10" s="61">
        <f t="shared" si="5"/>
        <v>47</v>
      </c>
    </row>
    <row r="11" spans="1:32" s="19" customFormat="1" ht="12.75" hidden="1" customHeight="1">
      <c r="A11" s="23" t="s">
        <v>12</v>
      </c>
      <c r="B11" s="1" t="s">
        <v>18</v>
      </c>
      <c r="C11" s="68">
        <v>0</v>
      </c>
      <c r="D11" s="68">
        <v>0</v>
      </c>
      <c r="E11" s="69">
        <f t="shared" si="0"/>
        <v>20</v>
      </c>
      <c r="F11" s="70">
        <f t="shared" si="0"/>
        <v>267</v>
      </c>
      <c r="G11" s="68">
        <f t="shared" si="1"/>
        <v>20</v>
      </c>
      <c r="H11" s="68">
        <f t="shared" si="1"/>
        <v>267</v>
      </c>
      <c r="I11" s="70"/>
      <c r="J11" s="70"/>
      <c r="K11" s="70"/>
      <c r="L11" s="70"/>
      <c r="M11" s="70">
        <f t="shared" si="2"/>
        <v>0</v>
      </c>
      <c r="N11" s="70">
        <f t="shared" si="2"/>
        <v>0</v>
      </c>
      <c r="O11" s="75"/>
      <c r="P11" s="75"/>
      <c r="Q11" s="76">
        <v>20</v>
      </c>
      <c r="R11" s="71">
        <v>267</v>
      </c>
      <c r="S11" s="72"/>
      <c r="T11" s="73"/>
      <c r="U11" s="73"/>
      <c r="V11" s="73"/>
      <c r="W11" s="73"/>
      <c r="X11" s="73"/>
      <c r="Y11" s="65"/>
      <c r="Z11" s="65"/>
      <c r="AA11" s="61">
        <f>H1</f>
        <v>11</v>
      </c>
      <c r="AB11" s="61" t="str">
        <f>E1</f>
        <v>CI1-NP1-014 W</v>
      </c>
      <c r="AC11" s="74" t="s">
        <v>440</v>
      </c>
      <c r="AD11" s="61" t="str">
        <f t="shared" si="3"/>
        <v>TSN</v>
      </c>
      <c r="AE11" s="61">
        <f t="shared" si="4"/>
        <v>0</v>
      </c>
      <c r="AF11" s="61">
        <f t="shared" si="5"/>
        <v>20</v>
      </c>
    </row>
    <row r="12" spans="1:32" s="19" customFormat="1" ht="12.75" hidden="1" customHeight="1">
      <c r="A12" s="23" t="s">
        <v>14</v>
      </c>
      <c r="B12" s="1" t="s">
        <v>18</v>
      </c>
      <c r="C12" s="68">
        <v>50</v>
      </c>
      <c r="D12" s="68">
        <v>675</v>
      </c>
      <c r="E12" s="69">
        <f t="shared" ref="E12:E18" si="6">O12+Q12</f>
        <v>7</v>
      </c>
      <c r="F12" s="70">
        <f t="shared" ref="F12:F18" si="7">P12+R12</f>
        <v>70</v>
      </c>
      <c r="G12" s="68">
        <f t="shared" si="1"/>
        <v>-43</v>
      </c>
      <c r="H12" s="68">
        <f t="shared" si="1"/>
        <v>-605</v>
      </c>
      <c r="I12" s="70"/>
      <c r="J12" s="70"/>
      <c r="K12" s="70"/>
      <c r="L12" s="70"/>
      <c r="M12" s="70">
        <f t="shared" si="2"/>
        <v>0</v>
      </c>
      <c r="N12" s="70">
        <f t="shared" si="2"/>
        <v>0</v>
      </c>
      <c r="O12" s="71"/>
      <c r="P12" s="71"/>
      <c r="Q12" s="70">
        <v>7</v>
      </c>
      <c r="R12" s="70">
        <v>70</v>
      </c>
      <c r="S12" s="72"/>
      <c r="T12" s="73"/>
      <c r="U12" s="73"/>
      <c r="V12" s="73"/>
      <c r="W12" s="73"/>
      <c r="X12" s="73"/>
      <c r="Y12" s="65"/>
      <c r="Z12" s="65"/>
      <c r="AA12" s="61">
        <f>H1</f>
        <v>11</v>
      </c>
      <c r="AB12" s="61" t="str">
        <f>E1</f>
        <v>CI1-NP1-014 W</v>
      </c>
      <c r="AC12" s="74" t="s">
        <v>440</v>
      </c>
      <c r="AD12" s="61" t="str">
        <f t="shared" si="3"/>
        <v>XMN</v>
      </c>
      <c r="AE12" s="61">
        <f t="shared" si="4"/>
        <v>50</v>
      </c>
      <c r="AF12" s="61">
        <f t="shared" si="5"/>
        <v>7</v>
      </c>
    </row>
    <row r="13" spans="1:32" s="19" customFormat="1" ht="12.75" hidden="1" customHeight="1">
      <c r="A13" s="23" t="s">
        <v>19</v>
      </c>
      <c r="B13" s="1" t="s">
        <v>18</v>
      </c>
      <c r="C13" s="68">
        <v>0</v>
      </c>
      <c r="D13" s="68">
        <v>0</v>
      </c>
      <c r="E13" s="69">
        <f t="shared" si="6"/>
        <v>0</v>
      </c>
      <c r="F13" s="70">
        <f t="shared" si="7"/>
        <v>0</v>
      </c>
      <c r="G13" s="68">
        <f t="shared" si="1"/>
        <v>0</v>
      </c>
      <c r="H13" s="68">
        <f t="shared" si="1"/>
        <v>0</v>
      </c>
      <c r="I13" s="70"/>
      <c r="J13" s="70"/>
      <c r="K13" s="70"/>
      <c r="L13" s="70"/>
      <c r="M13" s="70">
        <f t="shared" si="2"/>
        <v>0</v>
      </c>
      <c r="N13" s="70">
        <f t="shared" si="2"/>
        <v>0</v>
      </c>
      <c r="O13" s="70"/>
      <c r="P13" s="70"/>
      <c r="Q13" s="70"/>
      <c r="R13" s="70"/>
      <c r="S13" s="72"/>
      <c r="T13" s="73"/>
      <c r="U13" s="73"/>
      <c r="V13" s="73"/>
      <c r="W13" s="73"/>
      <c r="X13" s="73"/>
      <c r="Y13" s="65"/>
      <c r="Z13" s="65"/>
      <c r="AA13" s="61">
        <f>H1</f>
        <v>11</v>
      </c>
      <c r="AB13" s="61" t="str">
        <f>E1</f>
        <v>CI1-NP1-014 W</v>
      </c>
      <c r="AC13" s="74" t="s">
        <v>440</v>
      </c>
      <c r="AD13" s="61" t="str">
        <f t="shared" si="3"/>
        <v>TWC</v>
      </c>
      <c r="AE13" s="61">
        <f t="shared" si="4"/>
        <v>0</v>
      </c>
      <c r="AF13" s="61">
        <f t="shared" si="5"/>
        <v>0</v>
      </c>
    </row>
    <row r="14" spans="1:32" s="19" customFormat="1" ht="12.75" hidden="1" customHeight="1">
      <c r="A14" s="23" t="s">
        <v>16</v>
      </c>
      <c r="B14" s="1">
        <v>43164</v>
      </c>
      <c r="C14" s="68">
        <v>800</v>
      </c>
      <c r="D14" s="68">
        <v>10800</v>
      </c>
      <c r="E14" s="69">
        <f t="shared" si="6"/>
        <v>292</v>
      </c>
      <c r="F14" s="70">
        <f t="shared" si="7"/>
        <v>2031</v>
      </c>
      <c r="G14" s="68">
        <f t="shared" si="1"/>
        <v>-508</v>
      </c>
      <c r="H14" s="68">
        <f t="shared" si="1"/>
        <v>-8769</v>
      </c>
      <c r="I14" s="70">
        <v>22</v>
      </c>
      <c r="J14" s="70">
        <v>223</v>
      </c>
      <c r="K14" s="70"/>
      <c r="L14" s="70"/>
      <c r="M14" s="70">
        <f t="shared" si="2"/>
        <v>22</v>
      </c>
      <c r="N14" s="70">
        <f t="shared" si="2"/>
        <v>223</v>
      </c>
      <c r="O14" s="70"/>
      <c r="P14" s="70"/>
      <c r="Q14" s="70">
        <f>242+50</f>
        <v>292</v>
      </c>
      <c r="R14" s="89">
        <v>2031</v>
      </c>
      <c r="S14" s="72"/>
      <c r="T14" s="73"/>
      <c r="U14" s="73"/>
      <c r="V14" s="73"/>
      <c r="W14" s="73"/>
      <c r="X14" s="73"/>
      <c r="Y14" s="65"/>
      <c r="Z14" s="65"/>
      <c r="AA14" s="61">
        <f>H1</f>
        <v>11</v>
      </c>
      <c r="AB14" s="61" t="str">
        <f>E1</f>
        <v>CI1-NP1-014 W</v>
      </c>
      <c r="AC14" s="74" t="s">
        <v>440</v>
      </c>
      <c r="AD14" s="61" t="str">
        <f t="shared" si="3"/>
        <v>HUA</v>
      </c>
      <c r="AE14" s="61">
        <f t="shared" si="4"/>
        <v>800</v>
      </c>
      <c r="AF14" s="61">
        <f t="shared" si="5"/>
        <v>292</v>
      </c>
    </row>
    <row r="15" spans="1:32" s="19" customFormat="1" ht="12.75" hidden="1" customHeight="1">
      <c r="A15" s="23" t="s">
        <v>68</v>
      </c>
      <c r="B15" s="1">
        <v>43165</v>
      </c>
      <c r="C15" s="68"/>
      <c r="D15" s="68"/>
      <c r="E15" s="69">
        <f t="shared" si="6"/>
        <v>0</v>
      </c>
      <c r="F15" s="70">
        <f t="shared" si="7"/>
        <v>0</v>
      </c>
      <c r="G15" s="68"/>
      <c r="H15" s="68"/>
      <c r="I15" s="70">
        <v>29</v>
      </c>
      <c r="J15" s="70">
        <v>142</v>
      </c>
      <c r="K15" s="70"/>
      <c r="L15" s="70"/>
      <c r="M15" s="70">
        <f t="shared" si="2"/>
        <v>29</v>
      </c>
      <c r="N15" s="70">
        <f t="shared" si="2"/>
        <v>142</v>
      </c>
      <c r="O15" s="70"/>
      <c r="P15" s="70"/>
      <c r="Q15" s="70"/>
      <c r="R15" s="70"/>
      <c r="S15" s="72"/>
      <c r="T15" s="73"/>
      <c r="U15" s="73"/>
      <c r="V15" s="73"/>
      <c r="W15" s="73"/>
      <c r="X15" s="73"/>
      <c r="Y15" s="65"/>
      <c r="Z15" s="65"/>
      <c r="AA15" s="61">
        <f>H1</f>
        <v>11</v>
      </c>
      <c r="AB15" s="61" t="str">
        <f>E1</f>
        <v>CI1-NP1-014 W</v>
      </c>
      <c r="AC15" s="74" t="s">
        <v>440</v>
      </c>
      <c r="AD15" s="61" t="str">
        <f t="shared" si="3"/>
        <v>GNS</v>
      </c>
      <c r="AE15" s="61">
        <f t="shared" si="4"/>
        <v>0</v>
      </c>
      <c r="AF15" s="61">
        <f t="shared" si="5"/>
        <v>0</v>
      </c>
    </row>
    <row r="16" spans="1:32" s="19" customFormat="1" ht="12.75" hidden="1" customHeight="1">
      <c r="A16" s="23" t="s">
        <v>3</v>
      </c>
      <c r="B16" s="1">
        <v>43170</v>
      </c>
      <c r="C16" s="68">
        <v>250</v>
      </c>
      <c r="D16" s="68">
        <v>3375</v>
      </c>
      <c r="E16" s="69">
        <f t="shared" si="6"/>
        <v>414</v>
      </c>
      <c r="F16" s="70">
        <f t="shared" si="7"/>
        <v>8390</v>
      </c>
      <c r="G16" s="68">
        <f t="shared" ref="G16:H19" si="8">E16-C16</f>
        <v>164</v>
      </c>
      <c r="H16" s="68">
        <f t="shared" si="8"/>
        <v>5015</v>
      </c>
      <c r="I16" s="70"/>
      <c r="J16" s="70"/>
      <c r="K16" s="70"/>
      <c r="L16" s="70"/>
      <c r="M16" s="70">
        <f t="shared" si="2"/>
        <v>0</v>
      </c>
      <c r="N16" s="70">
        <f t="shared" si="2"/>
        <v>0</v>
      </c>
      <c r="O16" s="68"/>
      <c r="P16" s="68"/>
      <c r="Q16" s="70">
        <v>414</v>
      </c>
      <c r="R16" s="70">
        <v>8390</v>
      </c>
      <c r="S16" s="72"/>
      <c r="T16" s="73"/>
      <c r="U16" s="73"/>
      <c r="V16" s="73"/>
      <c r="W16" s="73"/>
      <c r="X16" s="73"/>
      <c r="Y16" s="65"/>
      <c r="Z16" s="65"/>
      <c r="AA16" s="61">
        <f>H1</f>
        <v>11</v>
      </c>
      <c r="AB16" s="61" t="str">
        <f>E1</f>
        <v>CI1-NP1-014 W</v>
      </c>
      <c r="AC16" s="74" t="s">
        <v>440</v>
      </c>
      <c r="AD16" s="61" t="str">
        <f t="shared" si="3"/>
        <v>SGP</v>
      </c>
      <c r="AE16" s="61">
        <f t="shared" si="4"/>
        <v>250</v>
      </c>
      <c r="AF16" s="61">
        <f t="shared" si="5"/>
        <v>414</v>
      </c>
    </row>
    <row r="17" spans="1:32" s="19" customFormat="1" ht="12.75" hidden="1" customHeight="1">
      <c r="A17" s="23" t="s">
        <v>431</v>
      </c>
      <c r="B17" s="20"/>
      <c r="C17" s="68">
        <v>50</v>
      </c>
      <c r="D17" s="68">
        <v>675</v>
      </c>
      <c r="E17" s="69">
        <f t="shared" si="6"/>
        <v>0</v>
      </c>
      <c r="F17" s="70">
        <f t="shared" si="7"/>
        <v>0</v>
      </c>
      <c r="G17" s="68">
        <f t="shared" si="8"/>
        <v>-50</v>
      </c>
      <c r="H17" s="68">
        <f t="shared" si="8"/>
        <v>-675</v>
      </c>
      <c r="I17" s="70"/>
      <c r="J17" s="70"/>
      <c r="K17" s="70"/>
      <c r="L17" s="70"/>
      <c r="M17" s="70">
        <f t="shared" si="2"/>
        <v>0</v>
      </c>
      <c r="N17" s="70">
        <f t="shared" si="2"/>
        <v>0</v>
      </c>
      <c r="O17" s="70"/>
      <c r="P17" s="70"/>
      <c r="Q17" s="70"/>
      <c r="R17" s="70"/>
      <c r="S17" s="72"/>
      <c r="T17" s="73"/>
      <c r="U17" s="73"/>
      <c r="V17" s="73"/>
      <c r="W17" s="73"/>
      <c r="X17" s="73"/>
      <c r="Y17" s="65"/>
      <c r="Z17" s="65"/>
      <c r="AA17" s="61">
        <f>H1</f>
        <v>11</v>
      </c>
      <c r="AB17" s="61" t="str">
        <f>E1</f>
        <v>CI1-NP1-014 W</v>
      </c>
      <c r="AC17" s="74" t="s">
        <v>440</v>
      </c>
      <c r="AD17" s="61" t="str">
        <f t="shared" si="3"/>
        <v>HQ</v>
      </c>
      <c r="AE17" s="61">
        <f t="shared" si="4"/>
        <v>50</v>
      </c>
      <c r="AF17" s="61">
        <f t="shared" si="5"/>
        <v>0</v>
      </c>
    </row>
    <row r="18" spans="1:32" s="19" customFormat="1" ht="12.75" hidden="1" customHeight="1">
      <c r="A18" s="23" t="s">
        <v>31</v>
      </c>
      <c r="B18" s="20"/>
      <c r="C18" s="68">
        <v>50</v>
      </c>
      <c r="D18" s="68">
        <v>675</v>
      </c>
      <c r="E18" s="69">
        <f t="shared" si="6"/>
        <v>11</v>
      </c>
      <c r="F18" s="70">
        <f t="shared" si="7"/>
        <v>158</v>
      </c>
      <c r="G18" s="68">
        <f t="shared" si="8"/>
        <v>-39</v>
      </c>
      <c r="H18" s="68">
        <f t="shared" si="8"/>
        <v>-517</v>
      </c>
      <c r="I18" s="70"/>
      <c r="J18" s="70"/>
      <c r="K18" s="70"/>
      <c r="L18" s="70"/>
      <c r="M18" s="70">
        <f t="shared" si="2"/>
        <v>0</v>
      </c>
      <c r="N18" s="70">
        <f t="shared" si="2"/>
        <v>0</v>
      </c>
      <c r="O18" s="71"/>
      <c r="P18" s="71"/>
      <c r="Q18" s="71">
        <v>11</v>
      </c>
      <c r="R18" s="71">
        <v>158</v>
      </c>
      <c r="S18" s="72"/>
      <c r="T18" s="73"/>
      <c r="U18" s="73"/>
      <c r="V18" s="73"/>
      <c r="W18" s="73"/>
      <c r="X18" s="73"/>
      <c r="Y18" s="65"/>
      <c r="Z18" s="65"/>
      <c r="AA18" s="61">
        <f>H1</f>
        <v>11</v>
      </c>
      <c r="AB18" s="61" t="str">
        <f>E1</f>
        <v>CI1-NP1-014 W</v>
      </c>
      <c r="AC18" s="74" t="s">
        <v>440</v>
      </c>
      <c r="AD18" s="61" t="str">
        <f t="shared" si="3"/>
        <v>COSCO T/S</v>
      </c>
      <c r="AE18" s="61">
        <f t="shared" si="4"/>
        <v>50</v>
      </c>
      <c r="AF18" s="61">
        <f t="shared" si="5"/>
        <v>11</v>
      </c>
    </row>
    <row r="19" spans="1:32" s="19" customFormat="1" ht="12.75" hidden="1" customHeight="1">
      <c r="A19" s="23" t="s">
        <v>35</v>
      </c>
      <c r="B19" s="22"/>
      <c r="C19" s="71">
        <f>SUM(C5:C18)</f>
        <v>2400</v>
      </c>
      <c r="D19" s="71">
        <f>SUM(D5:D18)</f>
        <v>32400</v>
      </c>
      <c r="E19" s="78">
        <f>SUM(E5:E18)</f>
        <v>1633</v>
      </c>
      <c r="F19" s="76">
        <f>SUM(F5:F18)</f>
        <v>21752</v>
      </c>
      <c r="G19" s="71">
        <f t="shared" si="8"/>
        <v>-767</v>
      </c>
      <c r="H19" s="71">
        <f t="shared" si="8"/>
        <v>-10648</v>
      </c>
      <c r="I19" s="70">
        <f t="shared" ref="I19:N19" si="9">SUM(I5:I18)</f>
        <v>212</v>
      </c>
      <c r="J19" s="70">
        <f t="shared" si="9"/>
        <v>3064</v>
      </c>
      <c r="K19" s="70">
        <f t="shared" si="9"/>
        <v>0</v>
      </c>
      <c r="L19" s="70">
        <f t="shared" si="9"/>
        <v>0</v>
      </c>
      <c r="M19" s="70">
        <f t="shared" si="9"/>
        <v>212</v>
      </c>
      <c r="N19" s="70">
        <f t="shared" si="9"/>
        <v>3064</v>
      </c>
      <c r="O19" s="70">
        <f>SUM(O5:O18)</f>
        <v>690</v>
      </c>
      <c r="P19" s="70">
        <f t="shared" ref="P19:R19" si="10">SUM(P5:P18)</f>
        <v>8343</v>
      </c>
      <c r="Q19" s="70">
        <f t="shared" si="10"/>
        <v>943</v>
      </c>
      <c r="R19" s="70">
        <f t="shared" si="10"/>
        <v>13409</v>
      </c>
      <c r="S19" s="72"/>
      <c r="T19" s="73"/>
      <c r="U19" s="73"/>
      <c r="V19" s="73"/>
      <c r="W19" s="73"/>
      <c r="X19" s="73"/>
      <c r="Y19" s="65"/>
      <c r="Z19" s="65"/>
      <c r="AA19" s="61"/>
      <c r="AB19" s="61"/>
      <c r="AC19" s="74"/>
      <c r="AD19" s="61"/>
      <c r="AE19" s="61"/>
      <c r="AF19" s="61"/>
    </row>
    <row r="20" spans="1:32" s="19" customFormat="1" ht="12" hidden="1" customHeight="1">
      <c r="A20" s="49">
        <f>D19/C19</f>
        <v>13.5</v>
      </c>
      <c r="C20" s="79">
        <f>F19-E20</f>
        <v>-7408</v>
      </c>
      <c r="D20" s="65"/>
      <c r="E20" s="65">
        <f>D19*0.9</f>
        <v>29160</v>
      </c>
      <c r="F20" s="79">
        <f>E19-L20</f>
        <v>-527</v>
      </c>
      <c r="G20" s="65"/>
      <c r="H20" s="65"/>
      <c r="I20" s="80" t="s">
        <v>48</v>
      </c>
      <c r="J20" s="245">
        <f>E19/C19</f>
        <v>0.68041666666666667</v>
      </c>
      <c r="K20" s="80"/>
      <c r="L20" s="80">
        <f>C19*0.9</f>
        <v>2160</v>
      </c>
      <c r="M20" s="80"/>
      <c r="N20" s="80"/>
      <c r="O20" s="80" t="s">
        <v>49</v>
      </c>
      <c r="P20" s="80"/>
      <c r="Q20" s="65">
        <f>P6+P7+P9+P10+P11+J6+J7+L6+L7+J9+R9</f>
        <v>10964</v>
      </c>
      <c r="R20" s="65">
        <v>16856</v>
      </c>
      <c r="S20" s="65"/>
      <c r="T20" s="65"/>
      <c r="U20" s="65"/>
      <c r="V20" s="65"/>
      <c r="W20" s="65"/>
      <c r="X20" s="65"/>
      <c r="Y20" s="65"/>
      <c r="Z20" s="65"/>
      <c r="AA20" s="61"/>
      <c r="AB20" s="61"/>
      <c r="AC20" s="74"/>
      <c r="AD20" s="61"/>
      <c r="AE20" s="61"/>
      <c r="AF20" s="61"/>
    </row>
    <row r="21" spans="1:32" s="19" customFormat="1" ht="12.75" hidden="1" customHeight="1">
      <c r="C21" s="65"/>
      <c r="D21" s="65"/>
      <c r="E21" s="65"/>
      <c r="F21" s="65"/>
      <c r="G21" s="65"/>
      <c r="H21" s="65"/>
      <c r="I21" s="80"/>
      <c r="J21" s="80"/>
      <c r="K21" s="80"/>
      <c r="L21" s="80"/>
      <c r="M21" s="80"/>
      <c r="N21" s="80"/>
      <c r="O21" s="80"/>
      <c r="P21" s="80"/>
      <c r="Q21" s="65"/>
      <c r="R21" s="65">
        <f>R20-Q20</f>
        <v>5892</v>
      </c>
      <c r="S21" s="65"/>
      <c r="T21" s="65"/>
      <c r="U21" s="65"/>
      <c r="V21" s="65"/>
      <c r="W21" s="65"/>
      <c r="X21" s="65"/>
      <c r="Y21" s="65"/>
      <c r="Z21" s="65"/>
      <c r="AA21" s="61"/>
      <c r="AB21" s="61"/>
      <c r="AC21" s="74"/>
      <c r="AD21" s="61"/>
      <c r="AE21" s="61"/>
      <c r="AF21" s="61"/>
    </row>
    <row r="22" spans="1:32" s="18" customFormat="1" ht="12.75" hidden="1" customHeight="1">
      <c r="A22" s="16" t="s">
        <v>440</v>
      </c>
      <c r="B22" s="17" t="s">
        <v>447</v>
      </c>
      <c r="C22" s="56"/>
      <c r="D22" s="57"/>
      <c r="E22" s="58" t="s">
        <v>455</v>
      </c>
      <c r="F22" s="57"/>
      <c r="G22" s="59" t="s">
        <v>37</v>
      </c>
      <c r="H22" s="60">
        <f>H1+1</f>
        <v>12</v>
      </c>
      <c r="I22" s="57"/>
      <c r="J22" s="57"/>
      <c r="K22" s="57"/>
      <c r="L22" s="57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2"/>
      <c r="Z22" s="62"/>
      <c r="AA22" s="62"/>
      <c r="AB22" s="62"/>
      <c r="AC22" s="62"/>
      <c r="AD22" s="63"/>
      <c r="AE22" s="63"/>
      <c r="AF22" s="63"/>
    </row>
    <row r="23" spans="1:32" s="19" customFormat="1" ht="12.75" hidden="1" customHeight="1">
      <c r="A23" s="340" t="s">
        <v>0</v>
      </c>
      <c r="B23" s="336" t="s">
        <v>1</v>
      </c>
      <c r="C23" s="331" t="s">
        <v>25</v>
      </c>
      <c r="D23" s="332"/>
      <c r="E23" s="331" t="s">
        <v>21</v>
      </c>
      <c r="F23" s="332"/>
      <c r="G23" s="335" t="s">
        <v>24</v>
      </c>
      <c r="H23" s="335"/>
      <c r="I23" s="328" t="s">
        <v>33</v>
      </c>
      <c r="J23" s="329"/>
      <c r="K23" s="329"/>
      <c r="L23" s="329"/>
      <c r="M23" s="329"/>
      <c r="N23" s="330"/>
      <c r="O23" s="331" t="s">
        <v>22</v>
      </c>
      <c r="P23" s="332"/>
      <c r="Q23" s="335" t="s">
        <v>23</v>
      </c>
      <c r="R23" s="335"/>
      <c r="S23" s="336" t="s">
        <v>27</v>
      </c>
      <c r="T23" s="64"/>
      <c r="U23" s="64"/>
      <c r="V23" s="64"/>
      <c r="W23" s="64"/>
      <c r="X23" s="64"/>
      <c r="Y23" s="339"/>
      <c r="Z23" s="85"/>
      <c r="AA23" s="61"/>
      <c r="AB23" s="61"/>
      <c r="AC23" s="74"/>
      <c r="AD23" s="61"/>
      <c r="AE23" s="61"/>
      <c r="AF23" s="61"/>
    </row>
    <row r="24" spans="1:32" s="19" customFormat="1" ht="12.75" hidden="1" customHeight="1">
      <c r="A24" s="341"/>
      <c r="B24" s="337"/>
      <c r="C24" s="333"/>
      <c r="D24" s="334"/>
      <c r="E24" s="333"/>
      <c r="F24" s="334"/>
      <c r="G24" s="335"/>
      <c r="H24" s="335"/>
      <c r="I24" s="66" t="s">
        <v>28</v>
      </c>
      <c r="J24" s="67" t="s">
        <v>3</v>
      </c>
      <c r="K24" s="66" t="s">
        <v>29</v>
      </c>
      <c r="L24" s="67" t="s">
        <v>4</v>
      </c>
      <c r="M24" s="328" t="s">
        <v>30</v>
      </c>
      <c r="N24" s="330"/>
      <c r="O24" s="333"/>
      <c r="P24" s="334"/>
      <c r="Q24" s="335"/>
      <c r="R24" s="335"/>
      <c r="S24" s="337"/>
      <c r="T24" s="64"/>
      <c r="U24" s="64"/>
      <c r="V24" s="64"/>
      <c r="W24" s="64"/>
      <c r="X24" s="64"/>
      <c r="Y24" s="339"/>
      <c r="Z24" s="85"/>
      <c r="AA24" s="61"/>
      <c r="AB24" s="61"/>
      <c r="AC24" s="74"/>
      <c r="AD24" s="61"/>
      <c r="AE24" s="61"/>
      <c r="AF24" s="61"/>
    </row>
    <row r="25" spans="1:32" s="19" customFormat="1" ht="12.75" hidden="1" customHeight="1">
      <c r="A25" s="342"/>
      <c r="B25" s="338"/>
      <c r="C25" s="68" t="s">
        <v>5</v>
      </c>
      <c r="D25" s="68" t="s">
        <v>6</v>
      </c>
      <c r="E25" s="67" t="s">
        <v>5</v>
      </c>
      <c r="F25" s="68" t="s">
        <v>6</v>
      </c>
      <c r="G25" s="68" t="s">
        <v>5</v>
      </c>
      <c r="H25" s="68" t="s">
        <v>6</v>
      </c>
      <c r="I25" s="67" t="s">
        <v>5</v>
      </c>
      <c r="J25" s="68" t="s">
        <v>6</v>
      </c>
      <c r="K25" s="67" t="s">
        <v>5</v>
      </c>
      <c r="L25" s="68" t="s">
        <v>6</v>
      </c>
      <c r="M25" s="68"/>
      <c r="N25" s="68"/>
      <c r="O25" s="67" t="s">
        <v>5</v>
      </c>
      <c r="P25" s="68" t="s">
        <v>6</v>
      </c>
      <c r="Q25" s="68" t="s">
        <v>5</v>
      </c>
      <c r="R25" s="68" t="s">
        <v>6</v>
      </c>
      <c r="S25" s="338"/>
      <c r="T25" s="64"/>
      <c r="U25" s="64"/>
      <c r="V25" s="64"/>
      <c r="W25" s="64"/>
      <c r="X25" s="64"/>
      <c r="Y25" s="339"/>
      <c r="Z25" s="85"/>
      <c r="AA25" s="61" t="s">
        <v>43</v>
      </c>
      <c r="AB25" s="61" t="s">
        <v>45</v>
      </c>
      <c r="AC25" s="61" t="s">
        <v>46</v>
      </c>
      <c r="AD25" s="61" t="s">
        <v>42</v>
      </c>
      <c r="AE25" s="61" t="s">
        <v>41</v>
      </c>
      <c r="AF25" s="61" t="s">
        <v>44</v>
      </c>
    </row>
    <row r="26" spans="1:32" s="19" customFormat="1" ht="12.75" hidden="1" customHeight="1">
      <c r="A26" s="21" t="s">
        <v>7</v>
      </c>
      <c r="B26" s="1" t="s">
        <v>18</v>
      </c>
      <c r="C26" s="68">
        <v>0</v>
      </c>
      <c r="D26" s="68">
        <v>0</v>
      </c>
      <c r="E26" s="69">
        <f t="shared" ref="E26:F34" si="11">O26+Q26</f>
        <v>0</v>
      </c>
      <c r="F26" s="70">
        <f t="shared" si="11"/>
        <v>0</v>
      </c>
      <c r="G26" s="68">
        <f t="shared" ref="G26:H35" si="12">E26-C26</f>
        <v>0</v>
      </c>
      <c r="H26" s="68">
        <f t="shared" si="12"/>
        <v>0</v>
      </c>
      <c r="I26" s="70"/>
      <c r="J26" s="70"/>
      <c r="K26" s="70"/>
      <c r="L26" s="70"/>
      <c r="M26" s="70">
        <f t="shared" ref="M26:N39" si="13">I26+K26</f>
        <v>0</v>
      </c>
      <c r="N26" s="70">
        <f t="shared" si="13"/>
        <v>0</v>
      </c>
      <c r="O26" s="71"/>
      <c r="P26" s="71"/>
      <c r="Q26" s="70"/>
      <c r="R26" s="70"/>
      <c r="S26" s="72"/>
      <c r="T26" s="252" t="e">
        <f>E26/C26</f>
        <v>#DIV/0!</v>
      </c>
      <c r="U26" s="73"/>
      <c r="V26" s="73"/>
      <c r="W26" s="73"/>
      <c r="X26" s="73"/>
      <c r="Y26" s="339"/>
      <c r="Z26" s="85"/>
      <c r="AA26" s="61">
        <f>H22</f>
        <v>12</v>
      </c>
      <c r="AB26" s="61" t="str">
        <f>E22</f>
        <v>CI1-ASV-131 W</v>
      </c>
      <c r="AC26" s="74" t="s">
        <v>440</v>
      </c>
      <c r="AD26" s="61" t="str">
        <f t="shared" ref="AD26:AD39" si="14">A26</f>
        <v>KR</v>
      </c>
      <c r="AE26" s="61">
        <f t="shared" ref="AE26:AE39" si="15">C26</f>
        <v>0</v>
      </c>
      <c r="AF26" s="61">
        <f t="shared" ref="AF26:AF39" si="16">E26</f>
        <v>0</v>
      </c>
    </row>
    <row r="27" spans="1:32" s="19" customFormat="1" ht="12.75" hidden="1" customHeight="1">
      <c r="A27" s="23" t="s">
        <v>13</v>
      </c>
      <c r="B27" s="1" t="s">
        <v>18</v>
      </c>
      <c r="C27" s="68">
        <v>0</v>
      </c>
      <c r="D27" s="68">
        <v>0</v>
      </c>
      <c r="E27" s="69">
        <f t="shared" si="11"/>
        <v>0</v>
      </c>
      <c r="F27" s="70">
        <f t="shared" si="11"/>
        <v>0</v>
      </c>
      <c r="G27" s="68">
        <f t="shared" si="12"/>
        <v>0</v>
      </c>
      <c r="H27" s="68">
        <f t="shared" si="12"/>
        <v>0</v>
      </c>
      <c r="I27" s="75"/>
      <c r="J27" s="75"/>
      <c r="K27" s="70"/>
      <c r="L27" s="70"/>
      <c r="M27" s="70">
        <f t="shared" si="13"/>
        <v>0</v>
      </c>
      <c r="N27" s="70">
        <f t="shared" si="13"/>
        <v>0</v>
      </c>
      <c r="O27" s="75"/>
      <c r="P27" s="75"/>
      <c r="Q27" s="71"/>
      <c r="R27" s="71"/>
      <c r="S27" s="72"/>
      <c r="T27" s="252" t="e">
        <f t="shared" ref="T27:T37" si="17">E27/C27</f>
        <v>#DIV/0!</v>
      </c>
      <c r="U27" s="73"/>
      <c r="V27" s="73"/>
      <c r="W27" s="73"/>
      <c r="X27" s="73"/>
      <c r="Y27" s="65"/>
      <c r="Z27" s="65"/>
      <c r="AA27" s="61">
        <f>H22</f>
        <v>12</v>
      </c>
      <c r="AB27" s="61" t="str">
        <f>E22</f>
        <v>CI1-ASV-131 W</v>
      </c>
      <c r="AC27" s="74" t="s">
        <v>440</v>
      </c>
      <c r="AD27" s="61" t="str">
        <f t="shared" si="14"/>
        <v>TAO</v>
      </c>
      <c r="AE27" s="61">
        <f t="shared" si="15"/>
        <v>0</v>
      </c>
      <c r="AF27" s="61">
        <f t="shared" si="16"/>
        <v>0</v>
      </c>
    </row>
    <row r="28" spans="1:32" s="19" customFormat="1" ht="12.75" hidden="1" customHeight="1">
      <c r="A28" s="23" t="s">
        <v>9</v>
      </c>
      <c r="B28" s="1">
        <f>B7+7</f>
        <v>43166</v>
      </c>
      <c r="C28" s="68">
        <v>550</v>
      </c>
      <c r="D28" s="68">
        <v>7425</v>
      </c>
      <c r="E28" s="69">
        <f t="shared" si="11"/>
        <v>260</v>
      </c>
      <c r="F28" s="70">
        <f t="shared" si="11"/>
        <v>3168</v>
      </c>
      <c r="G28" s="68">
        <f t="shared" si="12"/>
        <v>-290</v>
      </c>
      <c r="H28" s="68">
        <f t="shared" si="12"/>
        <v>-4257</v>
      </c>
      <c r="I28" s="75">
        <v>86</v>
      </c>
      <c r="J28" s="75">
        <v>1299</v>
      </c>
      <c r="K28" s="71"/>
      <c r="L28" s="71"/>
      <c r="M28" s="70">
        <f t="shared" si="13"/>
        <v>86</v>
      </c>
      <c r="N28" s="70">
        <f t="shared" si="13"/>
        <v>1299</v>
      </c>
      <c r="O28" s="75">
        <f>240+20</f>
        <v>260</v>
      </c>
      <c r="P28" s="75">
        <v>3168</v>
      </c>
      <c r="Q28" s="71"/>
      <c r="R28" s="71"/>
      <c r="S28" s="72"/>
      <c r="T28" s="252">
        <f t="shared" si="17"/>
        <v>0.47272727272727272</v>
      </c>
      <c r="U28" s="73"/>
      <c r="V28" s="73"/>
      <c r="W28" s="73"/>
      <c r="X28" s="73"/>
      <c r="Y28" s="65"/>
      <c r="Z28" s="65"/>
      <c r="AA28" s="61">
        <f>H22</f>
        <v>12</v>
      </c>
      <c r="AB28" s="61" t="str">
        <f>E22</f>
        <v>CI1-ASV-131 W</v>
      </c>
      <c r="AC28" s="74" t="s">
        <v>440</v>
      </c>
      <c r="AD28" s="61" t="str">
        <f t="shared" si="14"/>
        <v>SHA</v>
      </c>
      <c r="AE28" s="61">
        <f t="shared" si="15"/>
        <v>550</v>
      </c>
      <c r="AF28" s="61">
        <f t="shared" si="16"/>
        <v>260</v>
      </c>
    </row>
    <row r="29" spans="1:32" s="19" customFormat="1" ht="12.75" hidden="1" customHeight="1">
      <c r="A29" s="23" t="s">
        <v>8</v>
      </c>
      <c r="B29" s="1">
        <f>B8+7</f>
        <v>43168</v>
      </c>
      <c r="C29" s="68">
        <v>300</v>
      </c>
      <c r="D29" s="68">
        <v>4050</v>
      </c>
      <c r="E29" s="69">
        <f t="shared" si="11"/>
        <v>57</v>
      </c>
      <c r="F29" s="70">
        <f t="shared" si="11"/>
        <v>412</v>
      </c>
      <c r="G29" s="68">
        <f t="shared" si="12"/>
        <v>-243</v>
      </c>
      <c r="H29" s="68">
        <f t="shared" si="12"/>
        <v>-3638</v>
      </c>
      <c r="I29" s="71"/>
      <c r="J29" s="71"/>
      <c r="K29" s="71"/>
      <c r="L29" s="71"/>
      <c r="M29" s="70">
        <f t="shared" si="13"/>
        <v>0</v>
      </c>
      <c r="N29" s="70">
        <f t="shared" si="13"/>
        <v>0</v>
      </c>
      <c r="O29" s="71"/>
      <c r="P29" s="71"/>
      <c r="Q29" s="71">
        <v>57</v>
      </c>
      <c r="R29" s="71">
        <v>412</v>
      </c>
      <c r="S29" s="72"/>
      <c r="T29" s="252">
        <f t="shared" si="17"/>
        <v>0.19</v>
      </c>
      <c r="U29" s="73"/>
      <c r="V29" s="73"/>
      <c r="W29" s="73"/>
      <c r="X29" s="73"/>
      <c r="Y29" s="65"/>
      <c r="Z29" s="65"/>
      <c r="AA29" s="61">
        <f>H22</f>
        <v>12</v>
      </c>
      <c r="AB29" s="61" t="str">
        <f>E22</f>
        <v>CI1-ASV-131 W</v>
      </c>
      <c r="AC29" s="74" t="s">
        <v>440</v>
      </c>
      <c r="AD29" s="61" t="str">
        <f t="shared" si="14"/>
        <v>NGB</v>
      </c>
      <c r="AE29" s="61">
        <f t="shared" si="15"/>
        <v>300</v>
      </c>
      <c r="AF29" s="61">
        <f t="shared" si="16"/>
        <v>57</v>
      </c>
    </row>
    <row r="30" spans="1:32" s="19" customFormat="1" ht="12.75" hidden="1" customHeight="1">
      <c r="A30" s="23" t="s">
        <v>10</v>
      </c>
      <c r="B30" s="1" t="s">
        <v>67</v>
      </c>
      <c r="C30" s="68">
        <v>100</v>
      </c>
      <c r="D30" s="68">
        <v>1350</v>
      </c>
      <c r="E30" s="69">
        <f t="shared" si="11"/>
        <v>65</v>
      </c>
      <c r="F30" s="70">
        <f t="shared" si="11"/>
        <v>1715</v>
      </c>
      <c r="G30" s="68">
        <f t="shared" si="12"/>
        <v>-35</v>
      </c>
      <c r="H30" s="68">
        <f t="shared" si="12"/>
        <v>365</v>
      </c>
      <c r="I30" s="75"/>
      <c r="J30" s="75"/>
      <c r="K30" s="70"/>
      <c r="L30" s="70"/>
      <c r="M30" s="70">
        <f t="shared" si="13"/>
        <v>0</v>
      </c>
      <c r="N30" s="70">
        <f t="shared" si="13"/>
        <v>0</v>
      </c>
      <c r="O30" s="75">
        <v>65</v>
      </c>
      <c r="P30" s="75">
        <v>1715</v>
      </c>
      <c r="Q30" s="70"/>
      <c r="R30" s="70"/>
      <c r="S30" s="72"/>
      <c r="T30" s="252">
        <f t="shared" si="17"/>
        <v>0.65</v>
      </c>
      <c r="U30" s="73"/>
      <c r="V30" s="73"/>
      <c r="W30" s="73"/>
      <c r="X30" s="73"/>
      <c r="Y30" s="65"/>
      <c r="Z30" s="65"/>
      <c r="AA30" s="61">
        <f>H22</f>
        <v>12</v>
      </c>
      <c r="AB30" s="61" t="str">
        <f>E22</f>
        <v>CI1-ASV-131 W</v>
      </c>
      <c r="AC30" s="74" t="s">
        <v>440</v>
      </c>
      <c r="AD30" s="61" t="str">
        <f t="shared" si="14"/>
        <v>WUH</v>
      </c>
      <c r="AE30" s="61">
        <f t="shared" si="15"/>
        <v>100</v>
      </c>
      <c r="AF30" s="61">
        <f t="shared" si="16"/>
        <v>65</v>
      </c>
    </row>
    <row r="31" spans="1:32" s="19" customFormat="1" ht="12.75" hidden="1" customHeight="1">
      <c r="A31" s="23" t="s">
        <v>11</v>
      </c>
      <c r="B31" s="1" t="s">
        <v>18</v>
      </c>
      <c r="C31" s="68">
        <v>50</v>
      </c>
      <c r="D31" s="68">
        <v>675</v>
      </c>
      <c r="E31" s="69">
        <f t="shared" si="11"/>
        <v>24</v>
      </c>
      <c r="F31" s="70">
        <f t="shared" si="11"/>
        <v>558</v>
      </c>
      <c r="G31" s="68">
        <f t="shared" si="12"/>
        <v>-26</v>
      </c>
      <c r="H31" s="68">
        <f t="shared" si="12"/>
        <v>-117</v>
      </c>
      <c r="I31" s="70"/>
      <c r="J31" s="70"/>
      <c r="K31" s="70"/>
      <c r="L31" s="70"/>
      <c r="M31" s="70">
        <f t="shared" si="13"/>
        <v>0</v>
      </c>
      <c r="N31" s="70">
        <f t="shared" si="13"/>
        <v>0</v>
      </c>
      <c r="O31" s="75"/>
      <c r="P31" s="75"/>
      <c r="Q31" s="70">
        <v>24</v>
      </c>
      <c r="R31" s="70">
        <v>558</v>
      </c>
      <c r="S31" s="72"/>
      <c r="T31" s="252">
        <f t="shared" si="17"/>
        <v>0.48</v>
      </c>
      <c r="U31" s="73"/>
      <c r="V31" s="73"/>
      <c r="W31" s="73"/>
      <c r="X31" s="73"/>
      <c r="Y31" s="65"/>
      <c r="Z31" s="65"/>
      <c r="AA31" s="61">
        <f>H22</f>
        <v>12</v>
      </c>
      <c r="AB31" s="61" t="str">
        <f>E22</f>
        <v>CI1-ASV-131 W</v>
      </c>
      <c r="AC31" s="74" t="s">
        <v>440</v>
      </c>
      <c r="AD31" s="61" t="str">
        <f t="shared" si="14"/>
        <v>DLC</v>
      </c>
      <c r="AE31" s="61">
        <f t="shared" si="15"/>
        <v>50</v>
      </c>
      <c r="AF31" s="61">
        <f t="shared" si="16"/>
        <v>24</v>
      </c>
    </row>
    <row r="32" spans="1:32" s="19" customFormat="1" ht="12.75" hidden="1" customHeight="1">
      <c r="A32" s="23" t="s">
        <v>12</v>
      </c>
      <c r="B32" s="1" t="s">
        <v>18</v>
      </c>
      <c r="C32" s="68">
        <v>0</v>
      </c>
      <c r="D32" s="68">
        <v>0</v>
      </c>
      <c r="E32" s="69">
        <f t="shared" si="11"/>
        <v>0</v>
      </c>
      <c r="F32" s="70">
        <f t="shared" si="11"/>
        <v>0</v>
      </c>
      <c r="G32" s="68">
        <f t="shared" si="12"/>
        <v>0</v>
      </c>
      <c r="H32" s="68">
        <f t="shared" si="12"/>
        <v>0</v>
      </c>
      <c r="I32" s="70"/>
      <c r="J32" s="70"/>
      <c r="K32" s="70"/>
      <c r="L32" s="70"/>
      <c r="M32" s="70">
        <f t="shared" si="13"/>
        <v>0</v>
      </c>
      <c r="N32" s="70">
        <f t="shared" si="13"/>
        <v>0</v>
      </c>
      <c r="O32" s="75"/>
      <c r="P32" s="75"/>
      <c r="Q32" s="76"/>
      <c r="R32" s="71"/>
      <c r="S32" s="72"/>
      <c r="T32" s="252" t="e">
        <f t="shared" si="17"/>
        <v>#DIV/0!</v>
      </c>
      <c r="U32" s="73"/>
      <c r="V32" s="73"/>
      <c r="W32" s="73"/>
      <c r="X32" s="73"/>
      <c r="Y32" s="65"/>
      <c r="Z32" s="65"/>
      <c r="AA32" s="61">
        <f>H22</f>
        <v>12</v>
      </c>
      <c r="AB32" s="61" t="str">
        <f>E22</f>
        <v>CI1-ASV-131 W</v>
      </c>
      <c r="AC32" s="74" t="s">
        <v>440</v>
      </c>
      <c r="AD32" s="61" t="str">
        <f t="shared" si="14"/>
        <v>TSN</v>
      </c>
      <c r="AE32" s="61">
        <f t="shared" si="15"/>
        <v>0</v>
      </c>
      <c r="AF32" s="61">
        <f t="shared" si="16"/>
        <v>0</v>
      </c>
    </row>
    <row r="33" spans="1:32" s="19" customFormat="1" ht="12.75" hidden="1" customHeight="1">
      <c r="A33" s="23" t="s">
        <v>14</v>
      </c>
      <c r="B33" s="1" t="s">
        <v>18</v>
      </c>
      <c r="C33" s="68">
        <v>50</v>
      </c>
      <c r="D33" s="68">
        <v>675</v>
      </c>
      <c r="E33" s="69">
        <f t="shared" si="11"/>
        <v>18</v>
      </c>
      <c r="F33" s="70">
        <f t="shared" si="11"/>
        <v>220</v>
      </c>
      <c r="G33" s="68">
        <f t="shared" si="12"/>
        <v>-32</v>
      </c>
      <c r="H33" s="68">
        <f t="shared" si="12"/>
        <v>-455</v>
      </c>
      <c r="I33" s="70"/>
      <c r="J33" s="70"/>
      <c r="K33" s="70"/>
      <c r="L33" s="70"/>
      <c r="M33" s="70">
        <f t="shared" si="13"/>
        <v>0</v>
      </c>
      <c r="N33" s="70">
        <f t="shared" si="13"/>
        <v>0</v>
      </c>
      <c r="O33" s="71"/>
      <c r="P33" s="71"/>
      <c r="Q33" s="70">
        <v>18</v>
      </c>
      <c r="R33" s="70">
        <v>220</v>
      </c>
      <c r="S33" s="72"/>
      <c r="T33" s="252">
        <f t="shared" si="17"/>
        <v>0.36</v>
      </c>
      <c r="U33" s="73"/>
      <c r="V33" s="73"/>
      <c r="W33" s="73"/>
      <c r="X33" s="73"/>
      <c r="Y33" s="65"/>
      <c r="Z33" s="65"/>
      <c r="AA33" s="61">
        <f>H22</f>
        <v>12</v>
      </c>
      <c r="AB33" s="61" t="str">
        <f>E22</f>
        <v>CI1-ASV-131 W</v>
      </c>
      <c r="AC33" s="74" t="s">
        <v>440</v>
      </c>
      <c r="AD33" s="61" t="str">
        <f t="shared" si="14"/>
        <v>XMN</v>
      </c>
      <c r="AE33" s="61">
        <f t="shared" si="15"/>
        <v>50</v>
      </c>
      <c r="AF33" s="61">
        <f t="shared" si="16"/>
        <v>18</v>
      </c>
    </row>
    <row r="34" spans="1:32" s="19" customFormat="1" ht="12.75" hidden="1" customHeight="1">
      <c r="A34" s="23" t="s">
        <v>19</v>
      </c>
      <c r="B34" s="1" t="s">
        <v>18</v>
      </c>
      <c r="C34" s="68">
        <v>0</v>
      </c>
      <c r="D34" s="68">
        <v>0</v>
      </c>
      <c r="E34" s="69">
        <f t="shared" si="11"/>
        <v>0</v>
      </c>
      <c r="F34" s="70">
        <f t="shared" si="11"/>
        <v>0</v>
      </c>
      <c r="G34" s="68">
        <f t="shared" si="12"/>
        <v>0</v>
      </c>
      <c r="H34" s="68">
        <f t="shared" si="12"/>
        <v>0</v>
      </c>
      <c r="I34" s="70"/>
      <c r="J34" s="70"/>
      <c r="K34" s="70"/>
      <c r="L34" s="70"/>
      <c r="M34" s="70">
        <f t="shared" si="13"/>
        <v>0</v>
      </c>
      <c r="N34" s="70">
        <f t="shared" si="13"/>
        <v>0</v>
      </c>
      <c r="O34" s="70"/>
      <c r="P34" s="70"/>
      <c r="Q34" s="70"/>
      <c r="R34" s="70"/>
      <c r="S34" s="72"/>
      <c r="T34" s="252" t="e">
        <f t="shared" si="17"/>
        <v>#DIV/0!</v>
      </c>
      <c r="U34" s="73"/>
      <c r="V34" s="73"/>
      <c r="W34" s="73"/>
      <c r="X34" s="73"/>
      <c r="Y34" s="65"/>
      <c r="Z34" s="65"/>
      <c r="AA34" s="61">
        <f>H22</f>
        <v>12</v>
      </c>
      <c r="AB34" s="61" t="str">
        <f>E22</f>
        <v>CI1-ASV-131 W</v>
      </c>
      <c r="AC34" s="74" t="s">
        <v>440</v>
      </c>
      <c r="AD34" s="61" t="str">
        <f t="shared" si="14"/>
        <v>TWC</v>
      </c>
      <c r="AE34" s="61">
        <f t="shared" si="15"/>
        <v>0</v>
      </c>
      <c r="AF34" s="61">
        <f t="shared" si="16"/>
        <v>0</v>
      </c>
    </row>
    <row r="35" spans="1:32" s="19" customFormat="1" ht="12.75" hidden="1" customHeight="1">
      <c r="A35" s="23" t="s">
        <v>16</v>
      </c>
      <c r="B35" s="1">
        <f>B14+7</f>
        <v>43171</v>
      </c>
      <c r="C35" s="68">
        <v>1000</v>
      </c>
      <c r="D35" s="68">
        <v>13500</v>
      </c>
      <c r="E35" s="69">
        <f>O35+Q35</f>
        <v>814</v>
      </c>
      <c r="F35" s="70">
        <f>P35+R34</f>
        <v>0</v>
      </c>
      <c r="G35" s="68">
        <f t="shared" si="12"/>
        <v>-186</v>
      </c>
      <c r="H35" s="68">
        <f t="shared" si="12"/>
        <v>-13500</v>
      </c>
      <c r="I35" s="70"/>
      <c r="J35" s="70"/>
      <c r="K35" s="70"/>
      <c r="L35" s="70"/>
      <c r="M35" s="70">
        <f t="shared" si="13"/>
        <v>0</v>
      </c>
      <c r="N35" s="70">
        <f t="shared" si="13"/>
        <v>0</v>
      </c>
      <c r="O35" s="70"/>
      <c r="P35" s="70"/>
      <c r="Q35" s="70">
        <f>811+3</f>
        <v>814</v>
      </c>
      <c r="R35" s="84">
        <v>6813</v>
      </c>
      <c r="S35" s="72"/>
      <c r="T35" s="252">
        <f t="shared" si="17"/>
        <v>0.81399999999999995</v>
      </c>
      <c r="U35" s="73"/>
      <c r="V35" s="73"/>
      <c r="W35" s="73"/>
      <c r="X35" s="73"/>
      <c r="Y35" s="65"/>
      <c r="Z35" s="65"/>
      <c r="AA35" s="61">
        <f>H22</f>
        <v>12</v>
      </c>
      <c r="AB35" s="61" t="str">
        <f>E22</f>
        <v>CI1-ASV-131 W</v>
      </c>
      <c r="AC35" s="74" t="s">
        <v>440</v>
      </c>
      <c r="AD35" s="61" t="str">
        <f t="shared" si="14"/>
        <v>HUA</v>
      </c>
      <c r="AE35" s="61">
        <f t="shared" si="15"/>
        <v>1000</v>
      </c>
      <c r="AF35" s="61">
        <f t="shared" si="16"/>
        <v>814</v>
      </c>
    </row>
    <row r="36" spans="1:32" s="19" customFormat="1" ht="12.75" hidden="1" customHeight="1">
      <c r="A36" s="23" t="s">
        <v>68</v>
      </c>
      <c r="B36" s="1">
        <f>B15+7</f>
        <v>43172</v>
      </c>
      <c r="C36" s="68"/>
      <c r="D36" s="68"/>
      <c r="E36" s="69">
        <f>O36+Q36</f>
        <v>0</v>
      </c>
      <c r="F36" s="70">
        <f>P36+R36</f>
        <v>0</v>
      </c>
      <c r="G36" s="68"/>
      <c r="H36" s="68"/>
      <c r="I36" s="70"/>
      <c r="J36" s="70"/>
      <c r="K36" s="70"/>
      <c r="L36" s="70"/>
      <c r="M36" s="70">
        <f t="shared" si="13"/>
        <v>0</v>
      </c>
      <c r="N36" s="70">
        <f t="shared" si="13"/>
        <v>0</v>
      </c>
      <c r="O36" s="70"/>
      <c r="P36" s="70"/>
      <c r="Q36" s="70"/>
      <c r="R36" s="70"/>
      <c r="S36" s="72"/>
      <c r="T36" s="252" t="e">
        <f t="shared" si="17"/>
        <v>#DIV/0!</v>
      </c>
      <c r="U36" s="73"/>
      <c r="V36" s="73"/>
      <c r="W36" s="73"/>
      <c r="X36" s="73"/>
      <c r="Y36" s="65"/>
      <c r="Z36" s="65"/>
      <c r="AA36" s="61">
        <f>H22</f>
        <v>12</v>
      </c>
      <c r="AB36" s="61" t="str">
        <f>E22</f>
        <v>CI1-ASV-131 W</v>
      </c>
      <c r="AC36" s="74" t="s">
        <v>440</v>
      </c>
      <c r="AD36" s="61" t="str">
        <f t="shared" si="14"/>
        <v>GNS</v>
      </c>
      <c r="AE36" s="61">
        <f t="shared" si="15"/>
        <v>0</v>
      </c>
      <c r="AF36" s="61">
        <f t="shared" si="16"/>
        <v>0</v>
      </c>
    </row>
    <row r="37" spans="1:32" s="19" customFormat="1" ht="12.75" hidden="1" customHeight="1">
      <c r="A37" s="23" t="s">
        <v>3</v>
      </c>
      <c r="B37" s="1">
        <f>B16+7</f>
        <v>43177</v>
      </c>
      <c r="C37" s="68">
        <v>250</v>
      </c>
      <c r="D37" s="68">
        <v>3375</v>
      </c>
      <c r="E37" s="69">
        <f>O37+Q37</f>
        <v>205</v>
      </c>
      <c r="F37" s="70">
        <f>P37+R37</f>
        <v>3991</v>
      </c>
      <c r="G37" s="68">
        <f t="shared" ref="G37:H40" si="18">E37-C37</f>
        <v>-45</v>
      </c>
      <c r="H37" s="68">
        <f t="shared" si="18"/>
        <v>616</v>
      </c>
      <c r="I37" s="70"/>
      <c r="J37" s="70"/>
      <c r="K37" s="70"/>
      <c r="L37" s="70"/>
      <c r="M37" s="70">
        <f t="shared" si="13"/>
        <v>0</v>
      </c>
      <c r="N37" s="70">
        <f t="shared" si="13"/>
        <v>0</v>
      </c>
      <c r="O37" s="68"/>
      <c r="P37" s="68"/>
      <c r="Q37" s="70">
        <v>205</v>
      </c>
      <c r="R37" s="70">
        <v>3991</v>
      </c>
      <c r="S37" s="72"/>
      <c r="T37" s="252">
        <f t="shared" si="17"/>
        <v>0.82</v>
      </c>
      <c r="U37" s="73"/>
      <c r="V37" s="73"/>
      <c r="W37" s="73"/>
      <c r="X37" s="73"/>
      <c r="Y37" s="65"/>
      <c r="Z37" s="65"/>
      <c r="AA37" s="61">
        <f>H22</f>
        <v>12</v>
      </c>
      <c r="AB37" s="61" t="str">
        <f>E22</f>
        <v>CI1-ASV-131 W</v>
      </c>
      <c r="AC37" s="74" t="s">
        <v>440</v>
      </c>
      <c r="AD37" s="61" t="str">
        <f t="shared" si="14"/>
        <v>SGP</v>
      </c>
      <c r="AE37" s="61">
        <f t="shared" si="15"/>
        <v>250</v>
      </c>
      <c r="AF37" s="61">
        <f t="shared" si="16"/>
        <v>205</v>
      </c>
    </row>
    <row r="38" spans="1:32" s="19" customFormat="1" ht="12.75" hidden="1" customHeight="1">
      <c r="A38" s="23" t="s">
        <v>431</v>
      </c>
      <c r="B38" s="20"/>
      <c r="C38" s="68">
        <v>50</v>
      </c>
      <c r="D38" s="68">
        <v>675</v>
      </c>
      <c r="E38" s="69">
        <f>O38+Q38</f>
        <v>50</v>
      </c>
      <c r="F38" s="70">
        <f>P38+R38</f>
        <v>675</v>
      </c>
      <c r="G38" s="68">
        <f t="shared" si="18"/>
        <v>0</v>
      </c>
      <c r="H38" s="68">
        <f t="shared" si="18"/>
        <v>0</v>
      </c>
      <c r="I38" s="70"/>
      <c r="J38" s="70"/>
      <c r="K38" s="70"/>
      <c r="L38" s="70"/>
      <c r="M38" s="70">
        <f t="shared" si="13"/>
        <v>0</v>
      </c>
      <c r="N38" s="70">
        <f t="shared" si="13"/>
        <v>0</v>
      </c>
      <c r="O38" s="70"/>
      <c r="P38" s="70"/>
      <c r="Q38" s="70">
        <v>50</v>
      </c>
      <c r="R38" s="70">
        <v>675</v>
      </c>
      <c r="S38" s="72"/>
      <c r="T38" s="252">
        <f>E38/C38</f>
        <v>1</v>
      </c>
      <c r="U38" s="73"/>
      <c r="V38" s="73"/>
      <c r="W38" s="73"/>
      <c r="X38" s="73"/>
      <c r="Y38" s="65"/>
      <c r="Z38" s="65"/>
      <c r="AA38" s="61">
        <f>H22</f>
        <v>12</v>
      </c>
      <c r="AB38" s="61" t="str">
        <f>E22</f>
        <v>CI1-ASV-131 W</v>
      </c>
      <c r="AC38" s="74" t="s">
        <v>440</v>
      </c>
      <c r="AD38" s="61" t="str">
        <f t="shared" si="14"/>
        <v>HQ</v>
      </c>
      <c r="AE38" s="61">
        <f t="shared" si="15"/>
        <v>50</v>
      </c>
      <c r="AF38" s="61">
        <f t="shared" si="16"/>
        <v>50</v>
      </c>
    </row>
    <row r="39" spans="1:32" s="19" customFormat="1" ht="12.75" hidden="1" customHeight="1">
      <c r="A39" s="23" t="s">
        <v>31</v>
      </c>
      <c r="B39" s="20"/>
      <c r="C39" s="68">
        <v>50</v>
      </c>
      <c r="D39" s="68">
        <v>675</v>
      </c>
      <c r="E39" s="69">
        <f>O39+Q39</f>
        <v>13</v>
      </c>
      <c r="F39" s="70">
        <f>P39+R39</f>
        <v>228</v>
      </c>
      <c r="G39" s="68">
        <f t="shared" si="18"/>
        <v>-37</v>
      </c>
      <c r="H39" s="68">
        <f t="shared" si="18"/>
        <v>-447</v>
      </c>
      <c r="I39" s="70"/>
      <c r="J39" s="70"/>
      <c r="K39" s="70"/>
      <c r="L39" s="70"/>
      <c r="M39" s="70">
        <f t="shared" si="13"/>
        <v>0</v>
      </c>
      <c r="N39" s="70">
        <f t="shared" si="13"/>
        <v>0</v>
      </c>
      <c r="O39" s="71"/>
      <c r="P39" s="71"/>
      <c r="Q39" s="71">
        <v>13</v>
      </c>
      <c r="R39" s="71">
        <v>228</v>
      </c>
      <c r="S39" s="72"/>
      <c r="T39" s="73"/>
      <c r="U39" s="73"/>
      <c r="V39" s="73"/>
      <c r="W39" s="73"/>
      <c r="X39" s="73"/>
      <c r="Y39" s="65"/>
      <c r="Z39" s="65"/>
      <c r="AA39" s="61">
        <f>H22</f>
        <v>12</v>
      </c>
      <c r="AB39" s="61" t="str">
        <f>E22</f>
        <v>CI1-ASV-131 W</v>
      </c>
      <c r="AC39" s="74" t="s">
        <v>440</v>
      </c>
      <c r="AD39" s="61" t="str">
        <f t="shared" si="14"/>
        <v>COSCO T/S</v>
      </c>
      <c r="AE39" s="61">
        <f t="shared" si="15"/>
        <v>50</v>
      </c>
      <c r="AF39" s="61">
        <f t="shared" si="16"/>
        <v>13</v>
      </c>
    </row>
    <row r="40" spans="1:32" s="19" customFormat="1" ht="12.75" hidden="1" customHeight="1">
      <c r="A40" s="21" t="s">
        <v>36</v>
      </c>
      <c r="B40" s="22"/>
      <c r="C40" s="71">
        <f>SUM(C26:C39)</f>
        <v>2400</v>
      </c>
      <c r="D40" s="71">
        <f>SUM(D26:D39)</f>
        <v>32400</v>
      </c>
      <c r="E40" s="78">
        <f>SUM(E26:E39)</f>
        <v>1506</v>
      </c>
      <c r="F40" s="76">
        <f>SUM(F26:F39)</f>
        <v>10967</v>
      </c>
      <c r="G40" s="71">
        <f t="shared" si="18"/>
        <v>-894</v>
      </c>
      <c r="H40" s="71">
        <f t="shared" si="18"/>
        <v>-21433</v>
      </c>
      <c r="I40" s="70">
        <f t="shared" ref="I40:L40" si="19">SUM(I26:I39)</f>
        <v>86</v>
      </c>
      <c r="J40" s="70">
        <f t="shared" si="19"/>
        <v>1299</v>
      </c>
      <c r="K40" s="70">
        <f t="shared" si="19"/>
        <v>0</v>
      </c>
      <c r="L40" s="70">
        <f t="shared" si="19"/>
        <v>0</v>
      </c>
      <c r="M40" s="70"/>
      <c r="N40" s="70"/>
      <c r="O40" s="70">
        <f t="shared" ref="O40:R40" si="20">SUM(O26:O39)</f>
        <v>325</v>
      </c>
      <c r="P40" s="70">
        <f t="shared" si="20"/>
        <v>4883</v>
      </c>
      <c r="Q40" s="70">
        <f t="shared" si="20"/>
        <v>1181</v>
      </c>
      <c r="R40" s="70">
        <f t="shared" si="20"/>
        <v>12897</v>
      </c>
      <c r="S40" s="72"/>
      <c r="T40" s="73"/>
      <c r="U40" s="73"/>
      <c r="V40" s="73"/>
      <c r="W40" s="73"/>
      <c r="X40" s="73"/>
      <c r="Y40" s="65"/>
      <c r="Z40" s="65"/>
      <c r="AA40" s="61"/>
      <c r="AB40" s="61"/>
      <c r="AC40" s="61"/>
      <c r="AD40" s="61"/>
      <c r="AE40" s="61"/>
      <c r="AF40" s="61"/>
    </row>
    <row r="41" spans="1:32" s="65" customFormat="1" ht="12.75" hidden="1" customHeight="1">
      <c r="A41" s="84">
        <f>D40/C40</f>
        <v>13.5</v>
      </c>
      <c r="C41" s="79">
        <f>F40-E41</f>
        <v>-18193</v>
      </c>
      <c r="E41" s="65">
        <f>D40*0.9</f>
        <v>29160</v>
      </c>
      <c r="F41" s="79">
        <f>E40-L41</f>
        <v>-654</v>
      </c>
      <c r="I41" s="80" t="s">
        <v>48</v>
      </c>
      <c r="J41" s="245">
        <f>E40/C40</f>
        <v>0.62749999999999995</v>
      </c>
      <c r="K41" s="80"/>
      <c r="L41" s="80">
        <f>C40*0.9</f>
        <v>2160</v>
      </c>
      <c r="M41" s="80"/>
      <c r="N41" s="80"/>
      <c r="O41" s="80" t="s">
        <v>49</v>
      </c>
      <c r="P41" s="80"/>
      <c r="Q41" s="65">
        <f>P27+P28+P30+P31+P32+J27+J28+L27+L28+J30+R30</f>
        <v>6182</v>
      </c>
      <c r="R41" s="65">
        <v>16856</v>
      </c>
      <c r="AA41" s="81"/>
      <c r="AB41" s="81"/>
      <c r="AC41" s="81"/>
      <c r="AD41" s="81"/>
      <c r="AE41" s="81"/>
      <c r="AF41" s="81"/>
    </row>
    <row r="42" spans="1:32" s="19" customFormat="1" ht="12.75" hidden="1" customHeight="1">
      <c r="C42" s="65"/>
      <c r="D42" s="65"/>
      <c r="E42" s="65"/>
      <c r="F42" s="65"/>
      <c r="G42" s="65"/>
      <c r="H42" s="65"/>
      <c r="I42" s="80"/>
      <c r="J42" s="80"/>
      <c r="K42" s="80"/>
      <c r="L42" s="80"/>
      <c r="M42" s="80"/>
      <c r="N42" s="80"/>
      <c r="O42" s="80"/>
      <c r="P42" s="80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1"/>
      <c r="AB42" s="61"/>
      <c r="AC42" s="61"/>
      <c r="AD42" s="61"/>
      <c r="AE42" s="61"/>
      <c r="AF42" s="61"/>
    </row>
    <row r="43" spans="1:32" s="18" customFormat="1" ht="12.75" hidden="1" customHeight="1">
      <c r="A43" s="16" t="s">
        <v>440</v>
      </c>
      <c r="B43" s="17" t="s">
        <v>464</v>
      </c>
      <c r="C43" s="56"/>
      <c r="D43" s="57"/>
      <c r="E43" s="58" t="s">
        <v>482</v>
      </c>
      <c r="F43" s="57"/>
      <c r="G43" s="59" t="s">
        <v>37</v>
      </c>
      <c r="H43" s="60">
        <f>H22+1</f>
        <v>13</v>
      </c>
      <c r="I43" s="57"/>
      <c r="J43" s="57"/>
      <c r="K43" s="57"/>
      <c r="L43" s="57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2"/>
      <c r="Z43" s="62"/>
      <c r="AA43" s="62"/>
      <c r="AB43" s="62"/>
      <c r="AC43" s="62"/>
      <c r="AD43" s="63"/>
      <c r="AE43" s="63"/>
      <c r="AF43" s="63"/>
    </row>
    <row r="44" spans="1:32" s="19" customFormat="1" ht="12.75" hidden="1" customHeight="1">
      <c r="A44" s="340" t="s">
        <v>0</v>
      </c>
      <c r="B44" s="336" t="s">
        <v>1</v>
      </c>
      <c r="C44" s="331" t="s">
        <v>25</v>
      </c>
      <c r="D44" s="332"/>
      <c r="E44" s="331" t="s">
        <v>21</v>
      </c>
      <c r="F44" s="332"/>
      <c r="G44" s="335" t="s">
        <v>24</v>
      </c>
      <c r="H44" s="335"/>
      <c r="I44" s="328" t="s">
        <v>33</v>
      </c>
      <c r="J44" s="329"/>
      <c r="K44" s="329"/>
      <c r="L44" s="329"/>
      <c r="M44" s="329"/>
      <c r="N44" s="330"/>
      <c r="O44" s="331" t="s">
        <v>22</v>
      </c>
      <c r="P44" s="332"/>
      <c r="Q44" s="335" t="s">
        <v>23</v>
      </c>
      <c r="R44" s="335"/>
      <c r="S44" s="336" t="s">
        <v>27</v>
      </c>
      <c r="T44" s="64"/>
      <c r="U44" s="64"/>
      <c r="V44" s="64"/>
      <c r="W44" s="64"/>
      <c r="X44" s="64"/>
      <c r="Y44" s="339"/>
      <c r="Z44" s="85"/>
      <c r="AA44" s="61"/>
      <c r="AB44" s="61"/>
      <c r="AC44" s="74"/>
      <c r="AD44" s="61"/>
      <c r="AE44" s="61"/>
      <c r="AF44" s="61"/>
    </row>
    <row r="45" spans="1:32" s="19" customFormat="1" ht="12.75" hidden="1" customHeight="1">
      <c r="A45" s="341"/>
      <c r="B45" s="337"/>
      <c r="C45" s="333"/>
      <c r="D45" s="334"/>
      <c r="E45" s="333"/>
      <c r="F45" s="334"/>
      <c r="G45" s="335"/>
      <c r="H45" s="335"/>
      <c r="I45" s="66" t="s">
        <v>28</v>
      </c>
      <c r="J45" s="67" t="s">
        <v>3</v>
      </c>
      <c r="K45" s="66" t="s">
        <v>29</v>
      </c>
      <c r="L45" s="67" t="s">
        <v>4</v>
      </c>
      <c r="M45" s="328" t="s">
        <v>30</v>
      </c>
      <c r="N45" s="330"/>
      <c r="O45" s="333"/>
      <c r="P45" s="334"/>
      <c r="Q45" s="335"/>
      <c r="R45" s="335"/>
      <c r="S45" s="337"/>
      <c r="T45" s="64"/>
      <c r="U45" s="64"/>
      <c r="V45" s="64"/>
      <c r="W45" s="64"/>
      <c r="X45" s="64"/>
      <c r="Y45" s="339"/>
      <c r="Z45" s="85"/>
      <c r="AA45" s="61"/>
      <c r="AB45" s="61"/>
      <c r="AC45" s="74"/>
      <c r="AD45" s="61"/>
      <c r="AE45" s="61"/>
      <c r="AF45" s="61"/>
    </row>
    <row r="46" spans="1:32" s="19" customFormat="1" ht="12.75" hidden="1" customHeight="1">
      <c r="A46" s="342"/>
      <c r="B46" s="338"/>
      <c r="C46" s="68" t="s">
        <v>5</v>
      </c>
      <c r="D46" s="68" t="s">
        <v>6</v>
      </c>
      <c r="E46" s="67" t="s">
        <v>5</v>
      </c>
      <c r="F46" s="68" t="s">
        <v>6</v>
      </c>
      <c r="G46" s="68" t="s">
        <v>5</v>
      </c>
      <c r="H46" s="68" t="s">
        <v>6</v>
      </c>
      <c r="I46" s="67" t="s">
        <v>5</v>
      </c>
      <c r="J46" s="68" t="s">
        <v>6</v>
      </c>
      <c r="K46" s="67" t="s">
        <v>5</v>
      </c>
      <c r="L46" s="68" t="s">
        <v>6</v>
      </c>
      <c r="M46" s="68"/>
      <c r="N46" s="68"/>
      <c r="O46" s="67" t="s">
        <v>5</v>
      </c>
      <c r="P46" s="68" t="s">
        <v>6</v>
      </c>
      <c r="Q46" s="68" t="s">
        <v>5</v>
      </c>
      <c r="R46" s="68" t="s">
        <v>6</v>
      </c>
      <c r="S46" s="338"/>
      <c r="T46" s="64"/>
      <c r="U46" s="64"/>
      <c r="V46" s="64"/>
      <c r="W46" s="64"/>
      <c r="X46" s="64"/>
      <c r="Y46" s="339"/>
      <c r="Z46" s="85"/>
      <c r="AA46" s="61" t="s">
        <v>43</v>
      </c>
      <c r="AB46" s="61" t="s">
        <v>45</v>
      </c>
      <c r="AC46" s="61" t="s">
        <v>46</v>
      </c>
      <c r="AD46" s="61" t="s">
        <v>42</v>
      </c>
      <c r="AE46" s="61" t="s">
        <v>41</v>
      </c>
      <c r="AF46" s="61" t="s">
        <v>44</v>
      </c>
    </row>
    <row r="47" spans="1:32" s="19" customFormat="1" ht="12.75" hidden="1" customHeight="1">
      <c r="A47" s="21" t="s">
        <v>7</v>
      </c>
      <c r="B47" s="1" t="s">
        <v>18</v>
      </c>
      <c r="C47" s="68">
        <v>0</v>
      </c>
      <c r="D47" s="68">
        <v>0</v>
      </c>
      <c r="E47" s="69">
        <f t="shared" ref="E47:F55" si="21">O47+Q47</f>
        <v>10</v>
      </c>
      <c r="F47" s="70">
        <f t="shared" si="21"/>
        <v>239</v>
      </c>
      <c r="G47" s="68">
        <f t="shared" ref="G47:H56" si="22">E47-C47</f>
        <v>10</v>
      </c>
      <c r="H47" s="68">
        <f t="shared" si="22"/>
        <v>239</v>
      </c>
      <c r="I47" s="70"/>
      <c r="J47" s="70"/>
      <c r="K47" s="70"/>
      <c r="L47" s="70"/>
      <c r="M47" s="70">
        <f t="shared" ref="M47:N60" si="23">I47+K47</f>
        <v>0</v>
      </c>
      <c r="N47" s="70">
        <f t="shared" si="23"/>
        <v>0</v>
      </c>
      <c r="O47" s="71"/>
      <c r="P47" s="71"/>
      <c r="Q47" s="70">
        <v>10</v>
      </c>
      <c r="R47" s="70">
        <v>239</v>
      </c>
      <c r="S47" s="72"/>
      <c r="T47" s="252" t="e">
        <f>E47/C47</f>
        <v>#DIV/0!</v>
      </c>
      <c r="U47" s="73"/>
      <c r="V47" s="73"/>
      <c r="W47" s="73"/>
      <c r="X47" s="73"/>
      <c r="Y47" s="339"/>
      <c r="Z47" s="85"/>
      <c r="AA47" s="61">
        <f>H43</f>
        <v>13</v>
      </c>
      <c r="AB47" s="61" t="str">
        <f>E43</f>
        <v>CI1-ROC-015 W</v>
      </c>
      <c r="AC47" s="74" t="s">
        <v>440</v>
      </c>
      <c r="AD47" s="61" t="str">
        <f t="shared" ref="AD47:AD60" si="24">A47</f>
        <v>KR</v>
      </c>
      <c r="AE47" s="61">
        <f t="shared" ref="AE47:AE60" si="25">C47</f>
        <v>0</v>
      </c>
      <c r="AF47" s="61">
        <f t="shared" ref="AF47:AF60" si="26">E47</f>
        <v>10</v>
      </c>
    </row>
    <row r="48" spans="1:32" s="19" customFormat="1" ht="12.75" hidden="1" customHeight="1">
      <c r="A48" s="23" t="s">
        <v>13</v>
      </c>
      <c r="B48" s="1" t="s">
        <v>18</v>
      </c>
      <c r="C48" s="68">
        <v>0</v>
      </c>
      <c r="D48" s="68">
        <v>0</v>
      </c>
      <c r="E48" s="69">
        <f t="shared" si="21"/>
        <v>0</v>
      </c>
      <c r="F48" s="70">
        <f t="shared" si="21"/>
        <v>0</v>
      </c>
      <c r="G48" s="68">
        <f t="shared" si="22"/>
        <v>0</v>
      </c>
      <c r="H48" s="68">
        <f t="shared" si="22"/>
        <v>0</v>
      </c>
      <c r="I48" s="75"/>
      <c r="J48" s="75"/>
      <c r="K48" s="70"/>
      <c r="L48" s="70"/>
      <c r="M48" s="70">
        <f t="shared" si="23"/>
        <v>0</v>
      </c>
      <c r="N48" s="70">
        <f t="shared" si="23"/>
        <v>0</v>
      </c>
      <c r="O48" s="75"/>
      <c r="P48" s="75"/>
      <c r="Q48" s="71"/>
      <c r="R48" s="71"/>
      <c r="S48" s="72"/>
      <c r="T48" s="252" t="e">
        <f t="shared" ref="T48:T58" si="27">E48/C48</f>
        <v>#DIV/0!</v>
      </c>
      <c r="U48" s="73"/>
      <c r="V48" s="73"/>
      <c r="W48" s="73"/>
      <c r="X48" s="73"/>
      <c r="Y48" s="65"/>
      <c r="Z48" s="65"/>
      <c r="AA48" s="61">
        <f>H43</f>
        <v>13</v>
      </c>
      <c r="AB48" s="61" t="str">
        <f>E43</f>
        <v>CI1-ROC-015 W</v>
      </c>
      <c r="AC48" s="74" t="s">
        <v>440</v>
      </c>
      <c r="AD48" s="61" t="str">
        <f t="shared" si="24"/>
        <v>TAO</v>
      </c>
      <c r="AE48" s="61">
        <f t="shared" si="25"/>
        <v>0</v>
      </c>
      <c r="AF48" s="61">
        <f t="shared" si="26"/>
        <v>0</v>
      </c>
    </row>
    <row r="49" spans="1:32" s="19" customFormat="1" ht="12.75" hidden="1" customHeight="1">
      <c r="A49" s="23" t="s">
        <v>9</v>
      </c>
      <c r="B49" s="1">
        <f>B28+7</f>
        <v>43173</v>
      </c>
      <c r="C49" s="68">
        <v>550</v>
      </c>
      <c r="D49" s="68">
        <v>7425</v>
      </c>
      <c r="E49" s="69">
        <f t="shared" si="21"/>
        <v>234</v>
      </c>
      <c r="F49" s="70">
        <f t="shared" si="21"/>
        <v>2786</v>
      </c>
      <c r="G49" s="68">
        <f t="shared" si="22"/>
        <v>-316</v>
      </c>
      <c r="H49" s="68">
        <f t="shared" si="22"/>
        <v>-4639</v>
      </c>
      <c r="I49" s="75">
        <v>291</v>
      </c>
      <c r="J49" s="75">
        <v>4584</v>
      </c>
      <c r="K49" s="71"/>
      <c r="L49" s="71"/>
      <c r="M49" s="70">
        <f t="shared" si="23"/>
        <v>291</v>
      </c>
      <c r="N49" s="70">
        <f t="shared" si="23"/>
        <v>4584</v>
      </c>
      <c r="O49" s="75">
        <v>234</v>
      </c>
      <c r="P49" s="75">
        <v>2786</v>
      </c>
      <c r="Q49" s="71"/>
      <c r="R49" s="71"/>
      <c r="S49" s="72"/>
      <c r="T49" s="252">
        <f t="shared" si="27"/>
        <v>0.42545454545454547</v>
      </c>
      <c r="U49" s="73"/>
      <c r="V49" s="73"/>
      <c r="W49" s="73"/>
      <c r="X49" s="73"/>
      <c r="Y49" s="65"/>
      <c r="Z49" s="65"/>
      <c r="AA49" s="61">
        <f>H43</f>
        <v>13</v>
      </c>
      <c r="AB49" s="61" t="str">
        <f>E43</f>
        <v>CI1-ROC-015 W</v>
      </c>
      <c r="AC49" s="74" t="s">
        <v>440</v>
      </c>
      <c r="AD49" s="61" t="str">
        <f t="shared" si="24"/>
        <v>SHA</v>
      </c>
      <c r="AE49" s="61">
        <f t="shared" si="25"/>
        <v>550</v>
      </c>
      <c r="AF49" s="61">
        <f t="shared" si="26"/>
        <v>234</v>
      </c>
    </row>
    <row r="50" spans="1:32" s="19" customFormat="1" ht="12.75" hidden="1" customHeight="1">
      <c r="A50" s="23" t="s">
        <v>8</v>
      </c>
      <c r="B50" s="1">
        <f>B29+7</f>
        <v>43175</v>
      </c>
      <c r="C50" s="68">
        <v>300</v>
      </c>
      <c r="D50" s="68">
        <v>4050</v>
      </c>
      <c r="E50" s="69">
        <f t="shared" si="21"/>
        <v>68</v>
      </c>
      <c r="F50" s="70">
        <f t="shared" si="21"/>
        <v>928</v>
      </c>
      <c r="G50" s="68">
        <f t="shared" si="22"/>
        <v>-232</v>
      </c>
      <c r="H50" s="68">
        <f t="shared" si="22"/>
        <v>-3122</v>
      </c>
      <c r="I50" s="71"/>
      <c r="J50" s="71"/>
      <c r="K50" s="71"/>
      <c r="L50" s="71"/>
      <c r="M50" s="70">
        <f t="shared" si="23"/>
        <v>0</v>
      </c>
      <c r="N50" s="70">
        <f t="shared" si="23"/>
        <v>0</v>
      </c>
      <c r="O50" s="71"/>
      <c r="P50" s="71"/>
      <c r="Q50" s="71">
        <v>68</v>
      </c>
      <c r="R50" s="71">
        <v>928</v>
      </c>
      <c r="S50" s="72"/>
      <c r="T50" s="252">
        <f t="shared" si="27"/>
        <v>0.22666666666666666</v>
      </c>
      <c r="U50" s="73"/>
      <c r="V50" s="73"/>
      <c r="W50" s="73"/>
      <c r="X50" s="73"/>
      <c r="Y50" s="65"/>
      <c r="Z50" s="65"/>
      <c r="AA50" s="61">
        <f>H43</f>
        <v>13</v>
      </c>
      <c r="AB50" s="61" t="str">
        <f>E43</f>
        <v>CI1-ROC-015 W</v>
      </c>
      <c r="AC50" s="74" t="s">
        <v>440</v>
      </c>
      <c r="AD50" s="61" t="str">
        <f t="shared" si="24"/>
        <v>NGB</v>
      </c>
      <c r="AE50" s="61">
        <f t="shared" si="25"/>
        <v>300</v>
      </c>
      <c r="AF50" s="61">
        <f t="shared" si="26"/>
        <v>68</v>
      </c>
    </row>
    <row r="51" spans="1:32" s="19" customFormat="1" ht="12.75" hidden="1" customHeight="1">
      <c r="A51" s="23" t="s">
        <v>10</v>
      </c>
      <c r="B51" s="1" t="s">
        <v>67</v>
      </c>
      <c r="C51" s="68">
        <v>100</v>
      </c>
      <c r="D51" s="68">
        <v>1350</v>
      </c>
      <c r="E51" s="69">
        <f t="shared" si="21"/>
        <v>7</v>
      </c>
      <c r="F51" s="70">
        <f t="shared" si="21"/>
        <v>108</v>
      </c>
      <c r="G51" s="68">
        <f t="shared" si="22"/>
        <v>-93</v>
      </c>
      <c r="H51" s="68">
        <f t="shared" si="22"/>
        <v>-1242</v>
      </c>
      <c r="I51" s="75"/>
      <c r="J51" s="75"/>
      <c r="K51" s="70"/>
      <c r="L51" s="70"/>
      <c r="M51" s="70">
        <f t="shared" si="23"/>
        <v>0</v>
      </c>
      <c r="N51" s="70">
        <f t="shared" si="23"/>
        <v>0</v>
      </c>
      <c r="O51" s="75">
        <v>7</v>
      </c>
      <c r="P51" s="75">
        <v>108</v>
      </c>
      <c r="Q51" s="70"/>
      <c r="R51" s="70"/>
      <c r="S51" s="72"/>
      <c r="T51" s="252">
        <f t="shared" si="27"/>
        <v>7.0000000000000007E-2</v>
      </c>
      <c r="U51" s="73"/>
      <c r="V51" s="73"/>
      <c r="W51" s="73"/>
      <c r="X51" s="73"/>
      <c r="Y51" s="65"/>
      <c r="Z51" s="65"/>
      <c r="AA51" s="61">
        <f>H43</f>
        <v>13</v>
      </c>
      <c r="AB51" s="61" t="str">
        <f>E43</f>
        <v>CI1-ROC-015 W</v>
      </c>
      <c r="AC51" s="74" t="s">
        <v>440</v>
      </c>
      <c r="AD51" s="61" t="str">
        <f t="shared" si="24"/>
        <v>WUH</v>
      </c>
      <c r="AE51" s="61">
        <f t="shared" si="25"/>
        <v>100</v>
      </c>
      <c r="AF51" s="61">
        <f t="shared" si="26"/>
        <v>7</v>
      </c>
    </row>
    <row r="52" spans="1:32" s="19" customFormat="1" ht="12.75" hidden="1" customHeight="1">
      <c r="A52" s="23" t="s">
        <v>11</v>
      </c>
      <c r="B52" s="1" t="s">
        <v>18</v>
      </c>
      <c r="C52" s="68">
        <v>50</v>
      </c>
      <c r="D52" s="68">
        <v>675</v>
      </c>
      <c r="E52" s="69">
        <f t="shared" si="21"/>
        <v>45</v>
      </c>
      <c r="F52" s="70">
        <f t="shared" si="21"/>
        <v>1126</v>
      </c>
      <c r="G52" s="68">
        <f t="shared" si="22"/>
        <v>-5</v>
      </c>
      <c r="H52" s="68">
        <f t="shared" si="22"/>
        <v>451</v>
      </c>
      <c r="I52" s="70"/>
      <c r="J52" s="70"/>
      <c r="K52" s="70"/>
      <c r="L52" s="70"/>
      <c r="M52" s="70">
        <f t="shared" si="23"/>
        <v>0</v>
      </c>
      <c r="N52" s="70">
        <f t="shared" si="23"/>
        <v>0</v>
      </c>
      <c r="O52" s="75"/>
      <c r="P52" s="75"/>
      <c r="Q52" s="70">
        <v>45</v>
      </c>
      <c r="R52" s="70">
        <v>1126</v>
      </c>
      <c r="S52" s="72"/>
      <c r="T52" s="252">
        <f t="shared" si="27"/>
        <v>0.9</v>
      </c>
      <c r="U52" s="73"/>
      <c r="V52" s="73"/>
      <c r="W52" s="73"/>
      <c r="X52" s="73"/>
      <c r="Y52" s="65"/>
      <c r="Z52" s="65"/>
      <c r="AA52" s="61">
        <f>H43</f>
        <v>13</v>
      </c>
      <c r="AB52" s="61" t="str">
        <f>E43</f>
        <v>CI1-ROC-015 W</v>
      </c>
      <c r="AC52" s="74" t="s">
        <v>440</v>
      </c>
      <c r="AD52" s="61" t="str">
        <f t="shared" si="24"/>
        <v>DLC</v>
      </c>
      <c r="AE52" s="61">
        <f t="shared" si="25"/>
        <v>50</v>
      </c>
      <c r="AF52" s="61">
        <f t="shared" si="26"/>
        <v>45</v>
      </c>
    </row>
    <row r="53" spans="1:32" s="19" customFormat="1" ht="12.75" hidden="1" customHeight="1">
      <c r="A53" s="23" t="s">
        <v>12</v>
      </c>
      <c r="B53" s="1" t="s">
        <v>18</v>
      </c>
      <c r="C53" s="68">
        <v>0</v>
      </c>
      <c r="D53" s="68">
        <v>0</v>
      </c>
      <c r="E53" s="69">
        <f t="shared" si="21"/>
        <v>0</v>
      </c>
      <c r="F53" s="70">
        <f t="shared" si="21"/>
        <v>0</v>
      </c>
      <c r="G53" s="68">
        <f t="shared" si="22"/>
        <v>0</v>
      </c>
      <c r="H53" s="68">
        <f t="shared" si="22"/>
        <v>0</v>
      </c>
      <c r="I53" s="70"/>
      <c r="J53" s="70"/>
      <c r="K53" s="70"/>
      <c r="L53" s="70"/>
      <c r="M53" s="70">
        <f t="shared" si="23"/>
        <v>0</v>
      </c>
      <c r="N53" s="70">
        <f t="shared" si="23"/>
        <v>0</v>
      </c>
      <c r="O53" s="75"/>
      <c r="P53" s="75"/>
      <c r="Q53" s="76"/>
      <c r="R53" s="71"/>
      <c r="S53" s="72"/>
      <c r="T53" s="252" t="e">
        <f t="shared" si="27"/>
        <v>#DIV/0!</v>
      </c>
      <c r="U53" s="73"/>
      <c r="V53" s="73"/>
      <c r="W53" s="73"/>
      <c r="X53" s="73"/>
      <c r="Y53" s="65"/>
      <c r="Z53" s="65"/>
      <c r="AA53" s="61">
        <f>H43</f>
        <v>13</v>
      </c>
      <c r="AB53" s="61" t="str">
        <f>E43</f>
        <v>CI1-ROC-015 W</v>
      </c>
      <c r="AC53" s="74" t="s">
        <v>440</v>
      </c>
      <c r="AD53" s="61" t="str">
        <f t="shared" si="24"/>
        <v>TSN</v>
      </c>
      <c r="AE53" s="61">
        <f t="shared" si="25"/>
        <v>0</v>
      </c>
      <c r="AF53" s="61">
        <f t="shared" si="26"/>
        <v>0</v>
      </c>
    </row>
    <row r="54" spans="1:32" s="19" customFormat="1" ht="12.75" hidden="1" customHeight="1">
      <c r="A54" s="23" t="s">
        <v>14</v>
      </c>
      <c r="B54" s="1" t="s">
        <v>18</v>
      </c>
      <c r="C54" s="68">
        <v>50</v>
      </c>
      <c r="D54" s="68">
        <v>675</v>
      </c>
      <c r="E54" s="69">
        <f t="shared" si="21"/>
        <v>1</v>
      </c>
      <c r="F54" s="70">
        <f t="shared" si="21"/>
        <v>11</v>
      </c>
      <c r="G54" s="68">
        <f t="shared" si="22"/>
        <v>-49</v>
      </c>
      <c r="H54" s="68">
        <f t="shared" si="22"/>
        <v>-664</v>
      </c>
      <c r="I54" s="70"/>
      <c r="J54" s="70"/>
      <c r="K54" s="70"/>
      <c r="L54" s="70"/>
      <c r="M54" s="70">
        <f t="shared" si="23"/>
        <v>0</v>
      </c>
      <c r="N54" s="70">
        <f t="shared" si="23"/>
        <v>0</v>
      </c>
      <c r="O54" s="71"/>
      <c r="P54" s="71"/>
      <c r="Q54" s="70">
        <v>1</v>
      </c>
      <c r="R54" s="70">
        <v>11</v>
      </c>
      <c r="S54" s="72"/>
      <c r="T54" s="252">
        <f t="shared" si="27"/>
        <v>0.02</v>
      </c>
      <c r="U54" s="73"/>
      <c r="V54" s="73"/>
      <c r="W54" s="73"/>
      <c r="X54" s="73"/>
      <c r="Y54" s="65"/>
      <c r="Z54" s="65"/>
      <c r="AA54" s="61">
        <f>H43</f>
        <v>13</v>
      </c>
      <c r="AB54" s="61" t="str">
        <f>E43</f>
        <v>CI1-ROC-015 W</v>
      </c>
      <c r="AC54" s="74" t="s">
        <v>440</v>
      </c>
      <c r="AD54" s="61" t="str">
        <f t="shared" si="24"/>
        <v>XMN</v>
      </c>
      <c r="AE54" s="61">
        <f t="shared" si="25"/>
        <v>50</v>
      </c>
      <c r="AF54" s="61">
        <f t="shared" si="26"/>
        <v>1</v>
      </c>
    </row>
    <row r="55" spans="1:32" s="19" customFormat="1" ht="12.75" hidden="1" customHeight="1">
      <c r="A55" s="23" t="s">
        <v>19</v>
      </c>
      <c r="B55" s="1" t="s">
        <v>18</v>
      </c>
      <c r="C55" s="68">
        <v>0</v>
      </c>
      <c r="D55" s="68">
        <v>0</v>
      </c>
      <c r="E55" s="69">
        <f t="shared" si="21"/>
        <v>0</v>
      </c>
      <c r="F55" s="70">
        <f t="shared" si="21"/>
        <v>0</v>
      </c>
      <c r="G55" s="68">
        <f t="shared" si="22"/>
        <v>0</v>
      </c>
      <c r="H55" s="68">
        <f t="shared" si="22"/>
        <v>0</v>
      </c>
      <c r="I55" s="70"/>
      <c r="J55" s="70"/>
      <c r="K55" s="70"/>
      <c r="L55" s="70"/>
      <c r="M55" s="70">
        <f t="shared" si="23"/>
        <v>0</v>
      </c>
      <c r="N55" s="70">
        <f t="shared" si="23"/>
        <v>0</v>
      </c>
      <c r="O55" s="70"/>
      <c r="P55" s="70"/>
      <c r="Q55" s="70"/>
      <c r="R55" s="70"/>
      <c r="S55" s="72"/>
      <c r="T55" s="252" t="e">
        <f t="shared" si="27"/>
        <v>#DIV/0!</v>
      </c>
      <c r="U55" s="73"/>
      <c r="V55" s="73"/>
      <c r="W55" s="73"/>
      <c r="X55" s="73"/>
      <c r="Y55" s="65"/>
      <c r="Z55" s="65"/>
      <c r="AA55" s="61">
        <f>H43</f>
        <v>13</v>
      </c>
      <c r="AB55" s="61" t="str">
        <f>E43</f>
        <v>CI1-ROC-015 W</v>
      </c>
      <c r="AC55" s="74" t="s">
        <v>440</v>
      </c>
      <c r="AD55" s="61" t="str">
        <f t="shared" si="24"/>
        <v>TWC</v>
      </c>
      <c r="AE55" s="61">
        <f t="shared" si="25"/>
        <v>0</v>
      </c>
      <c r="AF55" s="61">
        <f t="shared" si="26"/>
        <v>0</v>
      </c>
    </row>
    <row r="56" spans="1:32" s="19" customFormat="1" ht="12.75" hidden="1" customHeight="1">
      <c r="A56" s="23" t="s">
        <v>16</v>
      </c>
      <c r="B56" s="1">
        <f>B35+7</f>
        <v>43178</v>
      </c>
      <c r="C56" s="68">
        <v>1000</v>
      </c>
      <c r="D56" s="68">
        <v>13500</v>
      </c>
      <c r="E56" s="69">
        <f>O56+Q56</f>
        <v>755</v>
      </c>
      <c r="F56" s="70">
        <f>P56+R55</f>
        <v>0</v>
      </c>
      <c r="G56" s="68">
        <f t="shared" si="22"/>
        <v>-245</v>
      </c>
      <c r="H56" s="68">
        <f t="shared" si="22"/>
        <v>-13500</v>
      </c>
      <c r="I56" s="70">
        <v>6</v>
      </c>
      <c r="J56" s="70">
        <v>54</v>
      </c>
      <c r="K56" s="70"/>
      <c r="L56" s="70"/>
      <c r="M56" s="70">
        <f t="shared" si="23"/>
        <v>6</v>
      </c>
      <c r="N56" s="70">
        <f t="shared" si="23"/>
        <v>54</v>
      </c>
      <c r="O56" s="70"/>
      <c r="P56" s="70"/>
      <c r="Q56" s="70">
        <f>753+2</f>
        <v>755</v>
      </c>
      <c r="R56" s="84">
        <v>8848</v>
      </c>
      <c r="S56" s="72"/>
      <c r="T56" s="252">
        <f t="shared" si="27"/>
        <v>0.755</v>
      </c>
      <c r="U56" s="73"/>
      <c r="V56" s="73"/>
      <c r="W56" s="73"/>
      <c r="X56" s="73"/>
      <c r="Y56" s="65"/>
      <c r="Z56" s="65"/>
      <c r="AA56" s="61">
        <f>H43</f>
        <v>13</v>
      </c>
      <c r="AB56" s="61" t="str">
        <f>E43</f>
        <v>CI1-ROC-015 W</v>
      </c>
      <c r="AC56" s="74" t="s">
        <v>440</v>
      </c>
      <c r="AD56" s="61" t="str">
        <f t="shared" si="24"/>
        <v>HUA</v>
      </c>
      <c r="AE56" s="61">
        <f t="shared" si="25"/>
        <v>1000</v>
      </c>
      <c r="AF56" s="61">
        <f t="shared" si="26"/>
        <v>755</v>
      </c>
    </row>
    <row r="57" spans="1:32" s="19" customFormat="1" ht="12.75" hidden="1" customHeight="1">
      <c r="A57" s="23" t="s">
        <v>68</v>
      </c>
      <c r="B57" s="1">
        <f>B36+7</f>
        <v>43179</v>
      </c>
      <c r="C57" s="68"/>
      <c r="D57" s="68"/>
      <c r="E57" s="69">
        <f>O57+Q57</f>
        <v>0</v>
      </c>
      <c r="F57" s="70">
        <f>P57+R57</f>
        <v>0</v>
      </c>
      <c r="G57" s="68"/>
      <c r="H57" s="68"/>
      <c r="I57" s="70"/>
      <c r="J57" s="70"/>
      <c r="K57" s="70"/>
      <c r="L57" s="70"/>
      <c r="M57" s="70">
        <f t="shared" si="23"/>
        <v>0</v>
      </c>
      <c r="N57" s="70">
        <f t="shared" si="23"/>
        <v>0</v>
      </c>
      <c r="O57" s="70"/>
      <c r="P57" s="70"/>
      <c r="Q57" s="70"/>
      <c r="R57" s="70"/>
      <c r="S57" s="72"/>
      <c r="T57" s="252" t="e">
        <f t="shared" si="27"/>
        <v>#DIV/0!</v>
      </c>
      <c r="U57" s="73"/>
      <c r="V57" s="73"/>
      <c r="W57" s="73"/>
      <c r="X57" s="73"/>
      <c r="Y57" s="65"/>
      <c r="Z57" s="65"/>
      <c r="AA57" s="61">
        <f>H43</f>
        <v>13</v>
      </c>
      <c r="AB57" s="61" t="str">
        <f>E43</f>
        <v>CI1-ROC-015 W</v>
      </c>
      <c r="AC57" s="74" t="s">
        <v>440</v>
      </c>
      <c r="AD57" s="61" t="str">
        <f t="shared" si="24"/>
        <v>GNS</v>
      </c>
      <c r="AE57" s="61">
        <f t="shared" si="25"/>
        <v>0</v>
      </c>
      <c r="AF57" s="61">
        <f t="shared" si="26"/>
        <v>0</v>
      </c>
    </row>
    <row r="58" spans="1:32" s="19" customFormat="1" ht="12.75" hidden="1" customHeight="1">
      <c r="A58" s="23" t="s">
        <v>3</v>
      </c>
      <c r="B58" s="1">
        <f>B37+7</f>
        <v>43184</v>
      </c>
      <c r="C58" s="68">
        <v>250</v>
      </c>
      <c r="D58" s="68">
        <v>3375</v>
      </c>
      <c r="E58" s="69">
        <f>O58+Q58</f>
        <v>122</v>
      </c>
      <c r="F58" s="70">
        <f>P58+R58</f>
        <v>1919</v>
      </c>
      <c r="G58" s="68">
        <f t="shared" ref="G58:H61" si="28">E58-C58</f>
        <v>-128</v>
      </c>
      <c r="H58" s="68">
        <f t="shared" si="28"/>
        <v>-1456</v>
      </c>
      <c r="I58" s="70"/>
      <c r="J58" s="70"/>
      <c r="K58" s="70"/>
      <c r="L58" s="70"/>
      <c r="M58" s="70">
        <f t="shared" si="23"/>
        <v>0</v>
      </c>
      <c r="N58" s="70">
        <f t="shared" si="23"/>
        <v>0</v>
      </c>
      <c r="O58" s="68"/>
      <c r="P58" s="68"/>
      <c r="Q58" s="70">
        <v>122</v>
      </c>
      <c r="R58" s="70">
        <v>1919</v>
      </c>
      <c r="S58" s="72"/>
      <c r="T58" s="252">
        <f t="shared" si="27"/>
        <v>0.48799999999999999</v>
      </c>
      <c r="U58" s="73"/>
      <c r="V58" s="73"/>
      <c r="W58" s="73"/>
      <c r="X58" s="73"/>
      <c r="Y58" s="65"/>
      <c r="Z58" s="65"/>
      <c r="AA58" s="61">
        <f>H43</f>
        <v>13</v>
      </c>
      <c r="AB58" s="61" t="str">
        <f>E43</f>
        <v>CI1-ROC-015 W</v>
      </c>
      <c r="AC58" s="74" t="s">
        <v>440</v>
      </c>
      <c r="AD58" s="61" t="str">
        <f t="shared" si="24"/>
        <v>SGP</v>
      </c>
      <c r="AE58" s="61">
        <f t="shared" si="25"/>
        <v>250</v>
      </c>
      <c r="AF58" s="61">
        <f t="shared" si="26"/>
        <v>122</v>
      </c>
    </row>
    <row r="59" spans="1:32" s="19" customFormat="1" ht="12.75" hidden="1" customHeight="1">
      <c r="A59" s="23" t="s">
        <v>431</v>
      </c>
      <c r="B59" s="20"/>
      <c r="C59" s="68">
        <v>50</v>
      </c>
      <c r="D59" s="68">
        <v>675</v>
      </c>
      <c r="E59" s="69">
        <f>O59+Q59</f>
        <v>0</v>
      </c>
      <c r="F59" s="70">
        <f>P59+R59</f>
        <v>0</v>
      </c>
      <c r="G59" s="68">
        <f t="shared" si="28"/>
        <v>-50</v>
      </c>
      <c r="H59" s="68">
        <f t="shared" si="28"/>
        <v>-675</v>
      </c>
      <c r="I59" s="70"/>
      <c r="J59" s="70"/>
      <c r="K59" s="70"/>
      <c r="L59" s="70"/>
      <c r="M59" s="70">
        <f t="shared" si="23"/>
        <v>0</v>
      </c>
      <c r="N59" s="70">
        <f t="shared" si="23"/>
        <v>0</v>
      </c>
      <c r="O59" s="70"/>
      <c r="P59" s="70"/>
      <c r="Q59" s="70"/>
      <c r="R59" s="70"/>
      <c r="S59" s="72"/>
      <c r="T59" s="252">
        <f>E59/C59</f>
        <v>0</v>
      </c>
      <c r="U59" s="73"/>
      <c r="V59" s="73"/>
      <c r="W59" s="73"/>
      <c r="X59" s="73"/>
      <c r="Y59" s="65"/>
      <c r="Z59" s="65"/>
      <c r="AA59" s="61">
        <f>H43</f>
        <v>13</v>
      </c>
      <c r="AB59" s="61" t="str">
        <f>E43</f>
        <v>CI1-ROC-015 W</v>
      </c>
      <c r="AC59" s="74" t="s">
        <v>440</v>
      </c>
      <c r="AD59" s="61" t="str">
        <f t="shared" si="24"/>
        <v>HQ</v>
      </c>
      <c r="AE59" s="61">
        <f t="shared" si="25"/>
        <v>50</v>
      </c>
      <c r="AF59" s="61">
        <f t="shared" si="26"/>
        <v>0</v>
      </c>
    </row>
    <row r="60" spans="1:32" s="19" customFormat="1" ht="12.75" hidden="1" customHeight="1">
      <c r="A60" s="23" t="s">
        <v>31</v>
      </c>
      <c r="B60" s="20"/>
      <c r="C60" s="68">
        <v>50</v>
      </c>
      <c r="D60" s="68">
        <v>675</v>
      </c>
      <c r="E60" s="69">
        <f>O60+Q60</f>
        <v>0</v>
      </c>
      <c r="F60" s="70">
        <f>P60+R60</f>
        <v>0</v>
      </c>
      <c r="G60" s="68">
        <f t="shared" si="28"/>
        <v>-50</v>
      </c>
      <c r="H60" s="68">
        <f t="shared" si="28"/>
        <v>-675</v>
      </c>
      <c r="I60" s="70"/>
      <c r="J60" s="70"/>
      <c r="K60" s="70"/>
      <c r="L60" s="70"/>
      <c r="M60" s="70">
        <f t="shared" si="23"/>
        <v>0</v>
      </c>
      <c r="N60" s="70">
        <f t="shared" si="23"/>
        <v>0</v>
      </c>
      <c r="O60" s="71"/>
      <c r="P60" s="71"/>
      <c r="Q60" s="71"/>
      <c r="R60" s="71"/>
      <c r="S60" s="72"/>
      <c r="T60" s="73"/>
      <c r="U60" s="73"/>
      <c r="V60" s="73"/>
      <c r="W60" s="73"/>
      <c r="X60" s="73"/>
      <c r="Y60" s="65"/>
      <c r="Z60" s="65"/>
      <c r="AA60" s="61">
        <f>H43</f>
        <v>13</v>
      </c>
      <c r="AB60" s="61" t="str">
        <f>E43</f>
        <v>CI1-ROC-015 W</v>
      </c>
      <c r="AC60" s="74" t="s">
        <v>440</v>
      </c>
      <c r="AD60" s="61" t="str">
        <f t="shared" si="24"/>
        <v>COSCO T/S</v>
      </c>
      <c r="AE60" s="61">
        <f t="shared" si="25"/>
        <v>50</v>
      </c>
      <c r="AF60" s="61">
        <f t="shared" si="26"/>
        <v>0</v>
      </c>
    </row>
    <row r="61" spans="1:32" s="19" customFormat="1" ht="12.75" hidden="1" customHeight="1">
      <c r="A61" s="21" t="s">
        <v>36</v>
      </c>
      <c r="B61" s="22"/>
      <c r="C61" s="71">
        <f>SUM(C47:C60)</f>
        <v>2400</v>
      </c>
      <c r="D61" s="71">
        <f>SUM(D47:D60)</f>
        <v>32400</v>
      </c>
      <c r="E61" s="78">
        <f>SUM(E47:E60)</f>
        <v>1242</v>
      </c>
      <c r="F61" s="76">
        <f>SUM(F47:F60)</f>
        <v>7117</v>
      </c>
      <c r="G61" s="71">
        <f t="shared" si="28"/>
        <v>-1158</v>
      </c>
      <c r="H61" s="71">
        <f t="shared" si="28"/>
        <v>-25283</v>
      </c>
      <c r="I61" s="70">
        <f t="shared" ref="I61:L61" si="29">SUM(I47:I60)</f>
        <v>297</v>
      </c>
      <c r="J61" s="70">
        <f t="shared" si="29"/>
        <v>4638</v>
      </c>
      <c r="K61" s="70">
        <f t="shared" si="29"/>
        <v>0</v>
      </c>
      <c r="L61" s="70">
        <f t="shared" si="29"/>
        <v>0</v>
      </c>
      <c r="M61" s="70"/>
      <c r="N61" s="70"/>
      <c r="O61" s="70">
        <f t="shared" ref="O61:R61" si="30">SUM(O47:O60)</f>
        <v>241</v>
      </c>
      <c r="P61" s="70">
        <f t="shared" si="30"/>
        <v>2894</v>
      </c>
      <c r="Q61" s="70">
        <f t="shared" si="30"/>
        <v>1001</v>
      </c>
      <c r="R61" s="70">
        <f t="shared" si="30"/>
        <v>13071</v>
      </c>
      <c r="S61" s="72"/>
      <c r="T61" s="73"/>
      <c r="U61" s="73"/>
      <c r="V61" s="73"/>
      <c r="W61" s="73"/>
      <c r="X61" s="73"/>
      <c r="Y61" s="65"/>
      <c r="Z61" s="65"/>
      <c r="AA61" s="61"/>
      <c r="AB61" s="61"/>
      <c r="AC61" s="61"/>
      <c r="AD61" s="61"/>
      <c r="AE61" s="61"/>
      <c r="AF61" s="61"/>
    </row>
    <row r="62" spans="1:32" s="65" customFormat="1" ht="12.75" hidden="1" customHeight="1">
      <c r="A62" s="84">
        <f>D61/C61</f>
        <v>13.5</v>
      </c>
      <c r="C62" s="79">
        <f>F61-E62</f>
        <v>-22043</v>
      </c>
      <c r="E62" s="65">
        <f>D61*0.9</f>
        <v>29160</v>
      </c>
      <c r="F62" s="79">
        <f>E61-L62</f>
        <v>-918</v>
      </c>
      <c r="I62" s="80" t="s">
        <v>48</v>
      </c>
      <c r="J62" s="245">
        <f>E61/C61</f>
        <v>0.51749999999999996</v>
      </c>
      <c r="K62" s="80"/>
      <c r="L62" s="80">
        <f>C61*0.9</f>
        <v>2160</v>
      </c>
      <c r="M62" s="80"/>
      <c r="N62" s="80"/>
      <c r="O62" s="80" t="s">
        <v>49</v>
      </c>
      <c r="P62" s="80"/>
      <c r="Q62" s="65">
        <f>P48+P49+P51+P52+P53+J48+J49+L48+L49+J51+R51</f>
        <v>7478</v>
      </c>
      <c r="R62" s="65">
        <v>16856</v>
      </c>
      <c r="AA62" s="81"/>
      <c r="AB62" s="81"/>
      <c r="AC62" s="81"/>
      <c r="AD62" s="81"/>
      <c r="AE62" s="81"/>
      <c r="AF62" s="81"/>
    </row>
    <row r="63" spans="1:32" hidden="1"/>
    <row r="64" spans="1:32" s="18" customFormat="1" ht="12.75" hidden="1" customHeight="1">
      <c r="A64" s="16" t="s">
        <v>440</v>
      </c>
      <c r="B64" s="17" t="s">
        <v>448</v>
      </c>
      <c r="C64" s="56"/>
      <c r="D64" s="57"/>
      <c r="E64" s="58" t="s">
        <v>536</v>
      </c>
      <c r="F64" s="57"/>
      <c r="G64" s="59" t="s">
        <v>37</v>
      </c>
      <c r="H64" s="60">
        <f>H43+1</f>
        <v>14</v>
      </c>
      <c r="I64" s="57"/>
      <c r="J64" s="57"/>
      <c r="K64" s="57"/>
      <c r="L64" s="57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2"/>
      <c r="Z64" s="62"/>
      <c r="AA64" s="62"/>
      <c r="AB64" s="62"/>
      <c r="AC64" s="62"/>
      <c r="AD64" s="63"/>
      <c r="AE64" s="63"/>
      <c r="AF64" s="63"/>
    </row>
    <row r="65" spans="1:32" s="19" customFormat="1" ht="12.75" hidden="1" customHeight="1">
      <c r="A65" s="340" t="s">
        <v>0</v>
      </c>
      <c r="B65" s="336" t="s">
        <v>1</v>
      </c>
      <c r="C65" s="331" t="s">
        <v>25</v>
      </c>
      <c r="D65" s="332"/>
      <c r="E65" s="331" t="s">
        <v>21</v>
      </c>
      <c r="F65" s="332"/>
      <c r="G65" s="335" t="s">
        <v>24</v>
      </c>
      <c r="H65" s="335"/>
      <c r="I65" s="328" t="s">
        <v>33</v>
      </c>
      <c r="J65" s="329"/>
      <c r="K65" s="329"/>
      <c r="L65" s="329"/>
      <c r="M65" s="329"/>
      <c r="N65" s="330"/>
      <c r="O65" s="331" t="s">
        <v>22</v>
      </c>
      <c r="P65" s="332"/>
      <c r="Q65" s="335" t="s">
        <v>23</v>
      </c>
      <c r="R65" s="335"/>
      <c r="S65" s="336" t="s">
        <v>27</v>
      </c>
      <c r="T65" s="64"/>
      <c r="U65" s="64"/>
      <c r="V65" s="64"/>
      <c r="W65" s="64"/>
      <c r="X65" s="64"/>
      <c r="Y65" s="339"/>
      <c r="Z65" s="85"/>
      <c r="AA65" s="61"/>
      <c r="AB65" s="61"/>
      <c r="AC65" s="74"/>
      <c r="AD65" s="61"/>
      <c r="AE65" s="61"/>
      <c r="AF65" s="61"/>
    </row>
    <row r="66" spans="1:32" s="19" customFormat="1" ht="12.75" hidden="1" customHeight="1">
      <c r="A66" s="341"/>
      <c r="B66" s="337"/>
      <c r="C66" s="333"/>
      <c r="D66" s="334"/>
      <c r="E66" s="333"/>
      <c r="F66" s="334"/>
      <c r="G66" s="335"/>
      <c r="H66" s="335"/>
      <c r="I66" s="66" t="s">
        <v>28</v>
      </c>
      <c r="J66" s="67" t="s">
        <v>3</v>
      </c>
      <c r="K66" s="66" t="s">
        <v>29</v>
      </c>
      <c r="L66" s="67" t="s">
        <v>4</v>
      </c>
      <c r="M66" s="328" t="s">
        <v>30</v>
      </c>
      <c r="N66" s="330"/>
      <c r="O66" s="333"/>
      <c r="P66" s="334"/>
      <c r="Q66" s="335"/>
      <c r="R66" s="335"/>
      <c r="S66" s="337"/>
      <c r="T66" s="64"/>
      <c r="U66" s="64"/>
      <c r="V66" s="64"/>
      <c r="W66" s="64"/>
      <c r="X66" s="64"/>
      <c r="Y66" s="339"/>
      <c r="Z66" s="85"/>
      <c r="AA66" s="61"/>
      <c r="AB66" s="61"/>
      <c r="AC66" s="74"/>
      <c r="AD66" s="61"/>
      <c r="AE66" s="61"/>
      <c r="AF66" s="61"/>
    </row>
    <row r="67" spans="1:32" s="19" customFormat="1" ht="12.75" hidden="1" customHeight="1">
      <c r="A67" s="342"/>
      <c r="B67" s="338"/>
      <c r="C67" s="68" t="s">
        <v>5</v>
      </c>
      <c r="D67" s="68" t="s">
        <v>6</v>
      </c>
      <c r="E67" s="67" t="s">
        <v>5</v>
      </c>
      <c r="F67" s="68" t="s">
        <v>6</v>
      </c>
      <c r="G67" s="68" t="s">
        <v>5</v>
      </c>
      <c r="H67" s="68" t="s">
        <v>6</v>
      </c>
      <c r="I67" s="67" t="s">
        <v>5</v>
      </c>
      <c r="J67" s="68" t="s">
        <v>6</v>
      </c>
      <c r="K67" s="67" t="s">
        <v>5</v>
      </c>
      <c r="L67" s="68" t="s">
        <v>6</v>
      </c>
      <c r="M67" s="68"/>
      <c r="N67" s="68"/>
      <c r="O67" s="67" t="s">
        <v>5</v>
      </c>
      <c r="P67" s="68" t="s">
        <v>6</v>
      </c>
      <c r="Q67" s="68" t="s">
        <v>5</v>
      </c>
      <c r="R67" s="68" t="s">
        <v>6</v>
      </c>
      <c r="S67" s="338"/>
      <c r="T67" s="64"/>
      <c r="U67" s="64"/>
      <c r="V67" s="64"/>
      <c r="W67" s="64"/>
      <c r="X67" s="64"/>
      <c r="Y67" s="339"/>
      <c r="Z67" s="85"/>
      <c r="AA67" s="61" t="s">
        <v>43</v>
      </c>
      <c r="AB67" s="61" t="s">
        <v>45</v>
      </c>
      <c r="AC67" s="61" t="s">
        <v>46</v>
      </c>
      <c r="AD67" s="61" t="s">
        <v>42</v>
      </c>
      <c r="AE67" s="61" t="s">
        <v>41</v>
      </c>
      <c r="AF67" s="61" t="s">
        <v>44</v>
      </c>
    </row>
    <row r="68" spans="1:32" s="19" customFormat="1" ht="12.75" hidden="1" customHeight="1">
      <c r="A68" s="21" t="s">
        <v>7</v>
      </c>
      <c r="B68" s="1" t="s">
        <v>18</v>
      </c>
      <c r="C68" s="68">
        <v>0</v>
      </c>
      <c r="D68" s="68">
        <v>0</v>
      </c>
      <c r="E68" s="69">
        <f t="shared" ref="E68:E76" si="31">O68+Q68</f>
        <v>0</v>
      </c>
      <c r="F68" s="70">
        <f t="shared" ref="F68:F76" si="32">P68+R68</f>
        <v>0</v>
      </c>
      <c r="G68" s="68">
        <f t="shared" ref="G68:G77" si="33">E68-C68</f>
        <v>0</v>
      </c>
      <c r="H68" s="68">
        <f t="shared" ref="H68:H77" si="34">F68-D68</f>
        <v>0</v>
      </c>
      <c r="I68" s="70"/>
      <c r="J68" s="70"/>
      <c r="K68" s="70"/>
      <c r="L68" s="70"/>
      <c r="M68" s="70">
        <f t="shared" ref="M68:M81" si="35">I68+K68</f>
        <v>0</v>
      </c>
      <c r="N68" s="70">
        <f t="shared" ref="N68:N81" si="36">J68+L68</f>
        <v>0</v>
      </c>
      <c r="O68" s="71"/>
      <c r="P68" s="71"/>
      <c r="Q68" s="70"/>
      <c r="R68" s="70"/>
      <c r="S68" s="72"/>
      <c r="T68" s="252" t="e">
        <f>E68/C68</f>
        <v>#DIV/0!</v>
      </c>
      <c r="U68" s="73"/>
      <c r="V68" s="73"/>
      <c r="W68" s="73"/>
      <c r="X68" s="73"/>
      <c r="Y68" s="339"/>
      <c r="Z68" s="85"/>
      <c r="AA68" s="61">
        <f>H64</f>
        <v>14</v>
      </c>
      <c r="AB68" s="61" t="str">
        <f>E64</f>
        <v>CI1-T72-076 W</v>
      </c>
      <c r="AC68" s="74" t="s">
        <v>440</v>
      </c>
      <c r="AD68" s="61" t="str">
        <f t="shared" ref="AD68:AD81" si="37">A68</f>
        <v>KR</v>
      </c>
      <c r="AE68" s="61">
        <f t="shared" ref="AE68:AE81" si="38">C68</f>
        <v>0</v>
      </c>
      <c r="AF68" s="61">
        <f t="shared" ref="AF68:AF81" si="39">E68</f>
        <v>0</v>
      </c>
    </row>
    <row r="69" spans="1:32" s="19" customFormat="1" ht="12.75" hidden="1" customHeight="1">
      <c r="A69" s="23" t="s">
        <v>13</v>
      </c>
      <c r="B69" s="1" t="s">
        <v>18</v>
      </c>
      <c r="C69" s="68">
        <v>0</v>
      </c>
      <c r="D69" s="68">
        <v>0</v>
      </c>
      <c r="E69" s="69">
        <f t="shared" si="31"/>
        <v>0</v>
      </c>
      <c r="F69" s="70">
        <f t="shared" si="32"/>
        <v>0</v>
      </c>
      <c r="G69" s="68">
        <f t="shared" si="33"/>
        <v>0</v>
      </c>
      <c r="H69" s="68">
        <f t="shared" si="34"/>
        <v>0</v>
      </c>
      <c r="I69" s="75"/>
      <c r="J69" s="75"/>
      <c r="K69" s="70"/>
      <c r="L69" s="70"/>
      <c r="M69" s="70">
        <f t="shared" si="35"/>
        <v>0</v>
      </c>
      <c r="N69" s="70">
        <f t="shared" si="36"/>
        <v>0</v>
      </c>
      <c r="O69" s="75"/>
      <c r="P69" s="75"/>
      <c r="Q69" s="71"/>
      <c r="R69" s="71"/>
      <c r="S69" s="72"/>
      <c r="T69" s="252" t="e">
        <f t="shared" ref="T69:T79" si="40">E69/C69</f>
        <v>#DIV/0!</v>
      </c>
      <c r="U69" s="73"/>
      <c r="V69" s="73"/>
      <c r="W69" s="73"/>
      <c r="X69" s="73"/>
      <c r="Y69" s="65"/>
      <c r="Z69" s="65"/>
      <c r="AA69" s="61">
        <f>H64</f>
        <v>14</v>
      </c>
      <c r="AB69" s="61" t="str">
        <f>E64</f>
        <v>CI1-T72-076 W</v>
      </c>
      <c r="AC69" s="74" t="s">
        <v>440</v>
      </c>
      <c r="AD69" s="61" t="str">
        <f t="shared" si="37"/>
        <v>TAO</v>
      </c>
      <c r="AE69" s="61">
        <f t="shared" si="38"/>
        <v>0</v>
      </c>
      <c r="AF69" s="61">
        <f t="shared" si="39"/>
        <v>0</v>
      </c>
    </row>
    <row r="70" spans="1:32" s="19" customFormat="1" ht="12.75" hidden="1" customHeight="1">
      <c r="A70" s="23" t="s">
        <v>9</v>
      </c>
      <c r="B70" s="1">
        <f>B49+7</f>
        <v>43180</v>
      </c>
      <c r="C70" s="68">
        <v>550</v>
      </c>
      <c r="D70" s="68">
        <v>7425</v>
      </c>
      <c r="E70" s="69">
        <f t="shared" si="31"/>
        <v>430</v>
      </c>
      <c r="F70" s="70">
        <f t="shared" si="32"/>
        <v>4276</v>
      </c>
      <c r="G70" s="68">
        <f t="shared" si="33"/>
        <v>-120</v>
      </c>
      <c r="H70" s="68">
        <f t="shared" si="34"/>
        <v>-3149</v>
      </c>
      <c r="I70" s="75">
        <v>83</v>
      </c>
      <c r="J70" s="75">
        <v>1258</v>
      </c>
      <c r="K70" s="71"/>
      <c r="L70" s="71"/>
      <c r="M70" s="70">
        <f t="shared" si="35"/>
        <v>83</v>
      </c>
      <c r="N70" s="70">
        <f t="shared" si="36"/>
        <v>1258</v>
      </c>
      <c r="O70" s="75">
        <f>410+20</f>
        <v>430</v>
      </c>
      <c r="P70" s="75">
        <v>4276</v>
      </c>
      <c r="Q70" s="71"/>
      <c r="R70" s="71"/>
      <c r="S70" s="72"/>
      <c r="T70" s="252">
        <f t="shared" si="40"/>
        <v>0.78181818181818186</v>
      </c>
      <c r="U70" s="73"/>
      <c r="V70" s="73"/>
      <c r="W70" s="73"/>
      <c r="X70" s="73"/>
      <c r="Y70" s="65"/>
      <c r="Z70" s="65"/>
      <c r="AA70" s="61">
        <f>H64</f>
        <v>14</v>
      </c>
      <c r="AB70" s="61" t="str">
        <f>E64</f>
        <v>CI1-T72-076 W</v>
      </c>
      <c r="AC70" s="74" t="s">
        <v>440</v>
      </c>
      <c r="AD70" s="61" t="str">
        <f t="shared" si="37"/>
        <v>SHA</v>
      </c>
      <c r="AE70" s="61">
        <f t="shared" si="38"/>
        <v>550</v>
      </c>
      <c r="AF70" s="61">
        <f t="shared" si="39"/>
        <v>430</v>
      </c>
    </row>
    <row r="71" spans="1:32" s="19" customFormat="1" ht="12.75" hidden="1" customHeight="1">
      <c r="A71" s="23" t="s">
        <v>8</v>
      </c>
      <c r="B71" s="1">
        <f>B50+7</f>
        <v>43182</v>
      </c>
      <c r="C71" s="68">
        <v>300</v>
      </c>
      <c r="D71" s="68">
        <v>4050</v>
      </c>
      <c r="E71" s="69">
        <f t="shared" si="31"/>
        <v>90</v>
      </c>
      <c r="F71" s="70">
        <f t="shared" si="32"/>
        <v>1197</v>
      </c>
      <c r="G71" s="68">
        <f t="shared" si="33"/>
        <v>-210</v>
      </c>
      <c r="H71" s="68">
        <f t="shared" si="34"/>
        <v>-2853</v>
      </c>
      <c r="I71" s="71"/>
      <c r="J71" s="71"/>
      <c r="K71" s="71"/>
      <c r="L71" s="71"/>
      <c r="M71" s="70">
        <f t="shared" si="35"/>
        <v>0</v>
      </c>
      <c r="N71" s="70">
        <f t="shared" si="36"/>
        <v>0</v>
      </c>
      <c r="O71" s="71"/>
      <c r="P71" s="71"/>
      <c r="Q71" s="71">
        <v>90</v>
      </c>
      <c r="R71" s="71">
        <v>1197</v>
      </c>
      <c r="S71" s="72"/>
      <c r="T71" s="252">
        <f t="shared" si="40"/>
        <v>0.3</v>
      </c>
      <c r="U71" s="73"/>
      <c r="V71" s="73"/>
      <c r="W71" s="73"/>
      <c r="X71" s="73"/>
      <c r="Y71" s="65"/>
      <c r="Z71" s="65"/>
      <c r="AA71" s="61">
        <f>H64</f>
        <v>14</v>
      </c>
      <c r="AB71" s="61" t="str">
        <f>E64</f>
        <v>CI1-T72-076 W</v>
      </c>
      <c r="AC71" s="74" t="s">
        <v>440</v>
      </c>
      <c r="AD71" s="61" t="str">
        <f t="shared" si="37"/>
        <v>NGB</v>
      </c>
      <c r="AE71" s="61">
        <f t="shared" si="38"/>
        <v>300</v>
      </c>
      <c r="AF71" s="61">
        <f t="shared" si="39"/>
        <v>90</v>
      </c>
    </row>
    <row r="72" spans="1:32" s="19" customFormat="1" ht="12.75" hidden="1" customHeight="1">
      <c r="A72" s="23" t="s">
        <v>10</v>
      </c>
      <c r="B72" s="1" t="s">
        <v>67</v>
      </c>
      <c r="C72" s="68">
        <v>100</v>
      </c>
      <c r="D72" s="68">
        <v>1350</v>
      </c>
      <c r="E72" s="69">
        <f t="shared" si="31"/>
        <v>12</v>
      </c>
      <c r="F72" s="70">
        <f t="shared" si="32"/>
        <v>277</v>
      </c>
      <c r="G72" s="68">
        <f t="shared" si="33"/>
        <v>-88</v>
      </c>
      <c r="H72" s="68">
        <f t="shared" si="34"/>
        <v>-1073</v>
      </c>
      <c r="I72" s="75"/>
      <c r="J72" s="75"/>
      <c r="K72" s="70"/>
      <c r="L72" s="70"/>
      <c r="M72" s="70">
        <f t="shared" si="35"/>
        <v>0</v>
      </c>
      <c r="N72" s="70">
        <f t="shared" si="36"/>
        <v>0</v>
      </c>
      <c r="O72" s="75">
        <v>12</v>
      </c>
      <c r="P72" s="75">
        <v>277</v>
      </c>
      <c r="Q72" s="70"/>
      <c r="R72" s="70"/>
      <c r="S72" s="72"/>
      <c r="T72" s="252">
        <f t="shared" si="40"/>
        <v>0.12</v>
      </c>
      <c r="U72" s="73"/>
      <c r="V72" s="73"/>
      <c r="W72" s="73"/>
      <c r="X72" s="73"/>
      <c r="Y72" s="65"/>
      <c r="Z72" s="65"/>
      <c r="AA72" s="61">
        <f>H64</f>
        <v>14</v>
      </c>
      <c r="AB72" s="61" t="str">
        <f>E64</f>
        <v>CI1-T72-076 W</v>
      </c>
      <c r="AC72" s="74" t="s">
        <v>440</v>
      </c>
      <c r="AD72" s="61" t="str">
        <f t="shared" si="37"/>
        <v>WUH</v>
      </c>
      <c r="AE72" s="61">
        <f t="shared" si="38"/>
        <v>100</v>
      </c>
      <c r="AF72" s="61">
        <f t="shared" si="39"/>
        <v>12</v>
      </c>
    </row>
    <row r="73" spans="1:32" s="19" customFormat="1" ht="12.75" hidden="1" customHeight="1">
      <c r="A73" s="23" t="s">
        <v>11</v>
      </c>
      <c r="B73" s="1" t="s">
        <v>18</v>
      </c>
      <c r="C73" s="68">
        <v>50</v>
      </c>
      <c r="D73" s="68">
        <v>675</v>
      </c>
      <c r="E73" s="69">
        <f t="shared" si="31"/>
        <v>57</v>
      </c>
      <c r="F73" s="70">
        <f t="shared" si="32"/>
        <v>153</v>
      </c>
      <c r="G73" s="68">
        <f t="shared" si="33"/>
        <v>7</v>
      </c>
      <c r="H73" s="68">
        <f t="shared" si="34"/>
        <v>-522</v>
      </c>
      <c r="I73" s="70"/>
      <c r="J73" s="70"/>
      <c r="K73" s="70"/>
      <c r="L73" s="70"/>
      <c r="M73" s="70">
        <f t="shared" si="35"/>
        <v>0</v>
      </c>
      <c r="N73" s="70">
        <f t="shared" si="36"/>
        <v>0</v>
      </c>
      <c r="O73" s="75"/>
      <c r="P73" s="75"/>
      <c r="Q73" s="70">
        <v>57</v>
      </c>
      <c r="R73" s="70">
        <v>153</v>
      </c>
      <c r="S73" s="72"/>
      <c r="T73" s="252">
        <f t="shared" si="40"/>
        <v>1.1399999999999999</v>
      </c>
      <c r="U73" s="73"/>
      <c r="V73" s="73"/>
      <c r="W73" s="73"/>
      <c r="X73" s="73"/>
      <c r="Y73" s="65"/>
      <c r="Z73" s="65"/>
      <c r="AA73" s="61">
        <f>H64</f>
        <v>14</v>
      </c>
      <c r="AB73" s="61" t="str">
        <f>E64</f>
        <v>CI1-T72-076 W</v>
      </c>
      <c r="AC73" s="74" t="s">
        <v>440</v>
      </c>
      <c r="AD73" s="61" t="str">
        <f t="shared" si="37"/>
        <v>DLC</v>
      </c>
      <c r="AE73" s="61">
        <f t="shared" si="38"/>
        <v>50</v>
      </c>
      <c r="AF73" s="61">
        <f t="shared" si="39"/>
        <v>57</v>
      </c>
    </row>
    <row r="74" spans="1:32" s="19" customFormat="1" ht="12.75" hidden="1" customHeight="1">
      <c r="A74" s="23" t="s">
        <v>12</v>
      </c>
      <c r="B74" s="1" t="s">
        <v>18</v>
      </c>
      <c r="C74" s="68">
        <v>0</v>
      </c>
      <c r="D74" s="68">
        <v>0</v>
      </c>
      <c r="E74" s="69">
        <f t="shared" si="31"/>
        <v>12</v>
      </c>
      <c r="F74" s="70">
        <f t="shared" si="32"/>
        <v>277</v>
      </c>
      <c r="G74" s="68">
        <f t="shared" si="33"/>
        <v>12</v>
      </c>
      <c r="H74" s="68">
        <f t="shared" si="34"/>
        <v>277</v>
      </c>
      <c r="I74" s="70"/>
      <c r="J74" s="70"/>
      <c r="K74" s="70"/>
      <c r="L74" s="70"/>
      <c r="M74" s="70">
        <f t="shared" si="35"/>
        <v>0</v>
      </c>
      <c r="N74" s="70">
        <f t="shared" si="36"/>
        <v>0</v>
      </c>
      <c r="O74" s="75"/>
      <c r="P74" s="75"/>
      <c r="Q74" s="76">
        <v>12</v>
      </c>
      <c r="R74" s="71">
        <v>277</v>
      </c>
      <c r="S74" s="72"/>
      <c r="T74" s="252" t="e">
        <f t="shared" si="40"/>
        <v>#DIV/0!</v>
      </c>
      <c r="U74" s="73"/>
      <c r="V74" s="73"/>
      <c r="W74" s="73"/>
      <c r="X74" s="73"/>
      <c r="Y74" s="65"/>
      <c r="Z74" s="65"/>
      <c r="AA74" s="61">
        <f>H64</f>
        <v>14</v>
      </c>
      <c r="AB74" s="61" t="str">
        <f>E64</f>
        <v>CI1-T72-076 W</v>
      </c>
      <c r="AC74" s="74" t="s">
        <v>440</v>
      </c>
      <c r="AD74" s="61" t="str">
        <f t="shared" si="37"/>
        <v>TSN</v>
      </c>
      <c r="AE74" s="61">
        <f t="shared" si="38"/>
        <v>0</v>
      </c>
      <c r="AF74" s="61">
        <f t="shared" si="39"/>
        <v>12</v>
      </c>
    </row>
    <row r="75" spans="1:32" s="19" customFormat="1" ht="12.75" hidden="1" customHeight="1">
      <c r="A75" s="23" t="s">
        <v>14</v>
      </c>
      <c r="B75" s="1" t="s">
        <v>18</v>
      </c>
      <c r="C75" s="68">
        <v>50</v>
      </c>
      <c r="D75" s="68">
        <v>675</v>
      </c>
      <c r="E75" s="69">
        <f t="shared" si="31"/>
        <v>0</v>
      </c>
      <c r="F75" s="70">
        <f t="shared" si="32"/>
        <v>0</v>
      </c>
      <c r="G75" s="68">
        <f t="shared" si="33"/>
        <v>-50</v>
      </c>
      <c r="H75" s="68">
        <f t="shared" si="34"/>
        <v>-675</v>
      </c>
      <c r="I75" s="70"/>
      <c r="J75" s="70"/>
      <c r="K75" s="70"/>
      <c r="L75" s="70"/>
      <c r="M75" s="70">
        <f t="shared" si="35"/>
        <v>0</v>
      </c>
      <c r="N75" s="70">
        <f t="shared" si="36"/>
        <v>0</v>
      </c>
      <c r="O75" s="71"/>
      <c r="P75" s="71"/>
      <c r="Q75" s="70"/>
      <c r="R75" s="70"/>
      <c r="S75" s="72"/>
      <c r="T75" s="252">
        <f t="shared" si="40"/>
        <v>0</v>
      </c>
      <c r="U75" s="73"/>
      <c r="V75" s="73"/>
      <c r="W75" s="73"/>
      <c r="X75" s="73"/>
      <c r="Y75" s="65"/>
      <c r="Z75" s="65"/>
      <c r="AA75" s="61">
        <f>H64</f>
        <v>14</v>
      </c>
      <c r="AB75" s="61" t="str">
        <f>E64</f>
        <v>CI1-T72-076 W</v>
      </c>
      <c r="AC75" s="74" t="s">
        <v>440</v>
      </c>
      <c r="AD75" s="61" t="str">
        <f t="shared" si="37"/>
        <v>XMN</v>
      </c>
      <c r="AE75" s="61">
        <f t="shared" si="38"/>
        <v>50</v>
      </c>
      <c r="AF75" s="61">
        <f t="shared" si="39"/>
        <v>0</v>
      </c>
    </row>
    <row r="76" spans="1:32" s="19" customFormat="1" ht="12.75" hidden="1" customHeight="1">
      <c r="A76" s="23" t="s">
        <v>19</v>
      </c>
      <c r="B76" s="1" t="s">
        <v>18</v>
      </c>
      <c r="C76" s="68">
        <v>0</v>
      </c>
      <c r="D76" s="68">
        <v>0</v>
      </c>
      <c r="E76" s="69">
        <f t="shared" si="31"/>
        <v>0</v>
      </c>
      <c r="F76" s="70">
        <f t="shared" si="32"/>
        <v>0</v>
      </c>
      <c r="G76" s="68">
        <f t="shared" si="33"/>
        <v>0</v>
      </c>
      <c r="H76" s="68">
        <f t="shared" si="34"/>
        <v>0</v>
      </c>
      <c r="I76" s="70"/>
      <c r="J76" s="70"/>
      <c r="K76" s="70"/>
      <c r="L76" s="70"/>
      <c r="M76" s="70">
        <f t="shared" si="35"/>
        <v>0</v>
      </c>
      <c r="N76" s="70">
        <f t="shared" si="36"/>
        <v>0</v>
      </c>
      <c r="O76" s="70"/>
      <c r="P76" s="70"/>
      <c r="Q76" s="70"/>
      <c r="R76" s="70"/>
      <c r="S76" s="72"/>
      <c r="T76" s="252" t="e">
        <f t="shared" si="40"/>
        <v>#DIV/0!</v>
      </c>
      <c r="U76" s="73"/>
      <c r="V76" s="73"/>
      <c r="W76" s="73"/>
      <c r="X76" s="73"/>
      <c r="Y76" s="65"/>
      <c r="Z76" s="65"/>
      <c r="AA76" s="61">
        <f>H64</f>
        <v>14</v>
      </c>
      <c r="AB76" s="61" t="str">
        <f>E64</f>
        <v>CI1-T72-076 W</v>
      </c>
      <c r="AC76" s="74" t="s">
        <v>440</v>
      </c>
      <c r="AD76" s="61" t="str">
        <f t="shared" si="37"/>
        <v>TWC</v>
      </c>
      <c r="AE76" s="61">
        <f t="shared" si="38"/>
        <v>0</v>
      </c>
      <c r="AF76" s="61">
        <f t="shared" si="39"/>
        <v>0</v>
      </c>
    </row>
    <row r="77" spans="1:32" s="19" customFormat="1" ht="12.75" hidden="1" customHeight="1">
      <c r="A77" s="23" t="s">
        <v>16</v>
      </c>
      <c r="B77" s="1">
        <f>B56+7</f>
        <v>43185</v>
      </c>
      <c r="C77" s="68">
        <v>1000</v>
      </c>
      <c r="D77" s="68">
        <v>13500</v>
      </c>
      <c r="E77" s="69">
        <f t="shared" ref="E77" si="41">O77+Q77</f>
        <v>686</v>
      </c>
      <c r="F77" s="70">
        <f t="shared" ref="F77" si="42">P77+R77</f>
        <v>5324</v>
      </c>
      <c r="G77" s="68">
        <f t="shared" si="33"/>
        <v>-314</v>
      </c>
      <c r="H77" s="68">
        <f t="shared" si="34"/>
        <v>-8176</v>
      </c>
      <c r="I77" s="70"/>
      <c r="J77" s="70"/>
      <c r="K77" s="70"/>
      <c r="L77" s="70"/>
      <c r="M77" s="70">
        <f t="shared" si="35"/>
        <v>0</v>
      </c>
      <c r="N77" s="70">
        <f t="shared" si="36"/>
        <v>0</v>
      </c>
      <c r="O77" s="70"/>
      <c r="P77" s="70"/>
      <c r="Q77" s="70">
        <v>686</v>
      </c>
      <c r="R77" s="84">
        <v>5324</v>
      </c>
      <c r="S77" s="72"/>
      <c r="T77" s="252">
        <f t="shared" si="40"/>
        <v>0.68600000000000005</v>
      </c>
      <c r="U77" s="73"/>
      <c r="V77" s="73"/>
      <c r="W77" s="73"/>
      <c r="X77" s="73"/>
      <c r="Y77" s="65"/>
      <c r="Z77" s="65"/>
      <c r="AA77" s="61">
        <f>H64</f>
        <v>14</v>
      </c>
      <c r="AB77" s="61" t="str">
        <f>E64</f>
        <v>CI1-T72-076 W</v>
      </c>
      <c r="AC77" s="74" t="s">
        <v>440</v>
      </c>
      <c r="AD77" s="61" t="str">
        <f t="shared" si="37"/>
        <v>HUA</v>
      </c>
      <c r="AE77" s="61">
        <f t="shared" si="38"/>
        <v>1000</v>
      </c>
      <c r="AF77" s="61">
        <f t="shared" si="39"/>
        <v>686</v>
      </c>
    </row>
    <row r="78" spans="1:32" s="19" customFormat="1" ht="12.75" hidden="1" customHeight="1">
      <c r="A78" s="23" t="s">
        <v>68</v>
      </c>
      <c r="B78" s="1">
        <f>B57+7</f>
        <v>43186</v>
      </c>
      <c r="C78" s="68"/>
      <c r="D78" s="68"/>
      <c r="E78" s="69">
        <f t="shared" ref="E78:F81" si="43">O78+Q78</f>
        <v>0</v>
      </c>
      <c r="F78" s="70">
        <f t="shared" si="43"/>
        <v>0</v>
      </c>
      <c r="G78" s="68"/>
      <c r="H78" s="68"/>
      <c r="I78" s="70">
        <v>3</v>
      </c>
      <c r="J78" s="70">
        <v>23</v>
      </c>
      <c r="K78" s="70"/>
      <c r="L78" s="70"/>
      <c r="M78" s="70">
        <f t="shared" si="35"/>
        <v>3</v>
      </c>
      <c r="N78" s="70">
        <f t="shared" si="36"/>
        <v>23</v>
      </c>
      <c r="O78" s="70"/>
      <c r="P78" s="70"/>
      <c r="Q78" s="70"/>
      <c r="R78" s="70"/>
      <c r="S78" s="72"/>
      <c r="T78" s="252" t="e">
        <f t="shared" si="40"/>
        <v>#DIV/0!</v>
      </c>
      <c r="U78" s="73"/>
      <c r="V78" s="73"/>
      <c r="W78" s="73"/>
      <c r="X78" s="73"/>
      <c r="Y78" s="65"/>
      <c r="Z78" s="65"/>
      <c r="AA78" s="61">
        <f>H64</f>
        <v>14</v>
      </c>
      <c r="AB78" s="61" t="str">
        <f>E64</f>
        <v>CI1-T72-076 W</v>
      </c>
      <c r="AC78" s="74" t="s">
        <v>440</v>
      </c>
      <c r="AD78" s="61" t="str">
        <f t="shared" si="37"/>
        <v>GNS</v>
      </c>
      <c r="AE78" s="61">
        <f t="shared" si="38"/>
        <v>0</v>
      </c>
      <c r="AF78" s="61">
        <f t="shared" si="39"/>
        <v>0</v>
      </c>
    </row>
    <row r="79" spans="1:32" s="19" customFormat="1" ht="12.75" hidden="1" customHeight="1">
      <c r="A79" s="23" t="s">
        <v>3</v>
      </c>
      <c r="B79" s="1">
        <f>B58+7</f>
        <v>43191</v>
      </c>
      <c r="C79" s="68">
        <v>250</v>
      </c>
      <c r="D79" s="68">
        <v>3375</v>
      </c>
      <c r="E79" s="69">
        <f t="shared" si="43"/>
        <v>232</v>
      </c>
      <c r="F79" s="70">
        <f t="shared" si="43"/>
        <v>3239</v>
      </c>
      <c r="G79" s="68">
        <f t="shared" ref="G79:G82" si="44">E79-C79</f>
        <v>-18</v>
      </c>
      <c r="H79" s="68">
        <f t="shared" ref="H79:H82" si="45">F79-D79</f>
        <v>-136</v>
      </c>
      <c r="I79" s="70"/>
      <c r="J79" s="70"/>
      <c r="K79" s="70"/>
      <c r="L79" s="70"/>
      <c r="M79" s="70">
        <f t="shared" si="35"/>
        <v>0</v>
      </c>
      <c r="N79" s="70">
        <f t="shared" si="36"/>
        <v>0</v>
      </c>
      <c r="O79" s="68"/>
      <c r="P79" s="68"/>
      <c r="Q79" s="70">
        <v>232</v>
      </c>
      <c r="R79" s="70">
        <v>3239</v>
      </c>
      <c r="S79" s="72"/>
      <c r="T79" s="252">
        <f t="shared" si="40"/>
        <v>0.92800000000000005</v>
      </c>
      <c r="U79" s="73"/>
      <c r="V79" s="73"/>
      <c r="W79" s="73"/>
      <c r="X79" s="73"/>
      <c r="Y79" s="65"/>
      <c r="Z79" s="65"/>
      <c r="AA79" s="61">
        <f>H64</f>
        <v>14</v>
      </c>
      <c r="AB79" s="61" t="str">
        <f>E64</f>
        <v>CI1-T72-076 W</v>
      </c>
      <c r="AC79" s="74" t="s">
        <v>440</v>
      </c>
      <c r="AD79" s="61" t="str">
        <f t="shared" si="37"/>
        <v>SGP</v>
      </c>
      <c r="AE79" s="61">
        <f t="shared" si="38"/>
        <v>250</v>
      </c>
      <c r="AF79" s="61">
        <f t="shared" si="39"/>
        <v>232</v>
      </c>
    </row>
    <row r="80" spans="1:32" s="19" customFormat="1" ht="12.75" hidden="1" customHeight="1">
      <c r="A80" s="23" t="s">
        <v>431</v>
      </c>
      <c r="B80" s="20"/>
      <c r="C80" s="68">
        <v>50</v>
      </c>
      <c r="D80" s="68">
        <v>675</v>
      </c>
      <c r="E80" s="69">
        <f t="shared" si="43"/>
        <v>0</v>
      </c>
      <c r="F80" s="70">
        <f t="shared" si="43"/>
        <v>0</v>
      </c>
      <c r="G80" s="68">
        <f t="shared" si="44"/>
        <v>-50</v>
      </c>
      <c r="H80" s="68">
        <f t="shared" si="45"/>
        <v>-675</v>
      </c>
      <c r="I80" s="70"/>
      <c r="J80" s="70"/>
      <c r="K80" s="70"/>
      <c r="L80" s="70"/>
      <c r="M80" s="70">
        <f t="shared" si="35"/>
        <v>0</v>
      </c>
      <c r="N80" s="70">
        <f t="shared" si="36"/>
        <v>0</v>
      </c>
      <c r="O80" s="70"/>
      <c r="P80" s="70"/>
      <c r="Q80" s="70"/>
      <c r="R80" s="70"/>
      <c r="S80" s="72"/>
      <c r="T80" s="252">
        <f>E80/C80</f>
        <v>0</v>
      </c>
      <c r="U80" s="73"/>
      <c r="V80" s="73"/>
      <c r="W80" s="73"/>
      <c r="X80" s="73"/>
      <c r="Y80" s="65"/>
      <c r="Z80" s="65"/>
      <c r="AA80" s="61">
        <f>H64</f>
        <v>14</v>
      </c>
      <c r="AB80" s="61" t="str">
        <f>E64</f>
        <v>CI1-T72-076 W</v>
      </c>
      <c r="AC80" s="74" t="s">
        <v>440</v>
      </c>
      <c r="AD80" s="61" t="str">
        <f t="shared" si="37"/>
        <v>HQ</v>
      </c>
      <c r="AE80" s="61">
        <f t="shared" si="38"/>
        <v>50</v>
      </c>
      <c r="AF80" s="61">
        <f t="shared" si="39"/>
        <v>0</v>
      </c>
    </row>
    <row r="81" spans="1:32" s="19" customFormat="1" ht="12.75" hidden="1" customHeight="1">
      <c r="A81" s="23" t="s">
        <v>31</v>
      </c>
      <c r="B81" s="20"/>
      <c r="C81" s="68">
        <v>50</v>
      </c>
      <c r="D81" s="68">
        <v>675</v>
      </c>
      <c r="E81" s="69">
        <f t="shared" si="43"/>
        <v>18</v>
      </c>
      <c r="F81" s="70">
        <f t="shared" si="43"/>
        <v>264</v>
      </c>
      <c r="G81" s="68">
        <f t="shared" si="44"/>
        <v>-32</v>
      </c>
      <c r="H81" s="68">
        <f t="shared" si="45"/>
        <v>-411</v>
      </c>
      <c r="I81" s="70"/>
      <c r="J81" s="70"/>
      <c r="K81" s="70"/>
      <c r="L81" s="70"/>
      <c r="M81" s="70">
        <f t="shared" si="35"/>
        <v>0</v>
      </c>
      <c r="N81" s="70">
        <f t="shared" si="36"/>
        <v>0</v>
      </c>
      <c r="O81" s="71"/>
      <c r="P81" s="71"/>
      <c r="Q81" s="71">
        <v>18</v>
      </c>
      <c r="R81" s="71">
        <v>264</v>
      </c>
      <c r="S81" s="72"/>
      <c r="T81" s="73"/>
      <c r="U81" s="73"/>
      <c r="V81" s="73"/>
      <c r="W81" s="73"/>
      <c r="X81" s="73"/>
      <c r="Y81" s="65"/>
      <c r="Z81" s="65"/>
      <c r="AA81" s="61">
        <f>H64</f>
        <v>14</v>
      </c>
      <c r="AB81" s="61" t="str">
        <f>E64</f>
        <v>CI1-T72-076 W</v>
      </c>
      <c r="AC81" s="74" t="s">
        <v>440</v>
      </c>
      <c r="AD81" s="61" t="str">
        <f t="shared" si="37"/>
        <v>COSCO T/S</v>
      </c>
      <c r="AE81" s="61">
        <f t="shared" si="38"/>
        <v>50</v>
      </c>
      <c r="AF81" s="61">
        <f t="shared" si="39"/>
        <v>18</v>
      </c>
    </row>
    <row r="82" spans="1:32" s="19" customFormat="1" ht="12.75" hidden="1" customHeight="1">
      <c r="A82" s="21" t="s">
        <v>36</v>
      </c>
      <c r="B82" s="22"/>
      <c r="C82" s="71">
        <f>SUM(C68:C81)</f>
        <v>2400</v>
      </c>
      <c r="D82" s="71">
        <f>SUM(D68:D81)</f>
        <v>32400</v>
      </c>
      <c r="E82" s="78">
        <f>SUM(E68:E81)</f>
        <v>1537</v>
      </c>
      <c r="F82" s="76">
        <f>SUM(F68:F81)</f>
        <v>15007</v>
      </c>
      <c r="G82" s="71">
        <f t="shared" si="44"/>
        <v>-863</v>
      </c>
      <c r="H82" s="71">
        <f t="shared" si="45"/>
        <v>-17393</v>
      </c>
      <c r="I82" s="70">
        <f t="shared" ref="I82:L82" si="46">SUM(I68:I81)</f>
        <v>86</v>
      </c>
      <c r="J82" s="70">
        <f t="shared" si="46"/>
        <v>1281</v>
      </c>
      <c r="K82" s="70">
        <f t="shared" si="46"/>
        <v>0</v>
      </c>
      <c r="L82" s="70">
        <f t="shared" si="46"/>
        <v>0</v>
      </c>
      <c r="M82" s="70"/>
      <c r="N82" s="70"/>
      <c r="O82" s="70">
        <f t="shared" ref="O82:R82" si="47">SUM(O68:O81)</f>
        <v>442</v>
      </c>
      <c r="P82" s="70">
        <f t="shared" si="47"/>
        <v>4553</v>
      </c>
      <c r="Q82" s="70">
        <f t="shared" si="47"/>
        <v>1095</v>
      </c>
      <c r="R82" s="70">
        <f t="shared" si="47"/>
        <v>10454</v>
      </c>
      <c r="S82" s="72"/>
      <c r="T82" s="73"/>
      <c r="U82" s="73"/>
      <c r="V82" s="73"/>
      <c r="W82" s="73"/>
      <c r="X82" s="73"/>
      <c r="Y82" s="65"/>
      <c r="Z82" s="65"/>
      <c r="AA82" s="61"/>
      <c r="AB82" s="61"/>
      <c r="AC82" s="61"/>
      <c r="AD82" s="61"/>
      <c r="AE82" s="61"/>
      <c r="AF82" s="61"/>
    </row>
    <row r="83" spans="1:32" s="65" customFormat="1" ht="12.75" hidden="1" customHeight="1">
      <c r="A83" s="84">
        <f>D82/C82</f>
        <v>13.5</v>
      </c>
      <c r="C83" s="79">
        <f>F82-E83</f>
        <v>-14153</v>
      </c>
      <c r="E83" s="65">
        <f>D82*0.9</f>
        <v>29160</v>
      </c>
      <c r="F83" s="79">
        <f>E82-L83</f>
        <v>-623</v>
      </c>
      <c r="I83" s="80" t="s">
        <v>48</v>
      </c>
      <c r="J83" s="245">
        <f>E82/C82</f>
        <v>0.64041666666666663</v>
      </c>
      <c r="K83" s="80"/>
      <c r="L83" s="80">
        <f>C82*0.9</f>
        <v>2160</v>
      </c>
      <c r="M83" s="80"/>
      <c r="N83" s="80"/>
      <c r="O83" s="80" t="s">
        <v>49</v>
      </c>
      <c r="P83" s="80"/>
      <c r="Q83" s="65">
        <f>P69+P70+P72+P73+P74+J69+J70+L69+L70+J72+R72</f>
        <v>5811</v>
      </c>
      <c r="R83" s="65">
        <v>16856</v>
      </c>
      <c r="AA83" s="81"/>
      <c r="AB83" s="81"/>
      <c r="AC83" s="81"/>
      <c r="AD83" s="81"/>
      <c r="AE83" s="81"/>
      <c r="AF83" s="81"/>
    </row>
    <row r="84" spans="1:32" hidden="1"/>
    <row r="85" spans="1:32" s="63" customFormat="1" ht="12.75" customHeight="1">
      <c r="A85" s="59" t="s">
        <v>440</v>
      </c>
      <c r="B85" s="270" t="s">
        <v>524</v>
      </c>
      <c r="C85" s="56"/>
      <c r="D85" s="57"/>
      <c r="E85" s="58"/>
      <c r="F85" s="57"/>
      <c r="G85" s="59" t="s">
        <v>37</v>
      </c>
      <c r="H85" s="60">
        <f>H64+1</f>
        <v>15</v>
      </c>
      <c r="I85" s="251"/>
      <c r="J85" s="57"/>
      <c r="K85" s="57"/>
      <c r="L85" s="57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2"/>
      <c r="Z85" s="62"/>
      <c r="AA85" s="62"/>
      <c r="AB85" s="62"/>
      <c r="AC85" s="62"/>
    </row>
    <row r="86" spans="1:32" s="65" customFormat="1" ht="12.75" customHeight="1">
      <c r="A86" s="340" t="s">
        <v>0</v>
      </c>
      <c r="B86" s="336" t="s">
        <v>1</v>
      </c>
      <c r="C86" s="331" t="s">
        <v>25</v>
      </c>
      <c r="D86" s="332"/>
      <c r="E86" s="331" t="s">
        <v>21</v>
      </c>
      <c r="F86" s="332"/>
      <c r="G86" s="335" t="s">
        <v>24</v>
      </c>
      <c r="H86" s="335"/>
      <c r="I86" s="328" t="s">
        <v>33</v>
      </c>
      <c r="J86" s="329"/>
      <c r="K86" s="329"/>
      <c r="L86" s="329"/>
      <c r="M86" s="329"/>
      <c r="N86" s="330"/>
      <c r="O86" s="331" t="s">
        <v>22</v>
      </c>
      <c r="P86" s="332"/>
      <c r="Q86" s="335" t="s">
        <v>23</v>
      </c>
      <c r="R86" s="335"/>
      <c r="S86" s="336" t="s">
        <v>27</v>
      </c>
      <c r="T86" s="64"/>
      <c r="U86" s="64"/>
      <c r="V86" s="64"/>
      <c r="W86" s="64"/>
      <c r="X86" s="64"/>
      <c r="Y86" s="339"/>
      <c r="Z86" s="236"/>
      <c r="AA86" s="61"/>
      <c r="AB86" s="61"/>
      <c r="AC86" s="74"/>
      <c r="AD86" s="61"/>
      <c r="AE86" s="61"/>
      <c r="AF86" s="61"/>
    </row>
    <row r="87" spans="1:32" s="65" customFormat="1" ht="12.75" customHeight="1">
      <c r="A87" s="341"/>
      <c r="B87" s="337"/>
      <c r="C87" s="333"/>
      <c r="D87" s="334"/>
      <c r="E87" s="333"/>
      <c r="F87" s="334"/>
      <c r="G87" s="335"/>
      <c r="H87" s="335"/>
      <c r="I87" s="237" t="s">
        <v>28</v>
      </c>
      <c r="J87" s="238" t="s">
        <v>3</v>
      </c>
      <c r="K87" s="237" t="s">
        <v>29</v>
      </c>
      <c r="L87" s="238" t="s">
        <v>4</v>
      </c>
      <c r="M87" s="328" t="s">
        <v>30</v>
      </c>
      <c r="N87" s="330"/>
      <c r="O87" s="333"/>
      <c r="P87" s="334"/>
      <c r="Q87" s="335"/>
      <c r="R87" s="335"/>
      <c r="S87" s="337"/>
      <c r="T87" s="64"/>
      <c r="U87" s="64"/>
      <c r="V87" s="64"/>
      <c r="W87" s="64"/>
      <c r="X87" s="64"/>
      <c r="Y87" s="339"/>
      <c r="Z87" s="236"/>
      <c r="AA87" s="61"/>
      <c r="AB87" s="61"/>
      <c r="AC87" s="74"/>
      <c r="AD87" s="61"/>
      <c r="AE87" s="61"/>
      <c r="AF87" s="61"/>
    </row>
    <row r="88" spans="1:32" s="65" customFormat="1" ht="12.75" customHeight="1">
      <c r="A88" s="342"/>
      <c r="B88" s="338"/>
      <c r="C88" s="239" t="s">
        <v>5</v>
      </c>
      <c r="D88" s="239" t="s">
        <v>6</v>
      </c>
      <c r="E88" s="238" t="s">
        <v>5</v>
      </c>
      <c r="F88" s="239" t="s">
        <v>6</v>
      </c>
      <c r="G88" s="239" t="s">
        <v>5</v>
      </c>
      <c r="H88" s="239" t="s">
        <v>6</v>
      </c>
      <c r="I88" s="238" t="s">
        <v>5</v>
      </c>
      <c r="J88" s="239" t="s">
        <v>6</v>
      </c>
      <c r="K88" s="238" t="s">
        <v>5</v>
      </c>
      <c r="L88" s="239" t="s">
        <v>6</v>
      </c>
      <c r="M88" s="239"/>
      <c r="N88" s="239"/>
      <c r="O88" s="238" t="s">
        <v>5</v>
      </c>
      <c r="P88" s="239" t="s">
        <v>6</v>
      </c>
      <c r="Q88" s="239" t="s">
        <v>5</v>
      </c>
      <c r="R88" s="239" t="s">
        <v>6</v>
      </c>
      <c r="S88" s="338"/>
      <c r="T88" s="64"/>
      <c r="U88" s="64"/>
      <c r="V88" s="64"/>
      <c r="W88" s="64"/>
      <c r="X88" s="64"/>
      <c r="Y88" s="339"/>
      <c r="Z88" s="236"/>
      <c r="AA88" s="61" t="s">
        <v>43</v>
      </c>
      <c r="AB88" s="61" t="s">
        <v>45</v>
      </c>
      <c r="AC88" s="61" t="s">
        <v>46</v>
      </c>
      <c r="AD88" s="61" t="s">
        <v>42</v>
      </c>
      <c r="AE88" s="61" t="s">
        <v>41</v>
      </c>
      <c r="AF88" s="61" t="s">
        <v>44</v>
      </c>
    </row>
    <row r="89" spans="1:32" s="65" customFormat="1" ht="12.75" customHeight="1">
      <c r="A89" s="51" t="s">
        <v>7</v>
      </c>
      <c r="B89" s="1" t="s">
        <v>18</v>
      </c>
      <c r="C89" s="239">
        <v>0</v>
      </c>
      <c r="D89" s="239">
        <v>0</v>
      </c>
      <c r="E89" s="69">
        <f t="shared" ref="E89:E97" si="48">O89+Q89</f>
        <v>0</v>
      </c>
      <c r="F89" s="70">
        <f t="shared" ref="F89:F97" si="49">P89+R89</f>
        <v>0</v>
      </c>
      <c r="G89" s="239">
        <f t="shared" ref="G89:G98" si="50">E89-C89</f>
        <v>0</v>
      </c>
      <c r="H89" s="239">
        <f t="shared" ref="H89:H98" si="51">F89-D89</f>
        <v>0</v>
      </c>
      <c r="I89" s="70"/>
      <c r="J89" s="70"/>
      <c r="K89" s="70"/>
      <c r="L89" s="70"/>
      <c r="M89" s="70">
        <f t="shared" ref="M89:M102" si="52">I89+K89</f>
        <v>0</v>
      </c>
      <c r="N89" s="70">
        <f t="shared" ref="N89:N102" si="53">J89+L89</f>
        <v>0</v>
      </c>
      <c r="O89" s="71"/>
      <c r="P89" s="71"/>
      <c r="Q89" s="70"/>
      <c r="R89" s="70"/>
      <c r="S89" s="72"/>
      <c r="T89" s="252" t="e">
        <f>E89/C89</f>
        <v>#DIV/0!</v>
      </c>
      <c r="U89" s="73"/>
      <c r="V89" s="73"/>
      <c r="W89" s="73"/>
      <c r="X89" s="73"/>
      <c r="Y89" s="339"/>
      <c r="Z89" s="236"/>
      <c r="AA89" s="61">
        <f>H85</f>
        <v>15</v>
      </c>
      <c r="AB89" s="61">
        <f>E85</f>
        <v>0</v>
      </c>
      <c r="AC89" s="74" t="s">
        <v>440</v>
      </c>
      <c r="AD89" s="61" t="str">
        <f t="shared" ref="AD89:AD102" si="54">A89</f>
        <v>KR</v>
      </c>
      <c r="AE89" s="61">
        <f t="shared" ref="AE89:AE102" si="55">C89</f>
        <v>0</v>
      </c>
      <c r="AF89" s="61">
        <f t="shared" ref="AF89:AF102" si="56">E89</f>
        <v>0</v>
      </c>
    </row>
    <row r="90" spans="1:32" s="65" customFormat="1" ht="12.75" customHeight="1">
      <c r="A90" s="52" t="s">
        <v>13</v>
      </c>
      <c r="B90" s="1" t="s">
        <v>18</v>
      </c>
      <c r="C90" s="239">
        <v>0</v>
      </c>
      <c r="D90" s="239">
        <v>0</v>
      </c>
      <c r="E90" s="69">
        <f t="shared" si="48"/>
        <v>0</v>
      </c>
      <c r="F90" s="70">
        <f t="shared" si="49"/>
        <v>0</v>
      </c>
      <c r="G90" s="239">
        <f t="shared" si="50"/>
        <v>0</v>
      </c>
      <c r="H90" s="239">
        <f t="shared" si="51"/>
        <v>0</v>
      </c>
      <c r="I90" s="75"/>
      <c r="J90" s="75"/>
      <c r="K90" s="70"/>
      <c r="L90" s="70"/>
      <c r="M90" s="70">
        <f t="shared" si="52"/>
        <v>0</v>
      </c>
      <c r="N90" s="70">
        <f t="shared" si="53"/>
        <v>0</v>
      </c>
      <c r="O90" s="75"/>
      <c r="P90" s="75"/>
      <c r="Q90" s="71"/>
      <c r="R90" s="71"/>
      <c r="S90" s="72"/>
      <c r="T90" s="252" t="e">
        <f t="shared" ref="T90:T100" si="57">E90/C90</f>
        <v>#DIV/0!</v>
      </c>
      <c r="U90" s="73"/>
      <c r="V90" s="73"/>
      <c r="W90" s="73"/>
      <c r="X90" s="73"/>
      <c r="AA90" s="61">
        <f>H85</f>
        <v>15</v>
      </c>
      <c r="AB90" s="61">
        <f>E85</f>
        <v>0</v>
      </c>
      <c r="AC90" s="74" t="s">
        <v>440</v>
      </c>
      <c r="AD90" s="61" t="str">
        <f t="shared" si="54"/>
        <v>TAO</v>
      </c>
      <c r="AE90" s="61">
        <f t="shared" si="55"/>
        <v>0</v>
      </c>
      <c r="AF90" s="61">
        <f t="shared" si="56"/>
        <v>0</v>
      </c>
    </row>
    <row r="91" spans="1:32" s="65" customFormat="1" ht="12.75" customHeight="1">
      <c r="A91" s="52" t="s">
        <v>9</v>
      </c>
      <c r="B91" s="1">
        <f>B70+7</f>
        <v>43187</v>
      </c>
      <c r="C91" s="239">
        <v>550</v>
      </c>
      <c r="D91" s="239">
        <v>7425</v>
      </c>
      <c r="E91" s="69">
        <f t="shared" si="48"/>
        <v>0</v>
      </c>
      <c r="F91" s="70">
        <f t="shared" si="49"/>
        <v>0</v>
      </c>
      <c r="G91" s="239">
        <f t="shared" si="50"/>
        <v>-550</v>
      </c>
      <c r="H91" s="239">
        <f t="shared" si="51"/>
        <v>-7425</v>
      </c>
      <c r="I91" s="75"/>
      <c r="J91" s="75"/>
      <c r="K91" s="71"/>
      <c r="L91" s="71"/>
      <c r="M91" s="70">
        <f t="shared" si="52"/>
        <v>0</v>
      </c>
      <c r="N91" s="70">
        <f t="shared" si="53"/>
        <v>0</v>
      </c>
      <c r="O91" s="75"/>
      <c r="P91" s="75"/>
      <c r="Q91" s="71"/>
      <c r="R91" s="71"/>
      <c r="S91" s="72"/>
      <c r="T91" s="252">
        <f t="shared" si="57"/>
        <v>0</v>
      </c>
      <c r="U91" s="73"/>
      <c r="V91" s="73"/>
      <c r="W91" s="73"/>
      <c r="X91" s="73"/>
      <c r="AA91" s="61">
        <f>H85</f>
        <v>15</v>
      </c>
      <c r="AB91" s="61">
        <f>E85</f>
        <v>0</v>
      </c>
      <c r="AC91" s="74" t="s">
        <v>440</v>
      </c>
      <c r="AD91" s="61" t="str">
        <f t="shared" si="54"/>
        <v>SHA</v>
      </c>
      <c r="AE91" s="61">
        <f t="shared" si="55"/>
        <v>550</v>
      </c>
      <c r="AF91" s="61">
        <f t="shared" si="56"/>
        <v>0</v>
      </c>
    </row>
    <row r="92" spans="1:32" s="65" customFormat="1" ht="12.75" customHeight="1">
      <c r="A92" s="52" t="s">
        <v>8</v>
      </c>
      <c r="B92" s="1">
        <f>B71+7</f>
        <v>43189</v>
      </c>
      <c r="C92" s="239">
        <v>300</v>
      </c>
      <c r="D92" s="239">
        <v>4050</v>
      </c>
      <c r="E92" s="69">
        <f t="shared" si="48"/>
        <v>0</v>
      </c>
      <c r="F92" s="70">
        <f t="shared" si="49"/>
        <v>0</v>
      </c>
      <c r="G92" s="239">
        <f t="shared" si="50"/>
        <v>-300</v>
      </c>
      <c r="H92" s="239">
        <f t="shared" si="51"/>
        <v>-4050</v>
      </c>
      <c r="I92" s="71"/>
      <c r="J92" s="71"/>
      <c r="K92" s="71"/>
      <c r="L92" s="71"/>
      <c r="M92" s="70">
        <f t="shared" si="52"/>
        <v>0</v>
      </c>
      <c r="N92" s="70">
        <f t="shared" si="53"/>
        <v>0</v>
      </c>
      <c r="O92" s="71"/>
      <c r="P92" s="71"/>
      <c r="Q92" s="71"/>
      <c r="R92" s="71"/>
      <c r="S92" s="72"/>
      <c r="T92" s="252">
        <f t="shared" si="57"/>
        <v>0</v>
      </c>
      <c r="U92" s="73"/>
      <c r="V92" s="73"/>
      <c r="W92" s="73"/>
      <c r="X92" s="73"/>
      <c r="AA92" s="61">
        <f>H85</f>
        <v>15</v>
      </c>
      <c r="AB92" s="61">
        <f>E85</f>
        <v>0</v>
      </c>
      <c r="AC92" s="74" t="s">
        <v>440</v>
      </c>
      <c r="AD92" s="61" t="str">
        <f t="shared" si="54"/>
        <v>NGB</v>
      </c>
      <c r="AE92" s="61">
        <f t="shared" si="55"/>
        <v>300</v>
      </c>
      <c r="AF92" s="61">
        <f t="shared" si="56"/>
        <v>0</v>
      </c>
    </row>
    <row r="93" spans="1:32" s="65" customFormat="1" ht="12.75" customHeight="1">
      <c r="A93" s="52" t="s">
        <v>10</v>
      </c>
      <c r="B93" s="1" t="s">
        <v>67</v>
      </c>
      <c r="C93" s="239">
        <v>100</v>
      </c>
      <c r="D93" s="239">
        <v>1350</v>
      </c>
      <c r="E93" s="69">
        <f t="shared" si="48"/>
        <v>0</v>
      </c>
      <c r="F93" s="70">
        <f t="shared" si="49"/>
        <v>0</v>
      </c>
      <c r="G93" s="239">
        <f t="shared" si="50"/>
        <v>-100</v>
      </c>
      <c r="H93" s="239">
        <f t="shared" si="51"/>
        <v>-1350</v>
      </c>
      <c r="I93" s="75"/>
      <c r="J93" s="75"/>
      <c r="K93" s="70"/>
      <c r="L93" s="70"/>
      <c r="M93" s="70">
        <f t="shared" si="52"/>
        <v>0</v>
      </c>
      <c r="N93" s="70">
        <f t="shared" si="53"/>
        <v>0</v>
      </c>
      <c r="O93" s="75"/>
      <c r="P93" s="75"/>
      <c r="Q93" s="70"/>
      <c r="R93" s="70"/>
      <c r="S93" s="72"/>
      <c r="T93" s="252">
        <f t="shared" si="57"/>
        <v>0</v>
      </c>
      <c r="U93" s="73"/>
      <c r="V93" s="73"/>
      <c r="W93" s="73"/>
      <c r="X93" s="73"/>
      <c r="AA93" s="61">
        <f>H85</f>
        <v>15</v>
      </c>
      <c r="AB93" s="61">
        <f>E85</f>
        <v>0</v>
      </c>
      <c r="AC93" s="74" t="s">
        <v>440</v>
      </c>
      <c r="AD93" s="61" t="str">
        <f t="shared" si="54"/>
        <v>WUH</v>
      </c>
      <c r="AE93" s="61">
        <f t="shared" si="55"/>
        <v>100</v>
      </c>
      <c r="AF93" s="61">
        <f t="shared" si="56"/>
        <v>0</v>
      </c>
    </row>
    <row r="94" spans="1:32" s="65" customFormat="1" ht="12.75" customHeight="1">
      <c r="A94" s="52" t="s">
        <v>11</v>
      </c>
      <c r="B94" s="1" t="s">
        <v>18</v>
      </c>
      <c r="C94" s="239">
        <v>50</v>
      </c>
      <c r="D94" s="239">
        <v>675</v>
      </c>
      <c r="E94" s="69">
        <f t="shared" si="48"/>
        <v>0</v>
      </c>
      <c r="F94" s="70">
        <f t="shared" si="49"/>
        <v>0</v>
      </c>
      <c r="G94" s="239">
        <f t="shared" si="50"/>
        <v>-50</v>
      </c>
      <c r="H94" s="239">
        <f t="shared" si="51"/>
        <v>-675</v>
      </c>
      <c r="I94" s="70"/>
      <c r="J94" s="70"/>
      <c r="K94" s="70"/>
      <c r="L94" s="70"/>
      <c r="M94" s="70">
        <f t="shared" si="52"/>
        <v>0</v>
      </c>
      <c r="N94" s="70">
        <f t="shared" si="53"/>
        <v>0</v>
      </c>
      <c r="O94" s="75"/>
      <c r="P94" s="75"/>
      <c r="Q94" s="70"/>
      <c r="R94" s="70"/>
      <c r="S94" s="72"/>
      <c r="T94" s="252">
        <f t="shared" si="57"/>
        <v>0</v>
      </c>
      <c r="U94" s="73"/>
      <c r="V94" s="73"/>
      <c r="W94" s="73"/>
      <c r="X94" s="73"/>
      <c r="AA94" s="61">
        <f>H85</f>
        <v>15</v>
      </c>
      <c r="AB94" s="61">
        <f>E85</f>
        <v>0</v>
      </c>
      <c r="AC94" s="74" t="s">
        <v>440</v>
      </c>
      <c r="AD94" s="61" t="str">
        <f t="shared" si="54"/>
        <v>DLC</v>
      </c>
      <c r="AE94" s="61">
        <f t="shared" si="55"/>
        <v>50</v>
      </c>
      <c r="AF94" s="61">
        <f t="shared" si="56"/>
        <v>0</v>
      </c>
    </row>
    <row r="95" spans="1:32" s="65" customFormat="1" ht="12.75" customHeight="1">
      <c r="A95" s="52" t="s">
        <v>12</v>
      </c>
      <c r="B95" s="1" t="s">
        <v>18</v>
      </c>
      <c r="C95" s="239">
        <v>0</v>
      </c>
      <c r="D95" s="239">
        <v>0</v>
      </c>
      <c r="E95" s="69">
        <f t="shared" si="48"/>
        <v>0</v>
      </c>
      <c r="F95" s="70">
        <f t="shared" si="49"/>
        <v>0</v>
      </c>
      <c r="G95" s="239">
        <f t="shared" si="50"/>
        <v>0</v>
      </c>
      <c r="H95" s="239">
        <f t="shared" si="51"/>
        <v>0</v>
      </c>
      <c r="I95" s="70"/>
      <c r="J95" s="70"/>
      <c r="K95" s="70"/>
      <c r="L95" s="70"/>
      <c r="M95" s="70">
        <f t="shared" si="52"/>
        <v>0</v>
      </c>
      <c r="N95" s="70">
        <f t="shared" si="53"/>
        <v>0</v>
      </c>
      <c r="O95" s="75"/>
      <c r="P95" s="75"/>
      <c r="Q95" s="76"/>
      <c r="R95" s="71"/>
      <c r="S95" s="72"/>
      <c r="T95" s="252" t="e">
        <f t="shared" si="57"/>
        <v>#DIV/0!</v>
      </c>
      <c r="U95" s="73"/>
      <c r="V95" s="73"/>
      <c r="W95" s="73"/>
      <c r="X95" s="73"/>
      <c r="AA95" s="61">
        <f>H85</f>
        <v>15</v>
      </c>
      <c r="AB95" s="61">
        <f>E85</f>
        <v>0</v>
      </c>
      <c r="AC95" s="74" t="s">
        <v>440</v>
      </c>
      <c r="AD95" s="61" t="str">
        <f t="shared" si="54"/>
        <v>TSN</v>
      </c>
      <c r="AE95" s="61">
        <f t="shared" si="55"/>
        <v>0</v>
      </c>
      <c r="AF95" s="61">
        <f t="shared" si="56"/>
        <v>0</v>
      </c>
    </row>
    <row r="96" spans="1:32" s="65" customFormat="1" ht="12.75" customHeight="1">
      <c r="A96" s="52" t="s">
        <v>14</v>
      </c>
      <c r="B96" s="1" t="s">
        <v>18</v>
      </c>
      <c r="C96" s="239">
        <v>50</v>
      </c>
      <c r="D96" s="239">
        <v>675</v>
      </c>
      <c r="E96" s="69">
        <f t="shared" si="48"/>
        <v>0</v>
      </c>
      <c r="F96" s="70">
        <f t="shared" si="49"/>
        <v>0</v>
      </c>
      <c r="G96" s="239">
        <f t="shared" si="50"/>
        <v>-50</v>
      </c>
      <c r="H96" s="239">
        <f t="shared" si="51"/>
        <v>-675</v>
      </c>
      <c r="I96" s="70"/>
      <c r="J96" s="70"/>
      <c r="K96" s="70"/>
      <c r="L96" s="70"/>
      <c r="M96" s="70">
        <f t="shared" si="52"/>
        <v>0</v>
      </c>
      <c r="N96" s="70">
        <f t="shared" si="53"/>
        <v>0</v>
      </c>
      <c r="O96" s="71"/>
      <c r="P96" s="71"/>
      <c r="Q96" s="70"/>
      <c r="R96" s="70"/>
      <c r="S96" s="72"/>
      <c r="T96" s="252">
        <f t="shared" si="57"/>
        <v>0</v>
      </c>
      <c r="U96" s="73"/>
      <c r="V96" s="73"/>
      <c r="W96" s="73"/>
      <c r="X96" s="73"/>
      <c r="AA96" s="61">
        <f>H85</f>
        <v>15</v>
      </c>
      <c r="AB96" s="61">
        <f>E85</f>
        <v>0</v>
      </c>
      <c r="AC96" s="74" t="s">
        <v>440</v>
      </c>
      <c r="AD96" s="61" t="str">
        <f t="shared" si="54"/>
        <v>XMN</v>
      </c>
      <c r="AE96" s="61">
        <f t="shared" si="55"/>
        <v>50</v>
      </c>
      <c r="AF96" s="61">
        <f t="shared" si="56"/>
        <v>0</v>
      </c>
    </row>
    <row r="97" spans="1:32" s="65" customFormat="1" ht="12.75" customHeight="1">
      <c r="A97" s="52" t="s">
        <v>19</v>
      </c>
      <c r="B97" s="1" t="s">
        <v>18</v>
      </c>
      <c r="C97" s="239">
        <v>0</v>
      </c>
      <c r="D97" s="239">
        <v>0</v>
      </c>
      <c r="E97" s="69">
        <f t="shared" si="48"/>
        <v>0</v>
      </c>
      <c r="F97" s="70">
        <f t="shared" si="49"/>
        <v>0</v>
      </c>
      <c r="G97" s="239">
        <f t="shared" si="50"/>
        <v>0</v>
      </c>
      <c r="H97" s="239">
        <f t="shared" si="51"/>
        <v>0</v>
      </c>
      <c r="I97" s="70"/>
      <c r="J97" s="70"/>
      <c r="K97" s="70"/>
      <c r="L97" s="70"/>
      <c r="M97" s="70">
        <f t="shared" si="52"/>
        <v>0</v>
      </c>
      <c r="N97" s="70">
        <f t="shared" si="53"/>
        <v>0</v>
      </c>
      <c r="O97" s="70"/>
      <c r="P97" s="70"/>
      <c r="Q97" s="70"/>
      <c r="R97" s="70"/>
      <c r="S97" s="72"/>
      <c r="T97" s="252" t="e">
        <f t="shared" si="57"/>
        <v>#DIV/0!</v>
      </c>
      <c r="U97" s="73"/>
      <c r="V97" s="73"/>
      <c r="W97" s="73"/>
      <c r="X97" s="73"/>
      <c r="AA97" s="61">
        <f>H85</f>
        <v>15</v>
      </c>
      <c r="AB97" s="61">
        <f>E85</f>
        <v>0</v>
      </c>
      <c r="AC97" s="74" t="s">
        <v>440</v>
      </c>
      <c r="AD97" s="61" t="str">
        <f t="shared" si="54"/>
        <v>TWC</v>
      </c>
      <c r="AE97" s="61">
        <f t="shared" si="55"/>
        <v>0</v>
      </c>
      <c r="AF97" s="61">
        <f t="shared" si="56"/>
        <v>0</v>
      </c>
    </row>
    <row r="98" spans="1:32" s="65" customFormat="1" ht="12.75" customHeight="1">
      <c r="A98" s="52" t="s">
        <v>16</v>
      </c>
      <c r="B98" s="1">
        <f>B77+7</f>
        <v>43192</v>
      </c>
      <c r="C98" s="239">
        <v>1000</v>
      </c>
      <c r="D98" s="239">
        <v>13500</v>
      </c>
      <c r="E98" s="69">
        <f>O98+Q98</f>
        <v>0</v>
      </c>
      <c r="F98" s="70">
        <f>P98+R97</f>
        <v>0</v>
      </c>
      <c r="G98" s="239">
        <f t="shared" si="50"/>
        <v>-1000</v>
      </c>
      <c r="H98" s="239">
        <f t="shared" si="51"/>
        <v>-13500</v>
      </c>
      <c r="I98" s="70"/>
      <c r="J98" s="70"/>
      <c r="K98" s="70"/>
      <c r="L98" s="70"/>
      <c r="M98" s="70">
        <f t="shared" si="52"/>
        <v>0</v>
      </c>
      <c r="N98" s="70">
        <f t="shared" si="53"/>
        <v>0</v>
      </c>
      <c r="O98" s="70"/>
      <c r="P98" s="70"/>
      <c r="Q98" s="70"/>
      <c r="R98" s="84"/>
      <c r="S98" s="72"/>
      <c r="T98" s="252">
        <f t="shared" si="57"/>
        <v>0</v>
      </c>
      <c r="U98" s="73"/>
      <c r="V98" s="73"/>
      <c r="W98" s="73"/>
      <c r="X98" s="73"/>
      <c r="AA98" s="61">
        <f>H85</f>
        <v>15</v>
      </c>
      <c r="AB98" s="61">
        <f>E85</f>
        <v>0</v>
      </c>
      <c r="AC98" s="74" t="s">
        <v>440</v>
      </c>
      <c r="AD98" s="61" t="str">
        <f t="shared" si="54"/>
        <v>HUA</v>
      </c>
      <c r="AE98" s="61">
        <f t="shared" si="55"/>
        <v>1000</v>
      </c>
      <c r="AF98" s="61">
        <f t="shared" si="56"/>
        <v>0</v>
      </c>
    </row>
    <row r="99" spans="1:32" s="65" customFormat="1" ht="12.75" customHeight="1">
      <c r="A99" s="52" t="s">
        <v>68</v>
      </c>
      <c r="B99" s="1">
        <f>B78+7</f>
        <v>43193</v>
      </c>
      <c r="C99" s="239"/>
      <c r="D99" s="239"/>
      <c r="E99" s="69">
        <f>O99+Q99</f>
        <v>0</v>
      </c>
      <c r="F99" s="70">
        <f>P99+R99</f>
        <v>0</v>
      </c>
      <c r="G99" s="239"/>
      <c r="H99" s="239"/>
      <c r="I99" s="70"/>
      <c r="J99" s="70"/>
      <c r="K99" s="70"/>
      <c r="L99" s="70"/>
      <c r="M99" s="70">
        <f t="shared" si="52"/>
        <v>0</v>
      </c>
      <c r="N99" s="70">
        <f t="shared" si="53"/>
        <v>0</v>
      </c>
      <c r="O99" s="70"/>
      <c r="P99" s="70"/>
      <c r="Q99" s="70"/>
      <c r="R99" s="70"/>
      <c r="S99" s="72"/>
      <c r="T99" s="252" t="e">
        <f t="shared" si="57"/>
        <v>#DIV/0!</v>
      </c>
      <c r="U99" s="73"/>
      <c r="V99" s="73"/>
      <c r="W99" s="73"/>
      <c r="X99" s="73"/>
      <c r="AA99" s="61">
        <f>H85</f>
        <v>15</v>
      </c>
      <c r="AB99" s="61">
        <f>E85</f>
        <v>0</v>
      </c>
      <c r="AC99" s="74" t="s">
        <v>440</v>
      </c>
      <c r="AD99" s="61" t="str">
        <f t="shared" si="54"/>
        <v>GNS</v>
      </c>
      <c r="AE99" s="61">
        <f t="shared" si="55"/>
        <v>0</v>
      </c>
      <c r="AF99" s="61">
        <f t="shared" si="56"/>
        <v>0</v>
      </c>
    </row>
    <row r="100" spans="1:32" s="65" customFormat="1" ht="12.75" customHeight="1">
      <c r="A100" s="52" t="s">
        <v>3</v>
      </c>
      <c r="B100" s="1">
        <f>B79+7</f>
        <v>43198</v>
      </c>
      <c r="C100" s="239">
        <v>250</v>
      </c>
      <c r="D100" s="239">
        <v>3375</v>
      </c>
      <c r="E100" s="69">
        <f>O100+Q100</f>
        <v>0</v>
      </c>
      <c r="F100" s="70">
        <f>P100+R100</f>
        <v>0</v>
      </c>
      <c r="G100" s="239">
        <f t="shared" ref="G100:G103" si="58">E100-C100</f>
        <v>-250</v>
      </c>
      <c r="H100" s="239">
        <f t="shared" ref="H100:H103" si="59">F100-D100</f>
        <v>-3375</v>
      </c>
      <c r="I100" s="70"/>
      <c r="J100" s="70"/>
      <c r="K100" s="70"/>
      <c r="L100" s="70"/>
      <c r="M100" s="70">
        <f t="shared" si="52"/>
        <v>0</v>
      </c>
      <c r="N100" s="70">
        <f t="shared" si="53"/>
        <v>0</v>
      </c>
      <c r="O100" s="239"/>
      <c r="P100" s="239"/>
      <c r="Q100" s="70"/>
      <c r="R100" s="70"/>
      <c r="S100" s="72"/>
      <c r="T100" s="252">
        <f t="shared" si="57"/>
        <v>0</v>
      </c>
      <c r="U100" s="73"/>
      <c r="V100" s="73"/>
      <c r="W100" s="73"/>
      <c r="X100" s="73"/>
      <c r="AA100" s="61">
        <f>H85</f>
        <v>15</v>
      </c>
      <c r="AB100" s="61">
        <f>E85</f>
        <v>0</v>
      </c>
      <c r="AC100" s="74" t="s">
        <v>440</v>
      </c>
      <c r="AD100" s="61" t="str">
        <f t="shared" si="54"/>
        <v>SGP</v>
      </c>
      <c r="AE100" s="61">
        <f t="shared" si="55"/>
        <v>250</v>
      </c>
      <c r="AF100" s="61">
        <f t="shared" si="56"/>
        <v>0</v>
      </c>
    </row>
    <row r="101" spans="1:32" s="65" customFormat="1" ht="12.75" customHeight="1">
      <c r="A101" s="52" t="s">
        <v>431</v>
      </c>
      <c r="B101" s="239"/>
      <c r="C101" s="239">
        <v>50</v>
      </c>
      <c r="D101" s="239">
        <v>675</v>
      </c>
      <c r="E101" s="69">
        <f>O101+Q101</f>
        <v>0</v>
      </c>
      <c r="F101" s="70">
        <f>P101+R101</f>
        <v>0</v>
      </c>
      <c r="G101" s="239">
        <f t="shared" si="58"/>
        <v>-50</v>
      </c>
      <c r="H101" s="239">
        <f t="shared" si="59"/>
        <v>-675</v>
      </c>
      <c r="I101" s="70"/>
      <c r="J101" s="70"/>
      <c r="K101" s="70"/>
      <c r="L101" s="70"/>
      <c r="M101" s="70">
        <f t="shared" si="52"/>
        <v>0</v>
      </c>
      <c r="N101" s="70">
        <f t="shared" si="53"/>
        <v>0</v>
      </c>
      <c r="O101" s="70"/>
      <c r="P101" s="70"/>
      <c r="Q101" s="70"/>
      <c r="R101" s="70"/>
      <c r="S101" s="72"/>
      <c r="T101" s="252">
        <f>E101/C101</f>
        <v>0</v>
      </c>
      <c r="U101" s="73"/>
      <c r="V101" s="73"/>
      <c r="W101" s="73"/>
      <c r="X101" s="73"/>
      <c r="AA101" s="61">
        <f>H85</f>
        <v>15</v>
      </c>
      <c r="AB101" s="61">
        <f>E85</f>
        <v>0</v>
      </c>
      <c r="AC101" s="74" t="s">
        <v>440</v>
      </c>
      <c r="AD101" s="61" t="str">
        <f t="shared" si="54"/>
        <v>HQ</v>
      </c>
      <c r="AE101" s="61">
        <f t="shared" si="55"/>
        <v>50</v>
      </c>
      <c r="AF101" s="61">
        <f t="shared" si="56"/>
        <v>0</v>
      </c>
    </row>
    <row r="102" spans="1:32" s="65" customFormat="1" ht="12.75" customHeight="1">
      <c r="A102" s="52" t="s">
        <v>31</v>
      </c>
      <c r="B102" s="239"/>
      <c r="C102" s="239">
        <v>50</v>
      </c>
      <c r="D102" s="239">
        <v>675</v>
      </c>
      <c r="E102" s="69">
        <f>O102+Q102</f>
        <v>0</v>
      </c>
      <c r="F102" s="70">
        <f>P102+R102</f>
        <v>0</v>
      </c>
      <c r="G102" s="239">
        <f t="shared" si="58"/>
        <v>-50</v>
      </c>
      <c r="H102" s="239">
        <f t="shared" si="59"/>
        <v>-675</v>
      </c>
      <c r="I102" s="70"/>
      <c r="J102" s="70"/>
      <c r="K102" s="70"/>
      <c r="L102" s="70"/>
      <c r="M102" s="70">
        <f t="shared" si="52"/>
        <v>0</v>
      </c>
      <c r="N102" s="70">
        <f t="shared" si="53"/>
        <v>0</v>
      </c>
      <c r="O102" s="71"/>
      <c r="P102" s="71"/>
      <c r="Q102" s="71"/>
      <c r="R102" s="71"/>
      <c r="S102" s="72"/>
      <c r="T102" s="73"/>
      <c r="U102" s="73"/>
      <c r="V102" s="73"/>
      <c r="W102" s="73"/>
      <c r="X102" s="73"/>
      <c r="AA102" s="61">
        <f>H85</f>
        <v>15</v>
      </c>
      <c r="AB102" s="61">
        <f>E85</f>
        <v>0</v>
      </c>
      <c r="AC102" s="74" t="s">
        <v>440</v>
      </c>
      <c r="AD102" s="61" t="str">
        <f t="shared" si="54"/>
        <v>COSCO T/S</v>
      </c>
      <c r="AE102" s="61">
        <f t="shared" si="55"/>
        <v>50</v>
      </c>
      <c r="AF102" s="61">
        <f t="shared" si="56"/>
        <v>0</v>
      </c>
    </row>
    <row r="103" spans="1:32" s="65" customFormat="1" ht="12.75" customHeight="1">
      <c r="A103" s="51" t="s">
        <v>36</v>
      </c>
      <c r="B103" s="72"/>
      <c r="C103" s="71">
        <f>SUM(C89:C102)</f>
        <v>2400</v>
      </c>
      <c r="D103" s="71">
        <f>SUM(D89:D102)</f>
        <v>32400</v>
      </c>
      <c r="E103" s="78">
        <f>SUM(E89:E102)</f>
        <v>0</v>
      </c>
      <c r="F103" s="76">
        <f>SUM(F89:F102)</f>
        <v>0</v>
      </c>
      <c r="G103" s="71">
        <f t="shared" si="58"/>
        <v>-2400</v>
      </c>
      <c r="H103" s="71">
        <f t="shared" si="59"/>
        <v>-32400</v>
      </c>
      <c r="I103" s="70">
        <f t="shared" ref="I103:L103" si="60">SUM(I89:I102)</f>
        <v>0</v>
      </c>
      <c r="J103" s="70">
        <f t="shared" si="60"/>
        <v>0</v>
      </c>
      <c r="K103" s="70">
        <f t="shared" si="60"/>
        <v>0</v>
      </c>
      <c r="L103" s="70">
        <f t="shared" si="60"/>
        <v>0</v>
      </c>
      <c r="M103" s="70"/>
      <c r="N103" s="70"/>
      <c r="O103" s="70">
        <f t="shared" ref="O103:R103" si="61">SUM(O89:O102)</f>
        <v>0</v>
      </c>
      <c r="P103" s="70">
        <f t="shared" si="61"/>
        <v>0</v>
      </c>
      <c r="Q103" s="70">
        <f t="shared" si="61"/>
        <v>0</v>
      </c>
      <c r="R103" s="70">
        <f t="shared" si="61"/>
        <v>0</v>
      </c>
      <c r="S103" s="72"/>
      <c r="T103" s="73"/>
      <c r="U103" s="73"/>
      <c r="V103" s="73"/>
      <c r="W103" s="73"/>
      <c r="X103" s="73"/>
      <c r="AA103" s="61"/>
      <c r="AB103" s="61"/>
      <c r="AC103" s="61"/>
      <c r="AD103" s="61"/>
      <c r="AE103" s="61"/>
      <c r="AF103" s="61"/>
    </row>
    <row r="104" spans="1:32" s="65" customFormat="1" ht="12.75" customHeight="1">
      <c r="A104" s="84">
        <f>D103/C103</f>
        <v>13.5</v>
      </c>
      <c r="C104" s="235">
        <f>F103-E104</f>
        <v>-29160</v>
      </c>
      <c r="E104" s="65">
        <f>D103*0.9</f>
        <v>29160</v>
      </c>
      <c r="F104" s="235">
        <f>E103-L104</f>
        <v>-2160</v>
      </c>
      <c r="I104" s="80" t="s">
        <v>48</v>
      </c>
      <c r="J104" s="245">
        <f>E103/C103</f>
        <v>0</v>
      </c>
      <c r="K104" s="80"/>
      <c r="L104" s="80">
        <f>C103*0.9</f>
        <v>2160</v>
      </c>
      <c r="M104" s="80"/>
      <c r="N104" s="80"/>
      <c r="O104" s="80" t="s">
        <v>49</v>
      </c>
      <c r="P104" s="80"/>
      <c r="Q104" s="65">
        <f>P90+P91+P93+P94+P95+J90+J91+L90+L91+J93+R93</f>
        <v>0</v>
      </c>
      <c r="R104" s="65">
        <v>16856</v>
      </c>
      <c r="AA104" s="81"/>
      <c r="AB104" s="81"/>
      <c r="AC104" s="81"/>
      <c r="AD104" s="81"/>
      <c r="AE104" s="81"/>
      <c r="AF104" s="81"/>
    </row>
    <row r="106" spans="1:32" s="63" customFormat="1" ht="12.75" customHeight="1">
      <c r="A106" s="59" t="s">
        <v>440</v>
      </c>
      <c r="B106" s="58" t="s">
        <v>545</v>
      </c>
      <c r="C106" s="56"/>
      <c r="D106" s="57"/>
      <c r="E106" s="58" t="s">
        <v>595</v>
      </c>
      <c r="F106" s="57"/>
      <c r="G106" s="59" t="s">
        <v>37</v>
      </c>
      <c r="H106" s="60">
        <f>H85+1</f>
        <v>16</v>
      </c>
      <c r="I106" s="251"/>
      <c r="J106" s="57"/>
      <c r="K106" s="57"/>
      <c r="L106" s="57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2"/>
      <c r="Z106" s="62"/>
      <c r="AA106" s="62"/>
      <c r="AB106" s="62"/>
      <c r="AC106" s="62"/>
    </row>
    <row r="107" spans="1:32" s="65" customFormat="1" ht="12.75" customHeight="1">
      <c r="A107" s="340" t="s">
        <v>0</v>
      </c>
      <c r="B107" s="336" t="s">
        <v>1</v>
      </c>
      <c r="C107" s="331" t="s">
        <v>25</v>
      </c>
      <c r="D107" s="332"/>
      <c r="E107" s="331" t="s">
        <v>21</v>
      </c>
      <c r="F107" s="332"/>
      <c r="G107" s="335" t="s">
        <v>24</v>
      </c>
      <c r="H107" s="335"/>
      <c r="I107" s="328" t="s">
        <v>33</v>
      </c>
      <c r="J107" s="329"/>
      <c r="K107" s="329"/>
      <c r="L107" s="329"/>
      <c r="M107" s="329"/>
      <c r="N107" s="330"/>
      <c r="O107" s="331" t="s">
        <v>22</v>
      </c>
      <c r="P107" s="332"/>
      <c r="Q107" s="335" t="s">
        <v>23</v>
      </c>
      <c r="R107" s="335"/>
      <c r="S107" s="336" t="s">
        <v>27</v>
      </c>
      <c r="T107" s="64"/>
      <c r="U107" s="64"/>
      <c r="V107" s="64"/>
      <c r="W107" s="64"/>
      <c r="X107" s="64"/>
      <c r="Y107" s="339"/>
      <c r="Z107" s="282"/>
      <c r="AA107" s="61"/>
      <c r="AB107" s="61"/>
      <c r="AC107" s="74"/>
      <c r="AD107" s="61"/>
      <c r="AE107" s="61"/>
      <c r="AF107" s="61"/>
    </row>
    <row r="108" spans="1:32" s="65" customFormat="1" ht="12.75" customHeight="1">
      <c r="A108" s="341"/>
      <c r="B108" s="337"/>
      <c r="C108" s="333"/>
      <c r="D108" s="334"/>
      <c r="E108" s="333"/>
      <c r="F108" s="334"/>
      <c r="G108" s="335"/>
      <c r="H108" s="335"/>
      <c r="I108" s="283" t="s">
        <v>28</v>
      </c>
      <c r="J108" s="284" t="s">
        <v>3</v>
      </c>
      <c r="K108" s="283" t="s">
        <v>29</v>
      </c>
      <c r="L108" s="284" t="s">
        <v>4</v>
      </c>
      <c r="M108" s="328" t="s">
        <v>30</v>
      </c>
      <c r="N108" s="330"/>
      <c r="O108" s="333"/>
      <c r="P108" s="334"/>
      <c r="Q108" s="335"/>
      <c r="R108" s="335"/>
      <c r="S108" s="337"/>
      <c r="T108" s="64"/>
      <c r="U108" s="64"/>
      <c r="V108" s="64"/>
      <c r="W108" s="64"/>
      <c r="X108" s="64"/>
      <c r="Y108" s="339"/>
      <c r="Z108" s="282"/>
      <c r="AA108" s="61"/>
      <c r="AB108" s="61"/>
      <c r="AC108" s="74"/>
      <c r="AD108" s="61"/>
      <c r="AE108" s="61"/>
      <c r="AF108" s="61"/>
    </row>
    <row r="109" spans="1:32" s="65" customFormat="1" ht="12.75" customHeight="1">
      <c r="A109" s="342"/>
      <c r="B109" s="338"/>
      <c r="C109" s="285" t="s">
        <v>5</v>
      </c>
      <c r="D109" s="285" t="s">
        <v>6</v>
      </c>
      <c r="E109" s="284" t="s">
        <v>5</v>
      </c>
      <c r="F109" s="285" t="s">
        <v>6</v>
      </c>
      <c r="G109" s="285" t="s">
        <v>5</v>
      </c>
      <c r="H109" s="285" t="s">
        <v>6</v>
      </c>
      <c r="I109" s="284" t="s">
        <v>5</v>
      </c>
      <c r="J109" s="285" t="s">
        <v>6</v>
      </c>
      <c r="K109" s="284" t="s">
        <v>5</v>
      </c>
      <c r="L109" s="285" t="s">
        <v>6</v>
      </c>
      <c r="M109" s="285"/>
      <c r="N109" s="285"/>
      <c r="O109" s="284" t="s">
        <v>5</v>
      </c>
      <c r="P109" s="285" t="s">
        <v>6</v>
      </c>
      <c r="Q109" s="285" t="s">
        <v>5</v>
      </c>
      <c r="R109" s="285" t="s">
        <v>6</v>
      </c>
      <c r="S109" s="338"/>
      <c r="T109" s="64"/>
      <c r="U109" s="64"/>
      <c r="V109" s="64"/>
      <c r="W109" s="64"/>
      <c r="X109" s="64"/>
      <c r="Y109" s="339"/>
      <c r="Z109" s="282"/>
      <c r="AA109" s="61" t="s">
        <v>43</v>
      </c>
      <c r="AB109" s="61" t="s">
        <v>45</v>
      </c>
      <c r="AC109" s="61" t="s">
        <v>46</v>
      </c>
      <c r="AD109" s="61" t="s">
        <v>42</v>
      </c>
      <c r="AE109" s="61" t="s">
        <v>41</v>
      </c>
      <c r="AF109" s="61" t="s">
        <v>44</v>
      </c>
    </row>
    <row r="110" spans="1:32" s="65" customFormat="1" ht="12.75" customHeight="1">
      <c r="A110" s="51" t="s">
        <v>7</v>
      </c>
      <c r="B110" s="1" t="s">
        <v>18</v>
      </c>
      <c r="C110" s="285">
        <v>0</v>
      </c>
      <c r="D110" s="285">
        <v>0</v>
      </c>
      <c r="E110" s="69">
        <f t="shared" ref="E110:E118" si="62">O110+Q110</f>
        <v>0</v>
      </c>
      <c r="F110" s="70">
        <f t="shared" ref="F110:F118" si="63">P110+R110</f>
        <v>0</v>
      </c>
      <c r="G110" s="285">
        <f t="shared" ref="G110:G119" si="64">E110-C110</f>
        <v>0</v>
      </c>
      <c r="H110" s="285">
        <f t="shared" ref="H110:H119" si="65">F110-D110</f>
        <v>0</v>
      </c>
      <c r="I110" s="70"/>
      <c r="J110" s="70"/>
      <c r="K110" s="70"/>
      <c r="L110" s="70"/>
      <c r="M110" s="70">
        <f t="shared" ref="M110:M123" si="66">I110+K110</f>
        <v>0</v>
      </c>
      <c r="N110" s="70">
        <f t="shared" ref="N110:N123" si="67">J110+L110</f>
        <v>0</v>
      </c>
      <c r="O110" s="71"/>
      <c r="P110" s="71"/>
      <c r="Q110" s="70"/>
      <c r="R110" s="70"/>
      <c r="S110" s="72"/>
      <c r="T110" s="252" t="e">
        <f>E110/C110</f>
        <v>#DIV/0!</v>
      </c>
      <c r="U110" s="73"/>
      <c r="V110" s="73"/>
      <c r="W110" s="73"/>
      <c r="X110" s="73"/>
      <c r="Y110" s="339"/>
      <c r="Z110" s="282"/>
      <c r="AA110" s="61">
        <f>H106</f>
        <v>16</v>
      </c>
      <c r="AB110" s="61" t="str">
        <f>E106</f>
        <v>CI1-NP1-015 W</v>
      </c>
      <c r="AC110" s="74" t="s">
        <v>440</v>
      </c>
      <c r="AD110" s="61" t="str">
        <f t="shared" ref="AD110:AD123" si="68">A110</f>
        <v>KR</v>
      </c>
      <c r="AE110" s="61">
        <f t="shared" ref="AE110:AE123" si="69">C110</f>
        <v>0</v>
      </c>
      <c r="AF110" s="61">
        <f t="shared" ref="AF110:AF123" si="70">E110</f>
        <v>0</v>
      </c>
    </row>
    <row r="111" spans="1:32" s="65" customFormat="1" ht="12.75" customHeight="1">
      <c r="A111" s="52" t="s">
        <v>13</v>
      </c>
      <c r="B111" s="1" t="s">
        <v>18</v>
      </c>
      <c r="C111" s="285">
        <v>0</v>
      </c>
      <c r="D111" s="285">
        <v>0</v>
      </c>
      <c r="E111" s="69">
        <f t="shared" si="62"/>
        <v>0</v>
      </c>
      <c r="F111" s="70">
        <f t="shared" si="63"/>
        <v>0</v>
      </c>
      <c r="G111" s="285">
        <f t="shared" si="64"/>
        <v>0</v>
      </c>
      <c r="H111" s="285">
        <f t="shared" si="65"/>
        <v>0</v>
      </c>
      <c r="I111" s="75"/>
      <c r="J111" s="75"/>
      <c r="K111" s="70"/>
      <c r="L111" s="70"/>
      <c r="M111" s="70">
        <f t="shared" si="66"/>
        <v>0</v>
      </c>
      <c r="N111" s="70">
        <f t="shared" si="67"/>
        <v>0</v>
      </c>
      <c r="O111" s="75"/>
      <c r="P111" s="75"/>
      <c r="Q111" s="71"/>
      <c r="R111" s="71"/>
      <c r="S111" s="72"/>
      <c r="T111" s="252" t="e">
        <f t="shared" ref="T111:T121" si="71">E111/C111</f>
        <v>#DIV/0!</v>
      </c>
      <c r="U111" s="73"/>
      <c r="V111" s="73"/>
      <c r="W111" s="73"/>
      <c r="X111" s="73"/>
      <c r="AA111" s="61">
        <f>H106</f>
        <v>16</v>
      </c>
      <c r="AB111" s="61" t="str">
        <f>E106</f>
        <v>CI1-NP1-015 W</v>
      </c>
      <c r="AC111" s="74" t="s">
        <v>440</v>
      </c>
      <c r="AD111" s="61" t="str">
        <f t="shared" si="68"/>
        <v>TAO</v>
      </c>
      <c r="AE111" s="61">
        <f t="shared" si="69"/>
        <v>0</v>
      </c>
      <c r="AF111" s="61">
        <f t="shared" si="70"/>
        <v>0</v>
      </c>
    </row>
    <row r="112" spans="1:32" s="65" customFormat="1" ht="12.75" customHeight="1">
      <c r="A112" s="52" t="s">
        <v>9</v>
      </c>
      <c r="B112" s="1">
        <f>B91+7</f>
        <v>43194</v>
      </c>
      <c r="C112" s="285">
        <v>550</v>
      </c>
      <c r="D112" s="285">
        <v>7425</v>
      </c>
      <c r="E112" s="69">
        <f t="shared" si="62"/>
        <v>958</v>
      </c>
      <c r="F112" s="70">
        <f t="shared" si="63"/>
        <v>8670</v>
      </c>
      <c r="G112" s="285">
        <f t="shared" si="64"/>
        <v>408</v>
      </c>
      <c r="H112" s="285">
        <f t="shared" si="65"/>
        <v>1245</v>
      </c>
      <c r="I112" s="75">
        <v>262</v>
      </c>
      <c r="J112" s="75">
        <v>3915</v>
      </c>
      <c r="K112" s="71"/>
      <c r="L112" s="71"/>
      <c r="M112" s="70">
        <f t="shared" si="66"/>
        <v>262</v>
      </c>
      <c r="N112" s="70">
        <f t="shared" si="67"/>
        <v>3915</v>
      </c>
      <c r="O112" s="75">
        <f>949+9</f>
        <v>958</v>
      </c>
      <c r="P112" s="75">
        <v>8670</v>
      </c>
      <c r="Q112" s="71"/>
      <c r="R112" s="71"/>
      <c r="S112" s="72"/>
      <c r="T112" s="252">
        <f t="shared" si="71"/>
        <v>1.7418181818181817</v>
      </c>
      <c r="U112" s="73"/>
      <c r="V112" s="73"/>
      <c r="W112" s="73"/>
      <c r="X112" s="73"/>
      <c r="AA112" s="61">
        <f>H106</f>
        <v>16</v>
      </c>
      <c r="AB112" s="61" t="str">
        <f>E106</f>
        <v>CI1-NP1-015 W</v>
      </c>
      <c r="AC112" s="74" t="s">
        <v>440</v>
      </c>
      <c r="AD112" s="61" t="str">
        <f t="shared" si="68"/>
        <v>SHA</v>
      </c>
      <c r="AE112" s="61">
        <f t="shared" si="69"/>
        <v>550</v>
      </c>
      <c r="AF112" s="61">
        <f t="shared" si="70"/>
        <v>958</v>
      </c>
    </row>
    <row r="113" spans="1:32" s="65" customFormat="1" ht="12.75" customHeight="1">
      <c r="A113" s="52" t="s">
        <v>8</v>
      </c>
      <c r="B113" s="1">
        <f>B92+7</f>
        <v>43196</v>
      </c>
      <c r="C113" s="285">
        <v>300</v>
      </c>
      <c r="D113" s="285">
        <v>4050</v>
      </c>
      <c r="E113" s="69">
        <f t="shared" si="62"/>
        <v>223</v>
      </c>
      <c r="F113" s="70">
        <f t="shared" si="63"/>
        <v>2459</v>
      </c>
      <c r="G113" s="285">
        <f t="shared" si="64"/>
        <v>-77</v>
      </c>
      <c r="H113" s="285">
        <f t="shared" si="65"/>
        <v>-1591</v>
      </c>
      <c r="I113" s="71">
        <v>23</v>
      </c>
      <c r="J113" s="71">
        <v>236</v>
      </c>
      <c r="K113" s="71"/>
      <c r="L113" s="71"/>
      <c r="M113" s="70">
        <f t="shared" si="66"/>
        <v>23</v>
      </c>
      <c r="N113" s="70">
        <f t="shared" si="67"/>
        <v>236</v>
      </c>
      <c r="O113" s="71"/>
      <c r="P113" s="71"/>
      <c r="Q113" s="71">
        <v>223</v>
      </c>
      <c r="R113" s="71">
        <v>2459</v>
      </c>
      <c r="S113" s="72"/>
      <c r="T113" s="252">
        <f t="shared" si="71"/>
        <v>0.74333333333333329</v>
      </c>
      <c r="U113" s="73"/>
      <c r="V113" s="73"/>
      <c r="W113" s="73"/>
      <c r="X113" s="73"/>
      <c r="AA113" s="61">
        <f>H106</f>
        <v>16</v>
      </c>
      <c r="AB113" s="61" t="str">
        <f>E106</f>
        <v>CI1-NP1-015 W</v>
      </c>
      <c r="AC113" s="74" t="s">
        <v>440</v>
      </c>
      <c r="AD113" s="61" t="str">
        <f t="shared" si="68"/>
        <v>NGB</v>
      </c>
      <c r="AE113" s="61">
        <f t="shared" si="69"/>
        <v>300</v>
      </c>
      <c r="AF113" s="61">
        <f t="shared" si="70"/>
        <v>223</v>
      </c>
    </row>
    <row r="114" spans="1:32" s="65" customFormat="1" ht="12.75" customHeight="1">
      <c r="A114" s="52" t="s">
        <v>10</v>
      </c>
      <c r="B114" s="1" t="s">
        <v>67</v>
      </c>
      <c r="C114" s="285">
        <v>50</v>
      </c>
      <c r="D114" s="285">
        <v>675</v>
      </c>
      <c r="E114" s="69">
        <f t="shared" si="62"/>
        <v>91</v>
      </c>
      <c r="F114" s="70">
        <f t="shared" si="63"/>
        <v>1816</v>
      </c>
      <c r="G114" s="285">
        <f t="shared" si="64"/>
        <v>41</v>
      </c>
      <c r="H114" s="285">
        <f t="shared" si="65"/>
        <v>1141</v>
      </c>
      <c r="I114" s="75"/>
      <c r="J114" s="75"/>
      <c r="K114" s="70"/>
      <c r="L114" s="70"/>
      <c r="M114" s="70">
        <f t="shared" si="66"/>
        <v>0</v>
      </c>
      <c r="N114" s="70">
        <f t="shared" si="67"/>
        <v>0</v>
      </c>
      <c r="O114" s="75">
        <v>91</v>
      </c>
      <c r="P114" s="75">
        <v>1816</v>
      </c>
      <c r="Q114" s="70"/>
      <c r="R114" s="70"/>
      <c r="S114" s="72"/>
      <c r="T114" s="252">
        <f t="shared" si="71"/>
        <v>1.82</v>
      </c>
      <c r="U114" s="73"/>
      <c r="V114" s="73"/>
      <c r="W114" s="73"/>
      <c r="X114" s="73"/>
      <c r="AA114" s="61">
        <f>H106</f>
        <v>16</v>
      </c>
      <c r="AB114" s="61" t="str">
        <f>E106</f>
        <v>CI1-NP1-015 W</v>
      </c>
      <c r="AC114" s="74" t="s">
        <v>440</v>
      </c>
      <c r="AD114" s="61" t="str">
        <f t="shared" si="68"/>
        <v>WUH</v>
      </c>
      <c r="AE114" s="61">
        <f t="shared" si="69"/>
        <v>50</v>
      </c>
      <c r="AF114" s="61">
        <f t="shared" si="70"/>
        <v>91</v>
      </c>
    </row>
    <row r="115" spans="1:32" s="65" customFormat="1" ht="12.75" customHeight="1">
      <c r="A115" s="52" t="s">
        <v>11</v>
      </c>
      <c r="B115" s="1" t="s">
        <v>18</v>
      </c>
      <c r="C115" s="285">
        <v>50</v>
      </c>
      <c r="D115" s="285">
        <v>675</v>
      </c>
      <c r="E115" s="69">
        <f t="shared" si="62"/>
        <v>34</v>
      </c>
      <c r="F115" s="70">
        <f t="shared" si="63"/>
        <v>856</v>
      </c>
      <c r="G115" s="285">
        <f t="shared" si="64"/>
        <v>-16</v>
      </c>
      <c r="H115" s="285">
        <f t="shared" si="65"/>
        <v>181</v>
      </c>
      <c r="I115" s="70"/>
      <c r="J115" s="70"/>
      <c r="K115" s="70"/>
      <c r="L115" s="70"/>
      <c r="M115" s="70">
        <f t="shared" si="66"/>
        <v>0</v>
      </c>
      <c r="N115" s="70">
        <f t="shared" si="67"/>
        <v>0</v>
      </c>
      <c r="O115" s="75"/>
      <c r="P115" s="75"/>
      <c r="Q115" s="70">
        <v>34</v>
      </c>
      <c r="R115" s="70">
        <v>856</v>
      </c>
      <c r="S115" s="72"/>
      <c r="T115" s="252">
        <f t="shared" si="71"/>
        <v>0.68</v>
      </c>
      <c r="U115" s="73"/>
      <c r="V115" s="73"/>
      <c r="W115" s="73"/>
      <c r="X115" s="73"/>
      <c r="AA115" s="61">
        <f>H106</f>
        <v>16</v>
      </c>
      <c r="AB115" s="61" t="str">
        <f>E106</f>
        <v>CI1-NP1-015 W</v>
      </c>
      <c r="AC115" s="74" t="s">
        <v>440</v>
      </c>
      <c r="AD115" s="61" t="str">
        <f t="shared" si="68"/>
        <v>DLC</v>
      </c>
      <c r="AE115" s="61">
        <f t="shared" si="69"/>
        <v>50</v>
      </c>
      <c r="AF115" s="61">
        <f t="shared" si="70"/>
        <v>34</v>
      </c>
    </row>
    <row r="116" spans="1:32" s="65" customFormat="1" ht="12.75" customHeight="1">
      <c r="A116" s="52" t="s">
        <v>12</v>
      </c>
      <c r="B116" s="1" t="s">
        <v>18</v>
      </c>
      <c r="C116" s="285"/>
      <c r="D116" s="285"/>
      <c r="E116" s="69">
        <f t="shared" si="62"/>
        <v>16</v>
      </c>
      <c r="F116" s="70">
        <f t="shared" si="63"/>
        <v>439</v>
      </c>
      <c r="G116" s="285">
        <f t="shared" si="64"/>
        <v>16</v>
      </c>
      <c r="H116" s="285">
        <f t="shared" si="65"/>
        <v>439</v>
      </c>
      <c r="I116" s="70"/>
      <c r="J116" s="70"/>
      <c r="K116" s="70"/>
      <c r="L116" s="70"/>
      <c r="M116" s="70">
        <f t="shared" si="66"/>
        <v>0</v>
      </c>
      <c r="N116" s="70">
        <f t="shared" si="67"/>
        <v>0</v>
      </c>
      <c r="O116" s="75"/>
      <c r="P116" s="75"/>
      <c r="Q116" s="76">
        <v>16</v>
      </c>
      <c r="R116" s="71">
        <v>439</v>
      </c>
      <c r="S116" s="72"/>
      <c r="T116" s="252" t="e">
        <f t="shared" si="71"/>
        <v>#DIV/0!</v>
      </c>
      <c r="U116" s="73"/>
      <c r="V116" s="73"/>
      <c r="W116" s="73"/>
      <c r="X116" s="73"/>
      <c r="AA116" s="61">
        <f>H106</f>
        <v>16</v>
      </c>
      <c r="AB116" s="61" t="str">
        <f>E106</f>
        <v>CI1-NP1-015 W</v>
      </c>
      <c r="AC116" s="74" t="s">
        <v>440</v>
      </c>
      <c r="AD116" s="61" t="str">
        <f t="shared" si="68"/>
        <v>TSN</v>
      </c>
      <c r="AE116" s="61">
        <f t="shared" si="69"/>
        <v>0</v>
      </c>
      <c r="AF116" s="61">
        <f t="shared" si="70"/>
        <v>16</v>
      </c>
    </row>
    <row r="117" spans="1:32" s="65" customFormat="1" ht="12.75" customHeight="1">
      <c r="A117" s="52" t="s">
        <v>14</v>
      </c>
      <c r="B117" s="1" t="s">
        <v>18</v>
      </c>
      <c r="C117" s="285">
        <v>50</v>
      </c>
      <c r="D117" s="285">
        <v>675</v>
      </c>
      <c r="E117" s="69">
        <f t="shared" si="62"/>
        <v>0</v>
      </c>
      <c r="F117" s="70">
        <f t="shared" si="63"/>
        <v>0</v>
      </c>
      <c r="G117" s="285">
        <f t="shared" si="64"/>
        <v>-50</v>
      </c>
      <c r="H117" s="285">
        <f t="shared" si="65"/>
        <v>-675</v>
      </c>
      <c r="I117" s="70"/>
      <c r="J117" s="70"/>
      <c r="K117" s="70"/>
      <c r="L117" s="70"/>
      <c r="M117" s="70">
        <f t="shared" si="66"/>
        <v>0</v>
      </c>
      <c r="N117" s="70">
        <f t="shared" si="67"/>
        <v>0</v>
      </c>
      <c r="O117" s="71"/>
      <c r="P117" s="71"/>
      <c r="Q117" s="70"/>
      <c r="R117" s="70"/>
      <c r="S117" s="72"/>
      <c r="T117" s="252">
        <f t="shared" si="71"/>
        <v>0</v>
      </c>
      <c r="U117" s="73"/>
      <c r="V117" s="73"/>
      <c r="W117" s="73"/>
      <c r="X117" s="73"/>
      <c r="AA117" s="61">
        <f>H106</f>
        <v>16</v>
      </c>
      <c r="AB117" s="61" t="str">
        <f>E106</f>
        <v>CI1-NP1-015 W</v>
      </c>
      <c r="AC117" s="74" t="s">
        <v>440</v>
      </c>
      <c r="AD117" s="61" t="str">
        <f t="shared" si="68"/>
        <v>XMN</v>
      </c>
      <c r="AE117" s="61">
        <f t="shared" si="69"/>
        <v>50</v>
      </c>
      <c r="AF117" s="61">
        <f t="shared" si="70"/>
        <v>0</v>
      </c>
    </row>
    <row r="118" spans="1:32" s="65" customFormat="1" ht="12.75" customHeight="1">
      <c r="A118" s="52" t="s">
        <v>558</v>
      </c>
      <c r="B118" s="1" t="s">
        <v>18</v>
      </c>
      <c r="C118" s="285">
        <v>100</v>
      </c>
      <c r="D118" s="285">
        <v>1350</v>
      </c>
      <c r="E118" s="69">
        <f t="shared" si="62"/>
        <v>46</v>
      </c>
      <c r="F118" s="70">
        <f t="shared" si="63"/>
        <v>1129</v>
      </c>
      <c r="G118" s="285">
        <f t="shared" si="64"/>
        <v>-54</v>
      </c>
      <c r="H118" s="285">
        <f t="shared" si="65"/>
        <v>-221</v>
      </c>
      <c r="I118" s="70"/>
      <c r="J118" s="70"/>
      <c r="K118" s="70"/>
      <c r="L118" s="70"/>
      <c r="M118" s="70">
        <f t="shared" si="66"/>
        <v>0</v>
      </c>
      <c r="N118" s="70">
        <f t="shared" si="67"/>
        <v>0</v>
      </c>
      <c r="O118" s="70"/>
      <c r="P118" s="70"/>
      <c r="Q118" s="70">
        <v>46</v>
      </c>
      <c r="R118" s="70">
        <v>1129</v>
      </c>
      <c r="S118" s="72"/>
      <c r="T118" s="252">
        <f t="shared" si="71"/>
        <v>0.46</v>
      </c>
      <c r="U118" s="73"/>
      <c r="V118" s="73"/>
      <c r="W118" s="73"/>
      <c r="X118" s="73"/>
      <c r="AA118" s="61">
        <f>H106</f>
        <v>16</v>
      </c>
      <c r="AB118" s="61" t="str">
        <f>E106</f>
        <v>CI1-NP1-015 W</v>
      </c>
      <c r="AC118" s="74" t="s">
        <v>440</v>
      </c>
      <c r="AD118" s="61" t="str">
        <f t="shared" si="68"/>
        <v>HAK</v>
      </c>
      <c r="AE118" s="61">
        <f t="shared" si="69"/>
        <v>100</v>
      </c>
      <c r="AF118" s="61">
        <f t="shared" si="70"/>
        <v>46</v>
      </c>
    </row>
    <row r="119" spans="1:32" s="65" customFormat="1" ht="12.75" customHeight="1">
      <c r="A119" s="52" t="s">
        <v>16</v>
      </c>
      <c r="B119" s="1">
        <f>B98+7</f>
        <v>43199</v>
      </c>
      <c r="C119" s="285">
        <v>850</v>
      </c>
      <c r="D119" s="285">
        <v>11475</v>
      </c>
      <c r="E119" s="69">
        <f>O119+Q119</f>
        <v>401</v>
      </c>
      <c r="F119" s="70">
        <f>P119+R118</f>
        <v>1129</v>
      </c>
      <c r="G119" s="285">
        <f t="shared" si="64"/>
        <v>-449</v>
      </c>
      <c r="H119" s="285">
        <f t="shared" si="65"/>
        <v>-10346</v>
      </c>
      <c r="I119" s="70"/>
      <c r="J119" s="70"/>
      <c r="K119" s="70"/>
      <c r="L119" s="70"/>
      <c r="M119" s="70">
        <f t="shared" si="66"/>
        <v>0</v>
      </c>
      <c r="N119" s="70">
        <f t="shared" si="67"/>
        <v>0</v>
      </c>
      <c r="O119" s="70"/>
      <c r="P119" s="70"/>
      <c r="Q119" s="70">
        <v>401</v>
      </c>
      <c r="R119" s="84">
        <v>3226</v>
      </c>
      <c r="S119" s="77" t="s">
        <v>635</v>
      </c>
      <c r="T119" s="252">
        <f t="shared" si="71"/>
        <v>0.47176470588235292</v>
      </c>
      <c r="U119" s="73"/>
      <c r="V119" s="73"/>
      <c r="W119" s="73"/>
      <c r="X119" s="73"/>
      <c r="AA119" s="61">
        <f>H106</f>
        <v>16</v>
      </c>
      <c r="AB119" s="61" t="str">
        <f>E106</f>
        <v>CI1-NP1-015 W</v>
      </c>
      <c r="AC119" s="74" t="s">
        <v>440</v>
      </c>
      <c r="AD119" s="61" t="str">
        <f t="shared" si="68"/>
        <v>HUA</v>
      </c>
      <c r="AE119" s="61">
        <f t="shared" si="69"/>
        <v>850</v>
      </c>
      <c r="AF119" s="61">
        <f t="shared" si="70"/>
        <v>401</v>
      </c>
    </row>
    <row r="120" spans="1:32" s="65" customFormat="1" ht="12.75" customHeight="1">
      <c r="A120" s="52" t="s">
        <v>68</v>
      </c>
      <c r="B120" s="1">
        <f>B99+7</f>
        <v>43200</v>
      </c>
      <c r="C120" s="285"/>
      <c r="D120" s="285"/>
      <c r="E120" s="69">
        <f>O120+Q120</f>
        <v>0</v>
      </c>
      <c r="F120" s="70">
        <f>P120+R120</f>
        <v>0</v>
      </c>
      <c r="G120" s="285"/>
      <c r="H120" s="285"/>
      <c r="I120" s="70">
        <v>47</v>
      </c>
      <c r="J120" s="70">
        <v>433</v>
      </c>
      <c r="K120" s="70"/>
      <c r="L120" s="70"/>
      <c r="M120" s="70">
        <f t="shared" si="66"/>
        <v>47</v>
      </c>
      <c r="N120" s="70">
        <f t="shared" si="67"/>
        <v>433</v>
      </c>
      <c r="O120" s="70"/>
      <c r="P120" s="70"/>
      <c r="Q120" s="70"/>
      <c r="R120" s="70"/>
      <c r="S120" s="72"/>
      <c r="T120" s="252" t="e">
        <f t="shared" si="71"/>
        <v>#DIV/0!</v>
      </c>
      <c r="U120" s="73"/>
      <c r="V120" s="73"/>
      <c r="W120" s="73"/>
      <c r="X120" s="73"/>
      <c r="AA120" s="61">
        <f>H106</f>
        <v>16</v>
      </c>
      <c r="AB120" s="61" t="str">
        <f>E106</f>
        <v>CI1-NP1-015 W</v>
      </c>
      <c r="AC120" s="74" t="s">
        <v>440</v>
      </c>
      <c r="AD120" s="61" t="str">
        <f t="shared" si="68"/>
        <v>GNS</v>
      </c>
      <c r="AE120" s="61">
        <f t="shared" si="69"/>
        <v>0</v>
      </c>
      <c r="AF120" s="61">
        <f t="shared" si="70"/>
        <v>0</v>
      </c>
    </row>
    <row r="121" spans="1:32" s="65" customFormat="1" ht="12.75" customHeight="1">
      <c r="A121" s="52" t="s">
        <v>3</v>
      </c>
      <c r="B121" s="1">
        <f>B100+7</f>
        <v>43205</v>
      </c>
      <c r="C121" s="285">
        <v>150</v>
      </c>
      <c r="D121" s="285">
        <v>2025</v>
      </c>
      <c r="E121" s="69">
        <f>O121+Q121</f>
        <v>397</v>
      </c>
      <c r="F121" s="70">
        <f>P121+R121</f>
        <v>4746</v>
      </c>
      <c r="G121" s="285">
        <f t="shared" ref="G121:G124" si="72">E121-C121</f>
        <v>247</v>
      </c>
      <c r="H121" s="285">
        <f t="shared" ref="H121:H124" si="73">F121-D121</f>
        <v>2721</v>
      </c>
      <c r="I121" s="70"/>
      <c r="J121" s="70"/>
      <c r="K121" s="70"/>
      <c r="L121" s="70"/>
      <c r="M121" s="70">
        <f t="shared" si="66"/>
        <v>0</v>
      </c>
      <c r="N121" s="70">
        <f t="shared" si="67"/>
        <v>0</v>
      </c>
      <c r="O121" s="285"/>
      <c r="P121" s="285"/>
      <c r="Q121" s="70">
        <v>397</v>
      </c>
      <c r="R121" s="70">
        <v>4746</v>
      </c>
      <c r="S121" s="72"/>
      <c r="T121" s="252">
        <f t="shared" si="71"/>
        <v>2.6466666666666665</v>
      </c>
      <c r="U121" s="73"/>
      <c r="V121" s="73"/>
      <c r="W121" s="73"/>
      <c r="X121" s="73"/>
      <c r="AA121" s="61">
        <f>H106</f>
        <v>16</v>
      </c>
      <c r="AB121" s="61" t="str">
        <f>E106</f>
        <v>CI1-NP1-015 W</v>
      </c>
      <c r="AC121" s="74" t="s">
        <v>440</v>
      </c>
      <c r="AD121" s="61" t="str">
        <f t="shared" si="68"/>
        <v>SGP</v>
      </c>
      <c r="AE121" s="61">
        <f t="shared" si="69"/>
        <v>150</v>
      </c>
      <c r="AF121" s="61">
        <f t="shared" si="70"/>
        <v>397</v>
      </c>
    </row>
    <row r="122" spans="1:32" s="65" customFormat="1" ht="12.75" customHeight="1">
      <c r="A122" s="52" t="s">
        <v>431</v>
      </c>
      <c r="B122" s="285"/>
      <c r="C122" s="285"/>
      <c r="D122" s="285"/>
      <c r="E122" s="69">
        <f>O122+Q122</f>
        <v>0</v>
      </c>
      <c r="F122" s="70">
        <f>P122+R122</f>
        <v>0</v>
      </c>
      <c r="G122" s="285">
        <f t="shared" si="72"/>
        <v>0</v>
      </c>
      <c r="H122" s="285">
        <f t="shared" si="73"/>
        <v>0</v>
      </c>
      <c r="I122" s="70"/>
      <c r="J122" s="70"/>
      <c r="K122" s="70"/>
      <c r="L122" s="70"/>
      <c r="M122" s="70">
        <f t="shared" si="66"/>
        <v>0</v>
      </c>
      <c r="N122" s="70">
        <f t="shared" si="67"/>
        <v>0</v>
      </c>
      <c r="O122" s="70"/>
      <c r="P122" s="70"/>
      <c r="Q122" s="70"/>
      <c r="R122" s="70"/>
      <c r="S122" s="72"/>
      <c r="T122" s="252" t="e">
        <f>E122/C122</f>
        <v>#DIV/0!</v>
      </c>
      <c r="U122" s="73"/>
      <c r="V122" s="73"/>
      <c r="W122" s="73"/>
      <c r="X122" s="73"/>
      <c r="AA122" s="61">
        <f>H106</f>
        <v>16</v>
      </c>
      <c r="AB122" s="61" t="str">
        <f>E106</f>
        <v>CI1-NP1-015 W</v>
      </c>
      <c r="AC122" s="74" t="s">
        <v>440</v>
      </c>
      <c r="AD122" s="61" t="str">
        <f t="shared" si="68"/>
        <v>HQ</v>
      </c>
      <c r="AE122" s="61">
        <f t="shared" si="69"/>
        <v>0</v>
      </c>
      <c r="AF122" s="61">
        <f t="shared" si="70"/>
        <v>0</v>
      </c>
    </row>
    <row r="123" spans="1:32" s="65" customFormat="1" ht="12.75" customHeight="1">
      <c r="A123" s="52" t="s">
        <v>31</v>
      </c>
      <c r="B123" s="285"/>
      <c r="C123" s="285"/>
      <c r="D123" s="285"/>
      <c r="E123" s="69">
        <f>O123+Q123</f>
        <v>84</v>
      </c>
      <c r="F123" s="70">
        <f>P123+R123</f>
        <v>1254</v>
      </c>
      <c r="G123" s="285">
        <f t="shared" si="72"/>
        <v>84</v>
      </c>
      <c r="H123" s="285">
        <f t="shared" si="73"/>
        <v>1254</v>
      </c>
      <c r="I123" s="70"/>
      <c r="J123" s="70"/>
      <c r="K123" s="70"/>
      <c r="L123" s="70"/>
      <c r="M123" s="70">
        <f t="shared" si="66"/>
        <v>0</v>
      </c>
      <c r="N123" s="70">
        <f t="shared" si="67"/>
        <v>0</v>
      </c>
      <c r="O123" s="71"/>
      <c r="P123" s="71"/>
      <c r="Q123" s="71">
        <v>84</v>
      </c>
      <c r="R123" s="71">
        <v>1254</v>
      </c>
      <c r="S123" s="72"/>
      <c r="T123" s="73"/>
      <c r="U123" s="73"/>
      <c r="V123" s="73"/>
      <c r="W123" s="73"/>
      <c r="X123" s="73"/>
      <c r="AA123" s="61">
        <f>H106</f>
        <v>16</v>
      </c>
      <c r="AB123" s="61" t="str">
        <f>E106</f>
        <v>CI1-NP1-015 W</v>
      </c>
      <c r="AC123" s="74" t="s">
        <v>440</v>
      </c>
      <c r="AD123" s="61" t="str">
        <f t="shared" si="68"/>
        <v>COSCO T/S</v>
      </c>
      <c r="AE123" s="61">
        <f t="shared" si="69"/>
        <v>0</v>
      </c>
      <c r="AF123" s="61">
        <f t="shared" si="70"/>
        <v>84</v>
      </c>
    </row>
    <row r="124" spans="1:32" s="65" customFormat="1" ht="12.75" customHeight="1">
      <c r="A124" s="51" t="s">
        <v>36</v>
      </c>
      <c r="B124" s="72"/>
      <c r="C124" s="71">
        <f>SUM(C110:C123)</f>
        <v>2100</v>
      </c>
      <c r="D124" s="71">
        <f>SUM(D110:D123)</f>
        <v>28350</v>
      </c>
      <c r="E124" s="78">
        <f>SUM(E110:E123)</f>
        <v>2250</v>
      </c>
      <c r="F124" s="76">
        <f>SUM(F110:F123)</f>
        <v>22498</v>
      </c>
      <c r="G124" s="71">
        <f t="shared" si="72"/>
        <v>150</v>
      </c>
      <c r="H124" s="71">
        <f t="shared" si="73"/>
        <v>-5852</v>
      </c>
      <c r="I124" s="70">
        <f t="shared" ref="I124:L124" si="74">SUM(I110:I123)</f>
        <v>332</v>
      </c>
      <c r="J124" s="70">
        <f t="shared" si="74"/>
        <v>4584</v>
      </c>
      <c r="K124" s="70">
        <f t="shared" si="74"/>
        <v>0</v>
      </c>
      <c r="L124" s="70">
        <f t="shared" si="74"/>
        <v>0</v>
      </c>
      <c r="M124" s="70"/>
      <c r="N124" s="70"/>
      <c r="O124" s="70">
        <f t="shared" ref="O124:R124" si="75">SUM(O110:O123)</f>
        <v>1049</v>
      </c>
      <c r="P124" s="70">
        <f t="shared" si="75"/>
        <v>10486</v>
      </c>
      <c r="Q124" s="70">
        <f t="shared" si="75"/>
        <v>1201</v>
      </c>
      <c r="R124" s="70">
        <f t="shared" si="75"/>
        <v>14109</v>
      </c>
      <c r="S124" s="72"/>
      <c r="T124" s="73"/>
      <c r="U124" s="73"/>
      <c r="V124" s="73"/>
      <c r="W124" s="73"/>
      <c r="X124" s="73"/>
      <c r="AA124" s="61"/>
      <c r="AB124" s="61"/>
      <c r="AC124" s="61"/>
      <c r="AD124" s="61"/>
      <c r="AE124" s="61"/>
      <c r="AF124" s="61"/>
    </row>
    <row r="125" spans="1:32" s="65" customFormat="1" ht="12.75" customHeight="1">
      <c r="A125" s="84">
        <f>D124/C124</f>
        <v>13.5</v>
      </c>
      <c r="C125" s="281">
        <f>F124-E125</f>
        <v>-3017</v>
      </c>
      <c r="E125" s="65">
        <f>D124*0.9</f>
        <v>25515</v>
      </c>
      <c r="F125" s="281">
        <f>E124-L125</f>
        <v>360</v>
      </c>
      <c r="I125" s="80" t="s">
        <v>48</v>
      </c>
      <c r="J125" s="245">
        <f>E124/C124</f>
        <v>1.0714285714285714</v>
      </c>
      <c r="K125" s="80"/>
      <c r="L125" s="80">
        <f>C124*0.9</f>
        <v>1890</v>
      </c>
      <c r="M125" s="80"/>
      <c r="N125" s="80"/>
      <c r="O125" s="80" t="s">
        <v>49</v>
      </c>
      <c r="P125" s="80"/>
      <c r="Q125" s="65">
        <f>P111+P112+P114+P115+P116+J111+J112+L111+L112+J114+R114</f>
        <v>14401</v>
      </c>
      <c r="R125" s="65">
        <v>16856</v>
      </c>
      <c r="AA125" s="81"/>
      <c r="AB125" s="81"/>
      <c r="AC125" s="81"/>
      <c r="AD125" s="81"/>
      <c r="AE125" s="81"/>
      <c r="AF125" s="81"/>
    </row>
    <row r="127" spans="1:32" s="63" customFormat="1" ht="12.75" customHeight="1">
      <c r="A127" s="59" t="s">
        <v>440</v>
      </c>
      <c r="B127" s="58" t="s">
        <v>593</v>
      </c>
      <c r="C127" s="56"/>
      <c r="D127" s="57"/>
      <c r="E127" s="58" t="s">
        <v>594</v>
      </c>
      <c r="F127" s="57"/>
      <c r="G127" s="59" t="s">
        <v>37</v>
      </c>
      <c r="H127" s="60">
        <f>H106+1</f>
        <v>17</v>
      </c>
      <c r="I127" s="251"/>
      <c r="J127" s="57"/>
      <c r="K127" s="57"/>
      <c r="L127" s="57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2"/>
      <c r="Z127" s="62"/>
      <c r="AA127" s="62"/>
      <c r="AB127" s="62"/>
      <c r="AC127" s="62"/>
    </row>
    <row r="128" spans="1:32" s="65" customFormat="1" ht="12.75" customHeight="1">
      <c r="A128" s="340" t="s">
        <v>0</v>
      </c>
      <c r="B128" s="336" t="s">
        <v>1</v>
      </c>
      <c r="C128" s="331" t="s">
        <v>25</v>
      </c>
      <c r="D128" s="332"/>
      <c r="E128" s="331" t="s">
        <v>21</v>
      </c>
      <c r="F128" s="332"/>
      <c r="G128" s="335" t="s">
        <v>24</v>
      </c>
      <c r="H128" s="335"/>
      <c r="I128" s="328" t="s">
        <v>33</v>
      </c>
      <c r="J128" s="329"/>
      <c r="K128" s="329"/>
      <c r="L128" s="329"/>
      <c r="M128" s="329"/>
      <c r="N128" s="330"/>
      <c r="O128" s="331" t="s">
        <v>22</v>
      </c>
      <c r="P128" s="332"/>
      <c r="Q128" s="335" t="s">
        <v>23</v>
      </c>
      <c r="R128" s="335"/>
      <c r="S128" s="336" t="s">
        <v>27</v>
      </c>
      <c r="T128" s="64"/>
      <c r="U128" s="64"/>
      <c r="V128" s="64"/>
      <c r="W128" s="64"/>
      <c r="X128" s="64"/>
      <c r="Y128" s="339"/>
      <c r="Z128" s="297"/>
      <c r="AA128" s="61"/>
      <c r="AB128" s="61"/>
      <c r="AC128" s="74"/>
      <c r="AD128" s="61"/>
      <c r="AE128" s="61"/>
      <c r="AF128" s="61"/>
    </row>
    <row r="129" spans="1:32" s="65" customFormat="1" ht="12.75" customHeight="1">
      <c r="A129" s="341"/>
      <c r="B129" s="337"/>
      <c r="C129" s="333"/>
      <c r="D129" s="334"/>
      <c r="E129" s="333"/>
      <c r="F129" s="334"/>
      <c r="G129" s="335"/>
      <c r="H129" s="335"/>
      <c r="I129" s="293" t="s">
        <v>28</v>
      </c>
      <c r="J129" s="294" t="s">
        <v>3</v>
      </c>
      <c r="K129" s="293" t="s">
        <v>29</v>
      </c>
      <c r="L129" s="294" t="s">
        <v>4</v>
      </c>
      <c r="M129" s="328" t="s">
        <v>30</v>
      </c>
      <c r="N129" s="330"/>
      <c r="O129" s="333"/>
      <c r="P129" s="334"/>
      <c r="Q129" s="335"/>
      <c r="R129" s="335"/>
      <c r="S129" s="337"/>
      <c r="T129" s="64"/>
      <c r="U129" s="64"/>
      <c r="V129" s="64"/>
      <c r="W129" s="64"/>
      <c r="X129" s="64"/>
      <c r="Y129" s="339"/>
      <c r="Z129" s="297"/>
      <c r="AA129" s="61"/>
      <c r="AB129" s="61"/>
      <c r="AC129" s="74"/>
      <c r="AD129" s="61"/>
      <c r="AE129" s="61"/>
      <c r="AF129" s="61"/>
    </row>
    <row r="130" spans="1:32" s="65" customFormat="1" ht="12.75" customHeight="1">
      <c r="A130" s="342"/>
      <c r="B130" s="338"/>
      <c r="C130" s="295" t="s">
        <v>5</v>
      </c>
      <c r="D130" s="295" t="s">
        <v>6</v>
      </c>
      <c r="E130" s="294" t="s">
        <v>5</v>
      </c>
      <c r="F130" s="295" t="s">
        <v>6</v>
      </c>
      <c r="G130" s="295" t="s">
        <v>5</v>
      </c>
      <c r="H130" s="295" t="s">
        <v>6</v>
      </c>
      <c r="I130" s="294" t="s">
        <v>5</v>
      </c>
      <c r="J130" s="295" t="s">
        <v>6</v>
      </c>
      <c r="K130" s="294" t="s">
        <v>5</v>
      </c>
      <c r="L130" s="295" t="s">
        <v>6</v>
      </c>
      <c r="M130" s="295"/>
      <c r="N130" s="295"/>
      <c r="O130" s="294" t="s">
        <v>5</v>
      </c>
      <c r="P130" s="295" t="s">
        <v>6</v>
      </c>
      <c r="Q130" s="295" t="s">
        <v>5</v>
      </c>
      <c r="R130" s="295" t="s">
        <v>6</v>
      </c>
      <c r="S130" s="338"/>
      <c r="T130" s="64"/>
      <c r="U130" s="64"/>
      <c r="V130" s="64"/>
      <c r="W130" s="64"/>
      <c r="X130" s="64"/>
      <c r="Y130" s="339"/>
      <c r="Z130" s="297"/>
      <c r="AA130" s="61" t="s">
        <v>43</v>
      </c>
      <c r="AB130" s="61" t="s">
        <v>45</v>
      </c>
      <c r="AC130" s="61" t="s">
        <v>46</v>
      </c>
      <c r="AD130" s="61" t="s">
        <v>42</v>
      </c>
      <c r="AE130" s="61" t="s">
        <v>41</v>
      </c>
      <c r="AF130" s="61" t="s">
        <v>44</v>
      </c>
    </row>
    <row r="131" spans="1:32" s="65" customFormat="1" ht="12.75" customHeight="1">
      <c r="A131" s="51" t="s">
        <v>7</v>
      </c>
      <c r="B131" s="1" t="s">
        <v>18</v>
      </c>
      <c r="C131" s="295">
        <v>0</v>
      </c>
      <c r="D131" s="295">
        <v>0</v>
      </c>
      <c r="E131" s="69">
        <f t="shared" ref="E131:E139" si="76">O131+Q131</f>
        <v>0</v>
      </c>
      <c r="F131" s="70">
        <f t="shared" ref="F131:F139" si="77">P131+R131</f>
        <v>0</v>
      </c>
      <c r="G131" s="295">
        <f t="shared" ref="G131:G140" si="78">E131-C131</f>
        <v>0</v>
      </c>
      <c r="H131" s="295">
        <f t="shared" ref="H131:H140" si="79">F131-D131</f>
        <v>0</v>
      </c>
      <c r="I131" s="70"/>
      <c r="J131" s="70"/>
      <c r="K131" s="70"/>
      <c r="L131" s="70"/>
      <c r="M131" s="70">
        <f t="shared" ref="M131:M144" si="80">I131+K131</f>
        <v>0</v>
      </c>
      <c r="N131" s="70">
        <f t="shared" ref="N131:N144" si="81">J131+L131</f>
        <v>0</v>
      </c>
      <c r="O131" s="71"/>
      <c r="P131" s="71"/>
      <c r="Q131" s="70"/>
      <c r="R131" s="70"/>
      <c r="S131" s="72"/>
      <c r="T131" s="252" t="e">
        <f>E131/C131</f>
        <v>#DIV/0!</v>
      </c>
      <c r="U131" s="73"/>
      <c r="V131" s="73"/>
      <c r="W131" s="73"/>
      <c r="X131" s="73"/>
      <c r="Y131" s="339"/>
      <c r="Z131" s="297"/>
      <c r="AA131" s="61">
        <f>H127</f>
        <v>17</v>
      </c>
      <c r="AB131" s="61" t="str">
        <f>E127</f>
        <v>CI1-ASV-132 W</v>
      </c>
      <c r="AC131" s="74" t="s">
        <v>440</v>
      </c>
      <c r="AD131" s="61" t="str">
        <f t="shared" ref="AD131:AD144" si="82">A131</f>
        <v>KR</v>
      </c>
      <c r="AE131" s="61">
        <f t="shared" ref="AE131:AE144" si="83">C131</f>
        <v>0</v>
      </c>
      <c r="AF131" s="61">
        <f t="shared" ref="AF131:AF144" si="84">E131</f>
        <v>0</v>
      </c>
    </row>
    <row r="132" spans="1:32" s="65" customFormat="1" ht="12.75" customHeight="1">
      <c r="A132" s="52" t="s">
        <v>13</v>
      </c>
      <c r="B132" s="1" t="s">
        <v>18</v>
      </c>
      <c r="C132" s="295">
        <v>0</v>
      </c>
      <c r="D132" s="295">
        <v>0</v>
      </c>
      <c r="E132" s="69">
        <f t="shared" si="76"/>
        <v>1</v>
      </c>
      <c r="F132" s="70">
        <f t="shared" si="77"/>
        <v>25</v>
      </c>
      <c r="G132" s="295">
        <f t="shared" si="78"/>
        <v>1</v>
      </c>
      <c r="H132" s="295">
        <f t="shared" si="79"/>
        <v>25</v>
      </c>
      <c r="I132" s="75"/>
      <c r="J132" s="75"/>
      <c r="K132" s="70"/>
      <c r="L132" s="70"/>
      <c r="M132" s="70">
        <f t="shared" si="80"/>
        <v>0</v>
      </c>
      <c r="N132" s="70">
        <f t="shared" si="81"/>
        <v>0</v>
      </c>
      <c r="O132" s="75">
        <v>1</v>
      </c>
      <c r="P132" s="75">
        <v>25</v>
      </c>
      <c r="Q132" s="71"/>
      <c r="R132" s="71"/>
      <c r="S132" s="72"/>
      <c r="T132" s="252" t="e">
        <f t="shared" ref="T132:T142" si="85">E132/C132</f>
        <v>#DIV/0!</v>
      </c>
      <c r="U132" s="73"/>
      <c r="V132" s="73"/>
      <c r="W132" s="73"/>
      <c r="X132" s="73"/>
      <c r="AA132" s="61">
        <f>H127</f>
        <v>17</v>
      </c>
      <c r="AB132" s="61" t="str">
        <f>E127</f>
        <v>CI1-ASV-132 W</v>
      </c>
      <c r="AC132" s="74" t="s">
        <v>440</v>
      </c>
      <c r="AD132" s="61" t="str">
        <f t="shared" si="82"/>
        <v>TAO</v>
      </c>
      <c r="AE132" s="61">
        <f t="shared" si="83"/>
        <v>0</v>
      </c>
      <c r="AF132" s="61">
        <f t="shared" si="84"/>
        <v>1</v>
      </c>
    </row>
    <row r="133" spans="1:32" s="65" customFormat="1" ht="12.75" customHeight="1">
      <c r="A133" s="52" t="s">
        <v>9</v>
      </c>
      <c r="B133" s="1">
        <f>B112+7</f>
        <v>43201</v>
      </c>
      <c r="C133" s="295">
        <v>550</v>
      </c>
      <c r="D133" s="295">
        <v>7425</v>
      </c>
      <c r="E133" s="69">
        <f t="shared" si="76"/>
        <v>896</v>
      </c>
      <c r="F133" s="70">
        <f t="shared" si="77"/>
        <v>6156</v>
      </c>
      <c r="G133" s="295">
        <f t="shared" si="78"/>
        <v>346</v>
      </c>
      <c r="H133" s="295">
        <f t="shared" si="79"/>
        <v>-1269</v>
      </c>
      <c r="I133" s="75">
        <v>182</v>
      </c>
      <c r="J133" s="75">
        <v>2044</v>
      </c>
      <c r="K133" s="71"/>
      <c r="L133" s="71"/>
      <c r="M133" s="70">
        <f t="shared" si="80"/>
        <v>182</v>
      </c>
      <c r="N133" s="70">
        <f t="shared" si="81"/>
        <v>2044</v>
      </c>
      <c r="O133" s="75">
        <f>831+65</f>
        <v>896</v>
      </c>
      <c r="P133" s="75">
        <v>6156</v>
      </c>
      <c r="Q133" s="71"/>
      <c r="R133" s="71"/>
      <c r="S133" s="72"/>
      <c r="T133" s="252">
        <f t="shared" si="85"/>
        <v>1.6290909090909091</v>
      </c>
      <c r="U133" s="73"/>
      <c r="V133" s="73"/>
      <c r="W133" s="73"/>
      <c r="X133" s="73"/>
      <c r="AA133" s="61">
        <f>H127</f>
        <v>17</v>
      </c>
      <c r="AB133" s="61" t="str">
        <f>E127</f>
        <v>CI1-ASV-132 W</v>
      </c>
      <c r="AC133" s="74" t="s">
        <v>440</v>
      </c>
      <c r="AD133" s="61" t="str">
        <f t="shared" si="82"/>
        <v>SHA</v>
      </c>
      <c r="AE133" s="61">
        <f t="shared" si="83"/>
        <v>550</v>
      </c>
      <c r="AF133" s="61">
        <f t="shared" si="84"/>
        <v>896</v>
      </c>
    </row>
    <row r="134" spans="1:32" s="65" customFormat="1" ht="12.75" customHeight="1">
      <c r="A134" s="52" t="s">
        <v>8</v>
      </c>
      <c r="B134" s="1">
        <f>B113+7</f>
        <v>43203</v>
      </c>
      <c r="C134" s="295">
        <v>300</v>
      </c>
      <c r="D134" s="295">
        <v>4050</v>
      </c>
      <c r="E134" s="69">
        <f t="shared" si="76"/>
        <v>215</v>
      </c>
      <c r="F134" s="70">
        <f t="shared" si="77"/>
        <v>2054</v>
      </c>
      <c r="G134" s="295">
        <f t="shared" si="78"/>
        <v>-85</v>
      </c>
      <c r="H134" s="295">
        <f t="shared" si="79"/>
        <v>-1996</v>
      </c>
      <c r="I134" s="71">
        <v>33</v>
      </c>
      <c r="J134" s="71">
        <v>336</v>
      </c>
      <c r="K134" s="71"/>
      <c r="L134" s="71"/>
      <c r="M134" s="70">
        <f t="shared" si="80"/>
        <v>33</v>
      </c>
      <c r="N134" s="70">
        <f t="shared" si="81"/>
        <v>336</v>
      </c>
      <c r="O134" s="71"/>
      <c r="P134" s="71"/>
      <c r="Q134" s="71">
        <v>215</v>
      </c>
      <c r="R134" s="71">
        <v>2054</v>
      </c>
      <c r="S134" s="72"/>
      <c r="T134" s="252">
        <f t="shared" si="85"/>
        <v>0.71666666666666667</v>
      </c>
      <c r="U134" s="73"/>
      <c r="V134" s="73"/>
      <c r="W134" s="73"/>
      <c r="X134" s="73"/>
      <c r="AA134" s="61">
        <f>H127</f>
        <v>17</v>
      </c>
      <c r="AB134" s="61" t="str">
        <f>E127</f>
        <v>CI1-ASV-132 W</v>
      </c>
      <c r="AC134" s="74" t="s">
        <v>440</v>
      </c>
      <c r="AD134" s="61" t="str">
        <f t="shared" si="82"/>
        <v>NGB</v>
      </c>
      <c r="AE134" s="61">
        <f t="shared" si="83"/>
        <v>300</v>
      </c>
      <c r="AF134" s="61">
        <f t="shared" si="84"/>
        <v>215</v>
      </c>
    </row>
    <row r="135" spans="1:32" s="65" customFormat="1" ht="12.75" customHeight="1">
      <c r="A135" s="52" t="s">
        <v>10</v>
      </c>
      <c r="B135" s="1" t="s">
        <v>67</v>
      </c>
      <c r="C135" s="295">
        <v>50</v>
      </c>
      <c r="D135" s="295">
        <v>675</v>
      </c>
      <c r="E135" s="69">
        <f t="shared" si="76"/>
        <v>92</v>
      </c>
      <c r="F135" s="70">
        <f t="shared" si="77"/>
        <v>1037</v>
      </c>
      <c r="G135" s="295">
        <f t="shared" si="78"/>
        <v>42</v>
      </c>
      <c r="H135" s="295">
        <f t="shared" si="79"/>
        <v>362</v>
      </c>
      <c r="I135" s="75"/>
      <c r="J135" s="75"/>
      <c r="K135" s="70"/>
      <c r="L135" s="70"/>
      <c r="M135" s="70">
        <f t="shared" si="80"/>
        <v>0</v>
      </c>
      <c r="N135" s="70">
        <f t="shared" si="81"/>
        <v>0</v>
      </c>
      <c r="O135" s="75">
        <v>92</v>
      </c>
      <c r="P135" s="75">
        <v>1037</v>
      </c>
      <c r="Q135" s="70"/>
      <c r="R135" s="70"/>
      <c r="S135" s="72"/>
      <c r="T135" s="252">
        <f t="shared" si="85"/>
        <v>1.84</v>
      </c>
      <c r="U135" s="73"/>
      <c r="V135" s="73"/>
      <c r="W135" s="73"/>
      <c r="X135" s="73"/>
      <c r="AA135" s="61">
        <f>H127</f>
        <v>17</v>
      </c>
      <c r="AB135" s="61" t="str">
        <f>E127</f>
        <v>CI1-ASV-132 W</v>
      </c>
      <c r="AC135" s="74" t="s">
        <v>440</v>
      </c>
      <c r="AD135" s="61" t="str">
        <f t="shared" si="82"/>
        <v>WUH</v>
      </c>
      <c r="AE135" s="61">
        <f t="shared" si="83"/>
        <v>50</v>
      </c>
      <c r="AF135" s="61">
        <f t="shared" si="84"/>
        <v>92</v>
      </c>
    </row>
    <row r="136" spans="1:32" s="65" customFormat="1" ht="12.75" customHeight="1">
      <c r="A136" s="52" t="s">
        <v>11</v>
      </c>
      <c r="B136" s="1" t="s">
        <v>18</v>
      </c>
      <c r="C136" s="295">
        <v>50</v>
      </c>
      <c r="D136" s="295">
        <v>675</v>
      </c>
      <c r="E136" s="69">
        <f t="shared" si="76"/>
        <v>80</v>
      </c>
      <c r="F136" s="70">
        <f t="shared" si="77"/>
        <v>1661</v>
      </c>
      <c r="G136" s="295">
        <f t="shared" si="78"/>
        <v>30</v>
      </c>
      <c r="H136" s="295">
        <f t="shared" si="79"/>
        <v>986</v>
      </c>
      <c r="I136" s="70"/>
      <c r="J136" s="70"/>
      <c r="K136" s="70"/>
      <c r="L136" s="70"/>
      <c r="M136" s="70">
        <f t="shared" si="80"/>
        <v>0</v>
      </c>
      <c r="N136" s="70">
        <f t="shared" si="81"/>
        <v>0</v>
      </c>
      <c r="O136" s="75"/>
      <c r="P136" s="75"/>
      <c r="Q136" s="70">
        <v>80</v>
      </c>
      <c r="R136" s="70">
        <v>1661</v>
      </c>
      <c r="S136" s="72"/>
      <c r="T136" s="252">
        <f t="shared" si="85"/>
        <v>1.6</v>
      </c>
      <c r="U136" s="73"/>
      <c r="V136" s="73"/>
      <c r="W136" s="73"/>
      <c r="X136" s="73"/>
      <c r="AA136" s="61">
        <f>H127</f>
        <v>17</v>
      </c>
      <c r="AB136" s="61" t="str">
        <f>E127</f>
        <v>CI1-ASV-132 W</v>
      </c>
      <c r="AC136" s="74" t="s">
        <v>440</v>
      </c>
      <c r="AD136" s="61" t="str">
        <f t="shared" si="82"/>
        <v>DLC</v>
      </c>
      <c r="AE136" s="61">
        <f t="shared" si="83"/>
        <v>50</v>
      </c>
      <c r="AF136" s="61">
        <f t="shared" si="84"/>
        <v>80</v>
      </c>
    </row>
    <row r="137" spans="1:32" s="65" customFormat="1" ht="12.75" customHeight="1">
      <c r="A137" s="52" t="s">
        <v>12</v>
      </c>
      <c r="B137" s="1" t="s">
        <v>18</v>
      </c>
      <c r="C137" s="295"/>
      <c r="D137" s="295"/>
      <c r="E137" s="69">
        <f t="shared" si="76"/>
        <v>1</v>
      </c>
      <c r="F137" s="70">
        <f t="shared" si="77"/>
        <v>7</v>
      </c>
      <c r="G137" s="295">
        <f t="shared" si="78"/>
        <v>1</v>
      </c>
      <c r="H137" s="295">
        <f t="shared" si="79"/>
        <v>7</v>
      </c>
      <c r="I137" s="70"/>
      <c r="J137" s="70"/>
      <c r="K137" s="70"/>
      <c r="L137" s="70"/>
      <c r="M137" s="70">
        <f t="shared" si="80"/>
        <v>0</v>
      </c>
      <c r="N137" s="70">
        <f t="shared" si="81"/>
        <v>0</v>
      </c>
      <c r="O137" s="75"/>
      <c r="P137" s="75"/>
      <c r="Q137" s="76">
        <v>1</v>
      </c>
      <c r="R137" s="71">
        <v>7</v>
      </c>
      <c r="S137" s="72"/>
      <c r="T137" s="252" t="e">
        <f t="shared" si="85"/>
        <v>#DIV/0!</v>
      </c>
      <c r="U137" s="73"/>
      <c r="V137" s="73"/>
      <c r="W137" s="73"/>
      <c r="X137" s="73"/>
      <c r="AA137" s="61">
        <f>H127</f>
        <v>17</v>
      </c>
      <c r="AB137" s="61" t="str">
        <f>E127</f>
        <v>CI1-ASV-132 W</v>
      </c>
      <c r="AC137" s="74" t="s">
        <v>440</v>
      </c>
      <c r="AD137" s="61" t="str">
        <f t="shared" si="82"/>
        <v>TSN</v>
      </c>
      <c r="AE137" s="61">
        <f t="shared" si="83"/>
        <v>0</v>
      </c>
      <c r="AF137" s="61">
        <f t="shared" si="84"/>
        <v>1</v>
      </c>
    </row>
    <row r="138" spans="1:32" s="65" customFormat="1" ht="12.75" customHeight="1">
      <c r="A138" s="52" t="s">
        <v>14</v>
      </c>
      <c r="B138" s="1" t="s">
        <v>18</v>
      </c>
      <c r="C138" s="295">
        <v>50</v>
      </c>
      <c r="D138" s="295">
        <v>675</v>
      </c>
      <c r="E138" s="69">
        <f t="shared" si="76"/>
        <v>12</v>
      </c>
      <c r="F138" s="70">
        <f t="shared" si="77"/>
        <v>158</v>
      </c>
      <c r="G138" s="295">
        <f t="shared" si="78"/>
        <v>-38</v>
      </c>
      <c r="H138" s="295">
        <f t="shared" si="79"/>
        <v>-517</v>
      </c>
      <c r="I138" s="70"/>
      <c r="J138" s="70"/>
      <c r="K138" s="70"/>
      <c r="L138" s="70"/>
      <c r="M138" s="70">
        <f t="shared" si="80"/>
        <v>0</v>
      </c>
      <c r="N138" s="70">
        <f t="shared" si="81"/>
        <v>0</v>
      </c>
      <c r="O138" s="71"/>
      <c r="P138" s="71"/>
      <c r="Q138" s="70">
        <v>12</v>
      </c>
      <c r="R138" s="70">
        <v>158</v>
      </c>
      <c r="S138" s="72"/>
      <c r="T138" s="252">
        <f t="shared" si="85"/>
        <v>0.24</v>
      </c>
      <c r="U138" s="73"/>
      <c r="V138" s="73"/>
      <c r="W138" s="73"/>
      <c r="X138" s="73"/>
      <c r="AA138" s="61">
        <f>H127</f>
        <v>17</v>
      </c>
      <c r="AB138" s="61" t="str">
        <f>E127</f>
        <v>CI1-ASV-132 W</v>
      </c>
      <c r="AC138" s="74" t="s">
        <v>440</v>
      </c>
      <c r="AD138" s="61" t="str">
        <f t="shared" si="82"/>
        <v>XMN</v>
      </c>
      <c r="AE138" s="61">
        <f t="shared" si="83"/>
        <v>50</v>
      </c>
      <c r="AF138" s="61">
        <f t="shared" si="84"/>
        <v>12</v>
      </c>
    </row>
    <row r="139" spans="1:32" s="65" customFormat="1" ht="12.75" customHeight="1">
      <c r="A139" s="52" t="s">
        <v>558</v>
      </c>
      <c r="B139" s="1" t="s">
        <v>18</v>
      </c>
      <c r="C139" s="295">
        <v>100</v>
      </c>
      <c r="D139" s="295">
        <v>1350</v>
      </c>
      <c r="E139" s="69">
        <f t="shared" si="76"/>
        <v>0</v>
      </c>
      <c r="F139" s="70">
        <f t="shared" si="77"/>
        <v>0</v>
      </c>
      <c r="G139" s="295">
        <f t="shared" si="78"/>
        <v>-100</v>
      </c>
      <c r="H139" s="295">
        <f t="shared" si="79"/>
        <v>-1350</v>
      </c>
      <c r="I139" s="70"/>
      <c r="J139" s="70"/>
      <c r="K139" s="70"/>
      <c r="L139" s="70"/>
      <c r="M139" s="70">
        <f t="shared" si="80"/>
        <v>0</v>
      </c>
      <c r="N139" s="70">
        <f t="shared" si="81"/>
        <v>0</v>
      </c>
      <c r="O139" s="70"/>
      <c r="P139" s="70"/>
      <c r="Q139" s="70"/>
      <c r="R139" s="70"/>
      <c r="S139" s="72"/>
      <c r="T139" s="252">
        <f t="shared" si="85"/>
        <v>0</v>
      </c>
      <c r="U139" s="73"/>
      <c r="V139" s="73"/>
      <c r="W139" s="73"/>
      <c r="X139" s="73"/>
      <c r="AA139" s="61">
        <f>H127</f>
        <v>17</v>
      </c>
      <c r="AB139" s="61" t="str">
        <f>E127</f>
        <v>CI1-ASV-132 W</v>
      </c>
      <c r="AC139" s="74" t="s">
        <v>440</v>
      </c>
      <c r="AD139" s="61" t="str">
        <f t="shared" si="82"/>
        <v>HAK</v>
      </c>
      <c r="AE139" s="61">
        <f t="shared" si="83"/>
        <v>100</v>
      </c>
      <c r="AF139" s="61">
        <f t="shared" si="84"/>
        <v>0</v>
      </c>
    </row>
    <row r="140" spans="1:32" s="65" customFormat="1" ht="12.75" customHeight="1">
      <c r="A140" s="52" t="s">
        <v>16</v>
      </c>
      <c r="B140" s="1">
        <f>B119+7</f>
        <v>43206</v>
      </c>
      <c r="C140" s="295">
        <v>850</v>
      </c>
      <c r="D140" s="295">
        <v>11475</v>
      </c>
      <c r="E140" s="69">
        <f>O140+Q140</f>
        <v>803</v>
      </c>
      <c r="F140" s="70">
        <f>P140+R139</f>
        <v>0</v>
      </c>
      <c r="G140" s="295">
        <f t="shared" si="78"/>
        <v>-47</v>
      </c>
      <c r="H140" s="295">
        <f t="shared" si="79"/>
        <v>-11475</v>
      </c>
      <c r="I140" s="70">
        <v>43</v>
      </c>
      <c r="J140" s="70">
        <v>263</v>
      </c>
      <c r="K140" s="70"/>
      <c r="L140" s="70"/>
      <c r="M140" s="70">
        <f t="shared" si="80"/>
        <v>43</v>
      </c>
      <c r="N140" s="70">
        <f t="shared" si="81"/>
        <v>263</v>
      </c>
      <c r="O140" s="70"/>
      <c r="P140" s="70"/>
      <c r="Q140" s="70">
        <v>803</v>
      </c>
      <c r="R140" s="84">
        <v>7379</v>
      </c>
      <c r="S140" s="72"/>
      <c r="T140" s="252">
        <f t="shared" si="85"/>
        <v>0.94470588235294117</v>
      </c>
      <c r="U140" s="73"/>
      <c r="V140" s="73"/>
      <c r="W140" s="73"/>
      <c r="X140" s="73"/>
      <c r="AA140" s="61">
        <f>H127</f>
        <v>17</v>
      </c>
      <c r="AB140" s="61" t="str">
        <f>E127</f>
        <v>CI1-ASV-132 W</v>
      </c>
      <c r="AC140" s="74" t="s">
        <v>440</v>
      </c>
      <c r="AD140" s="61" t="str">
        <f t="shared" si="82"/>
        <v>HUA</v>
      </c>
      <c r="AE140" s="61">
        <f t="shared" si="83"/>
        <v>850</v>
      </c>
      <c r="AF140" s="61">
        <f t="shared" si="84"/>
        <v>803</v>
      </c>
    </row>
    <row r="141" spans="1:32" s="65" customFormat="1" ht="12.75" customHeight="1">
      <c r="A141" s="52" t="s">
        <v>68</v>
      </c>
      <c r="B141" s="1">
        <f>B120+7</f>
        <v>43207</v>
      </c>
      <c r="C141" s="295"/>
      <c r="D141" s="295"/>
      <c r="E141" s="69">
        <f>O141+Q141</f>
        <v>0</v>
      </c>
      <c r="F141" s="70">
        <f>P141+R141</f>
        <v>0</v>
      </c>
      <c r="G141" s="295"/>
      <c r="H141" s="295"/>
      <c r="I141" s="70">
        <v>49</v>
      </c>
      <c r="J141" s="70">
        <v>576</v>
      </c>
      <c r="K141" s="70"/>
      <c r="L141" s="70"/>
      <c r="M141" s="70">
        <f t="shared" si="80"/>
        <v>49</v>
      </c>
      <c r="N141" s="70">
        <f t="shared" si="81"/>
        <v>576</v>
      </c>
      <c r="O141" s="70"/>
      <c r="P141" s="70"/>
      <c r="Q141" s="70"/>
      <c r="R141" s="70"/>
      <c r="S141" s="72"/>
      <c r="T141" s="252" t="e">
        <f t="shared" si="85"/>
        <v>#DIV/0!</v>
      </c>
      <c r="U141" s="73"/>
      <c r="V141" s="73"/>
      <c r="W141" s="73"/>
      <c r="X141" s="73"/>
      <c r="AA141" s="61">
        <f>H127</f>
        <v>17</v>
      </c>
      <c r="AB141" s="61" t="str">
        <f>E127</f>
        <v>CI1-ASV-132 W</v>
      </c>
      <c r="AC141" s="74" t="s">
        <v>440</v>
      </c>
      <c r="AD141" s="61" t="str">
        <f t="shared" si="82"/>
        <v>GNS</v>
      </c>
      <c r="AE141" s="61">
        <f t="shared" si="83"/>
        <v>0</v>
      </c>
      <c r="AF141" s="61">
        <f t="shared" si="84"/>
        <v>0</v>
      </c>
    </row>
    <row r="142" spans="1:32" s="65" customFormat="1" ht="12.75" customHeight="1">
      <c r="A142" s="52" t="s">
        <v>3</v>
      </c>
      <c r="B142" s="1">
        <f>B121+7</f>
        <v>43212</v>
      </c>
      <c r="C142" s="295">
        <v>150</v>
      </c>
      <c r="D142" s="295">
        <v>2025</v>
      </c>
      <c r="E142" s="69">
        <f>O142+Q142</f>
        <v>150</v>
      </c>
      <c r="F142" s="70">
        <f>P142+R142</f>
        <v>2025</v>
      </c>
      <c r="G142" s="295">
        <f t="shared" ref="G142:G145" si="86">E142-C142</f>
        <v>0</v>
      </c>
      <c r="H142" s="295">
        <f t="shared" ref="H142:H145" si="87">F142-D142</f>
        <v>0</v>
      </c>
      <c r="I142" s="70"/>
      <c r="J142" s="70"/>
      <c r="K142" s="70"/>
      <c r="L142" s="70"/>
      <c r="M142" s="70">
        <f t="shared" si="80"/>
        <v>0</v>
      </c>
      <c r="N142" s="70">
        <f t="shared" si="81"/>
        <v>0</v>
      </c>
      <c r="O142" s="295"/>
      <c r="P142" s="295"/>
      <c r="Q142" s="70">
        <v>150</v>
      </c>
      <c r="R142" s="70">
        <v>2025</v>
      </c>
      <c r="S142" s="72"/>
      <c r="T142" s="252">
        <f t="shared" si="85"/>
        <v>1</v>
      </c>
      <c r="U142" s="73"/>
      <c r="V142" s="73"/>
      <c r="W142" s="73"/>
      <c r="X142" s="73"/>
      <c r="AA142" s="61">
        <f>H127</f>
        <v>17</v>
      </c>
      <c r="AB142" s="61" t="str">
        <f>E127</f>
        <v>CI1-ASV-132 W</v>
      </c>
      <c r="AC142" s="74" t="s">
        <v>440</v>
      </c>
      <c r="AD142" s="61" t="str">
        <f t="shared" si="82"/>
        <v>SGP</v>
      </c>
      <c r="AE142" s="61">
        <f t="shared" si="83"/>
        <v>150</v>
      </c>
      <c r="AF142" s="61">
        <f t="shared" si="84"/>
        <v>150</v>
      </c>
    </row>
    <row r="143" spans="1:32" s="65" customFormat="1" ht="12.75" customHeight="1">
      <c r="A143" s="52" t="s">
        <v>431</v>
      </c>
      <c r="B143" s="295"/>
      <c r="C143" s="295"/>
      <c r="D143" s="295"/>
      <c r="E143" s="69">
        <f>O143+Q143</f>
        <v>0</v>
      </c>
      <c r="F143" s="70">
        <f>P143+R143</f>
        <v>0</v>
      </c>
      <c r="G143" s="295">
        <f t="shared" si="86"/>
        <v>0</v>
      </c>
      <c r="H143" s="295">
        <f t="shared" si="87"/>
        <v>0</v>
      </c>
      <c r="I143" s="70"/>
      <c r="J143" s="70"/>
      <c r="K143" s="70"/>
      <c r="L143" s="70"/>
      <c r="M143" s="70">
        <f t="shared" si="80"/>
        <v>0</v>
      </c>
      <c r="N143" s="70">
        <f t="shared" si="81"/>
        <v>0</v>
      </c>
      <c r="O143" s="70"/>
      <c r="P143" s="70"/>
      <c r="Q143" s="70"/>
      <c r="R143" s="70"/>
      <c r="S143" s="72"/>
      <c r="T143" s="252" t="e">
        <f>E143/C143</f>
        <v>#DIV/0!</v>
      </c>
      <c r="U143" s="73"/>
      <c r="V143" s="73"/>
      <c r="W143" s="73"/>
      <c r="X143" s="73"/>
      <c r="AA143" s="61">
        <f>H127</f>
        <v>17</v>
      </c>
      <c r="AB143" s="61" t="str">
        <f>E127</f>
        <v>CI1-ASV-132 W</v>
      </c>
      <c r="AC143" s="74" t="s">
        <v>440</v>
      </c>
      <c r="AD143" s="61" t="str">
        <f t="shared" si="82"/>
        <v>HQ</v>
      </c>
      <c r="AE143" s="61">
        <f t="shared" si="83"/>
        <v>0</v>
      </c>
      <c r="AF143" s="61">
        <f t="shared" si="84"/>
        <v>0</v>
      </c>
    </row>
    <row r="144" spans="1:32" s="65" customFormat="1" ht="12.75" customHeight="1">
      <c r="A144" s="52" t="s">
        <v>31</v>
      </c>
      <c r="B144" s="295"/>
      <c r="C144" s="295"/>
      <c r="D144" s="295"/>
      <c r="E144" s="69">
        <f>O144+Q144</f>
        <v>22</v>
      </c>
      <c r="F144" s="70">
        <f>P144+R144</f>
        <v>393</v>
      </c>
      <c r="G144" s="295">
        <f t="shared" si="86"/>
        <v>22</v>
      </c>
      <c r="H144" s="295">
        <f t="shared" si="87"/>
        <v>393</v>
      </c>
      <c r="I144" s="70"/>
      <c r="J144" s="70"/>
      <c r="K144" s="70"/>
      <c r="L144" s="70"/>
      <c r="M144" s="70">
        <f t="shared" si="80"/>
        <v>0</v>
      </c>
      <c r="N144" s="70">
        <f t="shared" si="81"/>
        <v>0</v>
      </c>
      <c r="O144" s="71"/>
      <c r="P144" s="71"/>
      <c r="Q144" s="71">
        <v>22</v>
      </c>
      <c r="R144" s="71">
        <v>393</v>
      </c>
      <c r="S144" s="72"/>
      <c r="T144" s="73"/>
      <c r="U144" s="73"/>
      <c r="V144" s="73"/>
      <c r="W144" s="73"/>
      <c r="X144" s="73"/>
      <c r="AA144" s="61">
        <f>H127</f>
        <v>17</v>
      </c>
      <c r="AB144" s="61" t="str">
        <f>E127</f>
        <v>CI1-ASV-132 W</v>
      </c>
      <c r="AC144" s="74" t="s">
        <v>440</v>
      </c>
      <c r="AD144" s="61" t="str">
        <f t="shared" si="82"/>
        <v>COSCO T/S</v>
      </c>
      <c r="AE144" s="61">
        <f t="shared" si="83"/>
        <v>0</v>
      </c>
      <c r="AF144" s="61">
        <f t="shared" si="84"/>
        <v>22</v>
      </c>
    </row>
    <row r="145" spans="1:32" s="65" customFormat="1" ht="12.75" customHeight="1">
      <c r="A145" s="51" t="s">
        <v>36</v>
      </c>
      <c r="B145" s="72"/>
      <c r="C145" s="71">
        <f>SUM(C131:C144)</f>
        <v>2100</v>
      </c>
      <c r="D145" s="71">
        <f>SUM(D131:D144)</f>
        <v>28350</v>
      </c>
      <c r="E145" s="78">
        <f>SUM(E131:E144)</f>
        <v>2272</v>
      </c>
      <c r="F145" s="76">
        <f>SUM(F131:F144)</f>
        <v>13516</v>
      </c>
      <c r="G145" s="71">
        <f t="shared" si="86"/>
        <v>172</v>
      </c>
      <c r="H145" s="71">
        <f t="shared" si="87"/>
        <v>-14834</v>
      </c>
      <c r="I145" s="70">
        <f t="shared" ref="I145:L145" si="88">SUM(I131:I144)</f>
        <v>307</v>
      </c>
      <c r="J145" s="70">
        <f t="shared" si="88"/>
        <v>3219</v>
      </c>
      <c r="K145" s="70">
        <f t="shared" si="88"/>
        <v>0</v>
      </c>
      <c r="L145" s="70">
        <f t="shared" si="88"/>
        <v>0</v>
      </c>
      <c r="M145" s="70"/>
      <c r="N145" s="70"/>
      <c r="O145" s="70">
        <f t="shared" ref="O145:R145" si="89">SUM(O131:O144)</f>
        <v>989</v>
      </c>
      <c r="P145" s="70">
        <f t="shared" si="89"/>
        <v>7218</v>
      </c>
      <c r="Q145" s="70">
        <f t="shared" si="89"/>
        <v>1283</v>
      </c>
      <c r="R145" s="70">
        <f t="shared" si="89"/>
        <v>13677</v>
      </c>
      <c r="S145" s="72"/>
      <c r="T145" s="73"/>
      <c r="U145" s="73"/>
      <c r="V145" s="73"/>
      <c r="W145" s="73"/>
      <c r="X145" s="73"/>
      <c r="AA145" s="61"/>
      <c r="AB145" s="61"/>
      <c r="AC145" s="61"/>
      <c r="AD145" s="61"/>
      <c r="AE145" s="61"/>
      <c r="AF145" s="61"/>
    </row>
    <row r="146" spans="1:32" s="65" customFormat="1" ht="12.75" customHeight="1">
      <c r="A146" s="84">
        <f>D145/C145</f>
        <v>13.5</v>
      </c>
      <c r="C146" s="296">
        <f>F145-E146</f>
        <v>-11999</v>
      </c>
      <c r="E146" s="65">
        <f>D145*0.9</f>
        <v>25515</v>
      </c>
      <c r="F146" s="296">
        <f>E145-L146</f>
        <v>382</v>
      </c>
      <c r="I146" s="80" t="s">
        <v>48</v>
      </c>
      <c r="J146" s="245">
        <f>E145/C145</f>
        <v>1.0819047619047619</v>
      </c>
      <c r="K146" s="80"/>
      <c r="L146" s="80">
        <f>C145*0.9</f>
        <v>1890</v>
      </c>
      <c r="M146" s="80"/>
      <c r="N146" s="80"/>
      <c r="O146" s="80" t="s">
        <v>49</v>
      </c>
      <c r="P146" s="80"/>
      <c r="Q146" s="65">
        <f>P132+P133+P135+P136+P137+J132+J133+L132+L133+J135+R135</f>
        <v>9262</v>
      </c>
      <c r="R146" s="65">
        <v>16856</v>
      </c>
      <c r="AA146" s="81"/>
      <c r="AB146" s="81"/>
      <c r="AC146" s="81"/>
      <c r="AD146" s="81"/>
      <c r="AE146" s="81"/>
      <c r="AF146" s="81"/>
    </row>
    <row r="148" spans="1:32" s="63" customFormat="1" ht="12.75" customHeight="1">
      <c r="A148" s="59" t="s">
        <v>440</v>
      </c>
      <c r="B148" s="58" t="s">
        <v>645</v>
      </c>
      <c r="C148" s="56"/>
      <c r="D148" s="57"/>
      <c r="E148" s="58" t="s">
        <v>614</v>
      </c>
      <c r="F148" s="57"/>
      <c r="G148" s="59" t="s">
        <v>37</v>
      </c>
      <c r="H148" s="60">
        <f>H127+1</f>
        <v>18</v>
      </c>
      <c r="I148" s="251"/>
      <c r="J148" s="57"/>
      <c r="K148" s="57"/>
      <c r="L148" s="57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2"/>
      <c r="Z148" s="62"/>
      <c r="AA148" s="62"/>
      <c r="AB148" s="62"/>
      <c r="AC148" s="62"/>
    </row>
    <row r="149" spans="1:32" s="65" customFormat="1" ht="12.75" customHeight="1">
      <c r="A149" s="340" t="s">
        <v>0</v>
      </c>
      <c r="B149" s="336" t="s">
        <v>1</v>
      </c>
      <c r="C149" s="331" t="s">
        <v>25</v>
      </c>
      <c r="D149" s="332"/>
      <c r="E149" s="331" t="s">
        <v>21</v>
      </c>
      <c r="F149" s="332"/>
      <c r="G149" s="335" t="s">
        <v>24</v>
      </c>
      <c r="H149" s="335"/>
      <c r="I149" s="328" t="s">
        <v>33</v>
      </c>
      <c r="J149" s="329"/>
      <c r="K149" s="329"/>
      <c r="L149" s="329"/>
      <c r="M149" s="329"/>
      <c r="N149" s="330"/>
      <c r="O149" s="331" t="s">
        <v>22</v>
      </c>
      <c r="P149" s="332"/>
      <c r="Q149" s="335" t="s">
        <v>23</v>
      </c>
      <c r="R149" s="335"/>
      <c r="S149" s="336" t="s">
        <v>27</v>
      </c>
      <c r="T149" s="64"/>
      <c r="U149" s="64"/>
      <c r="V149" s="64"/>
      <c r="W149" s="64"/>
      <c r="X149" s="64"/>
      <c r="Y149" s="339"/>
      <c r="Z149" s="303"/>
      <c r="AA149" s="61"/>
      <c r="AB149" s="61"/>
      <c r="AC149" s="74"/>
      <c r="AD149" s="61"/>
      <c r="AE149" s="61"/>
      <c r="AF149" s="61"/>
    </row>
    <row r="150" spans="1:32" s="65" customFormat="1" ht="12.75" customHeight="1">
      <c r="A150" s="341"/>
      <c r="B150" s="337"/>
      <c r="C150" s="333"/>
      <c r="D150" s="334"/>
      <c r="E150" s="333"/>
      <c r="F150" s="334"/>
      <c r="G150" s="335"/>
      <c r="H150" s="335"/>
      <c r="I150" s="299" t="s">
        <v>28</v>
      </c>
      <c r="J150" s="300" t="s">
        <v>3</v>
      </c>
      <c r="K150" s="299" t="s">
        <v>29</v>
      </c>
      <c r="L150" s="300" t="s">
        <v>4</v>
      </c>
      <c r="M150" s="328" t="s">
        <v>30</v>
      </c>
      <c r="N150" s="330"/>
      <c r="O150" s="333"/>
      <c r="P150" s="334"/>
      <c r="Q150" s="335"/>
      <c r="R150" s="335"/>
      <c r="S150" s="337"/>
      <c r="T150" s="64"/>
      <c r="U150" s="64"/>
      <c r="V150" s="64"/>
      <c r="W150" s="64"/>
      <c r="X150" s="64"/>
      <c r="Y150" s="339"/>
      <c r="Z150" s="303"/>
      <c r="AA150" s="61"/>
      <c r="AB150" s="61"/>
      <c r="AC150" s="74"/>
      <c r="AD150" s="61"/>
      <c r="AE150" s="61"/>
      <c r="AF150" s="61"/>
    </row>
    <row r="151" spans="1:32" s="65" customFormat="1" ht="12.75" customHeight="1">
      <c r="A151" s="342"/>
      <c r="B151" s="338"/>
      <c r="C151" s="301" t="s">
        <v>5</v>
      </c>
      <c r="D151" s="301" t="s">
        <v>6</v>
      </c>
      <c r="E151" s="300" t="s">
        <v>5</v>
      </c>
      <c r="F151" s="301" t="s">
        <v>6</v>
      </c>
      <c r="G151" s="301" t="s">
        <v>5</v>
      </c>
      <c r="H151" s="301" t="s">
        <v>6</v>
      </c>
      <c r="I151" s="300" t="s">
        <v>5</v>
      </c>
      <c r="J151" s="301" t="s">
        <v>6</v>
      </c>
      <c r="K151" s="300" t="s">
        <v>5</v>
      </c>
      <c r="L151" s="301" t="s">
        <v>6</v>
      </c>
      <c r="M151" s="301"/>
      <c r="N151" s="301"/>
      <c r="O151" s="300" t="s">
        <v>5</v>
      </c>
      <c r="P151" s="301" t="s">
        <v>6</v>
      </c>
      <c r="Q151" s="301" t="s">
        <v>5</v>
      </c>
      <c r="R151" s="301" t="s">
        <v>6</v>
      </c>
      <c r="S151" s="338"/>
      <c r="T151" s="64"/>
      <c r="U151" s="64"/>
      <c r="V151" s="64"/>
      <c r="W151" s="64"/>
      <c r="X151" s="64"/>
      <c r="Y151" s="339"/>
      <c r="Z151" s="303"/>
      <c r="AA151" s="61" t="s">
        <v>43</v>
      </c>
      <c r="AB151" s="61" t="s">
        <v>45</v>
      </c>
      <c r="AC151" s="61" t="s">
        <v>46</v>
      </c>
      <c r="AD151" s="61" t="s">
        <v>42</v>
      </c>
      <c r="AE151" s="61" t="s">
        <v>41</v>
      </c>
      <c r="AF151" s="61" t="s">
        <v>44</v>
      </c>
    </row>
    <row r="152" spans="1:32" s="65" customFormat="1" ht="12.75" customHeight="1">
      <c r="A152" s="51" t="s">
        <v>7</v>
      </c>
      <c r="B152" s="1" t="s">
        <v>18</v>
      </c>
      <c r="C152" s="301">
        <v>0</v>
      </c>
      <c r="D152" s="301">
        <v>0</v>
      </c>
      <c r="E152" s="69">
        <f t="shared" ref="E152:E160" si="90">O152+Q152</f>
        <v>0</v>
      </c>
      <c r="F152" s="70">
        <f t="shared" ref="F152:F160" si="91">P152+R152</f>
        <v>0</v>
      </c>
      <c r="G152" s="301">
        <f t="shared" ref="G152:G161" si="92">E152-C152</f>
        <v>0</v>
      </c>
      <c r="H152" s="301">
        <f t="shared" ref="H152:H161" si="93">F152-D152</f>
        <v>0</v>
      </c>
      <c r="I152" s="70"/>
      <c r="J152" s="70"/>
      <c r="K152" s="70"/>
      <c r="L152" s="70"/>
      <c r="M152" s="70">
        <f t="shared" ref="M152:M165" si="94">I152+K152</f>
        <v>0</v>
      </c>
      <c r="N152" s="70">
        <f t="shared" ref="N152:N165" si="95">J152+L152</f>
        <v>0</v>
      </c>
      <c r="O152" s="71"/>
      <c r="P152" s="71"/>
      <c r="Q152" s="70"/>
      <c r="R152" s="70"/>
      <c r="S152" s="72"/>
      <c r="T152" s="252" t="e">
        <f>E152/C152</f>
        <v>#DIV/0!</v>
      </c>
      <c r="U152" s="73"/>
      <c r="V152" s="73"/>
      <c r="W152" s="73"/>
      <c r="X152" s="73"/>
      <c r="Y152" s="339"/>
      <c r="Z152" s="303"/>
      <c r="AA152" s="61">
        <f>H148</f>
        <v>18</v>
      </c>
      <c r="AB152" s="61" t="str">
        <f>E148</f>
        <v>CI1-ROC-016 W</v>
      </c>
      <c r="AC152" s="74" t="s">
        <v>440</v>
      </c>
      <c r="AD152" s="61" t="str">
        <f t="shared" ref="AD152:AD165" si="96">A152</f>
        <v>KR</v>
      </c>
      <c r="AE152" s="61">
        <f t="shared" ref="AE152:AE165" si="97">C152</f>
        <v>0</v>
      </c>
      <c r="AF152" s="61">
        <f t="shared" ref="AF152:AF165" si="98">E152</f>
        <v>0</v>
      </c>
    </row>
    <row r="153" spans="1:32" s="65" customFormat="1" ht="12.75" customHeight="1">
      <c r="A153" s="52" t="s">
        <v>13</v>
      </c>
      <c r="B153" s="1" t="s">
        <v>18</v>
      </c>
      <c r="C153" s="301">
        <v>0</v>
      </c>
      <c r="D153" s="301">
        <v>0</v>
      </c>
      <c r="E153" s="69">
        <f t="shared" si="90"/>
        <v>0</v>
      </c>
      <c r="F153" s="70">
        <f t="shared" si="91"/>
        <v>0</v>
      </c>
      <c r="G153" s="301">
        <f t="shared" si="92"/>
        <v>0</v>
      </c>
      <c r="H153" s="301">
        <f t="shared" si="93"/>
        <v>0</v>
      </c>
      <c r="I153" s="75"/>
      <c r="J153" s="75"/>
      <c r="K153" s="70"/>
      <c r="L153" s="70"/>
      <c r="M153" s="70">
        <f t="shared" si="94"/>
        <v>0</v>
      </c>
      <c r="N153" s="70">
        <f t="shared" si="95"/>
        <v>0</v>
      </c>
      <c r="O153" s="75"/>
      <c r="P153" s="75"/>
      <c r="Q153" s="71"/>
      <c r="R153" s="71"/>
      <c r="S153" s="72"/>
      <c r="T153" s="252" t="e">
        <f t="shared" ref="T153:T163" si="99">E153/C153</f>
        <v>#DIV/0!</v>
      </c>
      <c r="U153" s="73"/>
      <c r="V153" s="73"/>
      <c r="W153" s="73"/>
      <c r="X153" s="73"/>
      <c r="AA153" s="61">
        <f>H148</f>
        <v>18</v>
      </c>
      <c r="AB153" s="61" t="str">
        <f>E148</f>
        <v>CI1-ROC-016 W</v>
      </c>
      <c r="AC153" s="74" t="s">
        <v>440</v>
      </c>
      <c r="AD153" s="61" t="str">
        <f t="shared" si="96"/>
        <v>TAO</v>
      </c>
      <c r="AE153" s="61">
        <f t="shared" si="97"/>
        <v>0</v>
      </c>
      <c r="AF153" s="61">
        <f t="shared" si="98"/>
        <v>0</v>
      </c>
    </row>
    <row r="154" spans="1:32" s="65" customFormat="1" ht="12.75" customHeight="1">
      <c r="A154" s="52" t="s">
        <v>9</v>
      </c>
      <c r="B154" s="1">
        <f>B133+7</f>
        <v>43208</v>
      </c>
      <c r="C154" s="309">
        <v>550</v>
      </c>
      <c r="D154" s="309">
        <v>7425</v>
      </c>
      <c r="E154" s="69">
        <f t="shared" si="90"/>
        <v>941</v>
      </c>
      <c r="F154" s="70">
        <f t="shared" si="91"/>
        <v>7655</v>
      </c>
      <c r="G154" s="301">
        <f t="shared" si="92"/>
        <v>391</v>
      </c>
      <c r="H154" s="301">
        <f t="shared" si="93"/>
        <v>230</v>
      </c>
      <c r="I154" s="75">
        <v>285</v>
      </c>
      <c r="J154" s="75">
        <v>3755</v>
      </c>
      <c r="K154" s="71"/>
      <c r="L154" s="71"/>
      <c r="M154" s="70">
        <f t="shared" si="94"/>
        <v>285</v>
      </c>
      <c r="N154" s="70">
        <f t="shared" si="95"/>
        <v>3755</v>
      </c>
      <c r="O154" s="75">
        <f>919+22-500</f>
        <v>441</v>
      </c>
      <c r="P154" s="75">
        <f>7655-2500</f>
        <v>5155</v>
      </c>
      <c r="Q154" s="71">
        <v>500</v>
      </c>
      <c r="R154" s="71">
        <v>2500</v>
      </c>
      <c r="S154" s="72"/>
      <c r="T154" s="252">
        <f t="shared" si="99"/>
        <v>1.7109090909090909</v>
      </c>
      <c r="U154" s="73"/>
      <c r="V154" s="73"/>
      <c r="W154" s="73"/>
      <c r="X154" s="73"/>
      <c r="AA154" s="61">
        <f>H148</f>
        <v>18</v>
      </c>
      <c r="AB154" s="61" t="str">
        <f>E148</f>
        <v>CI1-ROC-016 W</v>
      </c>
      <c r="AC154" s="74" t="s">
        <v>440</v>
      </c>
      <c r="AD154" s="61" t="str">
        <f t="shared" si="96"/>
        <v>SHA</v>
      </c>
      <c r="AE154" s="61">
        <f t="shared" si="97"/>
        <v>550</v>
      </c>
      <c r="AF154" s="61">
        <f t="shared" si="98"/>
        <v>941</v>
      </c>
    </row>
    <row r="155" spans="1:32" s="65" customFormat="1" ht="12.75" customHeight="1">
      <c r="A155" s="52" t="s">
        <v>8</v>
      </c>
      <c r="B155" s="1">
        <f>B134+7</f>
        <v>43210</v>
      </c>
      <c r="C155" s="309">
        <v>300</v>
      </c>
      <c r="D155" s="309">
        <v>4050</v>
      </c>
      <c r="E155" s="69">
        <f t="shared" si="90"/>
        <v>345</v>
      </c>
      <c r="F155" s="70">
        <f t="shared" si="91"/>
        <v>3453</v>
      </c>
      <c r="G155" s="301">
        <f t="shared" si="92"/>
        <v>45</v>
      </c>
      <c r="H155" s="301">
        <f t="shared" si="93"/>
        <v>-597</v>
      </c>
      <c r="I155" s="71">
        <v>37</v>
      </c>
      <c r="J155" s="71">
        <v>328</v>
      </c>
      <c r="K155" s="71"/>
      <c r="L155" s="71"/>
      <c r="M155" s="70">
        <f t="shared" si="94"/>
        <v>37</v>
      </c>
      <c r="N155" s="70">
        <f t="shared" si="95"/>
        <v>328</v>
      </c>
      <c r="O155" s="71"/>
      <c r="P155" s="71"/>
      <c r="Q155" s="71">
        <f>330+15</f>
        <v>345</v>
      </c>
      <c r="R155" s="71">
        <v>3453</v>
      </c>
      <c r="S155" s="72"/>
      <c r="T155" s="252">
        <f t="shared" si="99"/>
        <v>1.1499999999999999</v>
      </c>
      <c r="U155" s="73"/>
      <c r="V155" s="73"/>
      <c r="W155" s="73"/>
      <c r="X155" s="73"/>
      <c r="AA155" s="61">
        <f>H148</f>
        <v>18</v>
      </c>
      <c r="AB155" s="61" t="str">
        <f>E148</f>
        <v>CI1-ROC-016 W</v>
      </c>
      <c r="AC155" s="74" t="s">
        <v>440</v>
      </c>
      <c r="AD155" s="61" t="str">
        <f t="shared" si="96"/>
        <v>NGB</v>
      </c>
      <c r="AE155" s="61">
        <f t="shared" si="97"/>
        <v>300</v>
      </c>
      <c r="AF155" s="61">
        <f t="shared" si="98"/>
        <v>345</v>
      </c>
    </row>
    <row r="156" spans="1:32" s="65" customFormat="1" ht="12.75" customHeight="1">
      <c r="A156" s="52" t="s">
        <v>10</v>
      </c>
      <c r="B156" s="1" t="s">
        <v>18</v>
      </c>
      <c r="C156" s="309">
        <v>100</v>
      </c>
      <c r="D156" s="309">
        <v>1350</v>
      </c>
      <c r="E156" s="69">
        <f t="shared" si="90"/>
        <v>103</v>
      </c>
      <c r="F156" s="70">
        <f t="shared" si="91"/>
        <v>1242</v>
      </c>
      <c r="G156" s="301">
        <f t="shared" si="92"/>
        <v>3</v>
      </c>
      <c r="H156" s="301">
        <f t="shared" si="93"/>
        <v>-108</v>
      </c>
      <c r="I156" s="75"/>
      <c r="J156" s="75"/>
      <c r="K156" s="70"/>
      <c r="L156" s="70"/>
      <c r="M156" s="70">
        <f t="shared" si="94"/>
        <v>0</v>
      </c>
      <c r="N156" s="70">
        <f t="shared" si="95"/>
        <v>0</v>
      </c>
      <c r="O156" s="75">
        <v>103</v>
      </c>
      <c r="P156" s="75">
        <v>1242</v>
      </c>
      <c r="Q156" s="70"/>
      <c r="R156" s="70"/>
      <c r="S156" s="72"/>
      <c r="T156" s="252">
        <f t="shared" si="99"/>
        <v>1.03</v>
      </c>
      <c r="U156" s="73"/>
      <c r="V156" s="73"/>
      <c r="W156" s="73"/>
      <c r="X156" s="73"/>
      <c r="AA156" s="61">
        <f>H148</f>
        <v>18</v>
      </c>
      <c r="AB156" s="61" t="str">
        <f>E148</f>
        <v>CI1-ROC-016 W</v>
      </c>
      <c r="AC156" s="74" t="s">
        <v>440</v>
      </c>
      <c r="AD156" s="61" t="str">
        <f t="shared" si="96"/>
        <v>WUH</v>
      </c>
      <c r="AE156" s="61">
        <f t="shared" si="97"/>
        <v>100</v>
      </c>
      <c r="AF156" s="61">
        <f t="shared" si="98"/>
        <v>103</v>
      </c>
    </row>
    <row r="157" spans="1:32" s="65" customFormat="1" ht="12.75" customHeight="1">
      <c r="A157" s="52" t="s">
        <v>11</v>
      </c>
      <c r="B157" s="1" t="s">
        <v>18</v>
      </c>
      <c r="C157" s="309">
        <v>50</v>
      </c>
      <c r="D157" s="309">
        <v>675</v>
      </c>
      <c r="E157" s="69">
        <f t="shared" si="90"/>
        <v>17</v>
      </c>
      <c r="F157" s="70">
        <f t="shared" si="91"/>
        <v>314</v>
      </c>
      <c r="G157" s="301">
        <f t="shared" si="92"/>
        <v>-33</v>
      </c>
      <c r="H157" s="301">
        <f t="shared" si="93"/>
        <v>-361</v>
      </c>
      <c r="I157" s="70"/>
      <c r="J157" s="70"/>
      <c r="K157" s="70"/>
      <c r="L157" s="70"/>
      <c r="M157" s="70">
        <f t="shared" si="94"/>
        <v>0</v>
      </c>
      <c r="N157" s="70">
        <f t="shared" si="95"/>
        <v>0</v>
      </c>
      <c r="O157" s="75"/>
      <c r="P157" s="75"/>
      <c r="Q157" s="70">
        <v>17</v>
      </c>
      <c r="R157" s="70">
        <v>314</v>
      </c>
      <c r="S157" s="72"/>
      <c r="T157" s="252">
        <f t="shared" si="99"/>
        <v>0.34</v>
      </c>
      <c r="U157" s="73"/>
      <c r="V157" s="73"/>
      <c r="W157" s="73"/>
      <c r="X157" s="73"/>
      <c r="AA157" s="61">
        <f>H148</f>
        <v>18</v>
      </c>
      <c r="AB157" s="61" t="str">
        <f>E148</f>
        <v>CI1-ROC-016 W</v>
      </c>
      <c r="AC157" s="74" t="s">
        <v>440</v>
      </c>
      <c r="AD157" s="61" t="str">
        <f t="shared" si="96"/>
        <v>DLC</v>
      </c>
      <c r="AE157" s="61">
        <f t="shared" si="97"/>
        <v>50</v>
      </c>
      <c r="AF157" s="61">
        <f t="shared" si="98"/>
        <v>17</v>
      </c>
    </row>
    <row r="158" spans="1:32" s="65" customFormat="1" ht="12.75" customHeight="1">
      <c r="A158" s="52" t="s">
        <v>12</v>
      </c>
      <c r="B158" s="1" t="s">
        <v>18</v>
      </c>
      <c r="C158" s="309">
        <v>0</v>
      </c>
      <c r="D158" s="309">
        <v>0</v>
      </c>
      <c r="E158" s="69">
        <f t="shared" si="90"/>
        <v>0</v>
      </c>
      <c r="F158" s="70">
        <f t="shared" si="91"/>
        <v>0</v>
      </c>
      <c r="G158" s="301">
        <f t="shared" si="92"/>
        <v>0</v>
      </c>
      <c r="H158" s="301">
        <f t="shared" si="93"/>
        <v>0</v>
      </c>
      <c r="I158" s="70"/>
      <c r="J158" s="70"/>
      <c r="K158" s="70"/>
      <c r="L158" s="70"/>
      <c r="M158" s="70">
        <f t="shared" si="94"/>
        <v>0</v>
      </c>
      <c r="N158" s="70">
        <f t="shared" si="95"/>
        <v>0</v>
      </c>
      <c r="O158" s="75"/>
      <c r="P158" s="75"/>
      <c r="Q158" s="76"/>
      <c r="R158" s="71"/>
      <c r="S158" s="72"/>
      <c r="T158" s="252" t="e">
        <f t="shared" si="99"/>
        <v>#DIV/0!</v>
      </c>
      <c r="U158" s="73"/>
      <c r="V158" s="73"/>
      <c r="W158" s="73"/>
      <c r="X158" s="73"/>
      <c r="AA158" s="61">
        <f>H148</f>
        <v>18</v>
      </c>
      <c r="AB158" s="61" t="str">
        <f>E148</f>
        <v>CI1-ROC-016 W</v>
      </c>
      <c r="AC158" s="74" t="s">
        <v>440</v>
      </c>
      <c r="AD158" s="61" t="str">
        <f t="shared" si="96"/>
        <v>TSN</v>
      </c>
      <c r="AE158" s="61">
        <f t="shared" si="97"/>
        <v>0</v>
      </c>
      <c r="AF158" s="61">
        <f t="shared" si="98"/>
        <v>0</v>
      </c>
    </row>
    <row r="159" spans="1:32" s="65" customFormat="1" ht="12.75" customHeight="1">
      <c r="A159" s="52" t="s">
        <v>14</v>
      </c>
      <c r="B159" s="1" t="s">
        <v>18</v>
      </c>
      <c r="C159" s="309">
        <v>50</v>
      </c>
      <c r="D159" s="309">
        <v>675</v>
      </c>
      <c r="E159" s="69">
        <f t="shared" si="90"/>
        <v>20</v>
      </c>
      <c r="F159" s="70">
        <f t="shared" si="91"/>
        <v>278</v>
      </c>
      <c r="G159" s="301">
        <f t="shared" si="92"/>
        <v>-30</v>
      </c>
      <c r="H159" s="301">
        <f t="shared" si="93"/>
        <v>-397</v>
      </c>
      <c r="I159" s="70"/>
      <c r="J159" s="70"/>
      <c r="K159" s="70"/>
      <c r="L159" s="70"/>
      <c r="M159" s="70">
        <f t="shared" si="94"/>
        <v>0</v>
      </c>
      <c r="N159" s="70">
        <f t="shared" si="95"/>
        <v>0</v>
      </c>
      <c r="O159" s="71"/>
      <c r="P159" s="71"/>
      <c r="Q159" s="70">
        <v>20</v>
      </c>
      <c r="R159" s="70">
        <v>278</v>
      </c>
      <c r="S159" s="72"/>
      <c r="T159" s="252">
        <f t="shared" si="99"/>
        <v>0.4</v>
      </c>
      <c r="U159" s="73"/>
      <c r="V159" s="73"/>
      <c r="W159" s="73"/>
      <c r="X159" s="73"/>
      <c r="AA159" s="61">
        <f>H148</f>
        <v>18</v>
      </c>
      <c r="AB159" s="61" t="str">
        <f>E148</f>
        <v>CI1-ROC-016 W</v>
      </c>
      <c r="AC159" s="74" t="s">
        <v>440</v>
      </c>
      <c r="AD159" s="61" t="str">
        <f t="shared" si="96"/>
        <v>XMN</v>
      </c>
      <c r="AE159" s="61">
        <f t="shared" si="97"/>
        <v>50</v>
      </c>
      <c r="AF159" s="61">
        <f t="shared" si="98"/>
        <v>20</v>
      </c>
    </row>
    <row r="160" spans="1:32" s="65" customFormat="1" ht="12.75" customHeight="1">
      <c r="A160" s="52" t="s">
        <v>69</v>
      </c>
      <c r="B160" s="1" t="s">
        <v>18</v>
      </c>
      <c r="C160" s="309">
        <v>0</v>
      </c>
      <c r="D160" s="309">
        <v>0</v>
      </c>
      <c r="E160" s="69">
        <f t="shared" si="90"/>
        <v>24</v>
      </c>
      <c r="F160" s="70">
        <f t="shared" si="91"/>
        <v>593</v>
      </c>
      <c r="G160" s="301">
        <f t="shared" si="92"/>
        <v>24</v>
      </c>
      <c r="H160" s="301">
        <f t="shared" si="93"/>
        <v>593</v>
      </c>
      <c r="I160" s="70"/>
      <c r="J160" s="70"/>
      <c r="K160" s="70"/>
      <c r="L160" s="70"/>
      <c r="M160" s="70">
        <f t="shared" si="94"/>
        <v>0</v>
      </c>
      <c r="N160" s="70">
        <f t="shared" si="95"/>
        <v>0</v>
      </c>
      <c r="O160" s="70"/>
      <c r="P160" s="70"/>
      <c r="Q160" s="70">
        <v>24</v>
      </c>
      <c r="R160" s="70">
        <v>593</v>
      </c>
      <c r="S160" s="72"/>
      <c r="T160" s="252" t="e">
        <f t="shared" si="99"/>
        <v>#DIV/0!</v>
      </c>
      <c r="U160" s="73"/>
      <c r="V160" s="73"/>
      <c r="W160" s="73"/>
      <c r="X160" s="73"/>
      <c r="AA160" s="61">
        <f>H148</f>
        <v>18</v>
      </c>
      <c r="AB160" s="61" t="str">
        <f>E148</f>
        <v>CI1-ROC-016 W</v>
      </c>
      <c r="AC160" s="74" t="s">
        <v>440</v>
      </c>
      <c r="AD160" s="61" t="str">
        <f t="shared" si="96"/>
        <v>HAK</v>
      </c>
      <c r="AE160" s="61">
        <f t="shared" si="97"/>
        <v>0</v>
      </c>
      <c r="AF160" s="61">
        <f t="shared" si="98"/>
        <v>24</v>
      </c>
    </row>
    <row r="161" spans="1:32" s="65" customFormat="1" ht="12.75" customHeight="1">
      <c r="A161" s="52" t="s">
        <v>16</v>
      </c>
      <c r="B161" s="1">
        <f>B140+7</f>
        <v>43213</v>
      </c>
      <c r="C161" s="309">
        <v>1000</v>
      </c>
      <c r="D161" s="309">
        <v>13500</v>
      </c>
      <c r="E161" s="69">
        <f>O161+Q161</f>
        <v>876</v>
      </c>
      <c r="F161" s="70">
        <f>P161+R160</f>
        <v>593</v>
      </c>
      <c r="G161" s="301">
        <f t="shared" si="92"/>
        <v>-124</v>
      </c>
      <c r="H161" s="301">
        <f t="shared" si="93"/>
        <v>-12907</v>
      </c>
      <c r="I161" s="70">
        <v>36</v>
      </c>
      <c r="J161" s="70">
        <v>487</v>
      </c>
      <c r="K161" s="70"/>
      <c r="L161" s="70"/>
      <c r="M161" s="70">
        <f t="shared" si="94"/>
        <v>36</v>
      </c>
      <c r="N161" s="70">
        <f t="shared" si="95"/>
        <v>487</v>
      </c>
      <c r="O161" s="70"/>
      <c r="P161" s="70"/>
      <c r="Q161" s="70">
        <v>876</v>
      </c>
      <c r="R161" s="84">
        <v>8131</v>
      </c>
      <c r="S161" s="72"/>
      <c r="T161" s="252">
        <f t="shared" si="99"/>
        <v>0.876</v>
      </c>
      <c r="U161" s="73"/>
      <c r="V161" s="73"/>
      <c r="W161" s="73"/>
      <c r="X161" s="73"/>
      <c r="AA161" s="61">
        <f>H148</f>
        <v>18</v>
      </c>
      <c r="AB161" s="61" t="str">
        <f>E148</f>
        <v>CI1-ROC-016 W</v>
      </c>
      <c r="AC161" s="74" t="s">
        <v>440</v>
      </c>
      <c r="AD161" s="61" t="str">
        <f t="shared" si="96"/>
        <v>HUA</v>
      </c>
      <c r="AE161" s="61">
        <f t="shared" si="97"/>
        <v>1000</v>
      </c>
      <c r="AF161" s="61">
        <f t="shared" si="98"/>
        <v>876</v>
      </c>
    </row>
    <row r="162" spans="1:32" s="65" customFormat="1" ht="12.75" customHeight="1">
      <c r="A162" s="52" t="s">
        <v>68</v>
      </c>
      <c r="B162" s="1">
        <f>B141+7</f>
        <v>43214</v>
      </c>
      <c r="C162" s="309"/>
      <c r="D162" s="309"/>
      <c r="E162" s="69">
        <f>O162+Q162</f>
        <v>0</v>
      </c>
      <c r="F162" s="70">
        <f>P162+R162</f>
        <v>0</v>
      </c>
      <c r="G162" s="301"/>
      <c r="H162" s="301"/>
      <c r="I162" s="70">
        <v>130</v>
      </c>
      <c r="J162" s="70">
        <v>1264</v>
      </c>
      <c r="K162" s="70"/>
      <c r="L162" s="70"/>
      <c r="M162" s="70">
        <f t="shared" si="94"/>
        <v>130</v>
      </c>
      <c r="N162" s="70">
        <f t="shared" si="95"/>
        <v>1264</v>
      </c>
      <c r="O162" s="70"/>
      <c r="P162" s="70"/>
      <c r="Q162" s="70"/>
      <c r="R162" s="70"/>
      <c r="S162" s="72"/>
      <c r="T162" s="252" t="e">
        <f t="shared" si="99"/>
        <v>#DIV/0!</v>
      </c>
      <c r="U162" s="73"/>
      <c r="V162" s="73"/>
      <c r="W162" s="73"/>
      <c r="X162" s="73"/>
      <c r="AA162" s="61">
        <f>H148</f>
        <v>18</v>
      </c>
      <c r="AB162" s="61" t="str">
        <f>E148</f>
        <v>CI1-ROC-016 W</v>
      </c>
      <c r="AC162" s="74" t="s">
        <v>440</v>
      </c>
      <c r="AD162" s="61" t="str">
        <f t="shared" si="96"/>
        <v>GNS</v>
      </c>
      <c r="AE162" s="61">
        <f t="shared" si="97"/>
        <v>0</v>
      </c>
      <c r="AF162" s="61">
        <f t="shared" si="98"/>
        <v>0</v>
      </c>
    </row>
    <row r="163" spans="1:32" s="65" customFormat="1" ht="12.75" customHeight="1">
      <c r="A163" s="52" t="s">
        <v>3</v>
      </c>
      <c r="B163" s="1">
        <f>B142+7</f>
        <v>43219</v>
      </c>
      <c r="C163" s="309">
        <v>250</v>
      </c>
      <c r="D163" s="309">
        <v>3375</v>
      </c>
      <c r="E163" s="69">
        <f>O163+Q163</f>
        <v>250</v>
      </c>
      <c r="F163" s="70">
        <f>P163+R163</f>
        <v>3375</v>
      </c>
      <c r="G163" s="301">
        <f t="shared" ref="G163:G166" si="100">E163-C163</f>
        <v>0</v>
      </c>
      <c r="H163" s="301">
        <f t="shared" ref="H163:H166" si="101">F163-D163</f>
        <v>0</v>
      </c>
      <c r="I163" s="70"/>
      <c r="J163" s="70"/>
      <c r="K163" s="70"/>
      <c r="L163" s="70"/>
      <c r="M163" s="70">
        <f t="shared" si="94"/>
        <v>0</v>
      </c>
      <c r="N163" s="70">
        <f t="shared" si="95"/>
        <v>0</v>
      </c>
      <c r="O163" s="301"/>
      <c r="P163" s="301"/>
      <c r="Q163" s="70">
        <v>250</v>
      </c>
      <c r="R163" s="70">
        <v>3375</v>
      </c>
      <c r="S163" s="72"/>
      <c r="T163" s="252">
        <f t="shared" si="99"/>
        <v>1</v>
      </c>
      <c r="U163" s="73"/>
      <c r="V163" s="73"/>
      <c r="W163" s="73"/>
      <c r="X163" s="73"/>
      <c r="AA163" s="61">
        <f>H148</f>
        <v>18</v>
      </c>
      <c r="AB163" s="61" t="str">
        <f>E148</f>
        <v>CI1-ROC-016 W</v>
      </c>
      <c r="AC163" s="74" t="s">
        <v>440</v>
      </c>
      <c r="AD163" s="61" t="str">
        <f t="shared" si="96"/>
        <v>SGP</v>
      </c>
      <c r="AE163" s="61">
        <f t="shared" si="97"/>
        <v>250</v>
      </c>
      <c r="AF163" s="61">
        <f t="shared" si="98"/>
        <v>250</v>
      </c>
    </row>
    <row r="164" spans="1:32" s="65" customFormat="1" ht="12.75" customHeight="1">
      <c r="A164" s="52" t="s">
        <v>431</v>
      </c>
      <c r="B164" s="301"/>
      <c r="C164" s="309">
        <v>50</v>
      </c>
      <c r="D164" s="309">
        <v>675</v>
      </c>
      <c r="E164" s="69">
        <f>O164+Q164</f>
        <v>0</v>
      </c>
      <c r="F164" s="70">
        <f>P164+R164</f>
        <v>0</v>
      </c>
      <c r="G164" s="301">
        <f t="shared" si="100"/>
        <v>-50</v>
      </c>
      <c r="H164" s="301">
        <f t="shared" si="101"/>
        <v>-675</v>
      </c>
      <c r="I164" s="70"/>
      <c r="J164" s="70"/>
      <c r="K164" s="70"/>
      <c r="L164" s="70"/>
      <c r="M164" s="70">
        <f t="shared" si="94"/>
        <v>0</v>
      </c>
      <c r="N164" s="70">
        <f t="shared" si="95"/>
        <v>0</v>
      </c>
      <c r="O164" s="70"/>
      <c r="P164" s="70"/>
      <c r="Q164" s="70"/>
      <c r="R164" s="70"/>
      <c r="S164" s="72"/>
      <c r="T164" s="252">
        <f>E164/C164</f>
        <v>0</v>
      </c>
      <c r="U164" s="73"/>
      <c r="V164" s="73"/>
      <c r="W164" s="73"/>
      <c r="X164" s="73"/>
      <c r="AA164" s="61">
        <f>H148</f>
        <v>18</v>
      </c>
      <c r="AB164" s="61" t="str">
        <f>E148</f>
        <v>CI1-ROC-016 W</v>
      </c>
      <c r="AC164" s="74" t="s">
        <v>440</v>
      </c>
      <c r="AD164" s="61" t="str">
        <f t="shared" si="96"/>
        <v>HQ</v>
      </c>
      <c r="AE164" s="61">
        <f t="shared" si="97"/>
        <v>50</v>
      </c>
      <c r="AF164" s="61">
        <f t="shared" si="98"/>
        <v>0</v>
      </c>
    </row>
    <row r="165" spans="1:32" s="65" customFormat="1" ht="12.75" customHeight="1">
      <c r="A165" s="52" t="s">
        <v>31</v>
      </c>
      <c r="B165" s="301"/>
      <c r="C165" s="309">
        <v>50</v>
      </c>
      <c r="D165" s="309">
        <v>675</v>
      </c>
      <c r="E165" s="69">
        <f>O165+Q165</f>
        <v>397</v>
      </c>
      <c r="F165" s="70">
        <f>P165+R165</f>
        <v>4858</v>
      </c>
      <c r="G165" s="301">
        <f t="shared" si="100"/>
        <v>347</v>
      </c>
      <c r="H165" s="301">
        <f t="shared" si="101"/>
        <v>4183</v>
      </c>
      <c r="I165" s="70"/>
      <c r="J165" s="70"/>
      <c r="K165" s="70"/>
      <c r="L165" s="70"/>
      <c r="M165" s="70">
        <f t="shared" si="94"/>
        <v>0</v>
      </c>
      <c r="N165" s="70">
        <f t="shared" si="95"/>
        <v>0</v>
      </c>
      <c r="O165" s="71">
        <v>376</v>
      </c>
      <c r="P165" s="71">
        <v>4475</v>
      </c>
      <c r="Q165" s="71">
        <v>21</v>
      </c>
      <c r="R165" s="71">
        <v>383</v>
      </c>
      <c r="S165" s="72"/>
      <c r="T165" s="73"/>
      <c r="U165" s="73"/>
      <c r="V165" s="73"/>
      <c r="W165" s="73"/>
      <c r="X165" s="73"/>
      <c r="AA165" s="61">
        <f>H148</f>
        <v>18</v>
      </c>
      <c r="AB165" s="61" t="str">
        <f>E148</f>
        <v>CI1-ROC-016 W</v>
      </c>
      <c r="AC165" s="74" t="s">
        <v>440</v>
      </c>
      <c r="AD165" s="61" t="str">
        <f t="shared" si="96"/>
        <v>COSCO T/S</v>
      </c>
      <c r="AE165" s="61">
        <f t="shared" si="97"/>
        <v>50</v>
      </c>
      <c r="AF165" s="61">
        <f t="shared" si="98"/>
        <v>397</v>
      </c>
    </row>
    <row r="166" spans="1:32" s="65" customFormat="1" ht="12.75" customHeight="1">
      <c r="A166" s="51" t="s">
        <v>36</v>
      </c>
      <c r="B166" s="72"/>
      <c r="C166" s="71">
        <v>2400</v>
      </c>
      <c r="D166" s="71">
        <f>SUM(D152:D165)</f>
        <v>32400</v>
      </c>
      <c r="E166" s="78">
        <f>SUM(E152:E165)</f>
        <v>2973</v>
      </c>
      <c r="F166" s="76">
        <f>SUM(F152:F165)</f>
        <v>22361</v>
      </c>
      <c r="G166" s="71">
        <f t="shared" si="100"/>
        <v>573</v>
      </c>
      <c r="H166" s="71">
        <f t="shared" si="101"/>
        <v>-10039</v>
      </c>
      <c r="I166" s="70">
        <f t="shared" ref="I166:L166" si="102">SUM(I152:I165)</f>
        <v>488</v>
      </c>
      <c r="J166" s="70">
        <f t="shared" si="102"/>
        <v>5834</v>
      </c>
      <c r="K166" s="70">
        <f t="shared" si="102"/>
        <v>0</v>
      </c>
      <c r="L166" s="70">
        <f t="shared" si="102"/>
        <v>0</v>
      </c>
      <c r="M166" s="70"/>
      <c r="N166" s="70"/>
      <c r="O166" s="70">
        <f t="shared" ref="O166:R166" si="103">SUM(O152:O165)</f>
        <v>920</v>
      </c>
      <c r="P166" s="70">
        <f t="shared" si="103"/>
        <v>10872</v>
      </c>
      <c r="Q166" s="70">
        <f t="shared" si="103"/>
        <v>2053</v>
      </c>
      <c r="R166" s="70">
        <f t="shared" si="103"/>
        <v>19027</v>
      </c>
      <c r="S166" s="72"/>
      <c r="T166" s="73"/>
      <c r="U166" s="73"/>
      <c r="V166" s="73"/>
      <c r="W166" s="73"/>
      <c r="X166" s="73"/>
      <c r="AA166" s="61"/>
      <c r="AB166" s="61"/>
      <c r="AC166" s="61"/>
      <c r="AD166" s="61"/>
      <c r="AE166" s="61"/>
      <c r="AF166" s="61"/>
    </row>
    <row r="167" spans="1:32" s="65" customFormat="1" ht="12.75" customHeight="1">
      <c r="A167" s="84">
        <f>D166/C166</f>
        <v>13.5</v>
      </c>
      <c r="C167" s="302">
        <f>F166-E167</f>
        <v>-6799</v>
      </c>
      <c r="E167" s="65">
        <f>D166*0.9</f>
        <v>29160</v>
      </c>
      <c r="F167" s="302">
        <f>E166-L167</f>
        <v>813</v>
      </c>
      <c r="I167" s="80" t="s">
        <v>48</v>
      </c>
      <c r="J167" s="245">
        <f>E166/C166</f>
        <v>1.23875</v>
      </c>
      <c r="K167" s="80"/>
      <c r="L167" s="80">
        <f>C166*0.9</f>
        <v>2160</v>
      </c>
      <c r="M167" s="80"/>
      <c r="N167" s="80"/>
      <c r="O167" s="80" t="s">
        <v>49</v>
      </c>
      <c r="P167" s="80"/>
      <c r="Q167" s="65">
        <f>P153+P154+P156+P157+P158+J153+J154+L153+L154+J156+R156+R164</f>
        <v>10152</v>
      </c>
      <c r="R167" s="65">
        <v>16856</v>
      </c>
      <c r="AA167" s="81"/>
      <c r="AB167" s="81"/>
      <c r="AC167" s="81"/>
      <c r="AD167" s="81"/>
      <c r="AE167" s="81"/>
      <c r="AF167" s="81"/>
    </row>
    <row r="169" spans="1:32" s="63" customFormat="1" ht="12.75" customHeight="1">
      <c r="A169" s="59" t="s">
        <v>440</v>
      </c>
      <c r="B169" s="58" t="s">
        <v>638</v>
      </c>
      <c r="C169" s="56"/>
      <c r="D169" s="57"/>
      <c r="E169" s="58" t="s">
        <v>639</v>
      </c>
      <c r="F169" s="57"/>
      <c r="G169" s="59" t="s">
        <v>37</v>
      </c>
      <c r="H169" s="60">
        <f>H148+1</f>
        <v>19</v>
      </c>
      <c r="I169" s="251"/>
      <c r="J169" s="57"/>
      <c r="K169" s="57"/>
      <c r="L169" s="57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2"/>
      <c r="Z169" s="62"/>
      <c r="AA169" s="62"/>
      <c r="AB169" s="62"/>
      <c r="AC169" s="62"/>
    </row>
    <row r="170" spans="1:32" s="65" customFormat="1" ht="12.75" customHeight="1">
      <c r="A170" s="340" t="s">
        <v>0</v>
      </c>
      <c r="B170" s="336" t="s">
        <v>1</v>
      </c>
      <c r="C170" s="331" t="s">
        <v>25</v>
      </c>
      <c r="D170" s="332"/>
      <c r="E170" s="331" t="s">
        <v>21</v>
      </c>
      <c r="F170" s="332"/>
      <c r="G170" s="335" t="s">
        <v>24</v>
      </c>
      <c r="H170" s="335"/>
      <c r="I170" s="328" t="s">
        <v>33</v>
      </c>
      <c r="J170" s="329"/>
      <c r="K170" s="329"/>
      <c r="L170" s="329"/>
      <c r="M170" s="329"/>
      <c r="N170" s="330"/>
      <c r="O170" s="331" t="s">
        <v>22</v>
      </c>
      <c r="P170" s="332"/>
      <c r="Q170" s="335" t="s">
        <v>23</v>
      </c>
      <c r="R170" s="335"/>
      <c r="S170" s="336" t="s">
        <v>27</v>
      </c>
      <c r="T170" s="64"/>
      <c r="U170" s="64"/>
      <c r="V170" s="64"/>
      <c r="W170" s="64"/>
      <c r="X170" s="64"/>
      <c r="Y170" s="339"/>
      <c r="Z170" s="327"/>
      <c r="AA170" s="61"/>
      <c r="AB170" s="61"/>
      <c r="AC170" s="74"/>
      <c r="AD170" s="61"/>
      <c r="AE170" s="61"/>
      <c r="AF170" s="61"/>
    </row>
    <row r="171" spans="1:32" s="65" customFormat="1" ht="12.75" customHeight="1">
      <c r="A171" s="341"/>
      <c r="B171" s="337"/>
      <c r="C171" s="333"/>
      <c r="D171" s="334"/>
      <c r="E171" s="333"/>
      <c r="F171" s="334"/>
      <c r="G171" s="335"/>
      <c r="H171" s="335"/>
      <c r="I171" s="323" t="s">
        <v>28</v>
      </c>
      <c r="J171" s="324" t="s">
        <v>3</v>
      </c>
      <c r="K171" s="323" t="s">
        <v>29</v>
      </c>
      <c r="L171" s="324" t="s">
        <v>4</v>
      </c>
      <c r="M171" s="328" t="s">
        <v>30</v>
      </c>
      <c r="N171" s="330"/>
      <c r="O171" s="333"/>
      <c r="P171" s="334"/>
      <c r="Q171" s="335"/>
      <c r="R171" s="335"/>
      <c r="S171" s="337"/>
      <c r="T171" s="64"/>
      <c r="U171" s="64"/>
      <c r="V171" s="64"/>
      <c r="W171" s="64"/>
      <c r="X171" s="64"/>
      <c r="Y171" s="339"/>
      <c r="Z171" s="327"/>
      <c r="AA171" s="61"/>
      <c r="AB171" s="61"/>
      <c r="AC171" s="74"/>
      <c r="AD171" s="61"/>
      <c r="AE171" s="61"/>
      <c r="AF171" s="61"/>
    </row>
    <row r="172" spans="1:32" s="65" customFormat="1" ht="12.75" customHeight="1">
      <c r="A172" s="342"/>
      <c r="B172" s="338"/>
      <c r="C172" s="325" t="s">
        <v>5</v>
      </c>
      <c r="D172" s="325" t="s">
        <v>6</v>
      </c>
      <c r="E172" s="324" t="s">
        <v>5</v>
      </c>
      <c r="F172" s="325" t="s">
        <v>6</v>
      </c>
      <c r="G172" s="325" t="s">
        <v>5</v>
      </c>
      <c r="H172" s="325" t="s">
        <v>6</v>
      </c>
      <c r="I172" s="324" t="s">
        <v>5</v>
      </c>
      <c r="J172" s="325" t="s">
        <v>6</v>
      </c>
      <c r="K172" s="324" t="s">
        <v>5</v>
      </c>
      <c r="L172" s="325" t="s">
        <v>6</v>
      </c>
      <c r="M172" s="325"/>
      <c r="N172" s="325"/>
      <c r="O172" s="324" t="s">
        <v>5</v>
      </c>
      <c r="P172" s="325" t="s">
        <v>6</v>
      </c>
      <c r="Q172" s="325" t="s">
        <v>5</v>
      </c>
      <c r="R172" s="325" t="s">
        <v>6</v>
      </c>
      <c r="S172" s="338"/>
      <c r="T172" s="64"/>
      <c r="U172" s="64"/>
      <c r="V172" s="64"/>
      <c r="W172" s="64"/>
      <c r="X172" s="64"/>
      <c r="Y172" s="339"/>
      <c r="Z172" s="327"/>
      <c r="AA172" s="61" t="s">
        <v>43</v>
      </c>
      <c r="AB172" s="61" t="s">
        <v>45</v>
      </c>
      <c r="AC172" s="61" t="s">
        <v>46</v>
      </c>
      <c r="AD172" s="61" t="s">
        <v>42</v>
      </c>
      <c r="AE172" s="61" t="s">
        <v>41</v>
      </c>
      <c r="AF172" s="61" t="s">
        <v>44</v>
      </c>
    </row>
    <row r="173" spans="1:32" s="65" customFormat="1" ht="12.75" customHeight="1">
      <c r="A173" s="51" t="s">
        <v>7</v>
      </c>
      <c r="B173" s="1" t="s">
        <v>18</v>
      </c>
      <c r="C173" s="325">
        <v>0</v>
      </c>
      <c r="D173" s="325">
        <v>0</v>
      </c>
      <c r="E173" s="69">
        <f t="shared" ref="E173:E181" si="104">O173+Q173</f>
        <v>0</v>
      </c>
      <c r="F173" s="70">
        <f t="shared" ref="F173:F181" si="105">P173+R173</f>
        <v>0</v>
      </c>
      <c r="G173" s="325">
        <f t="shared" ref="G173:G182" si="106">E173-C173</f>
        <v>0</v>
      </c>
      <c r="H173" s="325">
        <f t="shared" ref="H173:H182" si="107">F173-D173</f>
        <v>0</v>
      </c>
      <c r="I173" s="70"/>
      <c r="J173" s="70"/>
      <c r="K173" s="70"/>
      <c r="L173" s="70"/>
      <c r="M173" s="70">
        <f t="shared" ref="M173:M186" si="108">I173+K173</f>
        <v>0</v>
      </c>
      <c r="N173" s="70">
        <f t="shared" ref="N173:N186" si="109">J173+L173</f>
        <v>0</v>
      </c>
      <c r="O173" s="71"/>
      <c r="P173" s="71"/>
      <c r="Q173" s="70"/>
      <c r="R173" s="70"/>
      <c r="S173" s="72"/>
      <c r="T173" s="252" t="e">
        <f>E173/C173</f>
        <v>#DIV/0!</v>
      </c>
      <c r="U173" s="73"/>
      <c r="V173" s="73"/>
      <c r="W173" s="73"/>
      <c r="X173" s="73"/>
      <c r="Y173" s="339"/>
      <c r="Z173" s="327"/>
      <c r="AA173" s="61">
        <f>H169</f>
        <v>19</v>
      </c>
      <c r="AB173" s="61" t="str">
        <f>E169</f>
        <v>CI1-T72-077 W</v>
      </c>
      <c r="AC173" s="74" t="s">
        <v>440</v>
      </c>
      <c r="AD173" s="61" t="str">
        <f t="shared" ref="AD173:AD186" si="110">A173</f>
        <v>KR</v>
      </c>
      <c r="AE173" s="61">
        <f t="shared" ref="AE173:AE186" si="111">C173</f>
        <v>0</v>
      </c>
      <c r="AF173" s="61">
        <f t="shared" ref="AF173:AF186" si="112">E173</f>
        <v>0</v>
      </c>
    </row>
    <row r="174" spans="1:32" s="65" customFormat="1" ht="12.75" customHeight="1">
      <c r="A174" s="52" t="s">
        <v>13</v>
      </c>
      <c r="B174" s="1" t="s">
        <v>18</v>
      </c>
      <c r="C174" s="325">
        <v>0</v>
      </c>
      <c r="D174" s="325">
        <v>0</v>
      </c>
      <c r="E174" s="69">
        <f t="shared" si="104"/>
        <v>0</v>
      </c>
      <c r="F174" s="70">
        <f t="shared" si="105"/>
        <v>0</v>
      </c>
      <c r="G174" s="325">
        <f t="shared" si="106"/>
        <v>0</v>
      </c>
      <c r="H174" s="325">
        <f t="shared" si="107"/>
        <v>0</v>
      </c>
      <c r="I174" s="75"/>
      <c r="J174" s="75"/>
      <c r="K174" s="70"/>
      <c r="L174" s="70"/>
      <c r="M174" s="70">
        <f t="shared" si="108"/>
        <v>0</v>
      </c>
      <c r="N174" s="70">
        <f t="shared" si="109"/>
        <v>0</v>
      </c>
      <c r="O174" s="75"/>
      <c r="P174" s="75"/>
      <c r="Q174" s="71"/>
      <c r="R174" s="71"/>
      <c r="S174" s="72"/>
      <c r="T174" s="252" t="e">
        <f t="shared" ref="T174:T184" si="113">E174/C174</f>
        <v>#DIV/0!</v>
      </c>
      <c r="U174" s="73"/>
      <c r="V174" s="73"/>
      <c r="W174" s="73"/>
      <c r="X174" s="73"/>
      <c r="AA174" s="61">
        <f>H169</f>
        <v>19</v>
      </c>
      <c r="AB174" s="61" t="str">
        <f>E169</f>
        <v>CI1-T72-077 W</v>
      </c>
      <c r="AC174" s="74" t="s">
        <v>440</v>
      </c>
      <c r="AD174" s="61" t="str">
        <f t="shared" si="110"/>
        <v>TAO</v>
      </c>
      <c r="AE174" s="61">
        <f t="shared" si="111"/>
        <v>0</v>
      </c>
      <c r="AF174" s="61">
        <f t="shared" si="112"/>
        <v>0</v>
      </c>
    </row>
    <row r="175" spans="1:32" s="65" customFormat="1" ht="12.75" customHeight="1">
      <c r="A175" s="52" t="s">
        <v>9</v>
      </c>
      <c r="B175" s="1">
        <f>B154+7</f>
        <v>43215</v>
      </c>
      <c r="C175" s="325">
        <v>550</v>
      </c>
      <c r="D175" s="325">
        <v>7425</v>
      </c>
      <c r="E175" s="69">
        <f t="shared" si="104"/>
        <v>695</v>
      </c>
      <c r="F175" s="70">
        <f t="shared" si="105"/>
        <v>6100</v>
      </c>
      <c r="G175" s="325">
        <f t="shared" si="106"/>
        <v>145</v>
      </c>
      <c r="H175" s="325">
        <f t="shared" si="107"/>
        <v>-1325</v>
      </c>
      <c r="I175" s="75">
        <v>211</v>
      </c>
      <c r="J175" s="75">
        <v>3366</v>
      </c>
      <c r="K175" s="71"/>
      <c r="L175" s="71"/>
      <c r="M175" s="70">
        <f t="shared" si="108"/>
        <v>211</v>
      </c>
      <c r="N175" s="70">
        <f t="shared" si="109"/>
        <v>3366</v>
      </c>
      <c r="O175" s="75">
        <v>695</v>
      </c>
      <c r="P175" s="75">
        <v>6100</v>
      </c>
      <c r="Q175" s="71"/>
      <c r="R175" s="71"/>
      <c r="S175" s="72"/>
      <c r="T175" s="252">
        <f t="shared" si="113"/>
        <v>1.2636363636363637</v>
      </c>
      <c r="U175" s="73"/>
      <c r="V175" s="73"/>
      <c r="W175" s="73"/>
      <c r="X175" s="73"/>
      <c r="AA175" s="61">
        <f>H169</f>
        <v>19</v>
      </c>
      <c r="AB175" s="61" t="str">
        <f>E169</f>
        <v>CI1-T72-077 W</v>
      </c>
      <c r="AC175" s="74" t="s">
        <v>440</v>
      </c>
      <c r="AD175" s="61" t="str">
        <f t="shared" si="110"/>
        <v>SHA</v>
      </c>
      <c r="AE175" s="61">
        <f t="shared" si="111"/>
        <v>550</v>
      </c>
      <c r="AF175" s="61">
        <f t="shared" si="112"/>
        <v>695</v>
      </c>
    </row>
    <row r="176" spans="1:32" s="65" customFormat="1" ht="12.75" customHeight="1">
      <c r="A176" s="52" t="s">
        <v>8</v>
      </c>
      <c r="B176" s="1">
        <f>B155+7</f>
        <v>43217</v>
      </c>
      <c r="C176" s="325">
        <v>300</v>
      </c>
      <c r="D176" s="325">
        <v>4050</v>
      </c>
      <c r="E176" s="69">
        <f t="shared" si="104"/>
        <v>80</v>
      </c>
      <c r="F176" s="70">
        <f t="shared" si="105"/>
        <v>1179</v>
      </c>
      <c r="G176" s="325">
        <f t="shared" si="106"/>
        <v>-220</v>
      </c>
      <c r="H176" s="325">
        <f t="shared" si="107"/>
        <v>-2871</v>
      </c>
      <c r="I176" s="71">
        <v>9</v>
      </c>
      <c r="J176" s="71">
        <v>132</v>
      </c>
      <c r="K176" s="71"/>
      <c r="L176" s="71"/>
      <c r="M176" s="70">
        <f t="shared" si="108"/>
        <v>9</v>
      </c>
      <c r="N176" s="70">
        <f t="shared" si="109"/>
        <v>132</v>
      </c>
      <c r="O176" s="71"/>
      <c r="P176" s="71"/>
      <c r="Q176" s="71">
        <v>80</v>
      </c>
      <c r="R176" s="71">
        <v>1179</v>
      </c>
      <c r="S176" s="72"/>
      <c r="T176" s="252">
        <f t="shared" si="113"/>
        <v>0.26666666666666666</v>
      </c>
      <c r="U176" s="73"/>
      <c r="V176" s="73"/>
      <c r="W176" s="73"/>
      <c r="X176" s="73"/>
      <c r="AA176" s="61">
        <f>H169</f>
        <v>19</v>
      </c>
      <c r="AB176" s="61" t="str">
        <f>E169</f>
        <v>CI1-T72-077 W</v>
      </c>
      <c r="AC176" s="74" t="s">
        <v>440</v>
      </c>
      <c r="AD176" s="61" t="str">
        <f t="shared" si="110"/>
        <v>NGB</v>
      </c>
      <c r="AE176" s="61">
        <f t="shared" si="111"/>
        <v>300</v>
      </c>
      <c r="AF176" s="61">
        <f t="shared" si="112"/>
        <v>80</v>
      </c>
    </row>
    <row r="177" spans="1:32" s="65" customFormat="1" ht="12.75" customHeight="1">
      <c r="A177" s="52" t="s">
        <v>10</v>
      </c>
      <c r="B177" s="1" t="s">
        <v>18</v>
      </c>
      <c r="C177" s="325">
        <v>100</v>
      </c>
      <c r="D177" s="325">
        <v>1350</v>
      </c>
      <c r="E177" s="69">
        <f t="shared" si="104"/>
        <v>150</v>
      </c>
      <c r="F177" s="70">
        <f t="shared" si="105"/>
        <v>3771</v>
      </c>
      <c r="G177" s="325">
        <f t="shared" si="106"/>
        <v>50</v>
      </c>
      <c r="H177" s="325">
        <f t="shared" si="107"/>
        <v>2421</v>
      </c>
      <c r="I177" s="75"/>
      <c r="J177" s="75"/>
      <c r="K177" s="70"/>
      <c r="L177" s="70"/>
      <c r="M177" s="70">
        <f t="shared" si="108"/>
        <v>0</v>
      </c>
      <c r="N177" s="70">
        <f t="shared" si="109"/>
        <v>0</v>
      </c>
      <c r="O177" s="75">
        <v>150</v>
      </c>
      <c r="P177" s="75">
        <v>3771</v>
      </c>
      <c r="Q177" s="70"/>
      <c r="R177" s="70"/>
      <c r="S177" s="72"/>
      <c r="T177" s="252">
        <f t="shared" si="113"/>
        <v>1.5</v>
      </c>
      <c r="U177" s="73"/>
      <c r="V177" s="73"/>
      <c r="W177" s="73"/>
      <c r="X177" s="73"/>
      <c r="AA177" s="61">
        <f>H169</f>
        <v>19</v>
      </c>
      <c r="AB177" s="61" t="str">
        <f>E169</f>
        <v>CI1-T72-077 W</v>
      </c>
      <c r="AC177" s="74" t="s">
        <v>440</v>
      </c>
      <c r="AD177" s="61" t="str">
        <f t="shared" si="110"/>
        <v>WUH</v>
      </c>
      <c r="AE177" s="61">
        <f t="shared" si="111"/>
        <v>100</v>
      </c>
      <c r="AF177" s="61">
        <f t="shared" si="112"/>
        <v>150</v>
      </c>
    </row>
    <row r="178" spans="1:32" s="65" customFormat="1" ht="12.75" customHeight="1">
      <c r="A178" s="52" t="s">
        <v>11</v>
      </c>
      <c r="B178" s="1" t="s">
        <v>18</v>
      </c>
      <c r="C178" s="325">
        <v>50</v>
      </c>
      <c r="D178" s="325">
        <v>675</v>
      </c>
      <c r="E178" s="69">
        <f t="shared" si="104"/>
        <v>39</v>
      </c>
      <c r="F178" s="70">
        <f t="shared" si="105"/>
        <v>573</v>
      </c>
      <c r="G178" s="325">
        <f t="shared" si="106"/>
        <v>-11</v>
      </c>
      <c r="H178" s="325">
        <f t="shared" si="107"/>
        <v>-102</v>
      </c>
      <c r="I178" s="70"/>
      <c r="J178" s="70"/>
      <c r="K178" s="70"/>
      <c r="L178" s="70"/>
      <c r="M178" s="70">
        <f t="shared" si="108"/>
        <v>0</v>
      </c>
      <c r="N178" s="70">
        <f t="shared" si="109"/>
        <v>0</v>
      </c>
      <c r="O178" s="75"/>
      <c r="P178" s="75"/>
      <c r="Q178" s="70">
        <v>39</v>
      </c>
      <c r="R178" s="70">
        <v>573</v>
      </c>
      <c r="S178" s="72"/>
      <c r="T178" s="252">
        <f t="shared" si="113"/>
        <v>0.78</v>
      </c>
      <c r="U178" s="73"/>
      <c r="V178" s="73"/>
      <c r="W178" s="73"/>
      <c r="X178" s="73"/>
      <c r="AA178" s="61">
        <f>H169</f>
        <v>19</v>
      </c>
      <c r="AB178" s="61" t="str">
        <f>E169</f>
        <v>CI1-T72-077 W</v>
      </c>
      <c r="AC178" s="74" t="s">
        <v>440</v>
      </c>
      <c r="AD178" s="61" t="str">
        <f t="shared" si="110"/>
        <v>DLC</v>
      </c>
      <c r="AE178" s="61">
        <f t="shared" si="111"/>
        <v>50</v>
      </c>
      <c r="AF178" s="61">
        <f t="shared" si="112"/>
        <v>39</v>
      </c>
    </row>
    <row r="179" spans="1:32" s="65" customFormat="1" ht="12.75" customHeight="1">
      <c r="A179" s="52" t="s">
        <v>12</v>
      </c>
      <c r="B179" s="1" t="s">
        <v>18</v>
      </c>
      <c r="C179" s="325">
        <v>0</v>
      </c>
      <c r="D179" s="325">
        <v>0</v>
      </c>
      <c r="E179" s="69">
        <f t="shared" si="104"/>
        <v>1</v>
      </c>
      <c r="F179" s="70">
        <f t="shared" si="105"/>
        <v>13</v>
      </c>
      <c r="G179" s="325">
        <f t="shared" si="106"/>
        <v>1</v>
      </c>
      <c r="H179" s="325">
        <f t="shared" si="107"/>
        <v>13</v>
      </c>
      <c r="I179" s="70"/>
      <c r="J179" s="70"/>
      <c r="K179" s="70"/>
      <c r="L179" s="70"/>
      <c r="M179" s="70">
        <f t="shared" si="108"/>
        <v>0</v>
      </c>
      <c r="N179" s="70">
        <f t="shared" si="109"/>
        <v>0</v>
      </c>
      <c r="O179" s="75"/>
      <c r="P179" s="75"/>
      <c r="Q179" s="76">
        <v>1</v>
      </c>
      <c r="R179" s="71">
        <v>13</v>
      </c>
      <c r="S179" s="72"/>
      <c r="T179" s="252" t="e">
        <f t="shared" si="113"/>
        <v>#DIV/0!</v>
      </c>
      <c r="U179" s="73"/>
      <c r="V179" s="73"/>
      <c r="W179" s="73"/>
      <c r="X179" s="73"/>
      <c r="AA179" s="61">
        <f>H169</f>
        <v>19</v>
      </c>
      <c r="AB179" s="61" t="str">
        <f>E169</f>
        <v>CI1-T72-077 W</v>
      </c>
      <c r="AC179" s="74" t="s">
        <v>440</v>
      </c>
      <c r="AD179" s="61" t="str">
        <f t="shared" si="110"/>
        <v>TSN</v>
      </c>
      <c r="AE179" s="61">
        <f t="shared" si="111"/>
        <v>0</v>
      </c>
      <c r="AF179" s="61">
        <f t="shared" si="112"/>
        <v>1</v>
      </c>
    </row>
    <row r="180" spans="1:32" s="65" customFormat="1" ht="12.75" customHeight="1">
      <c r="A180" s="52" t="s">
        <v>14</v>
      </c>
      <c r="B180" s="1" t="s">
        <v>18</v>
      </c>
      <c r="C180" s="325">
        <v>50</v>
      </c>
      <c r="D180" s="325">
        <v>675</v>
      </c>
      <c r="E180" s="69">
        <f t="shared" si="104"/>
        <v>8</v>
      </c>
      <c r="F180" s="70">
        <f t="shared" si="105"/>
        <v>111</v>
      </c>
      <c r="G180" s="325">
        <f t="shared" si="106"/>
        <v>-42</v>
      </c>
      <c r="H180" s="325">
        <f t="shared" si="107"/>
        <v>-564</v>
      </c>
      <c r="I180" s="70"/>
      <c r="J180" s="70"/>
      <c r="K180" s="70"/>
      <c r="L180" s="70"/>
      <c r="M180" s="70">
        <f t="shared" si="108"/>
        <v>0</v>
      </c>
      <c r="N180" s="70">
        <f t="shared" si="109"/>
        <v>0</v>
      </c>
      <c r="O180" s="71"/>
      <c r="P180" s="71"/>
      <c r="Q180" s="70">
        <v>8</v>
      </c>
      <c r="R180" s="70">
        <v>111</v>
      </c>
      <c r="S180" s="72"/>
      <c r="T180" s="252">
        <f t="shared" si="113"/>
        <v>0.16</v>
      </c>
      <c r="U180" s="73"/>
      <c r="V180" s="73"/>
      <c r="W180" s="73"/>
      <c r="X180" s="73"/>
      <c r="AA180" s="61">
        <f>H169</f>
        <v>19</v>
      </c>
      <c r="AB180" s="61" t="str">
        <f>E169</f>
        <v>CI1-T72-077 W</v>
      </c>
      <c r="AC180" s="74" t="s">
        <v>440</v>
      </c>
      <c r="AD180" s="61" t="str">
        <f t="shared" si="110"/>
        <v>XMN</v>
      </c>
      <c r="AE180" s="61">
        <f t="shared" si="111"/>
        <v>50</v>
      </c>
      <c r="AF180" s="61">
        <f t="shared" si="112"/>
        <v>8</v>
      </c>
    </row>
    <row r="181" spans="1:32" s="65" customFormat="1" ht="12.75" customHeight="1">
      <c r="A181" s="52" t="s">
        <v>69</v>
      </c>
      <c r="B181" s="1" t="s">
        <v>18</v>
      </c>
      <c r="C181" s="325">
        <v>0</v>
      </c>
      <c r="D181" s="325">
        <v>0</v>
      </c>
      <c r="E181" s="69">
        <f t="shared" si="104"/>
        <v>2</v>
      </c>
      <c r="F181" s="70">
        <f t="shared" si="105"/>
        <v>29</v>
      </c>
      <c r="G181" s="325">
        <f t="shared" si="106"/>
        <v>2</v>
      </c>
      <c r="H181" s="325">
        <f t="shared" si="107"/>
        <v>29</v>
      </c>
      <c r="I181" s="70"/>
      <c r="J181" s="70"/>
      <c r="K181" s="70"/>
      <c r="L181" s="70"/>
      <c r="M181" s="70">
        <f t="shared" si="108"/>
        <v>0</v>
      </c>
      <c r="N181" s="70">
        <f t="shared" si="109"/>
        <v>0</v>
      </c>
      <c r="O181" s="70"/>
      <c r="P181" s="70"/>
      <c r="Q181" s="70">
        <v>2</v>
      </c>
      <c r="R181" s="70">
        <v>29</v>
      </c>
      <c r="S181" s="72"/>
      <c r="T181" s="252" t="e">
        <f t="shared" si="113"/>
        <v>#DIV/0!</v>
      </c>
      <c r="U181" s="73"/>
      <c r="V181" s="73"/>
      <c r="W181" s="73"/>
      <c r="X181" s="73"/>
      <c r="AA181" s="61">
        <f>H169</f>
        <v>19</v>
      </c>
      <c r="AB181" s="61" t="str">
        <f>E169</f>
        <v>CI1-T72-077 W</v>
      </c>
      <c r="AC181" s="74" t="s">
        <v>440</v>
      </c>
      <c r="AD181" s="61" t="str">
        <f t="shared" si="110"/>
        <v>HAK</v>
      </c>
      <c r="AE181" s="61">
        <f t="shared" si="111"/>
        <v>0</v>
      </c>
      <c r="AF181" s="61">
        <f t="shared" si="112"/>
        <v>2</v>
      </c>
    </row>
    <row r="182" spans="1:32" s="65" customFormat="1" ht="12.75" customHeight="1">
      <c r="A182" s="52" t="s">
        <v>16</v>
      </c>
      <c r="B182" s="1">
        <f>B161+7</f>
        <v>43220</v>
      </c>
      <c r="C182" s="325">
        <v>1000</v>
      </c>
      <c r="D182" s="325">
        <v>13500</v>
      </c>
      <c r="E182" s="69">
        <f>O182+Q182</f>
        <v>198</v>
      </c>
      <c r="F182" s="70">
        <f>P182+R181</f>
        <v>29</v>
      </c>
      <c r="G182" s="325">
        <f t="shared" si="106"/>
        <v>-802</v>
      </c>
      <c r="H182" s="325">
        <f t="shared" si="107"/>
        <v>-13471</v>
      </c>
      <c r="I182" s="70">
        <v>8</v>
      </c>
      <c r="J182" s="70">
        <v>77</v>
      </c>
      <c r="K182" s="70"/>
      <c r="L182" s="70"/>
      <c r="M182" s="70">
        <f t="shared" si="108"/>
        <v>8</v>
      </c>
      <c r="N182" s="70">
        <f t="shared" si="109"/>
        <v>77</v>
      </c>
      <c r="O182" s="70"/>
      <c r="P182" s="70"/>
      <c r="Q182" s="70">
        <v>198</v>
      </c>
      <c r="R182" s="84">
        <v>1662</v>
      </c>
      <c r="S182" s="72"/>
      <c r="T182" s="252">
        <f t="shared" si="113"/>
        <v>0.19800000000000001</v>
      </c>
      <c r="U182" s="73"/>
      <c r="V182" s="73"/>
      <c r="W182" s="73"/>
      <c r="X182" s="73"/>
      <c r="AA182" s="61">
        <f>H169</f>
        <v>19</v>
      </c>
      <c r="AB182" s="61" t="str">
        <f>E169</f>
        <v>CI1-T72-077 W</v>
      </c>
      <c r="AC182" s="74" t="s">
        <v>440</v>
      </c>
      <c r="AD182" s="61" t="str">
        <f t="shared" si="110"/>
        <v>HUA</v>
      </c>
      <c r="AE182" s="61">
        <f t="shared" si="111"/>
        <v>1000</v>
      </c>
      <c r="AF182" s="61">
        <f t="shared" si="112"/>
        <v>198</v>
      </c>
    </row>
    <row r="183" spans="1:32" s="65" customFormat="1" ht="12.75" customHeight="1">
      <c r="A183" s="52" t="s">
        <v>68</v>
      </c>
      <c r="B183" s="1">
        <f>B162+7</f>
        <v>43221</v>
      </c>
      <c r="C183" s="325"/>
      <c r="D183" s="325"/>
      <c r="E183" s="69">
        <f>O183+Q183</f>
        <v>0</v>
      </c>
      <c r="F183" s="70">
        <f>P183+R183</f>
        <v>0</v>
      </c>
      <c r="G183" s="325"/>
      <c r="H183" s="325"/>
      <c r="I183" s="70">
        <v>65</v>
      </c>
      <c r="J183" s="70">
        <v>325</v>
      </c>
      <c r="K183" s="70"/>
      <c r="L183" s="70"/>
      <c r="M183" s="70">
        <f t="shared" si="108"/>
        <v>65</v>
      </c>
      <c r="N183" s="70">
        <f t="shared" si="109"/>
        <v>325</v>
      </c>
      <c r="O183" s="70"/>
      <c r="P183" s="70"/>
      <c r="Q183" s="70"/>
      <c r="R183" s="70"/>
      <c r="S183" s="72"/>
      <c r="T183" s="252" t="e">
        <f t="shared" si="113"/>
        <v>#DIV/0!</v>
      </c>
      <c r="U183" s="73"/>
      <c r="V183" s="73"/>
      <c r="W183" s="73"/>
      <c r="X183" s="73"/>
      <c r="AA183" s="61">
        <f>H169</f>
        <v>19</v>
      </c>
      <c r="AB183" s="61" t="str">
        <f>E169</f>
        <v>CI1-T72-077 W</v>
      </c>
      <c r="AC183" s="74" t="s">
        <v>440</v>
      </c>
      <c r="AD183" s="61" t="str">
        <f t="shared" si="110"/>
        <v>GNS</v>
      </c>
      <c r="AE183" s="61">
        <f t="shared" si="111"/>
        <v>0</v>
      </c>
      <c r="AF183" s="61">
        <f t="shared" si="112"/>
        <v>0</v>
      </c>
    </row>
    <row r="184" spans="1:32" s="65" customFormat="1" ht="12.75" customHeight="1">
      <c r="A184" s="52" t="s">
        <v>3</v>
      </c>
      <c r="B184" s="1">
        <f>B163+7</f>
        <v>43226</v>
      </c>
      <c r="C184" s="325">
        <v>250</v>
      </c>
      <c r="D184" s="325">
        <v>3375</v>
      </c>
      <c r="E184" s="69">
        <f>O184+Q184</f>
        <v>250</v>
      </c>
      <c r="F184" s="70">
        <f>P184+R184</f>
        <v>3375</v>
      </c>
      <c r="G184" s="325">
        <f t="shared" ref="G184:G187" si="114">E184-C184</f>
        <v>0</v>
      </c>
      <c r="H184" s="325">
        <f t="shared" ref="H184:H187" si="115">F184-D184</f>
        <v>0</v>
      </c>
      <c r="I184" s="70"/>
      <c r="J184" s="70"/>
      <c r="K184" s="70"/>
      <c r="L184" s="70"/>
      <c r="M184" s="70">
        <f t="shared" si="108"/>
        <v>0</v>
      </c>
      <c r="N184" s="70">
        <f t="shared" si="109"/>
        <v>0</v>
      </c>
      <c r="O184" s="325"/>
      <c r="P184" s="325"/>
      <c r="Q184" s="70">
        <v>250</v>
      </c>
      <c r="R184" s="70">
        <v>3375</v>
      </c>
      <c r="S184" s="72"/>
      <c r="T184" s="252">
        <f t="shared" si="113"/>
        <v>1</v>
      </c>
      <c r="U184" s="73"/>
      <c r="V184" s="73"/>
      <c r="W184" s="73"/>
      <c r="X184" s="73"/>
      <c r="AA184" s="61">
        <f>H169</f>
        <v>19</v>
      </c>
      <c r="AB184" s="61" t="str">
        <f>E169</f>
        <v>CI1-T72-077 W</v>
      </c>
      <c r="AC184" s="74" t="s">
        <v>440</v>
      </c>
      <c r="AD184" s="61" t="str">
        <f t="shared" si="110"/>
        <v>SGP</v>
      </c>
      <c r="AE184" s="61">
        <f t="shared" si="111"/>
        <v>250</v>
      </c>
      <c r="AF184" s="61">
        <f t="shared" si="112"/>
        <v>250</v>
      </c>
    </row>
    <row r="185" spans="1:32" s="65" customFormat="1" ht="12.75" customHeight="1">
      <c r="A185" s="52" t="s">
        <v>431</v>
      </c>
      <c r="B185" s="325"/>
      <c r="C185" s="325">
        <v>50</v>
      </c>
      <c r="D185" s="325">
        <v>675</v>
      </c>
      <c r="E185" s="69">
        <f>O185+Q185</f>
        <v>0</v>
      </c>
      <c r="F185" s="70">
        <f>P185+R185</f>
        <v>0</v>
      </c>
      <c r="G185" s="325">
        <f t="shared" si="114"/>
        <v>-50</v>
      </c>
      <c r="H185" s="325">
        <f t="shared" si="115"/>
        <v>-675</v>
      </c>
      <c r="I185" s="70"/>
      <c r="J185" s="70"/>
      <c r="K185" s="70"/>
      <c r="L185" s="70"/>
      <c r="M185" s="70">
        <f t="shared" si="108"/>
        <v>0</v>
      </c>
      <c r="N185" s="70">
        <f t="shared" si="109"/>
        <v>0</v>
      </c>
      <c r="O185" s="70"/>
      <c r="P185" s="70"/>
      <c r="Q185" s="70"/>
      <c r="R185" s="70"/>
      <c r="S185" s="72"/>
      <c r="T185" s="252">
        <f>E185/C185</f>
        <v>0</v>
      </c>
      <c r="U185" s="73"/>
      <c r="V185" s="73"/>
      <c r="W185" s="73"/>
      <c r="X185" s="73"/>
      <c r="AA185" s="61">
        <f>H169</f>
        <v>19</v>
      </c>
      <c r="AB185" s="61" t="str">
        <f>E169</f>
        <v>CI1-T72-077 W</v>
      </c>
      <c r="AC185" s="74" t="s">
        <v>440</v>
      </c>
      <c r="AD185" s="61" t="str">
        <f t="shared" si="110"/>
        <v>HQ</v>
      </c>
      <c r="AE185" s="61">
        <f t="shared" si="111"/>
        <v>50</v>
      </c>
      <c r="AF185" s="61">
        <f t="shared" si="112"/>
        <v>0</v>
      </c>
    </row>
    <row r="186" spans="1:32" s="65" customFormat="1" ht="12.75" customHeight="1">
      <c r="A186" s="52" t="s">
        <v>31</v>
      </c>
      <c r="B186" s="325"/>
      <c r="C186" s="325">
        <v>50</v>
      </c>
      <c r="D186" s="325">
        <v>675</v>
      </c>
      <c r="E186" s="69">
        <f>O186+Q186</f>
        <v>0</v>
      </c>
      <c r="F186" s="70">
        <f>P186+R186</f>
        <v>0</v>
      </c>
      <c r="G186" s="325">
        <f t="shared" si="114"/>
        <v>-50</v>
      </c>
      <c r="H186" s="325">
        <f t="shared" si="115"/>
        <v>-675</v>
      </c>
      <c r="I186" s="70"/>
      <c r="J186" s="70"/>
      <c r="K186" s="70"/>
      <c r="L186" s="70"/>
      <c r="M186" s="70">
        <f t="shared" si="108"/>
        <v>0</v>
      </c>
      <c r="N186" s="70">
        <f t="shared" si="109"/>
        <v>0</v>
      </c>
      <c r="O186" s="71"/>
      <c r="P186" s="71"/>
      <c r="Q186" s="71"/>
      <c r="R186" s="71"/>
      <c r="S186" s="72"/>
      <c r="T186" s="73"/>
      <c r="U186" s="73"/>
      <c r="V186" s="73"/>
      <c r="W186" s="73"/>
      <c r="X186" s="73"/>
      <c r="AA186" s="61">
        <f>H169</f>
        <v>19</v>
      </c>
      <c r="AB186" s="61" t="str">
        <f>E169</f>
        <v>CI1-T72-077 W</v>
      </c>
      <c r="AC186" s="74" t="s">
        <v>440</v>
      </c>
      <c r="AD186" s="61" t="str">
        <f t="shared" si="110"/>
        <v>COSCO T/S</v>
      </c>
      <c r="AE186" s="61">
        <f t="shared" si="111"/>
        <v>50</v>
      </c>
      <c r="AF186" s="61">
        <f t="shared" si="112"/>
        <v>0</v>
      </c>
    </row>
    <row r="187" spans="1:32" s="65" customFormat="1" ht="12.75" customHeight="1">
      <c r="A187" s="51" t="s">
        <v>36</v>
      </c>
      <c r="B187" s="72"/>
      <c r="C187" s="71">
        <v>2400</v>
      </c>
      <c r="D187" s="71">
        <f>SUM(D173:D186)</f>
        <v>32400</v>
      </c>
      <c r="E187" s="78">
        <f>SUM(E173:E186)</f>
        <v>1423</v>
      </c>
      <c r="F187" s="76">
        <f>SUM(F173:F186)</f>
        <v>15180</v>
      </c>
      <c r="G187" s="71">
        <f t="shared" si="114"/>
        <v>-977</v>
      </c>
      <c r="H187" s="71">
        <f t="shared" si="115"/>
        <v>-17220</v>
      </c>
      <c r="I187" s="70">
        <f t="shared" ref="I187:L187" si="116">SUM(I173:I186)</f>
        <v>293</v>
      </c>
      <c r="J187" s="70">
        <f t="shared" si="116"/>
        <v>3900</v>
      </c>
      <c r="K187" s="70">
        <f t="shared" si="116"/>
        <v>0</v>
      </c>
      <c r="L187" s="70">
        <f t="shared" si="116"/>
        <v>0</v>
      </c>
      <c r="M187" s="70"/>
      <c r="N187" s="70"/>
      <c r="O187" s="70">
        <f t="shared" ref="O187:R187" si="117">SUM(O173:O186)</f>
        <v>845</v>
      </c>
      <c r="P187" s="70">
        <f t="shared" si="117"/>
        <v>9871</v>
      </c>
      <c r="Q187" s="70">
        <f t="shared" si="117"/>
        <v>578</v>
      </c>
      <c r="R187" s="70">
        <f t="shared" si="117"/>
        <v>6942</v>
      </c>
      <c r="S187" s="72"/>
      <c r="T187" s="73"/>
      <c r="U187" s="73"/>
      <c r="V187" s="73"/>
      <c r="W187" s="73"/>
      <c r="X187" s="73"/>
      <c r="AA187" s="61"/>
      <c r="AB187" s="61"/>
      <c r="AC187" s="61"/>
      <c r="AD187" s="61"/>
      <c r="AE187" s="61"/>
      <c r="AF187" s="61"/>
    </row>
    <row r="188" spans="1:32" s="65" customFormat="1" ht="12.75" customHeight="1">
      <c r="A188" s="84">
        <f>D187/C187</f>
        <v>13.5</v>
      </c>
      <c r="C188" s="326">
        <f>F187-E188</f>
        <v>-13980</v>
      </c>
      <c r="E188" s="65">
        <f>D187*0.9</f>
        <v>29160</v>
      </c>
      <c r="F188" s="326">
        <f>E187-L188</f>
        <v>-737</v>
      </c>
      <c r="I188" s="80" t="s">
        <v>48</v>
      </c>
      <c r="J188" s="245">
        <f>E187/C187</f>
        <v>0.59291666666666665</v>
      </c>
      <c r="K188" s="80"/>
      <c r="L188" s="80">
        <f>C187*0.9</f>
        <v>2160</v>
      </c>
      <c r="M188" s="80"/>
      <c r="N188" s="80"/>
      <c r="O188" s="80" t="s">
        <v>49</v>
      </c>
      <c r="P188" s="80"/>
      <c r="Q188" s="65">
        <f>P174+P175+P177+P178+P179+J174+J175+L174+L175+J177+R177+R185</f>
        <v>13237</v>
      </c>
      <c r="R188" s="65">
        <v>16856</v>
      </c>
      <c r="AA188" s="81"/>
      <c r="AB188" s="81"/>
      <c r="AC188" s="81"/>
      <c r="AD188" s="81"/>
      <c r="AE188" s="81"/>
      <c r="AF188" s="81"/>
    </row>
  </sheetData>
  <mergeCells count="108">
    <mergeCell ref="Y65:Y66"/>
    <mergeCell ref="M66:N66"/>
    <mergeCell ref="Y67:Y68"/>
    <mergeCell ref="A65:A67"/>
    <mergeCell ref="B65:B67"/>
    <mergeCell ref="C65:D66"/>
    <mergeCell ref="E65:F66"/>
    <mergeCell ref="G65:H66"/>
    <mergeCell ref="I65:N65"/>
    <mergeCell ref="O65:P66"/>
    <mergeCell ref="Q65:R66"/>
    <mergeCell ref="S65:S67"/>
    <mergeCell ref="A44:A46"/>
    <mergeCell ref="B44:B46"/>
    <mergeCell ref="C44:D45"/>
    <mergeCell ref="E44:F45"/>
    <mergeCell ref="G44:H45"/>
    <mergeCell ref="O44:P45"/>
    <mergeCell ref="Q44:R45"/>
    <mergeCell ref="S44:S46"/>
    <mergeCell ref="Y44:Y45"/>
    <mergeCell ref="M45:N45"/>
    <mergeCell ref="Y46:Y47"/>
    <mergeCell ref="I44:N44"/>
    <mergeCell ref="A23:A25"/>
    <mergeCell ref="B23:B25"/>
    <mergeCell ref="C23:D24"/>
    <mergeCell ref="E23:F24"/>
    <mergeCell ref="G23:H24"/>
    <mergeCell ref="O23:P24"/>
    <mergeCell ref="Q23:R24"/>
    <mergeCell ref="S23:S25"/>
    <mergeCell ref="Y23:Y24"/>
    <mergeCell ref="M24:N24"/>
    <mergeCell ref="Y25:Y26"/>
    <mergeCell ref="I23:N23"/>
    <mergeCell ref="A2:A4"/>
    <mergeCell ref="B2:B4"/>
    <mergeCell ref="C2:D3"/>
    <mergeCell ref="E2:F3"/>
    <mergeCell ref="G2:H3"/>
    <mergeCell ref="O2:P3"/>
    <mergeCell ref="Q2:R3"/>
    <mergeCell ref="S2:S4"/>
    <mergeCell ref="Y2:Y3"/>
    <mergeCell ref="M3:N3"/>
    <mergeCell ref="Y4:Y5"/>
    <mergeCell ref="I2:N2"/>
    <mergeCell ref="I86:N86"/>
    <mergeCell ref="O86:P87"/>
    <mergeCell ref="Q86:R87"/>
    <mergeCell ref="S86:S88"/>
    <mergeCell ref="Y86:Y87"/>
    <mergeCell ref="M87:N87"/>
    <mergeCell ref="Y88:Y89"/>
    <mergeCell ref="A86:A88"/>
    <mergeCell ref="B86:B88"/>
    <mergeCell ref="C86:D87"/>
    <mergeCell ref="E86:F87"/>
    <mergeCell ref="G86:H87"/>
    <mergeCell ref="I107:N107"/>
    <mergeCell ref="O107:P108"/>
    <mergeCell ref="Q107:R108"/>
    <mergeCell ref="S107:S109"/>
    <mergeCell ref="Y107:Y108"/>
    <mergeCell ref="M108:N108"/>
    <mergeCell ref="Y109:Y110"/>
    <mergeCell ref="A107:A109"/>
    <mergeCell ref="B107:B109"/>
    <mergeCell ref="C107:D108"/>
    <mergeCell ref="E107:F108"/>
    <mergeCell ref="G107:H108"/>
    <mergeCell ref="I128:N128"/>
    <mergeCell ref="O128:P129"/>
    <mergeCell ref="Q128:R129"/>
    <mergeCell ref="S128:S130"/>
    <mergeCell ref="Y128:Y129"/>
    <mergeCell ref="M129:N129"/>
    <mergeCell ref="Y130:Y131"/>
    <mergeCell ref="A128:A130"/>
    <mergeCell ref="B128:B130"/>
    <mergeCell ref="C128:D129"/>
    <mergeCell ref="E128:F129"/>
    <mergeCell ref="G128:H129"/>
    <mergeCell ref="I149:N149"/>
    <mergeCell ref="O149:P150"/>
    <mergeCell ref="Q149:R150"/>
    <mergeCell ref="S149:S151"/>
    <mergeCell ref="Y149:Y150"/>
    <mergeCell ref="M150:N150"/>
    <mergeCell ref="Y151:Y152"/>
    <mergeCell ref="A149:A151"/>
    <mergeCell ref="B149:B151"/>
    <mergeCell ref="C149:D150"/>
    <mergeCell ref="E149:F150"/>
    <mergeCell ref="G149:H150"/>
    <mergeCell ref="I170:N170"/>
    <mergeCell ref="O170:P171"/>
    <mergeCell ref="Q170:R171"/>
    <mergeCell ref="S170:S172"/>
    <mergeCell ref="Y170:Y171"/>
    <mergeCell ref="M171:N171"/>
    <mergeCell ref="Y172:Y173"/>
    <mergeCell ref="A170:A172"/>
    <mergeCell ref="B170:B172"/>
    <mergeCell ref="C170:D171"/>
    <mergeCell ref="E170:F171"/>
    <mergeCell ref="G170:H171"/>
  </mergeCells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88"/>
  <sheetViews>
    <sheetView topLeftCell="A124" workbookViewId="0">
      <selection activeCell="B127" sqref="B127:F127"/>
    </sheetView>
  </sheetViews>
  <sheetFormatPr defaultRowHeight="13.5"/>
  <cols>
    <col min="1" max="2" width="9" style="25"/>
    <col min="3" max="18" width="7.125" style="87" customWidth="1"/>
    <col min="19" max="34" width="9" style="87"/>
    <col min="35" max="16384" width="9" style="25"/>
  </cols>
  <sheetData>
    <row r="1" spans="1:34" s="18" customFormat="1" ht="12.75" hidden="1" customHeight="1">
      <c r="A1" s="16" t="s">
        <v>433</v>
      </c>
      <c r="B1" s="17" t="s">
        <v>432</v>
      </c>
      <c r="C1" s="56"/>
      <c r="D1" s="57"/>
      <c r="E1" s="58" t="s">
        <v>465</v>
      </c>
      <c r="F1" s="57"/>
      <c r="G1" s="59" t="s">
        <v>37</v>
      </c>
      <c r="H1" s="60">
        <v>11</v>
      </c>
      <c r="I1" s="57"/>
      <c r="J1" s="57" t="s">
        <v>55</v>
      </c>
      <c r="K1" s="57"/>
      <c r="L1" s="57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2"/>
      <c r="Z1" s="62"/>
      <c r="AA1" s="62"/>
      <c r="AB1" s="62"/>
      <c r="AC1" s="62"/>
      <c r="AD1" s="63"/>
      <c r="AE1" s="63"/>
      <c r="AF1" s="63"/>
      <c r="AG1" s="63"/>
      <c r="AH1" s="63"/>
    </row>
    <row r="2" spans="1:34" s="19" customFormat="1" ht="12.75" hidden="1" customHeight="1">
      <c r="A2" s="340" t="s">
        <v>0</v>
      </c>
      <c r="B2" s="336" t="s">
        <v>1</v>
      </c>
      <c r="C2" s="331" t="s">
        <v>25</v>
      </c>
      <c r="D2" s="332"/>
      <c r="E2" s="331" t="s">
        <v>21</v>
      </c>
      <c r="F2" s="332"/>
      <c r="G2" s="335" t="s">
        <v>24</v>
      </c>
      <c r="H2" s="335"/>
      <c r="I2" s="328" t="s">
        <v>33</v>
      </c>
      <c r="J2" s="329"/>
      <c r="K2" s="329"/>
      <c r="L2" s="329"/>
      <c r="M2" s="329"/>
      <c r="N2" s="330"/>
      <c r="O2" s="331" t="s">
        <v>22</v>
      </c>
      <c r="P2" s="332"/>
      <c r="Q2" s="335" t="s">
        <v>23</v>
      </c>
      <c r="R2" s="335"/>
      <c r="S2" s="336" t="s">
        <v>27</v>
      </c>
      <c r="T2" s="64"/>
      <c r="U2" s="64"/>
      <c r="V2" s="64"/>
      <c r="W2" s="64"/>
      <c r="X2" s="64"/>
      <c r="Y2" s="339"/>
      <c r="Z2" s="85"/>
      <c r="AA2" s="61"/>
      <c r="AB2" s="61"/>
      <c r="AC2" s="61"/>
      <c r="AD2" s="61"/>
      <c r="AE2" s="61"/>
      <c r="AF2" s="61"/>
      <c r="AG2" s="65"/>
      <c r="AH2" s="65"/>
    </row>
    <row r="3" spans="1:34" s="19" customFormat="1" ht="12.75" hidden="1" customHeight="1">
      <c r="A3" s="341"/>
      <c r="B3" s="337"/>
      <c r="C3" s="333"/>
      <c r="D3" s="334"/>
      <c r="E3" s="333"/>
      <c r="F3" s="334"/>
      <c r="G3" s="335"/>
      <c r="H3" s="335"/>
      <c r="I3" s="66" t="s">
        <v>28</v>
      </c>
      <c r="J3" s="67" t="s">
        <v>3</v>
      </c>
      <c r="K3" s="66" t="s">
        <v>29</v>
      </c>
      <c r="L3" s="67" t="s">
        <v>4</v>
      </c>
      <c r="M3" s="328" t="s">
        <v>30</v>
      </c>
      <c r="N3" s="330"/>
      <c r="O3" s="333"/>
      <c r="P3" s="334"/>
      <c r="Q3" s="335"/>
      <c r="R3" s="335"/>
      <c r="S3" s="337"/>
      <c r="T3" s="64"/>
      <c r="U3" s="64"/>
      <c r="V3" s="64"/>
      <c r="W3" s="64"/>
      <c r="X3" s="64"/>
      <c r="Y3" s="339"/>
      <c r="Z3" s="85"/>
      <c r="AA3" s="61"/>
      <c r="AB3" s="61"/>
      <c r="AC3" s="61"/>
      <c r="AD3" s="61"/>
      <c r="AE3" s="61"/>
      <c r="AF3" s="61"/>
      <c r="AG3" s="65"/>
      <c r="AH3" s="65"/>
    </row>
    <row r="4" spans="1:34" s="19" customFormat="1" ht="12.75" hidden="1" customHeight="1">
      <c r="A4" s="342"/>
      <c r="B4" s="338"/>
      <c r="C4" s="68" t="s">
        <v>5</v>
      </c>
      <c r="D4" s="68" t="s">
        <v>6</v>
      </c>
      <c r="E4" s="67" t="s">
        <v>5</v>
      </c>
      <c r="F4" s="68" t="s">
        <v>6</v>
      </c>
      <c r="G4" s="68" t="s">
        <v>5</v>
      </c>
      <c r="H4" s="68" t="s">
        <v>6</v>
      </c>
      <c r="I4" s="67" t="s">
        <v>5</v>
      </c>
      <c r="J4" s="68" t="s">
        <v>6</v>
      </c>
      <c r="K4" s="67" t="s">
        <v>5</v>
      </c>
      <c r="L4" s="68" t="s">
        <v>6</v>
      </c>
      <c r="M4" s="68"/>
      <c r="N4" s="68"/>
      <c r="O4" s="67" t="s">
        <v>5</v>
      </c>
      <c r="P4" s="68" t="s">
        <v>6</v>
      </c>
      <c r="Q4" s="68" t="s">
        <v>5</v>
      </c>
      <c r="R4" s="68" t="s">
        <v>6</v>
      </c>
      <c r="S4" s="338"/>
      <c r="T4" s="64"/>
      <c r="U4" s="64"/>
      <c r="V4" s="64"/>
      <c r="W4" s="64"/>
      <c r="X4" s="64"/>
      <c r="Y4" s="339"/>
      <c r="Z4" s="85"/>
      <c r="AA4" s="61" t="s">
        <v>43</v>
      </c>
      <c r="AB4" s="61" t="s">
        <v>45</v>
      </c>
      <c r="AC4" s="61" t="s">
        <v>46</v>
      </c>
      <c r="AD4" s="61" t="s">
        <v>42</v>
      </c>
      <c r="AE4" s="61" t="s">
        <v>41</v>
      </c>
      <c r="AF4" s="61" t="s">
        <v>44</v>
      </c>
      <c r="AG4" s="65"/>
      <c r="AH4" s="65"/>
    </row>
    <row r="5" spans="1:34" s="19" customFormat="1" ht="12.75" hidden="1" customHeight="1">
      <c r="A5" s="21" t="s">
        <v>7</v>
      </c>
      <c r="B5" s="1" t="s">
        <v>67</v>
      </c>
      <c r="C5" s="68">
        <v>0</v>
      </c>
      <c r="D5" s="68">
        <v>0</v>
      </c>
      <c r="E5" s="69">
        <f t="shared" ref="E5:F11" si="0">O5+Q5</f>
        <v>0</v>
      </c>
      <c r="F5" s="70">
        <f t="shared" si="0"/>
        <v>0</v>
      </c>
      <c r="G5" s="68">
        <f t="shared" ref="G5:H14" si="1">E5-C5</f>
        <v>0</v>
      </c>
      <c r="H5" s="68">
        <f t="shared" si="1"/>
        <v>0</v>
      </c>
      <c r="I5" s="70"/>
      <c r="J5" s="70"/>
      <c r="K5" s="70"/>
      <c r="L5" s="70"/>
      <c r="M5" s="70">
        <f t="shared" ref="M5:N18" si="2">I5+K5</f>
        <v>0</v>
      </c>
      <c r="N5" s="70">
        <f t="shared" si="2"/>
        <v>0</v>
      </c>
      <c r="O5" s="71"/>
      <c r="P5" s="71"/>
      <c r="Q5" s="70"/>
      <c r="R5" s="70"/>
      <c r="S5" s="72"/>
      <c r="T5" s="73"/>
      <c r="U5" s="73"/>
      <c r="V5" s="73"/>
      <c r="W5" s="73"/>
      <c r="X5" s="73"/>
      <c r="Y5" s="339"/>
      <c r="Z5" s="85"/>
      <c r="AA5" s="61">
        <f>H1</f>
        <v>11</v>
      </c>
      <c r="AB5" s="61" t="str">
        <f>E1</f>
        <v>CI2-TBZ-021 W</v>
      </c>
      <c r="AC5" s="74" t="s">
        <v>433</v>
      </c>
      <c r="AD5" s="61" t="str">
        <f t="shared" ref="AD5:AD18" si="3">A5</f>
        <v>KR</v>
      </c>
      <c r="AE5" s="61">
        <f t="shared" ref="AE5:AE18" si="4">C5</f>
        <v>0</v>
      </c>
      <c r="AF5" s="61">
        <f t="shared" ref="AF5:AF18" si="5">E5</f>
        <v>0</v>
      </c>
      <c r="AG5" s="65"/>
      <c r="AH5" s="65"/>
    </row>
    <row r="6" spans="1:34" s="19" customFormat="1" ht="12.75" hidden="1" customHeight="1">
      <c r="A6" s="23" t="s">
        <v>13</v>
      </c>
      <c r="B6" s="1">
        <v>43161</v>
      </c>
      <c r="C6" s="68">
        <v>200</v>
      </c>
      <c r="D6" s="68">
        <v>2700</v>
      </c>
      <c r="E6" s="69">
        <f t="shared" si="0"/>
        <v>101</v>
      </c>
      <c r="F6" s="70">
        <f t="shared" si="0"/>
        <v>1141</v>
      </c>
      <c r="G6" s="68">
        <f t="shared" si="1"/>
        <v>-99</v>
      </c>
      <c r="H6" s="68">
        <f t="shared" si="1"/>
        <v>-1559</v>
      </c>
      <c r="I6" s="75"/>
      <c r="J6" s="75"/>
      <c r="K6" s="70"/>
      <c r="L6" s="70"/>
      <c r="M6" s="70">
        <f t="shared" si="2"/>
        <v>0</v>
      </c>
      <c r="N6" s="70">
        <f t="shared" si="2"/>
        <v>0</v>
      </c>
      <c r="O6" s="75">
        <v>101</v>
      </c>
      <c r="P6" s="75">
        <v>1141</v>
      </c>
      <c r="Q6" s="71"/>
      <c r="R6" s="71"/>
      <c r="S6" s="72"/>
      <c r="T6" s="73"/>
      <c r="U6" s="73"/>
      <c r="V6" s="73"/>
      <c r="W6" s="73"/>
      <c r="X6" s="73"/>
      <c r="Y6" s="65"/>
      <c r="Z6" s="65"/>
      <c r="AA6" s="61">
        <f>H1</f>
        <v>11</v>
      </c>
      <c r="AB6" s="61" t="str">
        <f>E1</f>
        <v>CI2-TBZ-021 W</v>
      </c>
      <c r="AC6" s="74" t="s">
        <v>433</v>
      </c>
      <c r="AD6" s="61" t="str">
        <f t="shared" si="3"/>
        <v>TAO</v>
      </c>
      <c r="AE6" s="61">
        <f t="shared" si="4"/>
        <v>200</v>
      </c>
      <c r="AF6" s="61">
        <f t="shared" si="5"/>
        <v>101</v>
      </c>
      <c r="AG6" s="65"/>
      <c r="AH6" s="65"/>
    </row>
    <row r="7" spans="1:34" s="19" customFormat="1" ht="12.75" hidden="1" customHeight="1">
      <c r="A7" s="23" t="s">
        <v>9</v>
      </c>
      <c r="B7" s="1">
        <v>43164</v>
      </c>
      <c r="C7" s="68">
        <v>250</v>
      </c>
      <c r="D7" s="68">
        <v>3375</v>
      </c>
      <c r="E7" s="69">
        <f t="shared" si="0"/>
        <v>111</v>
      </c>
      <c r="F7" s="70">
        <f t="shared" si="0"/>
        <v>782</v>
      </c>
      <c r="G7" s="68">
        <f t="shared" si="1"/>
        <v>-139</v>
      </c>
      <c r="H7" s="68">
        <f t="shared" si="1"/>
        <v>-2593</v>
      </c>
      <c r="I7" s="75"/>
      <c r="J7" s="75"/>
      <c r="K7" s="71">
        <v>32</v>
      </c>
      <c r="L7" s="71">
        <v>242</v>
      </c>
      <c r="M7" s="70">
        <f t="shared" si="2"/>
        <v>32</v>
      </c>
      <c r="N7" s="70">
        <f t="shared" si="2"/>
        <v>242</v>
      </c>
      <c r="O7" s="75">
        <f>95+16</f>
        <v>111</v>
      </c>
      <c r="P7" s="75">
        <v>782</v>
      </c>
      <c r="Q7" s="71"/>
      <c r="R7" s="71"/>
      <c r="S7" s="72"/>
      <c r="T7" s="73"/>
      <c r="U7" s="73"/>
      <c r="V7" s="73"/>
      <c r="W7" s="73"/>
      <c r="X7" s="73"/>
      <c r="Y7" s="65"/>
      <c r="Z7" s="65"/>
      <c r="AA7" s="61">
        <f>H1</f>
        <v>11</v>
      </c>
      <c r="AB7" s="61" t="str">
        <f>E1</f>
        <v>CI2-TBZ-021 W</v>
      </c>
      <c r="AC7" s="74" t="s">
        <v>433</v>
      </c>
      <c r="AD7" s="61" t="str">
        <f t="shared" si="3"/>
        <v>SHA</v>
      </c>
      <c r="AE7" s="61">
        <f t="shared" si="4"/>
        <v>250</v>
      </c>
      <c r="AF7" s="61">
        <f t="shared" si="5"/>
        <v>111</v>
      </c>
      <c r="AG7" s="65"/>
      <c r="AH7" s="65"/>
    </row>
    <row r="8" spans="1:34" s="19" customFormat="1" ht="12.75" hidden="1" customHeight="1">
      <c r="A8" s="23" t="s">
        <v>8</v>
      </c>
      <c r="B8" s="1">
        <v>43165</v>
      </c>
      <c r="C8" s="68">
        <v>100</v>
      </c>
      <c r="D8" s="68">
        <v>1350</v>
      </c>
      <c r="E8" s="69">
        <f t="shared" si="0"/>
        <v>30</v>
      </c>
      <c r="F8" s="70">
        <f t="shared" si="0"/>
        <v>484</v>
      </c>
      <c r="G8" s="68">
        <f t="shared" si="1"/>
        <v>-70</v>
      </c>
      <c r="H8" s="68">
        <f t="shared" si="1"/>
        <v>-866</v>
      </c>
      <c r="I8" s="71"/>
      <c r="J8" s="71"/>
      <c r="K8" s="71">
        <v>4</v>
      </c>
      <c r="L8" s="71">
        <v>41</v>
      </c>
      <c r="M8" s="70">
        <f t="shared" si="2"/>
        <v>4</v>
      </c>
      <c r="N8" s="70">
        <f t="shared" si="2"/>
        <v>41</v>
      </c>
      <c r="O8" s="71"/>
      <c r="P8" s="71"/>
      <c r="Q8" s="71">
        <v>30</v>
      </c>
      <c r="R8" s="71">
        <v>484</v>
      </c>
      <c r="S8" s="72"/>
      <c r="T8" s="73"/>
      <c r="U8" s="73"/>
      <c r="V8" s="73"/>
      <c r="W8" s="73"/>
      <c r="X8" s="73"/>
      <c r="Y8" s="65"/>
      <c r="Z8" s="65"/>
      <c r="AA8" s="61">
        <f>H1</f>
        <v>11</v>
      </c>
      <c r="AB8" s="61" t="str">
        <f>E1</f>
        <v>CI2-TBZ-021 W</v>
      </c>
      <c r="AC8" s="74" t="s">
        <v>433</v>
      </c>
      <c r="AD8" s="61" t="str">
        <f t="shared" si="3"/>
        <v>NGB</v>
      </c>
      <c r="AE8" s="61">
        <f t="shared" si="4"/>
        <v>100</v>
      </c>
      <c r="AF8" s="61">
        <f t="shared" si="5"/>
        <v>30</v>
      </c>
      <c r="AG8" s="65"/>
      <c r="AH8" s="65"/>
    </row>
    <row r="9" spans="1:34" s="19" customFormat="1" ht="12.75" hidden="1" customHeight="1">
      <c r="A9" s="23" t="s">
        <v>10</v>
      </c>
      <c r="B9" s="1" t="s">
        <v>67</v>
      </c>
      <c r="C9" s="68">
        <v>0</v>
      </c>
      <c r="D9" s="68">
        <v>0</v>
      </c>
      <c r="E9" s="69">
        <f t="shared" si="0"/>
        <v>0</v>
      </c>
      <c r="F9" s="70">
        <f t="shared" si="0"/>
        <v>0</v>
      </c>
      <c r="G9" s="68">
        <f t="shared" si="1"/>
        <v>0</v>
      </c>
      <c r="H9" s="68">
        <f t="shared" si="1"/>
        <v>0</v>
      </c>
      <c r="I9" s="75"/>
      <c r="J9" s="75"/>
      <c r="K9" s="70"/>
      <c r="L9" s="70"/>
      <c r="M9" s="70">
        <f t="shared" si="2"/>
        <v>0</v>
      </c>
      <c r="N9" s="70">
        <f t="shared" si="2"/>
        <v>0</v>
      </c>
      <c r="O9" s="75"/>
      <c r="P9" s="75"/>
      <c r="Q9" s="70"/>
      <c r="R9" s="70"/>
      <c r="S9" s="72"/>
      <c r="T9" s="73"/>
      <c r="U9" s="73"/>
      <c r="V9" s="73"/>
      <c r="W9" s="73"/>
      <c r="X9" s="73"/>
      <c r="Y9" s="65"/>
      <c r="Z9" s="65"/>
      <c r="AA9" s="61">
        <f>H1</f>
        <v>11</v>
      </c>
      <c r="AB9" s="61" t="str">
        <f>E1</f>
        <v>CI2-TBZ-021 W</v>
      </c>
      <c r="AC9" s="74" t="s">
        <v>433</v>
      </c>
      <c r="AD9" s="61" t="str">
        <f t="shared" si="3"/>
        <v>WUH</v>
      </c>
      <c r="AE9" s="61">
        <f t="shared" si="4"/>
        <v>0</v>
      </c>
      <c r="AF9" s="61">
        <f t="shared" si="5"/>
        <v>0</v>
      </c>
      <c r="AG9" s="65"/>
      <c r="AH9" s="65"/>
    </row>
    <row r="10" spans="1:34" s="19" customFormat="1" ht="12.75" hidden="1" customHeight="1">
      <c r="A10" s="23" t="s">
        <v>11</v>
      </c>
      <c r="B10" s="1" t="s">
        <v>18</v>
      </c>
      <c r="C10" s="68">
        <v>0</v>
      </c>
      <c r="D10" s="68">
        <v>0</v>
      </c>
      <c r="E10" s="69">
        <f t="shared" si="0"/>
        <v>0</v>
      </c>
      <c r="F10" s="70">
        <f t="shared" si="0"/>
        <v>0</v>
      </c>
      <c r="G10" s="68">
        <f t="shared" si="1"/>
        <v>0</v>
      </c>
      <c r="H10" s="68">
        <f t="shared" si="1"/>
        <v>0</v>
      </c>
      <c r="I10" s="70"/>
      <c r="J10" s="70"/>
      <c r="K10" s="70"/>
      <c r="L10" s="70"/>
      <c r="M10" s="70">
        <f t="shared" si="2"/>
        <v>0</v>
      </c>
      <c r="N10" s="70">
        <f t="shared" si="2"/>
        <v>0</v>
      </c>
      <c r="O10" s="75"/>
      <c r="P10" s="75"/>
      <c r="Q10" s="70"/>
      <c r="R10" s="70"/>
      <c r="S10" s="72"/>
      <c r="T10" s="73"/>
      <c r="U10" s="73"/>
      <c r="V10" s="73"/>
      <c r="W10" s="73"/>
      <c r="X10" s="73"/>
      <c r="Y10" s="65"/>
      <c r="Z10" s="65"/>
      <c r="AA10" s="61">
        <f>H1</f>
        <v>11</v>
      </c>
      <c r="AB10" s="61" t="str">
        <f>E1</f>
        <v>CI2-TBZ-021 W</v>
      </c>
      <c r="AC10" s="74" t="s">
        <v>433</v>
      </c>
      <c r="AD10" s="61" t="str">
        <f t="shared" si="3"/>
        <v>DLC</v>
      </c>
      <c r="AE10" s="61">
        <f t="shared" si="4"/>
        <v>0</v>
      </c>
      <c r="AF10" s="61">
        <f t="shared" si="5"/>
        <v>0</v>
      </c>
      <c r="AG10" s="65"/>
      <c r="AH10" s="65"/>
    </row>
    <row r="11" spans="1:34" s="19" customFormat="1" ht="12.75" hidden="1" customHeight="1">
      <c r="A11" s="23" t="s">
        <v>12</v>
      </c>
      <c r="B11" s="1" t="s">
        <v>18</v>
      </c>
      <c r="C11" s="68">
        <v>0</v>
      </c>
      <c r="D11" s="68">
        <v>0</v>
      </c>
      <c r="E11" s="69">
        <f t="shared" si="0"/>
        <v>0</v>
      </c>
      <c r="F11" s="70">
        <f t="shared" si="0"/>
        <v>0</v>
      </c>
      <c r="G11" s="68">
        <f t="shared" si="1"/>
        <v>0</v>
      </c>
      <c r="H11" s="68">
        <f t="shared" si="1"/>
        <v>0</v>
      </c>
      <c r="I11" s="70"/>
      <c r="J11" s="70"/>
      <c r="K11" s="70"/>
      <c r="L11" s="70"/>
      <c r="M11" s="70">
        <f t="shared" si="2"/>
        <v>0</v>
      </c>
      <c r="N11" s="70">
        <f t="shared" si="2"/>
        <v>0</v>
      </c>
      <c r="O11" s="75"/>
      <c r="P11" s="75"/>
      <c r="Q11" s="76"/>
      <c r="R11" s="71"/>
      <c r="S11" s="72"/>
      <c r="T11" s="73"/>
      <c r="U11" s="73"/>
      <c r="V11" s="73"/>
      <c r="W11" s="73"/>
      <c r="X11" s="73"/>
      <c r="Y11" s="65"/>
      <c r="Z11" s="65"/>
      <c r="AA11" s="61">
        <f>H1</f>
        <v>11</v>
      </c>
      <c r="AB11" s="61" t="str">
        <f>E1</f>
        <v>CI2-TBZ-021 W</v>
      </c>
      <c r="AC11" s="74" t="s">
        <v>433</v>
      </c>
      <c r="AD11" s="61" t="str">
        <f t="shared" si="3"/>
        <v>TSN</v>
      </c>
      <c r="AE11" s="61">
        <f t="shared" si="4"/>
        <v>0</v>
      </c>
      <c r="AF11" s="61">
        <f t="shared" si="5"/>
        <v>0</v>
      </c>
      <c r="AG11" s="65"/>
      <c r="AH11" s="65"/>
    </row>
    <row r="12" spans="1:34" s="19" customFormat="1" ht="12.75" hidden="1" customHeight="1">
      <c r="A12" s="23" t="s">
        <v>14</v>
      </c>
      <c r="B12" s="1" t="s">
        <v>18</v>
      </c>
      <c r="C12" s="68">
        <v>0</v>
      </c>
      <c r="D12" s="68">
        <v>0</v>
      </c>
      <c r="E12" s="69">
        <v>0</v>
      </c>
      <c r="F12" s="70">
        <v>0</v>
      </c>
      <c r="G12" s="68">
        <f t="shared" si="1"/>
        <v>0</v>
      </c>
      <c r="H12" s="68">
        <f t="shared" si="1"/>
        <v>0</v>
      </c>
      <c r="I12" s="70"/>
      <c r="J12" s="70"/>
      <c r="K12" s="70"/>
      <c r="L12" s="70"/>
      <c r="M12" s="70">
        <f t="shared" si="2"/>
        <v>0</v>
      </c>
      <c r="N12" s="70">
        <f t="shared" si="2"/>
        <v>0</v>
      </c>
      <c r="O12" s="71"/>
      <c r="P12" s="71"/>
      <c r="Q12" s="70"/>
      <c r="R12" s="70"/>
      <c r="S12" s="72"/>
      <c r="T12" s="73"/>
      <c r="U12" s="73"/>
      <c r="V12" s="73"/>
      <c r="W12" s="73"/>
      <c r="X12" s="73"/>
      <c r="Y12" s="65"/>
      <c r="Z12" s="65"/>
      <c r="AA12" s="61">
        <f>H1</f>
        <v>11</v>
      </c>
      <c r="AB12" s="61" t="str">
        <f>E1</f>
        <v>CI2-TBZ-021 W</v>
      </c>
      <c r="AC12" s="74" t="s">
        <v>433</v>
      </c>
      <c r="AD12" s="61" t="str">
        <f t="shared" si="3"/>
        <v>XMN</v>
      </c>
      <c r="AE12" s="61">
        <f t="shared" si="4"/>
        <v>0</v>
      </c>
      <c r="AF12" s="61">
        <f t="shared" si="5"/>
        <v>0</v>
      </c>
      <c r="AG12" s="65"/>
      <c r="AH12" s="65"/>
    </row>
    <row r="13" spans="1:34" s="19" customFormat="1" ht="12.75" hidden="1" customHeight="1">
      <c r="A13" s="23" t="s">
        <v>19</v>
      </c>
      <c r="B13" s="1" t="s">
        <v>18</v>
      </c>
      <c r="C13" s="68">
        <v>0</v>
      </c>
      <c r="D13" s="68">
        <v>0</v>
      </c>
      <c r="E13" s="69">
        <v>0</v>
      </c>
      <c r="F13" s="70">
        <v>0</v>
      </c>
      <c r="G13" s="68">
        <f t="shared" si="1"/>
        <v>0</v>
      </c>
      <c r="H13" s="68">
        <f t="shared" si="1"/>
        <v>0</v>
      </c>
      <c r="I13" s="70"/>
      <c r="J13" s="70"/>
      <c r="K13" s="70"/>
      <c r="L13" s="70"/>
      <c r="M13" s="70">
        <f t="shared" si="2"/>
        <v>0</v>
      </c>
      <c r="N13" s="70">
        <f t="shared" si="2"/>
        <v>0</v>
      </c>
      <c r="O13" s="70"/>
      <c r="P13" s="70"/>
      <c r="Q13" s="70"/>
      <c r="R13" s="70"/>
      <c r="S13" s="72"/>
      <c r="T13" s="73"/>
      <c r="U13" s="73"/>
      <c r="V13" s="73"/>
      <c r="W13" s="73"/>
      <c r="X13" s="73"/>
      <c r="Y13" s="65"/>
      <c r="Z13" s="65"/>
      <c r="AA13" s="61">
        <f>H1</f>
        <v>11</v>
      </c>
      <c r="AB13" s="61" t="str">
        <f>E1</f>
        <v>CI2-TBZ-021 W</v>
      </c>
      <c r="AC13" s="74" t="s">
        <v>433</v>
      </c>
      <c r="AD13" s="61" t="str">
        <f t="shared" si="3"/>
        <v>TWC</v>
      </c>
      <c r="AE13" s="61">
        <f t="shared" si="4"/>
        <v>0</v>
      </c>
      <c r="AF13" s="61">
        <f t="shared" si="5"/>
        <v>0</v>
      </c>
      <c r="AG13" s="65"/>
      <c r="AH13" s="65"/>
    </row>
    <row r="14" spans="1:34" s="19" customFormat="1" ht="12.75" hidden="1" customHeight="1">
      <c r="A14" s="23" t="s">
        <v>16</v>
      </c>
      <c r="B14" s="1">
        <v>43169</v>
      </c>
      <c r="C14" s="68">
        <v>0</v>
      </c>
      <c r="D14" s="68">
        <v>0</v>
      </c>
      <c r="E14" s="69">
        <f t="shared" ref="E14:F18" si="6">O14+Q14</f>
        <v>0</v>
      </c>
      <c r="F14" s="70">
        <f t="shared" si="6"/>
        <v>0</v>
      </c>
      <c r="G14" s="68">
        <f t="shared" si="1"/>
        <v>0</v>
      </c>
      <c r="H14" s="68">
        <f t="shared" si="1"/>
        <v>0</v>
      </c>
      <c r="I14" s="70"/>
      <c r="J14" s="70"/>
      <c r="K14" s="70"/>
      <c r="L14" s="70"/>
      <c r="M14" s="70">
        <f t="shared" si="2"/>
        <v>0</v>
      </c>
      <c r="N14" s="70">
        <f t="shared" si="2"/>
        <v>0</v>
      </c>
      <c r="O14" s="70"/>
      <c r="P14" s="70"/>
      <c r="Q14" s="70"/>
      <c r="R14" s="72"/>
      <c r="S14" s="72"/>
      <c r="T14" s="73"/>
      <c r="U14" s="73"/>
      <c r="V14" s="73"/>
      <c r="W14" s="73"/>
      <c r="X14" s="73"/>
      <c r="Y14" s="65"/>
      <c r="Z14" s="65"/>
      <c r="AA14" s="61">
        <f>H1</f>
        <v>11</v>
      </c>
      <c r="AB14" s="61" t="str">
        <f>E1</f>
        <v>CI2-TBZ-021 W</v>
      </c>
      <c r="AC14" s="74" t="s">
        <v>433</v>
      </c>
      <c r="AD14" s="61" t="str">
        <f t="shared" si="3"/>
        <v>HUA</v>
      </c>
      <c r="AE14" s="61">
        <f t="shared" si="4"/>
        <v>0</v>
      </c>
      <c r="AF14" s="61">
        <f t="shared" si="5"/>
        <v>0</v>
      </c>
      <c r="AG14" s="65"/>
      <c r="AH14" s="65"/>
    </row>
    <row r="15" spans="1:34" s="19" customFormat="1" ht="12.75" hidden="1" customHeight="1">
      <c r="A15" s="23" t="s">
        <v>68</v>
      </c>
      <c r="B15" s="1" t="s">
        <v>67</v>
      </c>
      <c r="C15" s="68"/>
      <c r="D15" s="68"/>
      <c r="E15" s="69">
        <f t="shared" si="6"/>
        <v>0</v>
      </c>
      <c r="F15" s="70">
        <f t="shared" si="6"/>
        <v>0</v>
      </c>
      <c r="G15" s="68"/>
      <c r="H15" s="68"/>
      <c r="I15" s="70"/>
      <c r="J15" s="70"/>
      <c r="K15" s="70"/>
      <c r="L15" s="70"/>
      <c r="M15" s="70">
        <f t="shared" si="2"/>
        <v>0</v>
      </c>
      <c r="N15" s="70">
        <f t="shared" si="2"/>
        <v>0</v>
      </c>
      <c r="O15" s="70"/>
      <c r="P15" s="70"/>
      <c r="Q15" s="70"/>
      <c r="R15" s="70"/>
      <c r="S15" s="72"/>
      <c r="T15" s="73"/>
      <c r="U15" s="73"/>
      <c r="V15" s="73"/>
      <c r="W15" s="73"/>
      <c r="X15" s="73"/>
      <c r="Y15" s="65"/>
      <c r="Z15" s="65"/>
      <c r="AA15" s="61">
        <f>H1</f>
        <v>11</v>
      </c>
      <c r="AB15" s="61" t="str">
        <f>E1</f>
        <v>CI2-TBZ-021 W</v>
      </c>
      <c r="AC15" s="74" t="s">
        <v>433</v>
      </c>
      <c r="AD15" s="61" t="str">
        <f t="shared" si="3"/>
        <v>GNS</v>
      </c>
      <c r="AE15" s="61">
        <f t="shared" si="4"/>
        <v>0</v>
      </c>
      <c r="AF15" s="61">
        <f t="shared" si="5"/>
        <v>0</v>
      </c>
      <c r="AG15" s="65"/>
      <c r="AH15" s="65"/>
    </row>
    <row r="16" spans="1:34" s="19" customFormat="1" ht="12.75" hidden="1" customHeight="1">
      <c r="A16" s="23" t="s">
        <v>3</v>
      </c>
      <c r="B16" s="1"/>
      <c r="C16" s="68">
        <v>0</v>
      </c>
      <c r="D16" s="68">
        <v>0</v>
      </c>
      <c r="E16" s="69">
        <f t="shared" si="6"/>
        <v>0</v>
      </c>
      <c r="F16" s="70">
        <f t="shared" si="6"/>
        <v>0</v>
      </c>
      <c r="G16" s="68">
        <f t="shared" ref="G16:H19" si="7">E16-C16</f>
        <v>0</v>
      </c>
      <c r="H16" s="68">
        <f t="shared" si="7"/>
        <v>0</v>
      </c>
      <c r="I16" s="70"/>
      <c r="J16" s="70"/>
      <c r="K16" s="70"/>
      <c r="L16" s="70"/>
      <c r="M16" s="70">
        <f t="shared" si="2"/>
        <v>0</v>
      </c>
      <c r="N16" s="70">
        <f t="shared" si="2"/>
        <v>0</v>
      </c>
      <c r="O16" s="68"/>
      <c r="P16" s="68"/>
      <c r="Q16" s="70"/>
      <c r="R16" s="70"/>
      <c r="S16" s="72"/>
      <c r="T16" s="73"/>
      <c r="U16" s="73"/>
      <c r="V16" s="73"/>
      <c r="W16" s="73"/>
      <c r="X16" s="73"/>
      <c r="Y16" s="65"/>
      <c r="Z16" s="65"/>
      <c r="AA16" s="61">
        <f>H1</f>
        <v>11</v>
      </c>
      <c r="AB16" s="61" t="str">
        <f>E1</f>
        <v>CI2-TBZ-021 W</v>
      </c>
      <c r="AC16" s="74" t="s">
        <v>433</v>
      </c>
      <c r="AD16" s="61" t="str">
        <f t="shared" si="3"/>
        <v>SGP</v>
      </c>
      <c r="AE16" s="61">
        <f t="shared" si="4"/>
        <v>0</v>
      </c>
      <c r="AF16" s="61">
        <f t="shared" si="5"/>
        <v>0</v>
      </c>
      <c r="AG16" s="65"/>
      <c r="AH16" s="65"/>
    </row>
    <row r="17" spans="1:34" s="19" customFormat="1" ht="12.75" hidden="1" customHeight="1">
      <c r="A17" s="23" t="s">
        <v>436</v>
      </c>
      <c r="B17" s="1">
        <v>43174</v>
      </c>
      <c r="C17" s="68">
        <v>100</v>
      </c>
      <c r="D17" s="68">
        <v>1350</v>
      </c>
      <c r="E17" s="69">
        <f t="shared" si="6"/>
        <v>132</v>
      </c>
      <c r="F17" s="70">
        <f t="shared" si="6"/>
        <v>2049</v>
      </c>
      <c r="G17" s="68">
        <f t="shared" si="7"/>
        <v>32</v>
      </c>
      <c r="H17" s="68">
        <f t="shared" si="7"/>
        <v>699</v>
      </c>
      <c r="I17" s="70"/>
      <c r="J17" s="70"/>
      <c r="K17" s="70"/>
      <c r="L17" s="70"/>
      <c r="M17" s="70">
        <f t="shared" si="2"/>
        <v>0</v>
      </c>
      <c r="N17" s="70">
        <f t="shared" si="2"/>
        <v>0</v>
      </c>
      <c r="O17" s="70"/>
      <c r="P17" s="70"/>
      <c r="Q17" s="70">
        <v>132</v>
      </c>
      <c r="R17" s="70">
        <v>2049</v>
      </c>
      <c r="S17" s="72"/>
      <c r="T17" s="73"/>
      <c r="U17" s="73"/>
      <c r="V17" s="73"/>
      <c r="W17" s="73"/>
      <c r="X17" s="73"/>
      <c r="Y17" s="65"/>
      <c r="Z17" s="65"/>
      <c r="AA17" s="61">
        <f>H1</f>
        <v>11</v>
      </c>
      <c r="AB17" s="61" t="str">
        <f>E1</f>
        <v>CI2-TBZ-021 W</v>
      </c>
      <c r="AC17" s="74" t="s">
        <v>433</v>
      </c>
      <c r="AD17" s="61" t="str">
        <f t="shared" si="3"/>
        <v>PKG</v>
      </c>
      <c r="AE17" s="61">
        <f t="shared" si="4"/>
        <v>100</v>
      </c>
      <c r="AF17" s="61">
        <f t="shared" si="5"/>
        <v>132</v>
      </c>
      <c r="AG17" s="65"/>
      <c r="AH17" s="65"/>
    </row>
    <row r="18" spans="1:34" s="19" customFormat="1" ht="12.75" hidden="1" customHeight="1">
      <c r="A18" s="23" t="s">
        <v>31</v>
      </c>
      <c r="B18" s="20"/>
      <c r="C18" s="68">
        <v>50</v>
      </c>
      <c r="D18" s="68">
        <v>675</v>
      </c>
      <c r="E18" s="69">
        <f t="shared" si="6"/>
        <v>0</v>
      </c>
      <c r="F18" s="70">
        <f t="shared" si="6"/>
        <v>0</v>
      </c>
      <c r="G18" s="68">
        <f t="shared" si="7"/>
        <v>-50</v>
      </c>
      <c r="H18" s="68">
        <f t="shared" si="7"/>
        <v>-675</v>
      </c>
      <c r="I18" s="70"/>
      <c r="J18" s="70"/>
      <c r="K18" s="70"/>
      <c r="L18" s="70"/>
      <c r="M18" s="70">
        <f t="shared" si="2"/>
        <v>0</v>
      </c>
      <c r="N18" s="70">
        <f t="shared" si="2"/>
        <v>0</v>
      </c>
      <c r="O18" s="71"/>
      <c r="P18" s="71"/>
      <c r="Q18" s="71"/>
      <c r="R18" s="71"/>
      <c r="S18" s="72"/>
      <c r="T18" s="73"/>
      <c r="U18" s="73"/>
      <c r="V18" s="73"/>
      <c r="W18" s="73"/>
      <c r="X18" s="73"/>
      <c r="Y18" s="65"/>
      <c r="Z18" s="65"/>
      <c r="AA18" s="61">
        <f>H1</f>
        <v>11</v>
      </c>
      <c r="AB18" s="61" t="str">
        <f>E1</f>
        <v>CI2-TBZ-021 W</v>
      </c>
      <c r="AC18" s="74" t="s">
        <v>433</v>
      </c>
      <c r="AD18" s="61" t="str">
        <f t="shared" si="3"/>
        <v>COSCO T/S</v>
      </c>
      <c r="AE18" s="61">
        <f t="shared" si="4"/>
        <v>50</v>
      </c>
      <c r="AF18" s="61">
        <f t="shared" si="5"/>
        <v>0</v>
      </c>
      <c r="AG18" s="65"/>
      <c r="AH18" s="65"/>
    </row>
    <row r="19" spans="1:34" s="19" customFormat="1" ht="12.75" hidden="1" customHeight="1">
      <c r="A19" s="23" t="s">
        <v>35</v>
      </c>
      <c r="B19" s="22"/>
      <c r="C19" s="71">
        <f>SUM(C5:C18)</f>
        <v>700</v>
      </c>
      <c r="D19" s="71">
        <f>SUM(D5:D18)</f>
        <v>9450</v>
      </c>
      <c r="E19" s="78">
        <f>SUM(E5:E18)</f>
        <v>374</v>
      </c>
      <c r="F19" s="76">
        <f>SUM(F5:F18)</f>
        <v>4456</v>
      </c>
      <c r="G19" s="71">
        <f t="shared" si="7"/>
        <v>-326</v>
      </c>
      <c r="H19" s="71">
        <f t="shared" si="7"/>
        <v>-4994</v>
      </c>
      <c r="I19" s="70">
        <f t="shared" ref="I19:N19" si="8">SUM(I5:I18)</f>
        <v>0</v>
      </c>
      <c r="J19" s="70">
        <f t="shared" si="8"/>
        <v>0</v>
      </c>
      <c r="K19" s="70">
        <f t="shared" si="8"/>
        <v>36</v>
      </c>
      <c r="L19" s="70">
        <f t="shared" si="8"/>
        <v>283</v>
      </c>
      <c r="M19" s="70">
        <f t="shared" si="8"/>
        <v>36</v>
      </c>
      <c r="N19" s="70">
        <f t="shared" si="8"/>
        <v>283</v>
      </c>
      <c r="O19" s="70">
        <f>SUM(O5:O18)</f>
        <v>212</v>
      </c>
      <c r="P19" s="70">
        <f t="shared" ref="P19:R19" si="9">SUM(P5:P18)</f>
        <v>1923</v>
      </c>
      <c r="Q19" s="70">
        <f t="shared" si="9"/>
        <v>162</v>
      </c>
      <c r="R19" s="70">
        <f t="shared" si="9"/>
        <v>2533</v>
      </c>
      <c r="S19" s="72"/>
      <c r="T19" s="73"/>
      <c r="U19" s="73"/>
      <c r="V19" s="73"/>
      <c r="W19" s="73"/>
      <c r="X19" s="73"/>
      <c r="Y19" s="65"/>
      <c r="Z19" s="65"/>
      <c r="AA19" s="61"/>
      <c r="AB19" s="61"/>
      <c r="AC19" s="74"/>
      <c r="AD19" s="61"/>
      <c r="AE19" s="61"/>
      <c r="AF19" s="61"/>
      <c r="AG19" s="65"/>
      <c r="AH19" s="65"/>
    </row>
    <row r="20" spans="1:34" s="65" customFormat="1" ht="12.75" hidden="1" customHeight="1">
      <c r="A20" s="84">
        <f>D19/C19</f>
        <v>13.5</v>
      </c>
      <c r="C20" s="79">
        <f>F19-E20</f>
        <v>-4049</v>
      </c>
      <c r="E20" s="65">
        <f>D19*0.9</f>
        <v>8505</v>
      </c>
      <c r="F20" s="79">
        <f>E19-L20</f>
        <v>-256</v>
      </c>
      <c r="I20" s="80" t="s">
        <v>48</v>
      </c>
      <c r="J20" s="245">
        <f>E19/C19</f>
        <v>0.53428571428571425</v>
      </c>
      <c r="K20" s="80"/>
      <c r="L20" s="80">
        <f>C19*0.9</f>
        <v>630</v>
      </c>
      <c r="M20" s="80"/>
      <c r="N20" s="80"/>
      <c r="O20" s="80" t="s">
        <v>49</v>
      </c>
      <c r="P20" s="80"/>
      <c r="Q20" s="65">
        <f>P6+P7+P9+P10+P11+J6+J7+L6+L7+J9+R9</f>
        <v>2165</v>
      </c>
      <c r="R20" s="65">
        <v>16856</v>
      </c>
      <c r="AA20" s="61"/>
      <c r="AB20" s="61"/>
      <c r="AC20" s="74"/>
      <c r="AD20" s="61"/>
      <c r="AE20" s="61"/>
      <c r="AF20" s="61"/>
    </row>
    <row r="21" spans="1:34" s="19" customFormat="1" ht="12.75" hidden="1" customHeight="1">
      <c r="C21" s="65"/>
      <c r="D21" s="65"/>
      <c r="E21" s="65"/>
      <c r="F21" s="65"/>
      <c r="G21" s="65"/>
      <c r="H21" s="65"/>
      <c r="I21" s="80"/>
      <c r="J21" s="80"/>
      <c r="K21" s="80"/>
      <c r="L21" s="80"/>
      <c r="M21" s="80"/>
      <c r="N21" s="80"/>
      <c r="O21" s="80"/>
      <c r="P21" s="80"/>
      <c r="Q21" s="65"/>
      <c r="R21" s="65">
        <f>R20-Q20</f>
        <v>14691</v>
      </c>
      <c r="S21" s="65"/>
      <c r="T21" s="65"/>
      <c r="U21" s="65"/>
      <c r="V21" s="65"/>
      <c r="W21" s="65"/>
      <c r="X21" s="65"/>
      <c r="Y21" s="65"/>
      <c r="Z21" s="65"/>
      <c r="AA21" s="61"/>
      <c r="AB21" s="61"/>
      <c r="AC21" s="74"/>
      <c r="AD21" s="61"/>
      <c r="AE21" s="61"/>
      <c r="AF21" s="61"/>
      <c r="AG21" s="65"/>
      <c r="AH21" s="65"/>
    </row>
    <row r="22" spans="1:34" s="18" customFormat="1" ht="12.75" hidden="1" customHeight="1">
      <c r="A22" s="16" t="s">
        <v>433</v>
      </c>
      <c r="B22" s="17" t="s">
        <v>434</v>
      </c>
      <c r="C22" s="56"/>
      <c r="D22" s="57"/>
      <c r="E22" s="58" t="s">
        <v>528</v>
      </c>
      <c r="F22" s="57"/>
      <c r="G22" s="59" t="s">
        <v>37</v>
      </c>
      <c r="H22" s="60">
        <f>H1+1</f>
        <v>12</v>
      </c>
      <c r="I22" s="57"/>
      <c r="J22" s="57"/>
      <c r="K22" s="57"/>
      <c r="L22" s="57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2"/>
      <c r="Z22" s="62"/>
      <c r="AA22" s="62"/>
      <c r="AB22" s="62"/>
      <c r="AC22" s="62"/>
      <c r="AD22" s="63"/>
      <c r="AE22" s="63"/>
      <c r="AF22" s="63"/>
      <c r="AG22" s="63"/>
      <c r="AH22" s="63"/>
    </row>
    <row r="23" spans="1:34" s="19" customFormat="1" ht="12.75" hidden="1" customHeight="1">
      <c r="A23" s="340" t="s">
        <v>0</v>
      </c>
      <c r="B23" s="336" t="s">
        <v>1</v>
      </c>
      <c r="C23" s="331" t="s">
        <v>25</v>
      </c>
      <c r="D23" s="332"/>
      <c r="E23" s="331" t="s">
        <v>21</v>
      </c>
      <c r="F23" s="332"/>
      <c r="G23" s="335" t="s">
        <v>24</v>
      </c>
      <c r="H23" s="335"/>
      <c r="I23" s="328" t="s">
        <v>33</v>
      </c>
      <c r="J23" s="329"/>
      <c r="K23" s="329"/>
      <c r="L23" s="329"/>
      <c r="M23" s="329"/>
      <c r="N23" s="330"/>
      <c r="O23" s="331" t="s">
        <v>22</v>
      </c>
      <c r="P23" s="332"/>
      <c r="Q23" s="335" t="s">
        <v>23</v>
      </c>
      <c r="R23" s="335"/>
      <c r="S23" s="336" t="s">
        <v>27</v>
      </c>
      <c r="T23" s="64"/>
      <c r="U23" s="64"/>
      <c r="V23" s="64"/>
      <c r="W23" s="64"/>
      <c r="X23" s="64"/>
      <c r="Y23" s="339"/>
      <c r="Z23" s="85"/>
      <c r="AA23" s="61"/>
      <c r="AB23" s="61"/>
      <c r="AC23" s="74"/>
      <c r="AD23" s="61"/>
      <c r="AE23" s="61"/>
      <c r="AF23" s="61"/>
      <c r="AG23" s="65"/>
      <c r="AH23" s="65"/>
    </row>
    <row r="24" spans="1:34" s="19" customFormat="1" ht="12.75" hidden="1" customHeight="1">
      <c r="A24" s="341"/>
      <c r="B24" s="337"/>
      <c r="C24" s="333"/>
      <c r="D24" s="334"/>
      <c r="E24" s="333"/>
      <c r="F24" s="334"/>
      <c r="G24" s="335"/>
      <c r="H24" s="335"/>
      <c r="I24" s="66" t="s">
        <v>28</v>
      </c>
      <c r="J24" s="67" t="s">
        <v>3</v>
      </c>
      <c r="K24" s="66" t="s">
        <v>29</v>
      </c>
      <c r="L24" s="67" t="s">
        <v>4</v>
      </c>
      <c r="M24" s="328" t="s">
        <v>30</v>
      </c>
      <c r="N24" s="330"/>
      <c r="O24" s="333"/>
      <c r="P24" s="334"/>
      <c r="Q24" s="335"/>
      <c r="R24" s="335"/>
      <c r="S24" s="337"/>
      <c r="T24" s="64"/>
      <c r="U24" s="64"/>
      <c r="V24" s="64"/>
      <c r="W24" s="64"/>
      <c r="X24" s="64"/>
      <c r="Y24" s="339"/>
      <c r="Z24" s="85"/>
      <c r="AA24" s="61"/>
      <c r="AB24" s="61"/>
      <c r="AC24" s="74"/>
      <c r="AD24" s="61"/>
      <c r="AE24" s="61"/>
      <c r="AF24" s="61"/>
      <c r="AG24" s="65"/>
      <c r="AH24" s="65"/>
    </row>
    <row r="25" spans="1:34" s="19" customFormat="1" ht="12.75" hidden="1" customHeight="1">
      <c r="A25" s="342"/>
      <c r="B25" s="338"/>
      <c r="C25" s="68" t="s">
        <v>5</v>
      </c>
      <c r="D25" s="68" t="s">
        <v>6</v>
      </c>
      <c r="E25" s="67" t="s">
        <v>5</v>
      </c>
      <c r="F25" s="68" t="s">
        <v>6</v>
      </c>
      <c r="G25" s="68" t="s">
        <v>5</v>
      </c>
      <c r="H25" s="68" t="s">
        <v>6</v>
      </c>
      <c r="I25" s="67" t="s">
        <v>5</v>
      </c>
      <c r="J25" s="68" t="s">
        <v>6</v>
      </c>
      <c r="K25" s="67" t="s">
        <v>5</v>
      </c>
      <c r="L25" s="68" t="s">
        <v>6</v>
      </c>
      <c r="M25" s="68"/>
      <c r="N25" s="68"/>
      <c r="O25" s="67" t="s">
        <v>5</v>
      </c>
      <c r="P25" s="68" t="s">
        <v>6</v>
      </c>
      <c r="Q25" s="68" t="s">
        <v>5</v>
      </c>
      <c r="R25" s="68" t="s">
        <v>6</v>
      </c>
      <c r="S25" s="338"/>
      <c r="T25" s="64"/>
      <c r="U25" s="64"/>
      <c r="V25" s="64"/>
      <c r="W25" s="64"/>
      <c r="X25" s="64"/>
      <c r="Y25" s="339"/>
      <c r="Z25" s="85"/>
      <c r="AA25" s="61" t="s">
        <v>43</v>
      </c>
      <c r="AB25" s="61" t="s">
        <v>45</v>
      </c>
      <c r="AC25" s="61" t="s">
        <v>46</v>
      </c>
      <c r="AD25" s="61" t="s">
        <v>42</v>
      </c>
      <c r="AE25" s="61" t="s">
        <v>41</v>
      </c>
      <c r="AF25" s="61" t="s">
        <v>44</v>
      </c>
      <c r="AG25" s="65"/>
      <c r="AH25" s="65"/>
    </row>
    <row r="26" spans="1:34" s="19" customFormat="1" ht="12.75" hidden="1" customHeight="1">
      <c r="A26" s="21" t="s">
        <v>7</v>
      </c>
      <c r="B26" s="1" t="s">
        <v>67</v>
      </c>
      <c r="C26" s="68">
        <v>0</v>
      </c>
      <c r="D26" s="68">
        <v>0</v>
      </c>
      <c r="E26" s="69">
        <f t="shared" ref="E26:F34" si="10">O26+Q26</f>
        <v>0</v>
      </c>
      <c r="F26" s="70">
        <f t="shared" si="10"/>
        <v>0</v>
      </c>
      <c r="G26" s="68">
        <f t="shared" ref="G26:H35" si="11">E26-C26</f>
        <v>0</v>
      </c>
      <c r="H26" s="68">
        <f t="shared" si="11"/>
        <v>0</v>
      </c>
      <c r="I26" s="70"/>
      <c r="J26" s="70"/>
      <c r="K26" s="70"/>
      <c r="L26" s="70"/>
      <c r="M26" s="70">
        <f t="shared" ref="M26:N39" si="12">I26+K26</f>
        <v>0</v>
      </c>
      <c r="N26" s="70">
        <f t="shared" si="12"/>
        <v>0</v>
      </c>
      <c r="O26" s="71"/>
      <c r="P26" s="71"/>
      <c r="Q26" s="70"/>
      <c r="R26" s="70"/>
      <c r="S26" s="72"/>
      <c r="T26" s="252" t="e">
        <f>E26/C26</f>
        <v>#DIV/0!</v>
      </c>
      <c r="U26" s="73"/>
      <c r="V26" s="73"/>
      <c r="W26" s="73"/>
      <c r="X26" s="73"/>
      <c r="Y26" s="339"/>
      <c r="Z26" s="85"/>
      <c r="AA26" s="61">
        <f>H22</f>
        <v>12</v>
      </c>
      <c r="AB26" s="61" t="str">
        <f>E22</f>
        <v>CI2-QAJ-044 W</v>
      </c>
      <c r="AC26" s="74" t="s">
        <v>433</v>
      </c>
      <c r="AD26" s="61" t="str">
        <f t="shared" ref="AD26:AD39" si="13">A26</f>
        <v>KR</v>
      </c>
      <c r="AE26" s="61">
        <f t="shared" ref="AE26:AE39" si="14">C26</f>
        <v>0</v>
      </c>
      <c r="AF26" s="61">
        <f t="shared" ref="AF26:AF39" si="15">E26</f>
        <v>0</v>
      </c>
      <c r="AG26" s="65"/>
      <c r="AH26" s="65"/>
    </row>
    <row r="27" spans="1:34" s="19" customFormat="1" ht="12.75" hidden="1" customHeight="1">
      <c r="A27" s="23" t="s">
        <v>13</v>
      </c>
      <c r="B27" s="1">
        <f>B6+7</f>
        <v>43168</v>
      </c>
      <c r="C27" s="68">
        <v>200</v>
      </c>
      <c r="D27" s="68">
        <v>2700</v>
      </c>
      <c r="E27" s="69">
        <f t="shared" si="10"/>
        <v>189</v>
      </c>
      <c r="F27" s="70">
        <f t="shared" si="10"/>
        <v>1644</v>
      </c>
      <c r="G27" s="68">
        <f t="shared" si="11"/>
        <v>-11</v>
      </c>
      <c r="H27" s="68">
        <f t="shared" si="11"/>
        <v>-1056</v>
      </c>
      <c r="I27" s="75"/>
      <c r="J27" s="75"/>
      <c r="K27" s="70">
        <v>3</v>
      </c>
      <c r="L27" s="70">
        <v>27</v>
      </c>
      <c r="M27" s="70">
        <f t="shared" si="12"/>
        <v>3</v>
      </c>
      <c r="N27" s="70">
        <f t="shared" si="12"/>
        <v>27</v>
      </c>
      <c r="O27" s="75">
        <v>189</v>
      </c>
      <c r="P27" s="75">
        <v>1644</v>
      </c>
      <c r="Q27" s="71"/>
      <c r="R27" s="71"/>
      <c r="S27" s="72"/>
      <c r="T27" s="252">
        <f t="shared" ref="T27:T37" si="16">E27/C27</f>
        <v>0.94499999999999995</v>
      </c>
      <c r="U27" s="73"/>
      <c r="V27" s="73"/>
      <c r="W27" s="73"/>
      <c r="X27" s="73"/>
      <c r="Y27" s="65"/>
      <c r="Z27" s="65"/>
      <c r="AA27" s="61">
        <f>H22</f>
        <v>12</v>
      </c>
      <c r="AB27" s="61" t="str">
        <f>E22</f>
        <v>CI2-QAJ-044 W</v>
      </c>
      <c r="AC27" s="74" t="s">
        <v>433</v>
      </c>
      <c r="AD27" s="61" t="str">
        <f t="shared" si="13"/>
        <v>TAO</v>
      </c>
      <c r="AE27" s="61">
        <f t="shared" si="14"/>
        <v>200</v>
      </c>
      <c r="AF27" s="61">
        <f t="shared" si="15"/>
        <v>189</v>
      </c>
      <c r="AG27" s="65"/>
      <c r="AH27" s="65"/>
    </row>
    <row r="28" spans="1:34" s="19" customFormat="1" ht="12.75" hidden="1" customHeight="1">
      <c r="A28" s="23" t="s">
        <v>9</v>
      </c>
      <c r="B28" s="1">
        <f>B7+7</f>
        <v>43171</v>
      </c>
      <c r="C28" s="68">
        <v>250</v>
      </c>
      <c r="D28" s="68">
        <v>3375</v>
      </c>
      <c r="E28" s="69">
        <f t="shared" si="10"/>
        <v>122</v>
      </c>
      <c r="F28" s="70">
        <f t="shared" si="10"/>
        <v>1175</v>
      </c>
      <c r="G28" s="68">
        <f t="shared" si="11"/>
        <v>-128</v>
      </c>
      <c r="H28" s="68">
        <f t="shared" si="11"/>
        <v>-2200</v>
      </c>
      <c r="I28" s="75"/>
      <c r="J28" s="75"/>
      <c r="K28" s="71">
        <v>3</v>
      </c>
      <c r="L28" s="71">
        <v>37</v>
      </c>
      <c r="M28" s="70">
        <f t="shared" si="12"/>
        <v>3</v>
      </c>
      <c r="N28" s="70">
        <f t="shared" si="12"/>
        <v>37</v>
      </c>
      <c r="O28" s="75">
        <v>122</v>
      </c>
      <c r="P28" s="75">
        <v>1175</v>
      </c>
      <c r="Q28" s="71"/>
      <c r="R28" s="71"/>
      <c r="S28" s="72"/>
      <c r="T28" s="252">
        <f t="shared" si="16"/>
        <v>0.48799999999999999</v>
      </c>
      <c r="U28" s="73"/>
      <c r="V28" s="73"/>
      <c r="W28" s="73"/>
      <c r="X28" s="73"/>
      <c r="Y28" s="65"/>
      <c r="Z28" s="65"/>
      <c r="AA28" s="61">
        <f>H22</f>
        <v>12</v>
      </c>
      <c r="AB28" s="61" t="str">
        <f>E22</f>
        <v>CI2-QAJ-044 W</v>
      </c>
      <c r="AC28" s="74" t="s">
        <v>433</v>
      </c>
      <c r="AD28" s="61" t="str">
        <f t="shared" si="13"/>
        <v>SHA</v>
      </c>
      <c r="AE28" s="61">
        <f t="shared" si="14"/>
        <v>250</v>
      </c>
      <c r="AF28" s="61">
        <f t="shared" si="15"/>
        <v>122</v>
      </c>
      <c r="AG28" s="65"/>
      <c r="AH28" s="65"/>
    </row>
    <row r="29" spans="1:34" s="19" customFormat="1" ht="12.75" hidden="1" customHeight="1">
      <c r="A29" s="23" t="s">
        <v>8</v>
      </c>
      <c r="B29" s="1">
        <f>B8+7</f>
        <v>43172</v>
      </c>
      <c r="C29" s="68">
        <v>100</v>
      </c>
      <c r="D29" s="68">
        <v>1350</v>
      </c>
      <c r="E29" s="69">
        <f t="shared" si="10"/>
        <v>95</v>
      </c>
      <c r="F29" s="70">
        <f t="shared" si="10"/>
        <v>1153</v>
      </c>
      <c r="G29" s="68">
        <f t="shared" si="11"/>
        <v>-5</v>
      </c>
      <c r="H29" s="68">
        <f t="shared" si="11"/>
        <v>-197</v>
      </c>
      <c r="I29" s="71"/>
      <c r="J29" s="71"/>
      <c r="K29" s="71">
        <v>6</v>
      </c>
      <c r="L29" s="71">
        <v>67</v>
      </c>
      <c r="M29" s="70">
        <f t="shared" si="12"/>
        <v>6</v>
      </c>
      <c r="N29" s="70">
        <f t="shared" si="12"/>
        <v>67</v>
      </c>
      <c r="O29" s="71"/>
      <c r="P29" s="71"/>
      <c r="Q29" s="71">
        <f>91+4</f>
        <v>95</v>
      </c>
      <c r="R29" s="71">
        <v>1153</v>
      </c>
      <c r="S29" s="72"/>
      <c r="T29" s="252">
        <f t="shared" si="16"/>
        <v>0.95</v>
      </c>
      <c r="U29" s="73"/>
      <c r="V29" s="73"/>
      <c r="W29" s="73"/>
      <c r="X29" s="73"/>
      <c r="Y29" s="65"/>
      <c r="Z29" s="65"/>
      <c r="AA29" s="61">
        <f>H22</f>
        <v>12</v>
      </c>
      <c r="AB29" s="61" t="str">
        <f>E22</f>
        <v>CI2-QAJ-044 W</v>
      </c>
      <c r="AC29" s="74" t="s">
        <v>433</v>
      </c>
      <c r="AD29" s="61" t="str">
        <f t="shared" si="13"/>
        <v>NGB</v>
      </c>
      <c r="AE29" s="61">
        <f t="shared" si="14"/>
        <v>100</v>
      </c>
      <c r="AF29" s="61">
        <f t="shared" si="15"/>
        <v>95</v>
      </c>
      <c r="AG29" s="65"/>
      <c r="AH29" s="65"/>
    </row>
    <row r="30" spans="1:34" s="19" customFormat="1" ht="12.75" hidden="1" customHeight="1">
      <c r="A30" s="23" t="s">
        <v>10</v>
      </c>
      <c r="B30" s="1" t="s">
        <v>67</v>
      </c>
      <c r="C30" s="68">
        <v>0</v>
      </c>
      <c r="D30" s="68">
        <v>0</v>
      </c>
      <c r="E30" s="69">
        <f t="shared" si="10"/>
        <v>11</v>
      </c>
      <c r="F30" s="70">
        <f t="shared" si="10"/>
        <v>254</v>
      </c>
      <c r="G30" s="68">
        <f t="shared" si="11"/>
        <v>11</v>
      </c>
      <c r="H30" s="68">
        <f t="shared" si="11"/>
        <v>254</v>
      </c>
      <c r="I30" s="75"/>
      <c r="J30" s="75"/>
      <c r="K30" s="70"/>
      <c r="L30" s="70"/>
      <c r="M30" s="70">
        <f t="shared" si="12"/>
        <v>0</v>
      </c>
      <c r="N30" s="70">
        <f t="shared" si="12"/>
        <v>0</v>
      </c>
      <c r="O30" s="75">
        <v>11</v>
      </c>
      <c r="P30" s="75">
        <v>254</v>
      </c>
      <c r="Q30" s="70"/>
      <c r="R30" s="70"/>
      <c r="S30" s="72"/>
      <c r="T30" s="252" t="e">
        <f t="shared" si="16"/>
        <v>#DIV/0!</v>
      </c>
      <c r="U30" s="73"/>
      <c r="V30" s="73"/>
      <c r="W30" s="73"/>
      <c r="X30" s="73"/>
      <c r="Y30" s="65"/>
      <c r="Z30" s="65"/>
      <c r="AA30" s="61">
        <f>H22</f>
        <v>12</v>
      </c>
      <c r="AB30" s="61" t="str">
        <f>E22</f>
        <v>CI2-QAJ-044 W</v>
      </c>
      <c r="AC30" s="74" t="s">
        <v>433</v>
      </c>
      <c r="AD30" s="61" t="str">
        <f t="shared" si="13"/>
        <v>WUH</v>
      </c>
      <c r="AE30" s="61">
        <f t="shared" si="14"/>
        <v>0</v>
      </c>
      <c r="AF30" s="61">
        <f t="shared" si="15"/>
        <v>11</v>
      </c>
      <c r="AG30" s="65"/>
      <c r="AH30" s="65"/>
    </row>
    <row r="31" spans="1:34" s="19" customFormat="1" ht="12.75" hidden="1" customHeight="1">
      <c r="A31" s="23" t="s">
        <v>11</v>
      </c>
      <c r="B31" s="1" t="s">
        <v>18</v>
      </c>
      <c r="C31" s="68">
        <v>0</v>
      </c>
      <c r="D31" s="68">
        <v>0</v>
      </c>
      <c r="E31" s="69">
        <f t="shared" si="10"/>
        <v>1</v>
      </c>
      <c r="F31" s="70">
        <f t="shared" si="10"/>
        <v>4</v>
      </c>
      <c r="G31" s="68">
        <f t="shared" si="11"/>
        <v>1</v>
      </c>
      <c r="H31" s="68">
        <f t="shared" si="11"/>
        <v>4</v>
      </c>
      <c r="I31" s="70"/>
      <c r="J31" s="70"/>
      <c r="K31" s="70"/>
      <c r="L31" s="70"/>
      <c r="M31" s="70">
        <f t="shared" si="12"/>
        <v>0</v>
      </c>
      <c r="N31" s="70">
        <f t="shared" si="12"/>
        <v>0</v>
      </c>
      <c r="O31" s="75"/>
      <c r="P31" s="75"/>
      <c r="Q31" s="70">
        <v>1</v>
      </c>
      <c r="R31" s="70">
        <v>4</v>
      </c>
      <c r="S31" s="72"/>
      <c r="T31" s="252" t="e">
        <f t="shared" si="16"/>
        <v>#DIV/0!</v>
      </c>
      <c r="U31" s="73"/>
      <c r="V31" s="73"/>
      <c r="W31" s="73"/>
      <c r="X31" s="73"/>
      <c r="Y31" s="65"/>
      <c r="Z31" s="65"/>
      <c r="AA31" s="61">
        <f>H22</f>
        <v>12</v>
      </c>
      <c r="AB31" s="61" t="str">
        <f>E22</f>
        <v>CI2-QAJ-044 W</v>
      </c>
      <c r="AC31" s="74" t="s">
        <v>433</v>
      </c>
      <c r="AD31" s="61" t="str">
        <f t="shared" si="13"/>
        <v>DLC</v>
      </c>
      <c r="AE31" s="61">
        <f t="shared" si="14"/>
        <v>0</v>
      </c>
      <c r="AF31" s="61">
        <f t="shared" si="15"/>
        <v>1</v>
      </c>
      <c r="AG31" s="65"/>
      <c r="AH31" s="65"/>
    </row>
    <row r="32" spans="1:34" s="19" customFormat="1" ht="12.75" hidden="1" customHeight="1">
      <c r="A32" s="23" t="s">
        <v>12</v>
      </c>
      <c r="B32" s="1" t="s">
        <v>18</v>
      </c>
      <c r="C32" s="68">
        <v>0</v>
      </c>
      <c r="D32" s="68">
        <v>0</v>
      </c>
      <c r="E32" s="69">
        <f t="shared" si="10"/>
        <v>0</v>
      </c>
      <c r="F32" s="70">
        <f t="shared" si="10"/>
        <v>0</v>
      </c>
      <c r="G32" s="68">
        <f t="shared" si="11"/>
        <v>0</v>
      </c>
      <c r="H32" s="68">
        <f t="shared" si="11"/>
        <v>0</v>
      </c>
      <c r="I32" s="70"/>
      <c r="J32" s="70"/>
      <c r="K32" s="70"/>
      <c r="L32" s="70"/>
      <c r="M32" s="70">
        <f t="shared" si="12"/>
        <v>0</v>
      </c>
      <c r="N32" s="70">
        <f t="shared" si="12"/>
        <v>0</v>
      </c>
      <c r="O32" s="75"/>
      <c r="P32" s="75"/>
      <c r="Q32" s="76"/>
      <c r="R32" s="71"/>
      <c r="S32" s="72"/>
      <c r="T32" s="252" t="e">
        <f t="shared" si="16"/>
        <v>#DIV/0!</v>
      </c>
      <c r="U32" s="73"/>
      <c r="V32" s="73"/>
      <c r="W32" s="73"/>
      <c r="X32" s="73"/>
      <c r="Y32" s="65"/>
      <c r="Z32" s="65"/>
      <c r="AA32" s="61">
        <f>H22</f>
        <v>12</v>
      </c>
      <c r="AB32" s="61" t="str">
        <f>E22</f>
        <v>CI2-QAJ-044 W</v>
      </c>
      <c r="AC32" s="74" t="s">
        <v>433</v>
      </c>
      <c r="AD32" s="61" t="str">
        <f t="shared" si="13"/>
        <v>TSN</v>
      </c>
      <c r="AE32" s="61">
        <f t="shared" si="14"/>
        <v>0</v>
      </c>
      <c r="AF32" s="61">
        <f t="shared" si="15"/>
        <v>0</v>
      </c>
      <c r="AG32" s="65"/>
      <c r="AH32" s="65"/>
    </row>
    <row r="33" spans="1:34" s="19" customFormat="1" ht="12.75" hidden="1" customHeight="1">
      <c r="A33" s="23" t="s">
        <v>14</v>
      </c>
      <c r="B33" s="1" t="s">
        <v>18</v>
      </c>
      <c r="C33" s="68">
        <v>0</v>
      </c>
      <c r="D33" s="68">
        <v>0</v>
      </c>
      <c r="E33" s="69">
        <f t="shared" si="10"/>
        <v>0</v>
      </c>
      <c r="F33" s="70">
        <f t="shared" si="10"/>
        <v>0</v>
      </c>
      <c r="G33" s="68">
        <f t="shared" si="11"/>
        <v>0</v>
      </c>
      <c r="H33" s="68">
        <f t="shared" si="11"/>
        <v>0</v>
      </c>
      <c r="I33" s="70"/>
      <c r="J33" s="70"/>
      <c r="K33" s="70"/>
      <c r="L33" s="70"/>
      <c r="M33" s="70">
        <f t="shared" si="12"/>
        <v>0</v>
      </c>
      <c r="N33" s="70">
        <f t="shared" si="12"/>
        <v>0</v>
      </c>
      <c r="O33" s="71"/>
      <c r="P33" s="71"/>
      <c r="Q33" s="70"/>
      <c r="R33" s="70"/>
      <c r="S33" s="72"/>
      <c r="T33" s="252" t="e">
        <f t="shared" si="16"/>
        <v>#DIV/0!</v>
      </c>
      <c r="U33" s="73"/>
      <c r="V33" s="73"/>
      <c r="W33" s="73"/>
      <c r="X33" s="73"/>
      <c r="Y33" s="65"/>
      <c r="Z33" s="65"/>
      <c r="AA33" s="61">
        <f>H22</f>
        <v>12</v>
      </c>
      <c r="AB33" s="61" t="str">
        <f>E22</f>
        <v>CI2-QAJ-044 W</v>
      </c>
      <c r="AC33" s="74" t="s">
        <v>433</v>
      </c>
      <c r="AD33" s="61" t="str">
        <f t="shared" si="13"/>
        <v>XMN</v>
      </c>
      <c r="AE33" s="61">
        <f t="shared" si="14"/>
        <v>0</v>
      </c>
      <c r="AF33" s="61">
        <f t="shared" si="15"/>
        <v>0</v>
      </c>
      <c r="AG33" s="65"/>
      <c r="AH33" s="65"/>
    </row>
    <row r="34" spans="1:34" s="19" customFormat="1" ht="12.75" hidden="1" customHeight="1">
      <c r="A34" s="23" t="s">
        <v>19</v>
      </c>
      <c r="B34" s="1" t="s">
        <v>18</v>
      </c>
      <c r="C34" s="68">
        <v>0</v>
      </c>
      <c r="D34" s="68">
        <v>0</v>
      </c>
      <c r="E34" s="69">
        <f t="shared" si="10"/>
        <v>0</v>
      </c>
      <c r="F34" s="70">
        <f t="shared" si="10"/>
        <v>0</v>
      </c>
      <c r="G34" s="68">
        <f t="shared" si="11"/>
        <v>0</v>
      </c>
      <c r="H34" s="68">
        <f t="shared" si="11"/>
        <v>0</v>
      </c>
      <c r="I34" s="70"/>
      <c r="J34" s="70"/>
      <c r="K34" s="70"/>
      <c r="L34" s="70"/>
      <c r="M34" s="70">
        <f t="shared" si="12"/>
        <v>0</v>
      </c>
      <c r="N34" s="70">
        <f t="shared" si="12"/>
        <v>0</v>
      </c>
      <c r="O34" s="70"/>
      <c r="P34" s="70"/>
      <c r="Q34" s="70"/>
      <c r="R34" s="70"/>
      <c r="S34" s="72"/>
      <c r="T34" s="252" t="e">
        <f t="shared" si="16"/>
        <v>#DIV/0!</v>
      </c>
      <c r="U34" s="73"/>
      <c r="V34" s="73"/>
      <c r="W34" s="73"/>
      <c r="X34" s="73"/>
      <c r="Y34" s="65"/>
      <c r="Z34" s="65"/>
      <c r="AA34" s="61">
        <f>H22</f>
        <v>12</v>
      </c>
      <c r="AB34" s="61" t="str">
        <f>E22</f>
        <v>CI2-QAJ-044 W</v>
      </c>
      <c r="AC34" s="74" t="s">
        <v>433</v>
      </c>
      <c r="AD34" s="61" t="str">
        <f t="shared" si="13"/>
        <v>TWC</v>
      </c>
      <c r="AE34" s="61">
        <f t="shared" si="14"/>
        <v>0</v>
      </c>
      <c r="AF34" s="61">
        <f t="shared" si="15"/>
        <v>0</v>
      </c>
      <c r="AG34" s="65"/>
      <c r="AH34" s="65"/>
    </row>
    <row r="35" spans="1:34" s="19" customFormat="1" ht="12.75" hidden="1" customHeight="1">
      <c r="A35" s="23" t="s">
        <v>16</v>
      </c>
      <c r="B35" s="1">
        <f>B14+7</f>
        <v>43176</v>
      </c>
      <c r="C35" s="68">
        <v>0</v>
      </c>
      <c r="D35" s="68">
        <v>0</v>
      </c>
      <c r="E35" s="69">
        <f>O35+Q35</f>
        <v>1</v>
      </c>
      <c r="F35" s="70">
        <f>P35+R34</f>
        <v>0</v>
      </c>
      <c r="G35" s="68">
        <f t="shared" si="11"/>
        <v>1</v>
      </c>
      <c r="H35" s="68">
        <f t="shared" si="11"/>
        <v>0</v>
      </c>
      <c r="I35" s="70"/>
      <c r="J35" s="70"/>
      <c r="K35" s="70"/>
      <c r="L35" s="70"/>
      <c r="M35" s="70">
        <f t="shared" si="12"/>
        <v>0</v>
      </c>
      <c r="N35" s="70">
        <f t="shared" si="12"/>
        <v>0</v>
      </c>
      <c r="O35" s="70"/>
      <c r="P35" s="70"/>
      <c r="Q35" s="70">
        <v>1</v>
      </c>
      <c r="R35" s="84">
        <v>79</v>
      </c>
      <c r="S35" s="72"/>
      <c r="T35" s="252" t="e">
        <f t="shared" si="16"/>
        <v>#DIV/0!</v>
      </c>
      <c r="U35" s="73"/>
      <c r="V35" s="73"/>
      <c r="W35" s="73"/>
      <c r="X35" s="73"/>
      <c r="Y35" s="65"/>
      <c r="Z35" s="65"/>
      <c r="AA35" s="61">
        <f>H22</f>
        <v>12</v>
      </c>
      <c r="AB35" s="61" t="str">
        <f>E22</f>
        <v>CI2-QAJ-044 W</v>
      </c>
      <c r="AC35" s="74" t="s">
        <v>433</v>
      </c>
      <c r="AD35" s="61" t="str">
        <f t="shared" si="13"/>
        <v>HUA</v>
      </c>
      <c r="AE35" s="61">
        <f t="shared" si="14"/>
        <v>0</v>
      </c>
      <c r="AF35" s="61">
        <f t="shared" si="15"/>
        <v>1</v>
      </c>
      <c r="AG35" s="65"/>
      <c r="AH35" s="65"/>
    </row>
    <row r="36" spans="1:34" s="19" customFormat="1" ht="12.75" hidden="1" customHeight="1">
      <c r="A36" s="23" t="s">
        <v>68</v>
      </c>
      <c r="B36" s="1" t="s">
        <v>67</v>
      </c>
      <c r="C36" s="68"/>
      <c r="D36" s="68"/>
      <c r="E36" s="69">
        <f>O36+Q36</f>
        <v>0</v>
      </c>
      <c r="F36" s="70">
        <f>P36+R36</f>
        <v>0</v>
      </c>
      <c r="G36" s="68"/>
      <c r="H36" s="68"/>
      <c r="I36" s="70"/>
      <c r="J36" s="70"/>
      <c r="K36" s="70"/>
      <c r="L36" s="70"/>
      <c r="M36" s="70">
        <f t="shared" si="12"/>
        <v>0</v>
      </c>
      <c r="N36" s="70">
        <f t="shared" si="12"/>
        <v>0</v>
      </c>
      <c r="O36" s="70"/>
      <c r="P36" s="70"/>
      <c r="Q36" s="70"/>
      <c r="R36" s="70"/>
      <c r="S36" s="72"/>
      <c r="T36" s="252" t="e">
        <f t="shared" si="16"/>
        <v>#DIV/0!</v>
      </c>
      <c r="U36" s="73"/>
      <c r="V36" s="73"/>
      <c r="W36" s="73"/>
      <c r="X36" s="73"/>
      <c r="Y36" s="65"/>
      <c r="Z36" s="65"/>
      <c r="AA36" s="61">
        <f>H22</f>
        <v>12</v>
      </c>
      <c r="AB36" s="61" t="str">
        <f>E22</f>
        <v>CI2-QAJ-044 W</v>
      </c>
      <c r="AC36" s="74" t="s">
        <v>433</v>
      </c>
      <c r="AD36" s="61" t="str">
        <f t="shared" si="13"/>
        <v>GNS</v>
      </c>
      <c r="AE36" s="61">
        <f t="shared" si="14"/>
        <v>0</v>
      </c>
      <c r="AF36" s="61">
        <f t="shared" si="15"/>
        <v>0</v>
      </c>
      <c r="AG36" s="65"/>
      <c r="AH36" s="65"/>
    </row>
    <row r="37" spans="1:34" s="19" customFormat="1" ht="12.75" hidden="1" customHeight="1">
      <c r="A37" s="23" t="s">
        <v>3</v>
      </c>
      <c r="B37" s="1"/>
      <c r="C37" s="68">
        <v>0</v>
      </c>
      <c r="D37" s="68">
        <v>0</v>
      </c>
      <c r="E37" s="69">
        <f>O37+Q37</f>
        <v>0</v>
      </c>
      <c r="F37" s="70">
        <f>P37+R37</f>
        <v>0</v>
      </c>
      <c r="G37" s="68">
        <f t="shared" ref="G37:H40" si="17">E37-C37</f>
        <v>0</v>
      </c>
      <c r="H37" s="68">
        <f t="shared" si="17"/>
        <v>0</v>
      </c>
      <c r="I37" s="70"/>
      <c r="J37" s="70"/>
      <c r="K37" s="70"/>
      <c r="L37" s="70"/>
      <c r="M37" s="70">
        <f t="shared" si="12"/>
        <v>0</v>
      </c>
      <c r="N37" s="70">
        <f t="shared" si="12"/>
        <v>0</v>
      </c>
      <c r="O37" s="68"/>
      <c r="P37" s="68"/>
      <c r="Q37" s="70"/>
      <c r="R37" s="70"/>
      <c r="S37" s="72"/>
      <c r="T37" s="252" t="e">
        <f t="shared" si="16"/>
        <v>#DIV/0!</v>
      </c>
      <c r="U37" s="73"/>
      <c r="V37" s="73"/>
      <c r="W37" s="73"/>
      <c r="X37" s="73"/>
      <c r="Y37" s="65"/>
      <c r="Z37" s="65"/>
      <c r="AA37" s="61">
        <f>H22</f>
        <v>12</v>
      </c>
      <c r="AB37" s="61" t="str">
        <f>E22</f>
        <v>CI2-QAJ-044 W</v>
      </c>
      <c r="AC37" s="74" t="s">
        <v>433</v>
      </c>
      <c r="AD37" s="61" t="str">
        <f t="shared" si="13"/>
        <v>SGP</v>
      </c>
      <c r="AE37" s="61">
        <f t="shared" si="14"/>
        <v>0</v>
      </c>
      <c r="AF37" s="61">
        <f t="shared" si="15"/>
        <v>0</v>
      </c>
      <c r="AG37" s="65"/>
      <c r="AH37" s="65"/>
    </row>
    <row r="38" spans="1:34" s="19" customFormat="1" ht="12.75" hidden="1" customHeight="1">
      <c r="A38" s="23" t="s">
        <v>441</v>
      </c>
      <c r="B38" s="1">
        <f>B17+7</f>
        <v>43181</v>
      </c>
      <c r="C38" s="68">
        <v>100</v>
      </c>
      <c r="D38" s="68">
        <v>1350</v>
      </c>
      <c r="E38" s="69">
        <f>O38+Q38</f>
        <v>78</v>
      </c>
      <c r="F38" s="70">
        <f>P38+R38</f>
        <v>1338</v>
      </c>
      <c r="G38" s="68">
        <f t="shared" si="17"/>
        <v>-22</v>
      </c>
      <c r="H38" s="68">
        <f t="shared" si="17"/>
        <v>-12</v>
      </c>
      <c r="I38" s="70"/>
      <c r="J38" s="70"/>
      <c r="K38" s="70"/>
      <c r="L38" s="70"/>
      <c r="M38" s="70">
        <f t="shared" si="12"/>
        <v>0</v>
      </c>
      <c r="N38" s="70">
        <f t="shared" si="12"/>
        <v>0</v>
      </c>
      <c r="O38" s="70"/>
      <c r="P38" s="70"/>
      <c r="Q38" s="70">
        <v>78</v>
      </c>
      <c r="R38" s="70">
        <v>1338</v>
      </c>
      <c r="S38" s="72"/>
      <c r="T38" s="252">
        <f>E38/C38</f>
        <v>0.78</v>
      </c>
      <c r="U38" s="73"/>
      <c r="V38" s="73"/>
      <c r="W38" s="73"/>
      <c r="X38" s="73"/>
      <c r="Y38" s="65"/>
      <c r="Z38" s="65"/>
      <c r="AA38" s="61">
        <f>H22</f>
        <v>12</v>
      </c>
      <c r="AB38" s="61" t="str">
        <f>E22</f>
        <v>CI2-QAJ-044 W</v>
      </c>
      <c r="AC38" s="74" t="s">
        <v>433</v>
      </c>
      <c r="AD38" s="61" t="str">
        <f t="shared" si="13"/>
        <v>PKG</v>
      </c>
      <c r="AE38" s="61">
        <f t="shared" si="14"/>
        <v>100</v>
      </c>
      <c r="AF38" s="61">
        <f t="shared" si="15"/>
        <v>78</v>
      </c>
      <c r="AG38" s="65"/>
      <c r="AH38" s="65"/>
    </row>
    <row r="39" spans="1:34" s="19" customFormat="1" ht="12.75" hidden="1" customHeight="1">
      <c r="A39" s="23" t="s">
        <v>31</v>
      </c>
      <c r="B39" s="20"/>
      <c r="C39" s="68">
        <v>50</v>
      </c>
      <c r="D39" s="68">
        <v>675</v>
      </c>
      <c r="E39" s="69">
        <f>O39+Q39</f>
        <v>133</v>
      </c>
      <c r="F39" s="70">
        <f>P39+R39</f>
        <v>1333</v>
      </c>
      <c r="G39" s="68">
        <f t="shared" si="17"/>
        <v>83</v>
      </c>
      <c r="H39" s="68">
        <f t="shared" si="17"/>
        <v>658</v>
      </c>
      <c r="I39" s="70"/>
      <c r="J39" s="70"/>
      <c r="K39" s="70"/>
      <c r="L39" s="70"/>
      <c r="M39" s="70">
        <f t="shared" si="12"/>
        <v>0</v>
      </c>
      <c r="N39" s="70">
        <f t="shared" si="12"/>
        <v>0</v>
      </c>
      <c r="O39" s="71"/>
      <c r="P39" s="71"/>
      <c r="Q39" s="71">
        <v>133</v>
      </c>
      <c r="R39" s="71">
        <v>1333</v>
      </c>
      <c r="S39" s="72"/>
      <c r="T39" s="73"/>
      <c r="U39" s="73"/>
      <c r="V39" s="73"/>
      <c r="W39" s="73"/>
      <c r="X39" s="73"/>
      <c r="Y39" s="65"/>
      <c r="Z39" s="65"/>
      <c r="AA39" s="61">
        <f>H22</f>
        <v>12</v>
      </c>
      <c r="AB39" s="61" t="str">
        <f>E22</f>
        <v>CI2-QAJ-044 W</v>
      </c>
      <c r="AC39" s="74" t="s">
        <v>433</v>
      </c>
      <c r="AD39" s="61" t="str">
        <f t="shared" si="13"/>
        <v>COSCO T/S</v>
      </c>
      <c r="AE39" s="61">
        <f t="shared" si="14"/>
        <v>50</v>
      </c>
      <c r="AF39" s="61">
        <f t="shared" si="15"/>
        <v>133</v>
      </c>
      <c r="AG39" s="65"/>
      <c r="AH39" s="65"/>
    </row>
    <row r="40" spans="1:34" s="19" customFormat="1" ht="12.75" hidden="1" customHeight="1">
      <c r="A40" s="21" t="s">
        <v>36</v>
      </c>
      <c r="B40" s="22"/>
      <c r="C40" s="71">
        <f>SUM(C26:C39)</f>
        <v>700</v>
      </c>
      <c r="D40" s="71">
        <f>SUM(D26:D39)</f>
        <v>9450</v>
      </c>
      <c r="E40" s="78">
        <f>SUM(E26:E39)</f>
        <v>630</v>
      </c>
      <c r="F40" s="76">
        <f>SUM(F26:F39)</f>
        <v>6901</v>
      </c>
      <c r="G40" s="71">
        <f t="shared" si="17"/>
        <v>-70</v>
      </c>
      <c r="H40" s="71">
        <f t="shared" si="17"/>
        <v>-2549</v>
      </c>
      <c r="I40" s="70">
        <f t="shared" ref="I40:L40" si="18">SUM(I26:I39)</f>
        <v>0</v>
      </c>
      <c r="J40" s="70">
        <f t="shared" si="18"/>
        <v>0</v>
      </c>
      <c r="K40" s="70">
        <f t="shared" si="18"/>
        <v>12</v>
      </c>
      <c r="L40" s="70">
        <f t="shared" si="18"/>
        <v>131</v>
      </c>
      <c r="M40" s="70"/>
      <c r="N40" s="70"/>
      <c r="O40" s="70">
        <f t="shared" ref="O40:R40" si="19">SUM(O26:O39)</f>
        <v>322</v>
      </c>
      <c r="P40" s="70">
        <f t="shared" si="19"/>
        <v>3073</v>
      </c>
      <c r="Q40" s="70">
        <f t="shared" si="19"/>
        <v>308</v>
      </c>
      <c r="R40" s="70">
        <f t="shared" si="19"/>
        <v>3907</v>
      </c>
      <c r="S40" s="72"/>
      <c r="T40" s="73"/>
      <c r="U40" s="73"/>
      <c r="V40" s="73"/>
      <c r="W40" s="73"/>
      <c r="X40" s="73"/>
      <c r="Y40" s="65"/>
      <c r="Z40" s="65"/>
      <c r="AA40" s="61"/>
      <c r="AB40" s="61"/>
      <c r="AC40" s="61"/>
      <c r="AD40" s="61"/>
      <c r="AE40" s="61"/>
      <c r="AF40" s="61"/>
      <c r="AG40" s="65"/>
      <c r="AH40" s="65"/>
    </row>
    <row r="41" spans="1:34" s="65" customFormat="1" ht="12.75" hidden="1" customHeight="1">
      <c r="A41" s="84">
        <f>D40/C40</f>
        <v>13.5</v>
      </c>
      <c r="C41" s="79">
        <f>F40-E41</f>
        <v>-1604</v>
      </c>
      <c r="E41" s="65">
        <f>D40*0.9</f>
        <v>8505</v>
      </c>
      <c r="F41" s="79">
        <f>E40-L41</f>
        <v>0</v>
      </c>
      <c r="I41" s="80" t="s">
        <v>48</v>
      </c>
      <c r="J41" s="245">
        <f>E40/C40</f>
        <v>0.9</v>
      </c>
      <c r="K41" s="80"/>
      <c r="L41" s="80">
        <f>C40*0.9</f>
        <v>630</v>
      </c>
      <c r="M41" s="80"/>
      <c r="N41" s="80"/>
      <c r="O41" s="80" t="s">
        <v>49</v>
      </c>
      <c r="P41" s="80"/>
      <c r="Q41" s="65">
        <f>P27+P28+P30+P31+P32+J27+J28+L27+L28+J30+R30</f>
        <v>3137</v>
      </c>
      <c r="R41" s="65">
        <v>16856</v>
      </c>
      <c r="AA41" s="81"/>
      <c r="AB41" s="81"/>
      <c r="AC41" s="81"/>
      <c r="AD41" s="81"/>
      <c r="AE41" s="81"/>
      <c r="AF41" s="81"/>
    </row>
    <row r="42" spans="1:34" s="19" customFormat="1" ht="12.75" hidden="1" customHeight="1">
      <c r="C42" s="65"/>
      <c r="D42" s="65"/>
      <c r="E42" s="65"/>
      <c r="F42" s="65"/>
      <c r="G42" s="65"/>
      <c r="H42" s="65"/>
      <c r="I42" s="80"/>
      <c r="J42" s="80"/>
      <c r="K42" s="80"/>
      <c r="L42" s="80"/>
      <c r="M42" s="80"/>
      <c r="N42" s="80"/>
      <c r="O42" s="80"/>
      <c r="P42" s="80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1"/>
      <c r="AB42" s="61"/>
      <c r="AC42" s="61"/>
      <c r="AD42" s="61"/>
      <c r="AE42" s="61"/>
      <c r="AF42" s="61"/>
      <c r="AG42" s="65"/>
      <c r="AH42" s="65"/>
    </row>
    <row r="43" spans="1:34" s="18" customFormat="1" ht="12.75" hidden="1" customHeight="1">
      <c r="A43" s="16" t="s">
        <v>433</v>
      </c>
      <c r="B43" s="17" t="s">
        <v>435</v>
      </c>
      <c r="C43" s="56"/>
      <c r="D43" s="57"/>
      <c r="E43" s="58" t="s">
        <v>527</v>
      </c>
      <c r="F43" s="57"/>
      <c r="G43" s="59" t="s">
        <v>37</v>
      </c>
      <c r="H43" s="60">
        <f>H22+1</f>
        <v>13</v>
      </c>
      <c r="I43" s="57"/>
      <c r="J43" s="57"/>
      <c r="K43" s="57"/>
      <c r="L43" s="57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2"/>
      <c r="Z43" s="62"/>
      <c r="AA43" s="62"/>
      <c r="AB43" s="62"/>
      <c r="AC43" s="62"/>
      <c r="AD43" s="63"/>
      <c r="AE43" s="63"/>
      <c r="AF43" s="63"/>
      <c r="AG43" s="63"/>
      <c r="AH43" s="63"/>
    </row>
    <row r="44" spans="1:34" s="19" customFormat="1" ht="12.75" hidden="1" customHeight="1">
      <c r="A44" s="340" t="s">
        <v>0</v>
      </c>
      <c r="B44" s="336" t="s">
        <v>1</v>
      </c>
      <c r="C44" s="331" t="s">
        <v>25</v>
      </c>
      <c r="D44" s="332"/>
      <c r="E44" s="331" t="s">
        <v>21</v>
      </c>
      <c r="F44" s="332"/>
      <c r="G44" s="335" t="s">
        <v>24</v>
      </c>
      <c r="H44" s="335"/>
      <c r="I44" s="328" t="s">
        <v>33</v>
      </c>
      <c r="J44" s="329"/>
      <c r="K44" s="329"/>
      <c r="L44" s="329"/>
      <c r="M44" s="329"/>
      <c r="N44" s="330"/>
      <c r="O44" s="331" t="s">
        <v>22</v>
      </c>
      <c r="P44" s="332"/>
      <c r="Q44" s="335" t="s">
        <v>23</v>
      </c>
      <c r="R44" s="335"/>
      <c r="S44" s="336" t="s">
        <v>27</v>
      </c>
      <c r="T44" s="64"/>
      <c r="U44" s="64"/>
      <c r="V44" s="64"/>
      <c r="W44" s="64"/>
      <c r="X44" s="64"/>
      <c r="Y44" s="339"/>
      <c r="Z44" s="85"/>
      <c r="AA44" s="61"/>
      <c r="AB44" s="61"/>
      <c r="AC44" s="74"/>
      <c r="AD44" s="61"/>
      <c r="AE44" s="61"/>
      <c r="AF44" s="61"/>
      <c r="AG44" s="65"/>
      <c r="AH44" s="65"/>
    </row>
    <row r="45" spans="1:34" s="19" customFormat="1" ht="12.75" hidden="1" customHeight="1">
      <c r="A45" s="341"/>
      <c r="B45" s="337"/>
      <c r="C45" s="333"/>
      <c r="D45" s="334"/>
      <c r="E45" s="333"/>
      <c r="F45" s="334"/>
      <c r="G45" s="335"/>
      <c r="H45" s="335"/>
      <c r="I45" s="66" t="s">
        <v>28</v>
      </c>
      <c r="J45" s="67" t="s">
        <v>3</v>
      </c>
      <c r="K45" s="66" t="s">
        <v>29</v>
      </c>
      <c r="L45" s="67" t="s">
        <v>4</v>
      </c>
      <c r="M45" s="328" t="s">
        <v>30</v>
      </c>
      <c r="N45" s="330"/>
      <c r="O45" s="333"/>
      <c r="P45" s="334"/>
      <c r="Q45" s="335"/>
      <c r="R45" s="335"/>
      <c r="S45" s="337"/>
      <c r="T45" s="64"/>
      <c r="U45" s="64"/>
      <c r="V45" s="64"/>
      <c r="W45" s="64"/>
      <c r="X45" s="64"/>
      <c r="Y45" s="339"/>
      <c r="Z45" s="85"/>
      <c r="AA45" s="61"/>
      <c r="AB45" s="61"/>
      <c r="AC45" s="74"/>
      <c r="AD45" s="61"/>
      <c r="AE45" s="61"/>
      <c r="AF45" s="61"/>
      <c r="AG45" s="65"/>
      <c r="AH45" s="65"/>
    </row>
    <row r="46" spans="1:34" s="19" customFormat="1" ht="12.75" hidden="1" customHeight="1">
      <c r="A46" s="342"/>
      <c r="B46" s="338"/>
      <c r="C46" s="68" t="s">
        <v>5</v>
      </c>
      <c r="D46" s="68" t="s">
        <v>6</v>
      </c>
      <c r="E46" s="67" t="s">
        <v>5</v>
      </c>
      <c r="F46" s="68" t="s">
        <v>6</v>
      </c>
      <c r="G46" s="68" t="s">
        <v>5</v>
      </c>
      <c r="H46" s="68" t="s">
        <v>6</v>
      </c>
      <c r="I46" s="67" t="s">
        <v>5</v>
      </c>
      <c r="J46" s="68" t="s">
        <v>6</v>
      </c>
      <c r="K46" s="67" t="s">
        <v>5</v>
      </c>
      <c r="L46" s="68" t="s">
        <v>6</v>
      </c>
      <c r="M46" s="68"/>
      <c r="N46" s="68"/>
      <c r="O46" s="67" t="s">
        <v>5</v>
      </c>
      <c r="P46" s="68" t="s">
        <v>6</v>
      </c>
      <c r="Q46" s="68" t="s">
        <v>5</v>
      </c>
      <c r="R46" s="68" t="s">
        <v>6</v>
      </c>
      <c r="S46" s="338"/>
      <c r="T46" s="64"/>
      <c r="U46" s="64"/>
      <c r="V46" s="64"/>
      <c r="W46" s="64"/>
      <c r="X46" s="64"/>
      <c r="Y46" s="339"/>
      <c r="Z46" s="85"/>
      <c r="AA46" s="61" t="s">
        <v>43</v>
      </c>
      <c r="AB46" s="61" t="s">
        <v>45</v>
      </c>
      <c r="AC46" s="61" t="s">
        <v>46</v>
      </c>
      <c r="AD46" s="61" t="s">
        <v>42</v>
      </c>
      <c r="AE46" s="61" t="s">
        <v>41</v>
      </c>
      <c r="AF46" s="61" t="s">
        <v>44</v>
      </c>
      <c r="AG46" s="65"/>
      <c r="AH46" s="65"/>
    </row>
    <row r="47" spans="1:34" s="19" customFormat="1" ht="12.75" hidden="1" customHeight="1">
      <c r="A47" s="21" t="s">
        <v>7</v>
      </c>
      <c r="B47" s="20" t="s">
        <v>67</v>
      </c>
      <c r="C47" s="68">
        <v>0</v>
      </c>
      <c r="D47" s="68">
        <v>0</v>
      </c>
      <c r="E47" s="69">
        <f t="shared" ref="E47:F55" si="20">O47+Q47</f>
        <v>0</v>
      </c>
      <c r="F47" s="70">
        <f t="shared" si="20"/>
        <v>0</v>
      </c>
      <c r="G47" s="68">
        <f t="shared" ref="G47:H57" si="21">E47-C47</f>
        <v>0</v>
      </c>
      <c r="H47" s="68">
        <f t="shared" si="21"/>
        <v>0</v>
      </c>
      <c r="I47" s="70"/>
      <c r="J47" s="70"/>
      <c r="K47" s="70"/>
      <c r="L47" s="70"/>
      <c r="M47" s="70">
        <f t="shared" ref="M47:N60" si="22">I47+K47</f>
        <v>0</v>
      </c>
      <c r="N47" s="70">
        <f t="shared" si="22"/>
        <v>0</v>
      </c>
      <c r="O47" s="71"/>
      <c r="P47" s="71"/>
      <c r="Q47" s="70"/>
      <c r="R47" s="70"/>
      <c r="S47" s="72"/>
      <c r="T47" s="252" t="e">
        <f>E47/C47</f>
        <v>#DIV/0!</v>
      </c>
      <c r="U47" s="73"/>
      <c r="V47" s="73"/>
      <c r="W47" s="73"/>
      <c r="X47" s="73"/>
      <c r="Y47" s="339"/>
      <c r="Z47" s="85"/>
      <c r="AA47" s="61">
        <f>H43</f>
        <v>13</v>
      </c>
      <c r="AB47" s="61" t="str">
        <f>E43</f>
        <v>CI2-CAN-038 W</v>
      </c>
      <c r="AC47" s="74" t="s">
        <v>433</v>
      </c>
      <c r="AD47" s="61" t="str">
        <f t="shared" ref="AD47:AD60" si="23">A47</f>
        <v>KR</v>
      </c>
      <c r="AE47" s="61">
        <f t="shared" ref="AE47:AE60" si="24">C47</f>
        <v>0</v>
      </c>
      <c r="AF47" s="61">
        <f t="shared" ref="AF47:AF60" si="25">E47</f>
        <v>0</v>
      </c>
      <c r="AG47" s="65"/>
      <c r="AH47" s="65"/>
    </row>
    <row r="48" spans="1:34" s="19" customFormat="1" ht="12.75" hidden="1" customHeight="1">
      <c r="A48" s="23" t="s">
        <v>13</v>
      </c>
      <c r="B48" s="1">
        <f>B27+7</f>
        <v>43175</v>
      </c>
      <c r="C48" s="68">
        <v>200</v>
      </c>
      <c r="D48" s="68">
        <v>2700</v>
      </c>
      <c r="E48" s="69">
        <f t="shared" si="20"/>
        <v>156</v>
      </c>
      <c r="F48" s="70">
        <f t="shared" si="20"/>
        <v>1324</v>
      </c>
      <c r="G48" s="68">
        <f t="shared" si="21"/>
        <v>-44</v>
      </c>
      <c r="H48" s="68">
        <f t="shared" si="21"/>
        <v>-1376</v>
      </c>
      <c r="I48" s="75"/>
      <c r="J48" s="75"/>
      <c r="K48" s="70"/>
      <c r="L48" s="70"/>
      <c r="M48" s="70">
        <f t="shared" si="22"/>
        <v>0</v>
      </c>
      <c r="N48" s="70">
        <f t="shared" si="22"/>
        <v>0</v>
      </c>
      <c r="O48" s="75">
        <v>156</v>
      </c>
      <c r="P48" s="75">
        <v>1324</v>
      </c>
      <c r="Q48" s="71"/>
      <c r="R48" s="71"/>
      <c r="S48" s="72"/>
      <c r="T48" s="252">
        <f t="shared" ref="T48:T58" si="26">E48/C48</f>
        <v>0.78</v>
      </c>
      <c r="U48" s="73"/>
      <c r="V48" s="73"/>
      <c r="W48" s="73"/>
      <c r="X48" s="73"/>
      <c r="Y48" s="65"/>
      <c r="Z48" s="65"/>
      <c r="AA48" s="61">
        <f>H43</f>
        <v>13</v>
      </c>
      <c r="AB48" s="61" t="str">
        <f>E43</f>
        <v>CI2-CAN-038 W</v>
      </c>
      <c r="AC48" s="74" t="s">
        <v>433</v>
      </c>
      <c r="AD48" s="61" t="str">
        <f t="shared" si="23"/>
        <v>TAO</v>
      </c>
      <c r="AE48" s="61">
        <f t="shared" si="24"/>
        <v>200</v>
      </c>
      <c r="AF48" s="61">
        <f t="shared" si="25"/>
        <v>156</v>
      </c>
      <c r="AG48" s="65"/>
      <c r="AH48" s="65"/>
    </row>
    <row r="49" spans="1:34" s="19" customFormat="1" ht="12.75" hidden="1" customHeight="1">
      <c r="A49" s="23" t="s">
        <v>9</v>
      </c>
      <c r="B49" s="1">
        <f>B28+7</f>
        <v>43178</v>
      </c>
      <c r="C49" s="68">
        <v>250</v>
      </c>
      <c r="D49" s="68">
        <v>3375</v>
      </c>
      <c r="E49" s="69">
        <f t="shared" si="20"/>
        <v>211</v>
      </c>
      <c r="F49" s="70">
        <f t="shared" si="20"/>
        <v>1414</v>
      </c>
      <c r="G49" s="68">
        <f t="shared" si="21"/>
        <v>-39</v>
      </c>
      <c r="H49" s="68">
        <f t="shared" si="21"/>
        <v>-1961</v>
      </c>
      <c r="I49" s="75"/>
      <c r="J49" s="75"/>
      <c r="K49" s="71">
        <v>22</v>
      </c>
      <c r="L49" s="71">
        <v>515</v>
      </c>
      <c r="M49" s="70">
        <f t="shared" si="22"/>
        <v>22</v>
      </c>
      <c r="N49" s="70">
        <f t="shared" si="22"/>
        <v>515</v>
      </c>
      <c r="O49" s="75">
        <v>211</v>
      </c>
      <c r="P49" s="75">
        <v>1414</v>
      </c>
      <c r="Q49" s="71"/>
      <c r="R49" s="71"/>
      <c r="S49" s="72"/>
      <c r="T49" s="252">
        <f t="shared" si="26"/>
        <v>0.84399999999999997</v>
      </c>
      <c r="U49" s="73"/>
      <c r="V49" s="73"/>
      <c r="W49" s="73"/>
      <c r="X49" s="73"/>
      <c r="Y49" s="65"/>
      <c r="Z49" s="65"/>
      <c r="AA49" s="61">
        <f>H43</f>
        <v>13</v>
      </c>
      <c r="AB49" s="61" t="str">
        <f>E43</f>
        <v>CI2-CAN-038 W</v>
      </c>
      <c r="AC49" s="74" t="s">
        <v>433</v>
      </c>
      <c r="AD49" s="61" t="str">
        <f t="shared" si="23"/>
        <v>SHA</v>
      </c>
      <c r="AE49" s="61">
        <f t="shared" si="24"/>
        <v>250</v>
      </c>
      <c r="AF49" s="61">
        <f t="shared" si="25"/>
        <v>211</v>
      </c>
      <c r="AG49" s="65"/>
      <c r="AH49" s="65"/>
    </row>
    <row r="50" spans="1:34" s="19" customFormat="1" ht="12.75" hidden="1" customHeight="1">
      <c r="A50" s="23" t="s">
        <v>8</v>
      </c>
      <c r="B50" s="1">
        <f>B29+7</f>
        <v>43179</v>
      </c>
      <c r="C50" s="68">
        <v>100</v>
      </c>
      <c r="D50" s="68">
        <v>1350</v>
      </c>
      <c r="E50" s="69">
        <f t="shared" si="20"/>
        <v>158</v>
      </c>
      <c r="F50" s="70">
        <f t="shared" si="20"/>
        <v>1438</v>
      </c>
      <c r="G50" s="68">
        <f t="shared" si="21"/>
        <v>58</v>
      </c>
      <c r="H50" s="68">
        <f t="shared" si="21"/>
        <v>88</v>
      </c>
      <c r="I50" s="71"/>
      <c r="J50" s="71"/>
      <c r="K50" s="71">
        <v>7</v>
      </c>
      <c r="L50" s="71">
        <v>86</v>
      </c>
      <c r="M50" s="70">
        <f t="shared" si="22"/>
        <v>7</v>
      </c>
      <c r="N50" s="70">
        <f t="shared" si="22"/>
        <v>86</v>
      </c>
      <c r="O50" s="71"/>
      <c r="P50" s="71"/>
      <c r="Q50" s="71">
        <f>128+30</f>
        <v>158</v>
      </c>
      <c r="R50" s="71">
        <v>1438</v>
      </c>
      <c r="S50" s="72"/>
      <c r="T50" s="252">
        <f t="shared" si="26"/>
        <v>1.58</v>
      </c>
      <c r="U50" s="73"/>
      <c r="V50" s="73"/>
      <c r="W50" s="73"/>
      <c r="X50" s="73"/>
      <c r="Y50" s="65"/>
      <c r="Z50" s="65"/>
      <c r="AA50" s="61">
        <f>H43</f>
        <v>13</v>
      </c>
      <c r="AB50" s="61" t="str">
        <f>E43</f>
        <v>CI2-CAN-038 W</v>
      </c>
      <c r="AC50" s="74" t="s">
        <v>433</v>
      </c>
      <c r="AD50" s="61" t="str">
        <f t="shared" si="23"/>
        <v>NGB</v>
      </c>
      <c r="AE50" s="61">
        <f t="shared" si="24"/>
        <v>100</v>
      </c>
      <c r="AF50" s="61">
        <f t="shared" si="25"/>
        <v>158</v>
      </c>
      <c r="AG50" s="65"/>
      <c r="AH50" s="65"/>
    </row>
    <row r="51" spans="1:34" s="19" customFormat="1" ht="12.75" hidden="1" customHeight="1">
      <c r="A51" s="23" t="s">
        <v>10</v>
      </c>
      <c r="B51" s="1" t="s">
        <v>67</v>
      </c>
      <c r="C51" s="68">
        <v>0</v>
      </c>
      <c r="D51" s="68">
        <v>0</v>
      </c>
      <c r="E51" s="69">
        <f t="shared" si="20"/>
        <v>5</v>
      </c>
      <c r="F51" s="70">
        <f t="shared" si="20"/>
        <v>115</v>
      </c>
      <c r="G51" s="68">
        <f t="shared" si="21"/>
        <v>5</v>
      </c>
      <c r="H51" s="68">
        <f t="shared" si="21"/>
        <v>115</v>
      </c>
      <c r="I51" s="75"/>
      <c r="J51" s="75"/>
      <c r="K51" s="70"/>
      <c r="L51" s="70"/>
      <c r="M51" s="70">
        <f t="shared" si="22"/>
        <v>0</v>
      </c>
      <c r="N51" s="70">
        <f t="shared" si="22"/>
        <v>0</v>
      </c>
      <c r="O51" s="75">
        <v>5</v>
      </c>
      <c r="P51" s="75">
        <v>115</v>
      </c>
      <c r="Q51" s="70"/>
      <c r="R51" s="70"/>
      <c r="S51" s="72"/>
      <c r="T51" s="252" t="e">
        <f t="shared" si="26"/>
        <v>#DIV/0!</v>
      </c>
      <c r="U51" s="73"/>
      <c r="V51" s="73"/>
      <c r="W51" s="73"/>
      <c r="X51" s="73"/>
      <c r="Y51" s="65"/>
      <c r="Z51" s="65"/>
      <c r="AA51" s="61">
        <f>H43</f>
        <v>13</v>
      </c>
      <c r="AB51" s="61" t="str">
        <f>E43</f>
        <v>CI2-CAN-038 W</v>
      </c>
      <c r="AC51" s="74" t="s">
        <v>433</v>
      </c>
      <c r="AD51" s="61" t="str">
        <f t="shared" si="23"/>
        <v>WUH</v>
      </c>
      <c r="AE51" s="61">
        <f t="shared" si="24"/>
        <v>0</v>
      </c>
      <c r="AF51" s="61">
        <f t="shared" si="25"/>
        <v>5</v>
      </c>
      <c r="AG51" s="65"/>
      <c r="AH51" s="65"/>
    </row>
    <row r="52" spans="1:34" s="19" customFormat="1" ht="12.75" hidden="1" customHeight="1">
      <c r="A52" s="23" t="s">
        <v>11</v>
      </c>
      <c r="B52" s="1" t="s">
        <v>18</v>
      </c>
      <c r="C52" s="68">
        <v>0</v>
      </c>
      <c r="D52" s="68">
        <v>0</v>
      </c>
      <c r="E52" s="69">
        <f t="shared" si="20"/>
        <v>0</v>
      </c>
      <c r="F52" s="70">
        <f t="shared" si="20"/>
        <v>0</v>
      </c>
      <c r="G52" s="68">
        <f t="shared" si="21"/>
        <v>0</v>
      </c>
      <c r="H52" s="68">
        <f t="shared" si="21"/>
        <v>0</v>
      </c>
      <c r="I52" s="70"/>
      <c r="J52" s="70"/>
      <c r="K52" s="70"/>
      <c r="L52" s="70"/>
      <c r="M52" s="70">
        <f t="shared" si="22"/>
        <v>0</v>
      </c>
      <c r="N52" s="70">
        <f t="shared" si="22"/>
        <v>0</v>
      </c>
      <c r="O52" s="75"/>
      <c r="P52" s="75"/>
      <c r="Q52" s="70"/>
      <c r="R52" s="70"/>
      <c r="S52" s="72"/>
      <c r="T52" s="252" t="e">
        <f t="shared" si="26"/>
        <v>#DIV/0!</v>
      </c>
      <c r="U52" s="73"/>
      <c r="V52" s="73"/>
      <c r="W52" s="73"/>
      <c r="X52" s="73"/>
      <c r="Y52" s="65"/>
      <c r="Z52" s="65"/>
      <c r="AA52" s="61">
        <f>H43</f>
        <v>13</v>
      </c>
      <c r="AB52" s="61" t="str">
        <f>E43</f>
        <v>CI2-CAN-038 W</v>
      </c>
      <c r="AC52" s="74" t="s">
        <v>433</v>
      </c>
      <c r="AD52" s="61" t="str">
        <f t="shared" si="23"/>
        <v>DLC</v>
      </c>
      <c r="AE52" s="61">
        <f t="shared" si="24"/>
        <v>0</v>
      </c>
      <c r="AF52" s="61">
        <f t="shared" si="25"/>
        <v>0</v>
      </c>
      <c r="AG52" s="65"/>
      <c r="AH52" s="65"/>
    </row>
    <row r="53" spans="1:34" s="19" customFormat="1" ht="12.75" hidden="1" customHeight="1">
      <c r="A53" s="23" t="s">
        <v>12</v>
      </c>
      <c r="B53" s="1" t="s">
        <v>18</v>
      </c>
      <c r="C53" s="68">
        <v>0</v>
      </c>
      <c r="D53" s="68">
        <v>0</v>
      </c>
      <c r="E53" s="69">
        <f t="shared" si="20"/>
        <v>0</v>
      </c>
      <c r="F53" s="70">
        <f t="shared" si="20"/>
        <v>0</v>
      </c>
      <c r="G53" s="68">
        <f t="shared" si="21"/>
        <v>0</v>
      </c>
      <c r="H53" s="68">
        <f t="shared" si="21"/>
        <v>0</v>
      </c>
      <c r="I53" s="70"/>
      <c r="J53" s="70"/>
      <c r="K53" s="70"/>
      <c r="L53" s="70"/>
      <c r="M53" s="70">
        <f t="shared" si="22"/>
        <v>0</v>
      </c>
      <c r="N53" s="70">
        <f t="shared" si="22"/>
        <v>0</v>
      </c>
      <c r="O53" s="75"/>
      <c r="P53" s="75"/>
      <c r="Q53" s="76"/>
      <c r="R53" s="71"/>
      <c r="S53" s="72"/>
      <c r="T53" s="252" t="e">
        <f t="shared" si="26"/>
        <v>#DIV/0!</v>
      </c>
      <c r="U53" s="73"/>
      <c r="V53" s="73"/>
      <c r="W53" s="73"/>
      <c r="X53" s="73"/>
      <c r="Y53" s="65"/>
      <c r="Z53" s="65"/>
      <c r="AA53" s="61">
        <f>H43</f>
        <v>13</v>
      </c>
      <c r="AB53" s="61" t="str">
        <f>E43</f>
        <v>CI2-CAN-038 W</v>
      </c>
      <c r="AC53" s="74" t="s">
        <v>433</v>
      </c>
      <c r="AD53" s="61" t="str">
        <f t="shared" si="23"/>
        <v>TSN</v>
      </c>
      <c r="AE53" s="61">
        <f t="shared" si="24"/>
        <v>0</v>
      </c>
      <c r="AF53" s="61">
        <f t="shared" si="25"/>
        <v>0</v>
      </c>
      <c r="AG53" s="65"/>
      <c r="AH53" s="65"/>
    </row>
    <row r="54" spans="1:34" s="19" customFormat="1" ht="12.75" hidden="1" customHeight="1">
      <c r="A54" s="23" t="s">
        <v>14</v>
      </c>
      <c r="B54" s="1" t="s">
        <v>18</v>
      </c>
      <c r="C54" s="68">
        <v>0</v>
      </c>
      <c r="D54" s="68">
        <v>0</v>
      </c>
      <c r="E54" s="69">
        <f t="shared" si="20"/>
        <v>0</v>
      </c>
      <c r="F54" s="70">
        <f t="shared" si="20"/>
        <v>0</v>
      </c>
      <c r="G54" s="68">
        <f t="shared" si="21"/>
        <v>0</v>
      </c>
      <c r="H54" s="68">
        <f t="shared" si="21"/>
        <v>0</v>
      </c>
      <c r="I54" s="70"/>
      <c r="J54" s="70"/>
      <c r="K54" s="70"/>
      <c r="L54" s="70"/>
      <c r="M54" s="70">
        <f t="shared" si="22"/>
        <v>0</v>
      </c>
      <c r="N54" s="70">
        <f t="shared" si="22"/>
        <v>0</v>
      </c>
      <c r="O54" s="71"/>
      <c r="P54" s="71"/>
      <c r="Q54" s="70"/>
      <c r="R54" s="70"/>
      <c r="S54" s="72"/>
      <c r="T54" s="252" t="e">
        <f t="shared" si="26"/>
        <v>#DIV/0!</v>
      </c>
      <c r="U54" s="73"/>
      <c r="V54" s="73"/>
      <c r="W54" s="73"/>
      <c r="X54" s="73"/>
      <c r="Y54" s="65"/>
      <c r="Z54" s="65"/>
      <c r="AA54" s="61">
        <f>H43</f>
        <v>13</v>
      </c>
      <c r="AB54" s="61" t="str">
        <f>E43</f>
        <v>CI2-CAN-038 W</v>
      </c>
      <c r="AC54" s="74" t="s">
        <v>433</v>
      </c>
      <c r="AD54" s="61" t="str">
        <f t="shared" si="23"/>
        <v>XMN</v>
      </c>
      <c r="AE54" s="61">
        <f t="shared" si="24"/>
        <v>0</v>
      </c>
      <c r="AF54" s="61">
        <f t="shared" si="25"/>
        <v>0</v>
      </c>
      <c r="AG54" s="65"/>
      <c r="AH54" s="65"/>
    </row>
    <row r="55" spans="1:34" s="19" customFormat="1" ht="12.75" hidden="1" customHeight="1">
      <c r="A55" s="23" t="s">
        <v>19</v>
      </c>
      <c r="B55" s="1" t="s">
        <v>18</v>
      </c>
      <c r="C55" s="68">
        <v>0</v>
      </c>
      <c r="D55" s="68">
        <v>0</v>
      </c>
      <c r="E55" s="69">
        <f t="shared" si="20"/>
        <v>0</v>
      </c>
      <c r="F55" s="70">
        <f t="shared" si="20"/>
        <v>0</v>
      </c>
      <c r="G55" s="68">
        <f t="shared" si="21"/>
        <v>0</v>
      </c>
      <c r="H55" s="68">
        <f t="shared" si="21"/>
        <v>0</v>
      </c>
      <c r="I55" s="70"/>
      <c r="J55" s="70"/>
      <c r="K55" s="70"/>
      <c r="L55" s="70"/>
      <c r="M55" s="70">
        <f t="shared" si="22"/>
        <v>0</v>
      </c>
      <c r="N55" s="70">
        <f t="shared" si="22"/>
        <v>0</v>
      </c>
      <c r="O55" s="70"/>
      <c r="P55" s="70"/>
      <c r="Q55" s="70"/>
      <c r="R55" s="70"/>
      <c r="S55" s="72"/>
      <c r="T55" s="252" t="e">
        <f t="shared" si="26"/>
        <v>#DIV/0!</v>
      </c>
      <c r="U55" s="73"/>
      <c r="V55" s="73"/>
      <c r="W55" s="73"/>
      <c r="X55" s="73"/>
      <c r="Y55" s="65"/>
      <c r="Z55" s="65"/>
      <c r="AA55" s="61">
        <f>H43</f>
        <v>13</v>
      </c>
      <c r="AB55" s="61" t="str">
        <f>E43</f>
        <v>CI2-CAN-038 W</v>
      </c>
      <c r="AC55" s="74" t="s">
        <v>433</v>
      </c>
      <c r="AD55" s="61" t="str">
        <f t="shared" si="23"/>
        <v>TWC</v>
      </c>
      <c r="AE55" s="61">
        <f t="shared" si="24"/>
        <v>0</v>
      </c>
      <c r="AF55" s="61">
        <f t="shared" si="25"/>
        <v>0</v>
      </c>
      <c r="AG55" s="65"/>
      <c r="AH55" s="65"/>
    </row>
    <row r="56" spans="1:34" s="19" customFormat="1" ht="12.75" hidden="1" customHeight="1">
      <c r="A56" s="23" t="s">
        <v>16</v>
      </c>
      <c r="B56" s="1">
        <f>B35+7</f>
        <v>43183</v>
      </c>
      <c r="C56" s="68">
        <v>0</v>
      </c>
      <c r="D56" s="68">
        <v>0</v>
      </c>
      <c r="E56" s="69">
        <f>O56+Q56</f>
        <v>0</v>
      </c>
      <c r="F56" s="70">
        <f>P56+R55</f>
        <v>0</v>
      </c>
      <c r="G56" s="68">
        <f t="shared" si="21"/>
        <v>0</v>
      </c>
      <c r="H56" s="68">
        <f t="shared" si="21"/>
        <v>0</v>
      </c>
      <c r="I56" s="70"/>
      <c r="J56" s="70"/>
      <c r="K56" s="70"/>
      <c r="L56" s="70"/>
      <c r="M56" s="70">
        <f t="shared" si="22"/>
        <v>0</v>
      </c>
      <c r="N56" s="70">
        <f t="shared" si="22"/>
        <v>0</v>
      </c>
      <c r="O56" s="70"/>
      <c r="P56" s="70"/>
      <c r="Q56" s="70"/>
      <c r="R56" s="84"/>
      <c r="S56" s="72"/>
      <c r="T56" s="252" t="e">
        <f t="shared" si="26"/>
        <v>#DIV/0!</v>
      </c>
      <c r="U56" s="73"/>
      <c r="V56" s="73"/>
      <c r="W56" s="73"/>
      <c r="X56" s="73"/>
      <c r="Y56" s="65"/>
      <c r="Z56" s="65"/>
      <c r="AA56" s="61">
        <f>H43</f>
        <v>13</v>
      </c>
      <c r="AB56" s="61" t="str">
        <f>E43</f>
        <v>CI2-CAN-038 W</v>
      </c>
      <c r="AC56" s="74" t="s">
        <v>433</v>
      </c>
      <c r="AD56" s="61" t="str">
        <f t="shared" si="23"/>
        <v>HUA</v>
      </c>
      <c r="AE56" s="61">
        <f t="shared" si="24"/>
        <v>0</v>
      </c>
      <c r="AF56" s="61">
        <f t="shared" si="25"/>
        <v>0</v>
      </c>
      <c r="AG56" s="65"/>
      <c r="AH56" s="65"/>
    </row>
    <row r="57" spans="1:34" s="19" customFormat="1" ht="12.75" hidden="1" customHeight="1">
      <c r="A57" s="23" t="s">
        <v>466</v>
      </c>
      <c r="B57" s="1" t="s">
        <v>67</v>
      </c>
      <c r="C57" s="68"/>
      <c r="D57" s="68"/>
      <c r="E57" s="69">
        <f>O57+Q57</f>
        <v>40</v>
      </c>
      <c r="F57" s="70">
        <f>P57+R57</f>
        <v>375</v>
      </c>
      <c r="G57" s="68">
        <f t="shared" si="21"/>
        <v>40</v>
      </c>
      <c r="H57" s="68">
        <f t="shared" si="21"/>
        <v>375</v>
      </c>
      <c r="I57" s="70"/>
      <c r="J57" s="70"/>
      <c r="K57" s="70"/>
      <c r="L57" s="70"/>
      <c r="M57" s="70">
        <f t="shared" si="22"/>
        <v>0</v>
      </c>
      <c r="N57" s="70">
        <f t="shared" si="22"/>
        <v>0</v>
      </c>
      <c r="O57" s="70"/>
      <c r="P57" s="70"/>
      <c r="Q57" s="70">
        <v>40</v>
      </c>
      <c r="R57" s="70">
        <v>375</v>
      </c>
      <c r="S57" s="72"/>
      <c r="T57" s="252" t="e">
        <f t="shared" si="26"/>
        <v>#DIV/0!</v>
      </c>
      <c r="U57" s="73"/>
      <c r="V57" s="73"/>
      <c r="W57" s="73"/>
      <c r="X57" s="73"/>
      <c r="Y57" s="65"/>
      <c r="Z57" s="65"/>
      <c r="AA57" s="61">
        <f>H43</f>
        <v>13</v>
      </c>
      <c r="AB57" s="61" t="str">
        <f>E43</f>
        <v>CI2-CAN-038 W</v>
      </c>
      <c r="AC57" s="74" t="s">
        <v>433</v>
      </c>
      <c r="AD57" s="61" t="str">
        <f t="shared" si="23"/>
        <v>HAK</v>
      </c>
      <c r="AE57" s="61">
        <f t="shared" si="24"/>
        <v>0</v>
      </c>
      <c r="AF57" s="61">
        <f t="shared" si="25"/>
        <v>40</v>
      </c>
      <c r="AG57" s="65"/>
      <c r="AH57" s="65"/>
    </row>
    <row r="58" spans="1:34" s="19" customFormat="1" ht="12.75" hidden="1" customHeight="1">
      <c r="A58" s="23" t="s">
        <v>3</v>
      </c>
      <c r="B58" s="1"/>
      <c r="C58" s="68">
        <v>0</v>
      </c>
      <c r="D58" s="68">
        <v>0</v>
      </c>
      <c r="E58" s="69">
        <f>O58+Q58</f>
        <v>0</v>
      </c>
      <c r="F58" s="70">
        <f>P58+R58</f>
        <v>0</v>
      </c>
      <c r="G58" s="68">
        <f t="shared" ref="G58:H61" si="27">E58-C58</f>
        <v>0</v>
      </c>
      <c r="H58" s="68">
        <f t="shared" si="27"/>
        <v>0</v>
      </c>
      <c r="I58" s="70"/>
      <c r="J58" s="70"/>
      <c r="K58" s="70"/>
      <c r="L58" s="70"/>
      <c r="M58" s="70">
        <f t="shared" si="22"/>
        <v>0</v>
      </c>
      <c r="N58" s="70">
        <f t="shared" si="22"/>
        <v>0</v>
      </c>
      <c r="O58" s="68"/>
      <c r="P58" s="68"/>
      <c r="Q58" s="70"/>
      <c r="R58" s="70"/>
      <c r="S58" s="72"/>
      <c r="T58" s="252" t="e">
        <f t="shared" si="26"/>
        <v>#DIV/0!</v>
      </c>
      <c r="U58" s="73"/>
      <c r="V58" s="73"/>
      <c r="W58" s="73"/>
      <c r="X58" s="73"/>
      <c r="Y58" s="65"/>
      <c r="Z58" s="65"/>
      <c r="AA58" s="61">
        <f>H43</f>
        <v>13</v>
      </c>
      <c r="AB58" s="61" t="str">
        <f>E43</f>
        <v>CI2-CAN-038 W</v>
      </c>
      <c r="AC58" s="74" t="s">
        <v>433</v>
      </c>
      <c r="AD58" s="61" t="str">
        <f t="shared" si="23"/>
        <v>SGP</v>
      </c>
      <c r="AE58" s="61">
        <f t="shared" si="24"/>
        <v>0</v>
      </c>
      <c r="AF58" s="61">
        <f t="shared" si="25"/>
        <v>0</v>
      </c>
      <c r="AG58" s="65"/>
      <c r="AH58" s="65"/>
    </row>
    <row r="59" spans="1:34" s="19" customFormat="1" ht="12.75" hidden="1" customHeight="1">
      <c r="A59" s="23" t="s">
        <v>441</v>
      </c>
      <c r="B59" s="1">
        <f>B38+7</f>
        <v>43188</v>
      </c>
      <c r="C59" s="68">
        <v>100</v>
      </c>
      <c r="D59" s="68">
        <v>1350</v>
      </c>
      <c r="E59" s="69">
        <f>O59+Q59</f>
        <v>53</v>
      </c>
      <c r="F59" s="70">
        <f>P59+R59</f>
        <v>835</v>
      </c>
      <c r="G59" s="68">
        <f t="shared" si="27"/>
        <v>-47</v>
      </c>
      <c r="H59" s="68">
        <f t="shared" si="27"/>
        <v>-515</v>
      </c>
      <c r="I59" s="70"/>
      <c r="J59" s="70"/>
      <c r="K59" s="70"/>
      <c r="L59" s="70"/>
      <c r="M59" s="70">
        <f t="shared" si="22"/>
        <v>0</v>
      </c>
      <c r="N59" s="70">
        <f t="shared" si="22"/>
        <v>0</v>
      </c>
      <c r="O59" s="70"/>
      <c r="P59" s="70"/>
      <c r="Q59" s="70">
        <v>53</v>
      </c>
      <c r="R59" s="70">
        <v>835</v>
      </c>
      <c r="S59" s="72"/>
      <c r="T59" s="252">
        <f>E59/C59</f>
        <v>0.53</v>
      </c>
      <c r="U59" s="73"/>
      <c r="V59" s="73"/>
      <c r="W59" s="73"/>
      <c r="X59" s="73"/>
      <c r="Y59" s="65"/>
      <c r="Z59" s="65"/>
      <c r="AA59" s="61">
        <f>H43</f>
        <v>13</v>
      </c>
      <c r="AB59" s="61" t="str">
        <f>E43</f>
        <v>CI2-CAN-038 W</v>
      </c>
      <c r="AC59" s="74" t="s">
        <v>433</v>
      </c>
      <c r="AD59" s="61" t="str">
        <f t="shared" si="23"/>
        <v>PKG</v>
      </c>
      <c r="AE59" s="61">
        <f t="shared" si="24"/>
        <v>100</v>
      </c>
      <c r="AF59" s="61">
        <f t="shared" si="25"/>
        <v>53</v>
      </c>
      <c r="AG59" s="65"/>
      <c r="AH59" s="65"/>
    </row>
    <row r="60" spans="1:34" s="19" customFormat="1" ht="12.75" hidden="1" customHeight="1">
      <c r="A60" s="23" t="s">
        <v>31</v>
      </c>
      <c r="B60" s="20"/>
      <c r="C60" s="68">
        <v>50</v>
      </c>
      <c r="D60" s="68">
        <v>675</v>
      </c>
      <c r="E60" s="69">
        <f>O60+Q60</f>
        <v>0</v>
      </c>
      <c r="F60" s="70">
        <f>P60+R60</f>
        <v>0</v>
      </c>
      <c r="G60" s="68">
        <f t="shared" si="27"/>
        <v>-50</v>
      </c>
      <c r="H60" s="68">
        <f t="shared" si="27"/>
        <v>-675</v>
      </c>
      <c r="I60" s="70"/>
      <c r="J60" s="70"/>
      <c r="K60" s="70"/>
      <c r="L60" s="70"/>
      <c r="M60" s="70">
        <f t="shared" si="22"/>
        <v>0</v>
      </c>
      <c r="N60" s="70">
        <f t="shared" si="22"/>
        <v>0</v>
      </c>
      <c r="O60" s="71"/>
      <c r="P60" s="71"/>
      <c r="Q60" s="71"/>
      <c r="R60" s="71"/>
      <c r="S60" s="72"/>
      <c r="T60" s="73"/>
      <c r="U60" s="73"/>
      <c r="V60" s="73"/>
      <c r="W60" s="73"/>
      <c r="X60" s="73"/>
      <c r="Y60" s="65"/>
      <c r="Z60" s="65"/>
      <c r="AA60" s="61">
        <f>H43</f>
        <v>13</v>
      </c>
      <c r="AB60" s="61" t="str">
        <f>E43</f>
        <v>CI2-CAN-038 W</v>
      </c>
      <c r="AC60" s="74" t="s">
        <v>433</v>
      </c>
      <c r="AD60" s="61" t="str">
        <f t="shared" si="23"/>
        <v>COSCO T/S</v>
      </c>
      <c r="AE60" s="61">
        <f t="shared" si="24"/>
        <v>50</v>
      </c>
      <c r="AF60" s="61">
        <f t="shared" si="25"/>
        <v>0</v>
      </c>
      <c r="AG60" s="65"/>
      <c r="AH60" s="65"/>
    </row>
    <row r="61" spans="1:34" s="19" customFormat="1" ht="12.75" hidden="1" customHeight="1">
      <c r="A61" s="21" t="s">
        <v>36</v>
      </c>
      <c r="B61" s="22"/>
      <c r="C61" s="71">
        <f>SUM(C47:C60)</f>
        <v>700</v>
      </c>
      <c r="D61" s="71">
        <f>SUM(D47:D60)</f>
        <v>9450</v>
      </c>
      <c r="E61" s="78">
        <f>SUM(E47:E60)</f>
        <v>623</v>
      </c>
      <c r="F61" s="76">
        <f>SUM(F47:F60)</f>
        <v>5501</v>
      </c>
      <c r="G61" s="71">
        <f t="shared" si="27"/>
        <v>-77</v>
      </c>
      <c r="H61" s="71">
        <f t="shared" si="27"/>
        <v>-3949</v>
      </c>
      <c r="I61" s="70">
        <f t="shared" ref="I61:L61" si="28">SUM(I47:I60)</f>
        <v>0</v>
      </c>
      <c r="J61" s="70">
        <f t="shared" si="28"/>
        <v>0</v>
      </c>
      <c r="K61" s="70">
        <f t="shared" si="28"/>
        <v>29</v>
      </c>
      <c r="L61" s="70">
        <f t="shared" si="28"/>
        <v>601</v>
      </c>
      <c r="M61" s="70"/>
      <c r="N61" s="70"/>
      <c r="O61" s="70">
        <f t="shared" ref="O61:R61" si="29">SUM(O47:O60)</f>
        <v>372</v>
      </c>
      <c r="P61" s="70">
        <f t="shared" si="29"/>
        <v>2853</v>
      </c>
      <c r="Q61" s="70">
        <f t="shared" si="29"/>
        <v>251</v>
      </c>
      <c r="R61" s="70">
        <f t="shared" si="29"/>
        <v>2648</v>
      </c>
      <c r="S61" s="72"/>
      <c r="T61" s="73"/>
      <c r="U61" s="73"/>
      <c r="V61" s="73"/>
      <c r="W61" s="73"/>
      <c r="X61" s="73"/>
      <c r="Y61" s="65"/>
      <c r="Z61" s="65"/>
      <c r="AA61" s="61"/>
      <c r="AB61" s="61"/>
      <c r="AC61" s="61"/>
      <c r="AD61" s="61"/>
      <c r="AE61" s="61"/>
      <c r="AF61" s="61"/>
      <c r="AG61" s="65"/>
      <c r="AH61" s="65"/>
    </row>
    <row r="62" spans="1:34" s="65" customFormat="1" ht="12.75" hidden="1" customHeight="1">
      <c r="A62" s="84">
        <f>D61/C61</f>
        <v>13.5</v>
      </c>
      <c r="C62" s="79">
        <f>F61-E62</f>
        <v>-3004</v>
      </c>
      <c r="E62" s="65">
        <f>D61*0.9</f>
        <v>8505</v>
      </c>
      <c r="F62" s="79">
        <f>E61-L62</f>
        <v>-7</v>
      </c>
      <c r="I62" s="80" t="s">
        <v>48</v>
      </c>
      <c r="J62" s="245">
        <f>E61/C61</f>
        <v>0.89</v>
      </c>
      <c r="K62" s="80"/>
      <c r="L62" s="80">
        <f>C61*0.9</f>
        <v>630</v>
      </c>
      <c r="M62" s="80"/>
      <c r="N62" s="80"/>
      <c r="O62" s="80" t="s">
        <v>49</v>
      </c>
      <c r="P62" s="80"/>
      <c r="Q62" s="65">
        <f>P48+P49+P51+P52+P53+J48+J49+L48+L49+J51+R51</f>
        <v>3368</v>
      </c>
      <c r="R62" s="65">
        <v>16856</v>
      </c>
      <c r="AA62" s="81"/>
      <c r="AB62" s="81"/>
      <c r="AC62" s="81"/>
      <c r="AD62" s="81"/>
      <c r="AE62" s="81"/>
      <c r="AF62" s="81"/>
    </row>
    <row r="63" spans="1:34" hidden="1"/>
    <row r="64" spans="1:34" s="63" customFormat="1" ht="12.75" hidden="1" customHeight="1">
      <c r="A64" s="59" t="s">
        <v>433</v>
      </c>
      <c r="B64" s="58" t="s">
        <v>468</v>
      </c>
      <c r="C64" s="56"/>
      <c r="D64" s="57"/>
      <c r="E64" s="58" t="s">
        <v>526</v>
      </c>
      <c r="F64" s="57"/>
      <c r="G64" s="59" t="s">
        <v>37</v>
      </c>
      <c r="H64" s="60">
        <f>H43+1</f>
        <v>14</v>
      </c>
      <c r="I64" s="57"/>
      <c r="J64" s="57"/>
      <c r="K64" s="57"/>
      <c r="L64" s="57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2"/>
      <c r="Z64" s="62"/>
      <c r="AA64" s="62"/>
      <c r="AB64" s="62"/>
      <c r="AC64" s="62"/>
    </row>
    <row r="65" spans="1:32" s="65" customFormat="1" ht="12.75" hidden="1" customHeight="1">
      <c r="A65" s="340" t="s">
        <v>0</v>
      </c>
      <c r="B65" s="336" t="s">
        <v>1</v>
      </c>
      <c r="C65" s="331" t="s">
        <v>25</v>
      </c>
      <c r="D65" s="332"/>
      <c r="E65" s="331" t="s">
        <v>21</v>
      </c>
      <c r="F65" s="332"/>
      <c r="G65" s="335" t="s">
        <v>24</v>
      </c>
      <c r="H65" s="335"/>
      <c r="I65" s="328" t="s">
        <v>33</v>
      </c>
      <c r="J65" s="329"/>
      <c r="K65" s="329"/>
      <c r="L65" s="329"/>
      <c r="M65" s="329"/>
      <c r="N65" s="330"/>
      <c r="O65" s="331" t="s">
        <v>22</v>
      </c>
      <c r="P65" s="332"/>
      <c r="Q65" s="335" t="s">
        <v>23</v>
      </c>
      <c r="R65" s="335"/>
      <c r="S65" s="336" t="s">
        <v>27</v>
      </c>
      <c r="T65" s="64"/>
      <c r="U65" s="64"/>
      <c r="V65" s="64"/>
      <c r="W65" s="64"/>
      <c r="X65" s="64"/>
      <c r="Y65" s="339"/>
      <c r="Z65" s="236"/>
      <c r="AA65" s="61"/>
      <c r="AB65" s="61"/>
      <c r="AC65" s="74"/>
      <c r="AD65" s="61"/>
      <c r="AE65" s="61"/>
      <c r="AF65" s="61"/>
    </row>
    <row r="66" spans="1:32" s="65" customFormat="1" ht="12.75" hidden="1" customHeight="1">
      <c r="A66" s="341"/>
      <c r="B66" s="337"/>
      <c r="C66" s="333"/>
      <c r="D66" s="334"/>
      <c r="E66" s="333"/>
      <c r="F66" s="334"/>
      <c r="G66" s="335"/>
      <c r="H66" s="335"/>
      <c r="I66" s="237" t="s">
        <v>28</v>
      </c>
      <c r="J66" s="238" t="s">
        <v>3</v>
      </c>
      <c r="K66" s="237" t="s">
        <v>29</v>
      </c>
      <c r="L66" s="238" t="s">
        <v>4</v>
      </c>
      <c r="M66" s="328" t="s">
        <v>30</v>
      </c>
      <c r="N66" s="330"/>
      <c r="O66" s="333"/>
      <c r="P66" s="334"/>
      <c r="Q66" s="335"/>
      <c r="R66" s="335"/>
      <c r="S66" s="337"/>
      <c r="T66" s="64"/>
      <c r="U66" s="64"/>
      <c r="V66" s="64"/>
      <c r="W66" s="64"/>
      <c r="X66" s="64"/>
      <c r="Y66" s="339"/>
      <c r="Z66" s="236"/>
      <c r="AA66" s="61"/>
      <c r="AB66" s="61"/>
      <c r="AC66" s="74"/>
      <c r="AD66" s="61"/>
      <c r="AE66" s="61"/>
      <c r="AF66" s="61"/>
    </row>
    <row r="67" spans="1:32" s="65" customFormat="1" ht="12.75" hidden="1" customHeight="1">
      <c r="A67" s="342"/>
      <c r="B67" s="338"/>
      <c r="C67" s="239" t="s">
        <v>5</v>
      </c>
      <c r="D67" s="239" t="s">
        <v>6</v>
      </c>
      <c r="E67" s="238" t="s">
        <v>5</v>
      </c>
      <c r="F67" s="239" t="s">
        <v>6</v>
      </c>
      <c r="G67" s="239" t="s">
        <v>5</v>
      </c>
      <c r="H67" s="239" t="s">
        <v>6</v>
      </c>
      <c r="I67" s="238" t="s">
        <v>5</v>
      </c>
      <c r="J67" s="239" t="s">
        <v>6</v>
      </c>
      <c r="K67" s="238" t="s">
        <v>5</v>
      </c>
      <c r="L67" s="239" t="s">
        <v>6</v>
      </c>
      <c r="M67" s="239"/>
      <c r="N67" s="239"/>
      <c r="O67" s="238" t="s">
        <v>5</v>
      </c>
      <c r="P67" s="239" t="s">
        <v>6</v>
      </c>
      <c r="Q67" s="239" t="s">
        <v>5</v>
      </c>
      <c r="R67" s="239" t="s">
        <v>6</v>
      </c>
      <c r="S67" s="338"/>
      <c r="T67" s="64"/>
      <c r="U67" s="64"/>
      <c r="V67" s="64"/>
      <c r="W67" s="64"/>
      <c r="X67" s="64"/>
      <c r="Y67" s="339"/>
      <c r="Z67" s="236"/>
      <c r="AA67" s="61" t="s">
        <v>43</v>
      </c>
      <c r="AB67" s="61" t="s">
        <v>45</v>
      </c>
      <c r="AC67" s="61" t="s">
        <v>46</v>
      </c>
      <c r="AD67" s="61" t="s">
        <v>42</v>
      </c>
      <c r="AE67" s="61" t="s">
        <v>41</v>
      </c>
      <c r="AF67" s="61" t="s">
        <v>44</v>
      </c>
    </row>
    <row r="68" spans="1:32" s="65" customFormat="1" ht="12.75" hidden="1" customHeight="1">
      <c r="A68" s="51" t="s">
        <v>7</v>
      </c>
      <c r="B68" s="239" t="s">
        <v>67</v>
      </c>
      <c r="C68" s="239">
        <v>0</v>
      </c>
      <c r="D68" s="239">
        <v>0</v>
      </c>
      <c r="E68" s="69">
        <f t="shared" ref="E68:E76" si="30">O68+Q68</f>
        <v>0</v>
      </c>
      <c r="F68" s="70">
        <f t="shared" ref="F68:F76" si="31">P68+R68</f>
        <v>0</v>
      </c>
      <c r="G68" s="239">
        <f t="shared" ref="G68:G77" si="32">E68-C68</f>
        <v>0</v>
      </c>
      <c r="H68" s="239">
        <f t="shared" ref="H68:H77" si="33">F68-D68</f>
        <v>0</v>
      </c>
      <c r="I68" s="70"/>
      <c r="J68" s="70"/>
      <c r="K68" s="70"/>
      <c r="L68" s="70"/>
      <c r="M68" s="70">
        <f t="shared" ref="M68:M81" si="34">I68+K68</f>
        <v>0</v>
      </c>
      <c r="N68" s="70">
        <f t="shared" ref="N68:N81" si="35">J68+L68</f>
        <v>0</v>
      </c>
      <c r="O68" s="71"/>
      <c r="P68" s="71"/>
      <c r="Q68" s="70"/>
      <c r="R68" s="70"/>
      <c r="S68" s="72"/>
      <c r="T68" s="252" t="e">
        <f>E68/C68</f>
        <v>#DIV/0!</v>
      </c>
      <c r="U68" s="73"/>
      <c r="V68" s="73"/>
      <c r="W68" s="73"/>
      <c r="X68" s="73"/>
      <c r="Y68" s="339"/>
      <c r="Z68" s="236"/>
      <c r="AA68" s="61">
        <f>H64</f>
        <v>14</v>
      </c>
      <c r="AB68" s="61" t="str">
        <f>E64</f>
        <v>CI2-Q69-046 W</v>
      </c>
      <c r="AC68" s="74" t="s">
        <v>433</v>
      </c>
      <c r="AD68" s="61" t="str">
        <f t="shared" ref="AD68:AD81" si="36">A68</f>
        <v>KR</v>
      </c>
      <c r="AE68" s="61">
        <f t="shared" ref="AE68:AE81" si="37">C68</f>
        <v>0</v>
      </c>
      <c r="AF68" s="61">
        <f t="shared" ref="AF68:AF81" si="38">E68</f>
        <v>0</v>
      </c>
    </row>
    <row r="69" spans="1:32" s="65" customFormat="1" ht="12.75" hidden="1" customHeight="1">
      <c r="A69" s="52" t="s">
        <v>13</v>
      </c>
      <c r="B69" s="1">
        <f>B48+7</f>
        <v>43182</v>
      </c>
      <c r="C69" s="239">
        <v>200</v>
      </c>
      <c r="D69" s="239">
        <v>2700</v>
      </c>
      <c r="E69" s="69">
        <f t="shared" si="30"/>
        <v>125</v>
      </c>
      <c r="F69" s="70">
        <f t="shared" si="31"/>
        <v>1536</v>
      </c>
      <c r="G69" s="239">
        <f t="shared" si="32"/>
        <v>-75</v>
      </c>
      <c r="H69" s="239">
        <f t="shared" si="33"/>
        <v>-1164</v>
      </c>
      <c r="I69" s="75"/>
      <c r="J69" s="75"/>
      <c r="K69" s="70"/>
      <c r="L69" s="70"/>
      <c r="M69" s="70">
        <f t="shared" si="34"/>
        <v>0</v>
      </c>
      <c r="N69" s="70">
        <f t="shared" si="35"/>
        <v>0</v>
      </c>
      <c r="O69" s="75">
        <f>149-24</f>
        <v>125</v>
      </c>
      <c r="P69" s="75">
        <f>1818-282</f>
        <v>1536</v>
      </c>
      <c r="Q69" s="71"/>
      <c r="R69" s="71"/>
      <c r="S69" s="72"/>
      <c r="T69" s="252">
        <f t="shared" ref="T69:T79" si="39">E69/C69</f>
        <v>0.625</v>
      </c>
      <c r="U69" s="73">
        <v>50</v>
      </c>
      <c r="V69" s="73"/>
      <c r="W69" s="73"/>
      <c r="X69" s="73"/>
      <c r="AA69" s="61">
        <f>H64</f>
        <v>14</v>
      </c>
      <c r="AB69" s="61" t="str">
        <f>E64</f>
        <v>CI2-Q69-046 W</v>
      </c>
      <c r="AC69" s="74" t="s">
        <v>433</v>
      </c>
      <c r="AD69" s="61" t="str">
        <f t="shared" si="36"/>
        <v>TAO</v>
      </c>
      <c r="AE69" s="61">
        <f t="shared" si="37"/>
        <v>200</v>
      </c>
      <c r="AF69" s="61">
        <f t="shared" si="38"/>
        <v>125</v>
      </c>
    </row>
    <row r="70" spans="1:32" s="65" customFormat="1" ht="12.75" hidden="1" customHeight="1">
      <c r="A70" s="52" t="s">
        <v>9</v>
      </c>
      <c r="B70" s="1">
        <f>B49+7</f>
        <v>43185</v>
      </c>
      <c r="C70" s="239">
        <v>250</v>
      </c>
      <c r="D70" s="239">
        <v>3375</v>
      </c>
      <c r="E70" s="69">
        <f t="shared" si="30"/>
        <v>293</v>
      </c>
      <c r="F70" s="70">
        <f t="shared" si="31"/>
        <v>2549</v>
      </c>
      <c r="G70" s="239">
        <f t="shared" si="32"/>
        <v>43</v>
      </c>
      <c r="H70" s="239">
        <f t="shared" si="33"/>
        <v>-826</v>
      </c>
      <c r="I70" s="75">
        <v>35</v>
      </c>
      <c r="J70" s="75">
        <v>327</v>
      </c>
      <c r="K70" s="71"/>
      <c r="L70" s="71"/>
      <c r="M70" s="70">
        <f t="shared" si="34"/>
        <v>35</v>
      </c>
      <c r="N70" s="70">
        <f t="shared" si="35"/>
        <v>327</v>
      </c>
      <c r="O70" s="75">
        <v>293</v>
      </c>
      <c r="P70" s="75">
        <v>2549</v>
      </c>
      <c r="Q70" s="71"/>
      <c r="R70" s="71"/>
      <c r="S70" s="72">
        <v>330</v>
      </c>
      <c r="T70" s="252">
        <f t="shared" si="39"/>
        <v>1.1719999999999999</v>
      </c>
      <c r="U70" s="73">
        <v>70</v>
      </c>
      <c r="V70" s="73"/>
      <c r="W70" s="73"/>
      <c r="X70" s="73"/>
      <c r="AA70" s="61">
        <f>H64</f>
        <v>14</v>
      </c>
      <c r="AB70" s="61" t="str">
        <f>E64</f>
        <v>CI2-Q69-046 W</v>
      </c>
      <c r="AC70" s="74" t="s">
        <v>433</v>
      </c>
      <c r="AD70" s="61" t="str">
        <f t="shared" si="36"/>
        <v>SHA</v>
      </c>
      <c r="AE70" s="61">
        <f t="shared" si="37"/>
        <v>250</v>
      </c>
      <c r="AF70" s="61">
        <f t="shared" si="38"/>
        <v>293</v>
      </c>
    </row>
    <row r="71" spans="1:32" s="65" customFormat="1" ht="12.75" hidden="1" customHeight="1">
      <c r="A71" s="52" t="s">
        <v>8</v>
      </c>
      <c r="B71" s="1">
        <f>B50+7</f>
        <v>43186</v>
      </c>
      <c r="C71" s="239">
        <v>100</v>
      </c>
      <c r="D71" s="239">
        <v>1350</v>
      </c>
      <c r="E71" s="69">
        <f t="shared" si="30"/>
        <v>134</v>
      </c>
      <c r="F71" s="70">
        <f t="shared" si="31"/>
        <v>1486</v>
      </c>
      <c r="G71" s="239">
        <f t="shared" si="32"/>
        <v>34</v>
      </c>
      <c r="H71" s="239">
        <f t="shared" si="33"/>
        <v>136</v>
      </c>
      <c r="I71" s="71"/>
      <c r="J71" s="71"/>
      <c r="K71" s="71"/>
      <c r="L71" s="71"/>
      <c r="M71" s="70">
        <f t="shared" si="34"/>
        <v>0</v>
      </c>
      <c r="N71" s="70">
        <f t="shared" si="35"/>
        <v>0</v>
      </c>
      <c r="O71" s="71"/>
      <c r="P71" s="71"/>
      <c r="Q71" s="71">
        <v>134</v>
      </c>
      <c r="R71" s="71">
        <v>1486</v>
      </c>
      <c r="S71" s="72"/>
      <c r="T71" s="252">
        <f t="shared" si="39"/>
        <v>1.34</v>
      </c>
      <c r="U71" s="73"/>
      <c r="V71" s="73"/>
      <c r="W71" s="73"/>
      <c r="X71" s="73"/>
      <c r="AA71" s="61">
        <f>H64</f>
        <v>14</v>
      </c>
      <c r="AB71" s="61" t="str">
        <f>E64</f>
        <v>CI2-Q69-046 W</v>
      </c>
      <c r="AC71" s="74" t="s">
        <v>433</v>
      </c>
      <c r="AD71" s="61" t="str">
        <f t="shared" si="36"/>
        <v>NGB</v>
      </c>
      <c r="AE71" s="61">
        <f t="shared" si="37"/>
        <v>100</v>
      </c>
      <c r="AF71" s="61">
        <f t="shared" si="38"/>
        <v>134</v>
      </c>
    </row>
    <row r="72" spans="1:32" s="65" customFormat="1" ht="12.75" hidden="1" customHeight="1">
      <c r="A72" s="52" t="s">
        <v>10</v>
      </c>
      <c r="B72" s="1" t="s">
        <v>67</v>
      </c>
      <c r="C72" s="239">
        <v>0</v>
      </c>
      <c r="D72" s="239">
        <v>0</v>
      </c>
      <c r="E72" s="69">
        <f t="shared" si="30"/>
        <v>10</v>
      </c>
      <c r="F72" s="70">
        <f t="shared" si="31"/>
        <v>116</v>
      </c>
      <c r="G72" s="239">
        <f t="shared" si="32"/>
        <v>10</v>
      </c>
      <c r="H72" s="239">
        <f t="shared" si="33"/>
        <v>116</v>
      </c>
      <c r="I72" s="75"/>
      <c r="J72" s="75"/>
      <c r="K72" s="70"/>
      <c r="L72" s="70"/>
      <c r="M72" s="70">
        <f t="shared" si="34"/>
        <v>0</v>
      </c>
      <c r="N72" s="70">
        <f t="shared" si="35"/>
        <v>0</v>
      </c>
      <c r="O72" s="75">
        <v>10</v>
      </c>
      <c r="P72" s="75">
        <v>116</v>
      </c>
      <c r="Q72" s="70">
        <v>0</v>
      </c>
      <c r="R72" s="70"/>
      <c r="S72" s="72"/>
      <c r="T72" s="252" t="e">
        <f t="shared" si="39"/>
        <v>#DIV/0!</v>
      </c>
      <c r="U72" s="73"/>
      <c r="V72" s="73"/>
      <c r="W72" s="73"/>
      <c r="X72" s="73"/>
      <c r="AA72" s="61">
        <f>H64</f>
        <v>14</v>
      </c>
      <c r="AB72" s="61" t="str">
        <f>E64</f>
        <v>CI2-Q69-046 W</v>
      </c>
      <c r="AC72" s="74" t="s">
        <v>433</v>
      </c>
      <c r="AD72" s="61" t="str">
        <f t="shared" si="36"/>
        <v>WUH</v>
      </c>
      <c r="AE72" s="61">
        <f t="shared" si="37"/>
        <v>0</v>
      </c>
      <c r="AF72" s="61">
        <f t="shared" si="38"/>
        <v>10</v>
      </c>
    </row>
    <row r="73" spans="1:32" s="65" customFormat="1" ht="12.75" hidden="1" customHeight="1">
      <c r="A73" s="52" t="s">
        <v>11</v>
      </c>
      <c r="B73" s="1" t="s">
        <v>18</v>
      </c>
      <c r="C73" s="239">
        <v>0</v>
      </c>
      <c r="D73" s="239">
        <v>0</v>
      </c>
      <c r="E73" s="69">
        <f t="shared" si="30"/>
        <v>0</v>
      </c>
      <c r="F73" s="70">
        <f t="shared" si="31"/>
        <v>0</v>
      </c>
      <c r="G73" s="239">
        <f t="shared" si="32"/>
        <v>0</v>
      </c>
      <c r="H73" s="239">
        <f t="shared" si="33"/>
        <v>0</v>
      </c>
      <c r="I73" s="70"/>
      <c r="J73" s="70"/>
      <c r="K73" s="70"/>
      <c r="L73" s="70"/>
      <c r="M73" s="70">
        <f t="shared" si="34"/>
        <v>0</v>
      </c>
      <c r="N73" s="70">
        <f t="shared" si="35"/>
        <v>0</v>
      </c>
      <c r="O73" s="75"/>
      <c r="P73" s="75"/>
      <c r="Q73" s="70"/>
      <c r="R73" s="70"/>
      <c r="S73" s="72"/>
      <c r="T73" s="252" t="e">
        <f t="shared" si="39"/>
        <v>#DIV/0!</v>
      </c>
      <c r="U73" s="73"/>
      <c r="V73" s="73"/>
      <c r="W73" s="73"/>
      <c r="X73" s="73"/>
      <c r="AA73" s="61">
        <f>H64</f>
        <v>14</v>
      </c>
      <c r="AB73" s="61" t="str">
        <f>E64</f>
        <v>CI2-Q69-046 W</v>
      </c>
      <c r="AC73" s="74" t="s">
        <v>433</v>
      </c>
      <c r="AD73" s="61" t="str">
        <f t="shared" si="36"/>
        <v>DLC</v>
      </c>
      <c r="AE73" s="61">
        <f t="shared" si="37"/>
        <v>0</v>
      </c>
      <c r="AF73" s="61">
        <f t="shared" si="38"/>
        <v>0</v>
      </c>
    </row>
    <row r="74" spans="1:32" s="65" customFormat="1" ht="12.75" hidden="1" customHeight="1">
      <c r="A74" s="52" t="s">
        <v>12</v>
      </c>
      <c r="B74" s="1" t="s">
        <v>18</v>
      </c>
      <c r="C74" s="239">
        <v>0</v>
      </c>
      <c r="D74" s="239">
        <v>0</v>
      </c>
      <c r="E74" s="69">
        <f t="shared" si="30"/>
        <v>0</v>
      </c>
      <c r="F74" s="70">
        <f t="shared" si="31"/>
        <v>0</v>
      </c>
      <c r="G74" s="239">
        <f t="shared" si="32"/>
        <v>0</v>
      </c>
      <c r="H74" s="239">
        <f t="shared" si="33"/>
        <v>0</v>
      </c>
      <c r="I74" s="70"/>
      <c r="J74" s="70"/>
      <c r="K74" s="70"/>
      <c r="L74" s="70"/>
      <c r="M74" s="70">
        <f t="shared" si="34"/>
        <v>0</v>
      </c>
      <c r="N74" s="70">
        <f t="shared" si="35"/>
        <v>0</v>
      </c>
      <c r="O74" s="75"/>
      <c r="P74" s="75"/>
      <c r="Q74" s="76"/>
      <c r="R74" s="71"/>
      <c r="S74" s="72"/>
      <c r="T74" s="252" t="e">
        <f t="shared" si="39"/>
        <v>#DIV/0!</v>
      </c>
      <c r="U74" s="73"/>
      <c r="V74" s="73"/>
      <c r="W74" s="73"/>
      <c r="X74" s="73"/>
      <c r="AA74" s="61">
        <f>H64</f>
        <v>14</v>
      </c>
      <c r="AB74" s="61" t="str">
        <f>E64</f>
        <v>CI2-Q69-046 W</v>
      </c>
      <c r="AC74" s="74" t="s">
        <v>433</v>
      </c>
      <c r="AD74" s="61" t="str">
        <f t="shared" si="36"/>
        <v>TSN</v>
      </c>
      <c r="AE74" s="61">
        <f t="shared" si="37"/>
        <v>0</v>
      </c>
      <c r="AF74" s="61">
        <f t="shared" si="38"/>
        <v>0</v>
      </c>
    </row>
    <row r="75" spans="1:32" s="65" customFormat="1" ht="12.75" hidden="1" customHeight="1">
      <c r="A75" s="52" t="s">
        <v>14</v>
      </c>
      <c r="B75" s="1" t="s">
        <v>18</v>
      </c>
      <c r="C75" s="239">
        <v>0</v>
      </c>
      <c r="D75" s="239">
        <v>0</v>
      </c>
      <c r="E75" s="69">
        <f t="shared" si="30"/>
        <v>0</v>
      </c>
      <c r="F75" s="70">
        <f t="shared" si="31"/>
        <v>0</v>
      </c>
      <c r="G75" s="239">
        <f t="shared" si="32"/>
        <v>0</v>
      </c>
      <c r="H75" s="239">
        <f t="shared" si="33"/>
        <v>0</v>
      </c>
      <c r="I75" s="70"/>
      <c r="J75" s="70"/>
      <c r="K75" s="70"/>
      <c r="L75" s="70"/>
      <c r="M75" s="70">
        <f t="shared" si="34"/>
        <v>0</v>
      </c>
      <c r="N75" s="70">
        <f t="shared" si="35"/>
        <v>0</v>
      </c>
      <c r="O75" s="71"/>
      <c r="P75" s="71"/>
      <c r="Q75" s="70"/>
      <c r="R75" s="70"/>
      <c r="S75" s="72"/>
      <c r="T75" s="252" t="e">
        <f t="shared" si="39"/>
        <v>#DIV/0!</v>
      </c>
      <c r="U75" s="73"/>
      <c r="V75" s="73"/>
      <c r="W75" s="73"/>
      <c r="X75" s="73"/>
      <c r="AA75" s="61">
        <f>H64</f>
        <v>14</v>
      </c>
      <c r="AB75" s="61" t="str">
        <f>E64</f>
        <v>CI2-Q69-046 W</v>
      </c>
      <c r="AC75" s="74" t="s">
        <v>433</v>
      </c>
      <c r="AD75" s="61" t="str">
        <f t="shared" si="36"/>
        <v>XMN</v>
      </c>
      <c r="AE75" s="61">
        <f t="shared" si="37"/>
        <v>0</v>
      </c>
      <c r="AF75" s="61">
        <f t="shared" si="38"/>
        <v>0</v>
      </c>
    </row>
    <row r="76" spans="1:32" s="65" customFormat="1" ht="12.75" hidden="1" customHeight="1">
      <c r="A76" s="52" t="s">
        <v>19</v>
      </c>
      <c r="B76" s="1" t="s">
        <v>18</v>
      </c>
      <c r="C76" s="239">
        <v>0</v>
      </c>
      <c r="D76" s="239">
        <v>0</v>
      </c>
      <c r="E76" s="69">
        <f t="shared" si="30"/>
        <v>0</v>
      </c>
      <c r="F76" s="70">
        <f t="shared" si="31"/>
        <v>0</v>
      </c>
      <c r="G76" s="239">
        <f t="shared" si="32"/>
        <v>0</v>
      </c>
      <c r="H76" s="239">
        <f t="shared" si="33"/>
        <v>0</v>
      </c>
      <c r="I76" s="70"/>
      <c r="J76" s="70"/>
      <c r="K76" s="70"/>
      <c r="L76" s="70"/>
      <c r="M76" s="70">
        <f t="shared" si="34"/>
        <v>0</v>
      </c>
      <c r="N76" s="70">
        <f t="shared" si="35"/>
        <v>0</v>
      </c>
      <c r="O76" s="70"/>
      <c r="P76" s="70"/>
      <c r="Q76" s="70"/>
      <c r="R76" s="70"/>
      <c r="S76" s="72"/>
      <c r="T76" s="252" t="e">
        <f t="shared" si="39"/>
        <v>#DIV/0!</v>
      </c>
      <c r="U76" s="73"/>
      <c r="V76" s="73"/>
      <c r="W76" s="73"/>
      <c r="X76" s="73"/>
      <c r="AA76" s="61">
        <f>H64</f>
        <v>14</v>
      </c>
      <c r="AB76" s="61" t="str">
        <f>E64</f>
        <v>CI2-Q69-046 W</v>
      </c>
      <c r="AC76" s="74" t="s">
        <v>433</v>
      </c>
      <c r="AD76" s="61" t="str">
        <f t="shared" si="36"/>
        <v>TWC</v>
      </c>
      <c r="AE76" s="61">
        <f t="shared" si="37"/>
        <v>0</v>
      </c>
      <c r="AF76" s="61">
        <f t="shared" si="38"/>
        <v>0</v>
      </c>
    </row>
    <row r="77" spans="1:32" s="65" customFormat="1" ht="12.75" hidden="1" customHeight="1">
      <c r="A77" s="52" t="s">
        <v>16</v>
      </c>
      <c r="B77" s="1">
        <f>B56+7</f>
        <v>43190</v>
      </c>
      <c r="C77" s="239">
        <v>0</v>
      </c>
      <c r="D77" s="239">
        <v>0</v>
      </c>
      <c r="E77" s="69">
        <f>O77+Q77</f>
        <v>68</v>
      </c>
      <c r="F77" s="70">
        <f>P77+R76</f>
        <v>0</v>
      </c>
      <c r="G77" s="239">
        <f t="shared" si="32"/>
        <v>68</v>
      </c>
      <c r="H77" s="239">
        <f t="shared" si="33"/>
        <v>0</v>
      </c>
      <c r="I77" s="70"/>
      <c r="J77" s="70"/>
      <c r="K77" s="70"/>
      <c r="L77" s="70"/>
      <c r="M77" s="70">
        <f t="shared" si="34"/>
        <v>0</v>
      </c>
      <c r="N77" s="70">
        <f t="shared" si="35"/>
        <v>0</v>
      </c>
      <c r="O77" s="70"/>
      <c r="P77" s="70"/>
      <c r="Q77" s="70">
        <v>68</v>
      </c>
      <c r="R77" s="84">
        <v>583</v>
      </c>
      <c r="S77" s="72"/>
      <c r="T77" s="252" t="e">
        <f t="shared" si="39"/>
        <v>#DIV/0!</v>
      </c>
      <c r="U77" s="73"/>
      <c r="V77" s="73"/>
      <c r="W77" s="73"/>
      <c r="X77" s="73"/>
      <c r="AA77" s="61">
        <f>H64</f>
        <v>14</v>
      </c>
      <c r="AB77" s="61" t="str">
        <f>E64</f>
        <v>CI2-Q69-046 W</v>
      </c>
      <c r="AC77" s="74" t="s">
        <v>433</v>
      </c>
      <c r="AD77" s="61" t="str">
        <f t="shared" si="36"/>
        <v>HUA</v>
      </c>
      <c r="AE77" s="61">
        <f t="shared" si="37"/>
        <v>0</v>
      </c>
      <c r="AF77" s="61">
        <f t="shared" si="38"/>
        <v>68</v>
      </c>
    </row>
    <row r="78" spans="1:32" s="65" customFormat="1" ht="12.75" hidden="1" customHeight="1">
      <c r="A78" s="52" t="s">
        <v>486</v>
      </c>
      <c r="B78" s="1" t="s">
        <v>67</v>
      </c>
      <c r="C78" s="239"/>
      <c r="D78" s="239"/>
      <c r="E78" s="69">
        <f>O78+Q78</f>
        <v>0</v>
      </c>
      <c r="F78" s="70">
        <f>P78+R78</f>
        <v>0</v>
      </c>
      <c r="G78" s="239"/>
      <c r="H78" s="239"/>
      <c r="I78" s="70"/>
      <c r="J78" s="70"/>
      <c r="K78" s="70"/>
      <c r="L78" s="70"/>
      <c r="M78" s="70">
        <f t="shared" si="34"/>
        <v>0</v>
      </c>
      <c r="N78" s="70">
        <f t="shared" si="35"/>
        <v>0</v>
      </c>
      <c r="O78" s="70"/>
      <c r="P78" s="70"/>
      <c r="Q78" s="265"/>
      <c r="R78" s="70"/>
      <c r="S78" s="72"/>
      <c r="T78" s="252" t="e">
        <f t="shared" si="39"/>
        <v>#DIV/0!</v>
      </c>
      <c r="U78" s="73"/>
      <c r="V78" s="73"/>
      <c r="W78" s="73"/>
      <c r="X78" s="73"/>
      <c r="AA78" s="61">
        <f>H64</f>
        <v>14</v>
      </c>
      <c r="AB78" s="61" t="str">
        <f>E64</f>
        <v>CI2-Q69-046 W</v>
      </c>
      <c r="AC78" s="74" t="s">
        <v>433</v>
      </c>
      <c r="AD78" s="61" t="str">
        <f t="shared" si="36"/>
        <v>GNS</v>
      </c>
      <c r="AE78" s="61">
        <f t="shared" si="37"/>
        <v>0</v>
      </c>
      <c r="AF78" s="61">
        <f t="shared" si="38"/>
        <v>0</v>
      </c>
    </row>
    <row r="79" spans="1:32" s="65" customFormat="1" ht="12.75" hidden="1" customHeight="1">
      <c r="A79" s="52" t="s">
        <v>3</v>
      </c>
      <c r="B79" s="1"/>
      <c r="C79" s="239">
        <v>0</v>
      </c>
      <c r="D79" s="239">
        <v>0</v>
      </c>
      <c r="E79" s="69">
        <f>O79+Q79</f>
        <v>0</v>
      </c>
      <c r="F79" s="70">
        <f>P79+R79</f>
        <v>0</v>
      </c>
      <c r="G79" s="239">
        <f t="shared" ref="G79:G82" si="40">E79-C79</f>
        <v>0</v>
      </c>
      <c r="H79" s="239">
        <f t="shared" ref="H79:H82" si="41">F79-D79</f>
        <v>0</v>
      </c>
      <c r="I79" s="70"/>
      <c r="J79" s="70"/>
      <c r="K79" s="70"/>
      <c r="L79" s="70"/>
      <c r="M79" s="70">
        <f t="shared" si="34"/>
        <v>0</v>
      </c>
      <c r="N79" s="70">
        <f t="shared" si="35"/>
        <v>0</v>
      </c>
      <c r="O79" s="239"/>
      <c r="P79" s="239"/>
      <c r="Q79" s="70"/>
      <c r="R79" s="70"/>
      <c r="S79" s="72"/>
      <c r="T79" s="252" t="e">
        <f t="shared" si="39"/>
        <v>#DIV/0!</v>
      </c>
      <c r="U79" s="73"/>
      <c r="V79" s="73"/>
      <c r="W79" s="73"/>
      <c r="X79" s="73"/>
      <c r="AA79" s="61">
        <f>H64</f>
        <v>14</v>
      </c>
      <c r="AB79" s="61" t="str">
        <f>E64</f>
        <v>CI2-Q69-046 W</v>
      </c>
      <c r="AC79" s="74" t="s">
        <v>433</v>
      </c>
      <c r="AD79" s="61" t="str">
        <f t="shared" si="36"/>
        <v>SGP</v>
      </c>
      <c r="AE79" s="61">
        <f t="shared" si="37"/>
        <v>0</v>
      </c>
      <c r="AF79" s="61">
        <f t="shared" si="38"/>
        <v>0</v>
      </c>
    </row>
    <row r="80" spans="1:32" s="65" customFormat="1" ht="12.75" hidden="1" customHeight="1">
      <c r="A80" s="52" t="s">
        <v>436</v>
      </c>
      <c r="B80" s="1">
        <f>B59+7</f>
        <v>43195</v>
      </c>
      <c r="C80" s="239">
        <v>100</v>
      </c>
      <c r="D80" s="239">
        <v>1350</v>
      </c>
      <c r="E80" s="69">
        <f>O80+Q80</f>
        <v>67</v>
      </c>
      <c r="F80" s="70">
        <f>P80+R80</f>
        <v>1145</v>
      </c>
      <c r="G80" s="239">
        <f t="shared" si="40"/>
        <v>-33</v>
      </c>
      <c r="H80" s="239">
        <f t="shared" si="41"/>
        <v>-205</v>
      </c>
      <c r="I80" s="70"/>
      <c r="J80" s="70"/>
      <c r="K80" s="70"/>
      <c r="L80" s="70"/>
      <c r="M80" s="70">
        <f t="shared" si="34"/>
        <v>0</v>
      </c>
      <c r="N80" s="70">
        <f t="shared" si="35"/>
        <v>0</v>
      </c>
      <c r="O80" s="70"/>
      <c r="P80" s="70"/>
      <c r="Q80" s="70">
        <v>67</v>
      </c>
      <c r="R80" s="70">
        <v>1145</v>
      </c>
      <c r="S80" s="72"/>
      <c r="T80" s="252">
        <f>E80/C80</f>
        <v>0.67</v>
      </c>
      <c r="U80" s="73"/>
      <c r="V80" s="73"/>
      <c r="W80" s="73"/>
      <c r="X80" s="73"/>
      <c r="AA80" s="61">
        <f>H64</f>
        <v>14</v>
      </c>
      <c r="AB80" s="61" t="str">
        <f>E64</f>
        <v>CI2-Q69-046 W</v>
      </c>
      <c r="AC80" s="74" t="s">
        <v>433</v>
      </c>
      <c r="AD80" s="61" t="str">
        <f t="shared" si="36"/>
        <v>PKG</v>
      </c>
      <c r="AE80" s="61">
        <f t="shared" si="37"/>
        <v>100</v>
      </c>
      <c r="AF80" s="61">
        <f t="shared" si="38"/>
        <v>67</v>
      </c>
    </row>
    <row r="81" spans="1:32" s="65" customFormat="1" ht="12.75" hidden="1" customHeight="1">
      <c r="A81" s="52" t="s">
        <v>31</v>
      </c>
      <c r="B81" s="239"/>
      <c r="C81" s="239">
        <v>50</v>
      </c>
      <c r="D81" s="239">
        <v>675</v>
      </c>
      <c r="E81" s="69">
        <f>O81+Q81</f>
        <v>0</v>
      </c>
      <c r="F81" s="70">
        <f>P81+R81</f>
        <v>0</v>
      </c>
      <c r="G81" s="239">
        <f t="shared" si="40"/>
        <v>-50</v>
      </c>
      <c r="H81" s="239">
        <f t="shared" si="41"/>
        <v>-675</v>
      </c>
      <c r="I81" s="70"/>
      <c r="J81" s="70"/>
      <c r="K81" s="70"/>
      <c r="L81" s="70"/>
      <c r="M81" s="70">
        <f t="shared" si="34"/>
        <v>0</v>
      </c>
      <c r="N81" s="70">
        <f t="shared" si="35"/>
        <v>0</v>
      </c>
      <c r="O81" s="71"/>
      <c r="P81" s="71"/>
      <c r="Q81" s="71">
        <v>0</v>
      </c>
      <c r="R81" s="71"/>
      <c r="S81" s="72"/>
      <c r="T81" s="73"/>
      <c r="U81" s="73"/>
      <c r="V81" s="73"/>
      <c r="W81" s="73"/>
      <c r="X81" s="73"/>
      <c r="AA81" s="61">
        <f>H64</f>
        <v>14</v>
      </c>
      <c r="AB81" s="61" t="str">
        <f>E64</f>
        <v>CI2-Q69-046 W</v>
      </c>
      <c r="AC81" s="74" t="s">
        <v>433</v>
      </c>
      <c r="AD81" s="61" t="str">
        <f t="shared" si="36"/>
        <v>COSCO T/S</v>
      </c>
      <c r="AE81" s="61">
        <f t="shared" si="37"/>
        <v>50</v>
      </c>
      <c r="AF81" s="61">
        <f t="shared" si="38"/>
        <v>0</v>
      </c>
    </row>
    <row r="82" spans="1:32" s="65" customFormat="1" ht="12.75" hidden="1" customHeight="1">
      <c r="A82" s="51" t="s">
        <v>36</v>
      </c>
      <c r="B82" s="72"/>
      <c r="C82" s="71">
        <f>SUM(C68:C81)</f>
        <v>700</v>
      </c>
      <c r="D82" s="71">
        <f>SUM(D68:D81)</f>
        <v>9450</v>
      </c>
      <c r="E82" s="78">
        <f>SUM(E68:E81)</f>
        <v>697</v>
      </c>
      <c r="F82" s="76">
        <f>SUM(F68:F81)</f>
        <v>6832</v>
      </c>
      <c r="G82" s="71">
        <f t="shared" si="40"/>
        <v>-3</v>
      </c>
      <c r="H82" s="71">
        <f t="shared" si="41"/>
        <v>-2618</v>
      </c>
      <c r="I82" s="70">
        <f t="shared" ref="I82:L82" si="42">SUM(I68:I81)</f>
        <v>35</v>
      </c>
      <c r="J82" s="70">
        <f t="shared" si="42"/>
        <v>327</v>
      </c>
      <c r="K82" s="70">
        <f t="shared" si="42"/>
        <v>0</v>
      </c>
      <c r="L82" s="70">
        <f t="shared" si="42"/>
        <v>0</v>
      </c>
      <c r="M82" s="70"/>
      <c r="N82" s="70"/>
      <c r="O82" s="70">
        <f t="shared" ref="O82:R82" si="43">SUM(O68:O81)</f>
        <v>428</v>
      </c>
      <c r="P82" s="70">
        <f t="shared" si="43"/>
        <v>4201</v>
      </c>
      <c r="Q82" s="70">
        <f t="shared" si="43"/>
        <v>269</v>
      </c>
      <c r="R82" s="70">
        <f t="shared" si="43"/>
        <v>3214</v>
      </c>
      <c r="S82" s="72"/>
      <c r="T82" s="73"/>
      <c r="U82" s="73"/>
      <c r="V82" s="73"/>
      <c r="W82" s="73"/>
      <c r="X82" s="73"/>
      <c r="AA82" s="61"/>
      <c r="AB82" s="61"/>
      <c r="AC82" s="61"/>
      <c r="AD82" s="61"/>
      <c r="AE82" s="61"/>
      <c r="AF82" s="61"/>
    </row>
    <row r="83" spans="1:32" s="65" customFormat="1" ht="12.75" hidden="1" customHeight="1">
      <c r="A83" s="84">
        <f>D82/C82</f>
        <v>13.5</v>
      </c>
      <c r="C83" s="235">
        <f>F82-E83</f>
        <v>-1673</v>
      </c>
      <c r="E83" s="65">
        <f>D82*0.9</f>
        <v>8505</v>
      </c>
      <c r="F83" s="235">
        <f>E82-L83</f>
        <v>67</v>
      </c>
      <c r="I83" s="80" t="s">
        <v>48</v>
      </c>
      <c r="J83" s="245">
        <f>E82/C82</f>
        <v>0.99571428571428566</v>
      </c>
      <c r="K83" s="80"/>
      <c r="L83" s="80">
        <f>C82*0.9</f>
        <v>630</v>
      </c>
      <c r="M83" s="80"/>
      <c r="N83" s="80"/>
      <c r="O83" s="80" t="s">
        <v>49</v>
      </c>
      <c r="P83" s="80"/>
      <c r="Q83" s="65">
        <f>P69+P70+P72+P73+P74+J69+J70+L69+L70+J72+R72</f>
        <v>4528</v>
      </c>
      <c r="R83" s="65">
        <v>16856</v>
      </c>
      <c r="AA83" s="81"/>
      <c r="AB83" s="81"/>
      <c r="AC83" s="81"/>
      <c r="AD83" s="81"/>
      <c r="AE83" s="81"/>
      <c r="AF83" s="81"/>
    </row>
    <row r="84" spans="1:32" hidden="1"/>
    <row r="85" spans="1:32" s="63" customFormat="1" ht="12.75" hidden="1" customHeight="1">
      <c r="A85" s="59" t="s">
        <v>433</v>
      </c>
      <c r="B85" s="58" t="s">
        <v>551</v>
      </c>
      <c r="C85" s="56"/>
      <c r="D85" s="57"/>
      <c r="E85" s="58" t="s">
        <v>537</v>
      </c>
      <c r="F85" s="57"/>
      <c r="G85" s="59" t="s">
        <v>37</v>
      </c>
      <c r="H85" s="60">
        <f>H64+1</f>
        <v>15</v>
      </c>
      <c r="I85" s="57"/>
      <c r="J85" s="57"/>
      <c r="K85" s="57"/>
      <c r="L85" s="57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2"/>
      <c r="Z85" s="62"/>
      <c r="AA85" s="62"/>
      <c r="AB85" s="62"/>
      <c r="AC85" s="62"/>
    </row>
    <row r="86" spans="1:32" s="65" customFormat="1" ht="12.75" hidden="1" customHeight="1">
      <c r="A86" s="340" t="s">
        <v>0</v>
      </c>
      <c r="B86" s="336" t="s">
        <v>1</v>
      </c>
      <c r="C86" s="331" t="s">
        <v>25</v>
      </c>
      <c r="D86" s="332"/>
      <c r="E86" s="331" t="s">
        <v>21</v>
      </c>
      <c r="F86" s="332"/>
      <c r="G86" s="335" t="s">
        <v>24</v>
      </c>
      <c r="H86" s="335"/>
      <c r="I86" s="328" t="s">
        <v>33</v>
      </c>
      <c r="J86" s="329"/>
      <c r="K86" s="329"/>
      <c r="L86" s="329"/>
      <c r="M86" s="329"/>
      <c r="N86" s="330"/>
      <c r="O86" s="331" t="s">
        <v>22</v>
      </c>
      <c r="P86" s="332"/>
      <c r="Q86" s="335" t="s">
        <v>23</v>
      </c>
      <c r="R86" s="335"/>
      <c r="S86" s="336" t="s">
        <v>27</v>
      </c>
      <c r="T86" s="64"/>
      <c r="U86" s="64"/>
      <c r="V86" s="64"/>
      <c r="W86" s="64"/>
      <c r="X86" s="64"/>
      <c r="Y86" s="339"/>
      <c r="Z86" s="254"/>
      <c r="AA86" s="61"/>
      <c r="AB86" s="61"/>
      <c r="AC86" s="74"/>
      <c r="AD86" s="61"/>
      <c r="AE86" s="61"/>
      <c r="AF86" s="61"/>
    </row>
    <row r="87" spans="1:32" s="65" customFormat="1" ht="12.75" hidden="1" customHeight="1">
      <c r="A87" s="341"/>
      <c r="B87" s="337"/>
      <c r="C87" s="333"/>
      <c r="D87" s="334"/>
      <c r="E87" s="333"/>
      <c r="F87" s="334"/>
      <c r="G87" s="335"/>
      <c r="H87" s="335"/>
      <c r="I87" s="255" t="s">
        <v>28</v>
      </c>
      <c r="J87" s="256" t="s">
        <v>3</v>
      </c>
      <c r="K87" s="255" t="s">
        <v>29</v>
      </c>
      <c r="L87" s="256" t="s">
        <v>4</v>
      </c>
      <c r="M87" s="328" t="s">
        <v>30</v>
      </c>
      <c r="N87" s="330"/>
      <c r="O87" s="333"/>
      <c r="P87" s="334"/>
      <c r="Q87" s="335"/>
      <c r="R87" s="335"/>
      <c r="S87" s="337"/>
      <c r="T87" s="64"/>
      <c r="U87" s="64"/>
      <c r="V87" s="64"/>
      <c r="W87" s="64"/>
      <c r="X87" s="64"/>
      <c r="Y87" s="339"/>
      <c r="Z87" s="254"/>
      <c r="AA87" s="61"/>
      <c r="AB87" s="61"/>
      <c r="AC87" s="74"/>
      <c r="AD87" s="61"/>
      <c r="AE87" s="61"/>
      <c r="AF87" s="61"/>
    </row>
    <row r="88" spans="1:32" s="65" customFormat="1" ht="12.75" hidden="1" customHeight="1">
      <c r="A88" s="342"/>
      <c r="B88" s="338"/>
      <c r="C88" s="257" t="s">
        <v>5</v>
      </c>
      <c r="D88" s="257" t="s">
        <v>6</v>
      </c>
      <c r="E88" s="256" t="s">
        <v>5</v>
      </c>
      <c r="F88" s="257" t="s">
        <v>6</v>
      </c>
      <c r="G88" s="257" t="s">
        <v>5</v>
      </c>
      <c r="H88" s="257" t="s">
        <v>6</v>
      </c>
      <c r="I88" s="256" t="s">
        <v>5</v>
      </c>
      <c r="J88" s="257" t="s">
        <v>6</v>
      </c>
      <c r="K88" s="256" t="s">
        <v>5</v>
      </c>
      <c r="L88" s="257" t="s">
        <v>6</v>
      </c>
      <c r="M88" s="257"/>
      <c r="N88" s="257"/>
      <c r="O88" s="256" t="s">
        <v>5</v>
      </c>
      <c r="P88" s="257" t="s">
        <v>6</v>
      </c>
      <c r="Q88" s="257" t="s">
        <v>5</v>
      </c>
      <c r="R88" s="257" t="s">
        <v>6</v>
      </c>
      <c r="S88" s="338"/>
      <c r="T88" s="64"/>
      <c r="U88" s="64"/>
      <c r="V88" s="64"/>
      <c r="W88" s="64"/>
      <c r="X88" s="64"/>
      <c r="Y88" s="339"/>
      <c r="Z88" s="254"/>
      <c r="AA88" s="61" t="s">
        <v>43</v>
      </c>
      <c r="AB88" s="61" t="s">
        <v>45</v>
      </c>
      <c r="AC88" s="61" t="s">
        <v>46</v>
      </c>
      <c r="AD88" s="61" t="s">
        <v>42</v>
      </c>
      <c r="AE88" s="61" t="s">
        <v>41</v>
      </c>
      <c r="AF88" s="61" t="s">
        <v>44</v>
      </c>
    </row>
    <row r="89" spans="1:32" s="65" customFormat="1" ht="12.75" hidden="1" customHeight="1">
      <c r="A89" s="51" t="s">
        <v>7</v>
      </c>
      <c r="B89" s="257" t="s">
        <v>18</v>
      </c>
      <c r="C89" s="257">
        <v>0</v>
      </c>
      <c r="D89" s="257">
        <v>0</v>
      </c>
      <c r="E89" s="69">
        <f t="shared" ref="E89:E97" si="44">O89+Q89</f>
        <v>0</v>
      </c>
      <c r="F89" s="70">
        <f t="shared" ref="F89:F97" si="45">P89+R89</f>
        <v>0</v>
      </c>
      <c r="G89" s="257">
        <f t="shared" ref="G89:G98" si="46">E89-C89</f>
        <v>0</v>
      </c>
      <c r="H89" s="257">
        <f t="shared" ref="H89:H98" si="47">F89-D89</f>
        <v>0</v>
      </c>
      <c r="I89" s="70"/>
      <c r="J89" s="70"/>
      <c r="K89" s="70"/>
      <c r="L89" s="70"/>
      <c r="M89" s="70">
        <f t="shared" ref="M89:M102" si="48">I89+K89</f>
        <v>0</v>
      </c>
      <c r="N89" s="70">
        <f t="shared" ref="N89:N102" si="49">J89+L89</f>
        <v>0</v>
      </c>
      <c r="O89" s="71"/>
      <c r="P89" s="71"/>
      <c r="Q89" s="70"/>
      <c r="R89" s="70"/>
      <c r="S89" s="72"/>
      <c r="T89" s="252" t="e">
        <f>E89/C89</f>
        <v>#DIV/0!</v>
      </c>
      <c r="U89" s="73"/>
      <c r="V89" s="73"/>
      <c r="W89" s="73"/>
      <c r="X89" s="73"/>
      <c r="Y89" s="339"/>
      <c r="Z89" s="254"/>
      <c r="AA89" s="61">
        <f>H85</f>
        <v>15</v>
      </c>
      <c r="AB89" s="61" t="str">
        <f>E85</f>
        <v>CI2-QUU-019 W</v>
      </c>
      <c r="AC89" s="74" t="s">
        <v>433</v>
      </c>
      <c r="AD89" s="61" t="str">
        <f t="shared" ref="AD89:AD102" si="50">A89</f>
        <v>KR</v>
      </c>
      <c r="AE89" s="61">
        <f t="shared" ref="AE89:AE102" si="51">C89</f>
        <v>0</v>
      </c>
      <c r="AF89" s="61">
        <f t="shared" ref="AF89:AF102" si="52">E89</f>
        <v>0</v>
      </c>
    </row>
    <row r="90" spans="1:32" s="65" customFormat="1" ht="12.75" hidden="1" customHeight="1">
      <c r="A90" s="52" t="s">
        <v>13</v>
      </c>
      <c r="B90" s="1">
        <f>B69+7</f>
        <v>43189</v>
      </c>
      <c r="C90" s="257">
        <v>200</v>
      </c>
      <c r="D90" s="257">
        <v>2700</v>
      </c>
      <c r="E90" s="69">
        <f t="shared" si="44"/>
        <v>63</v>
      </c>
      <c r="F90" s="70">
        <f t="shared" si="45"/>
        <v>719</v>
      </c>
      <c r="G90" s="257">
        <f t="shared" si="46"/>
        <v>-137</v>
      </c>
      <c r="H90" s="257">
        <f t="shared" si="47"/>
        <v>-1981</v>
      </c>
      <c r="I90" s="75"/>
      <c r="J90" s="75"/>
      <c r="K90" s="70"/>
      <c r="L90" s="70"/>
      <c r="M90" s="70">
        <f t="shared" si="48"/>
        <v>0</v>
      </c>
      <c r="N90" s="70">
        <f t="shared" si="49"/>
        <v>0</v>
      </c>
      <c r="O90" s="75">
        <v>63</v>
      </c>
      <c r="P90" s="75">
        <v>719</v>
      </c>
      <c r="Q90" s="71"/>
      <c r="R90" s="71"/>
      <c r="S90" s="72"/>
      <c r="T90" s="252">
        <f t="shared" ref="T90:T100" si="53">E90/C90</f>
        <v>0.315</v>
      </c>
      <c r="U90" s="73"/>
      <c r="V90" s="73"/>
      <c r="W90" s="73"/>
      <c r="X90" s="73"/>
      <c r="AA90" s="61">
        <f>H85</f>
        <v>15</v>
      </c>
      <c r="AB90" s="61" t="str">
        <f>E85</f>
        <v>CI2-QUU-019 W</v>
      </c>
      <c r="AC90" s="74" t="s">
        <v>433</v>
      </c>
      <c r="AD90" s="61" t="str">
        <f t="shared" si="50"/>
        <v>TAO</v>
      </c>
      <c r="AE90" s="61">
        <f t="shared" si="51"/>
        <v>200</v>
      </c>
      <c r="AF90" s="61">
        <f t="shared" si="52"/>
        <v>63</v>
      </c>
    </row>
    <row r="91" spans="1:32" s="65" customFormat="1" ht="12.75" hidden="1" customHeight="1">
      <c r="A91" s="52" t="s">
        <v>9</v>
      </c>
      <c r="B91" s="1">
        <f>B70+7</f>
        <v>43192</v>
      </c>
      <c r="C91" s="257">
        <v>250</v>
      </c>
      <c r="D91" s="257">
        <v>3375</v>
      </c>
      <c r="E91" s="69">
        <f t="shared" si="44"/>
        <v>281</v>
      </c>
      <c r="F91" s="70">
        <f t="shared" si="45"/>
        <v>2660</v>
      </c>
      <c r="G91" s="257">
        <f t="shared" si="46"/>
        <v>31</v>
      </c>
      <c r="H91" s="257">
        <f t="shared" si="47"/>
        <v>-715</v>
      </c>
      <c r="I91" s="75"/>
      <c r="J91" s="75"/>
      <c r="K91" s="71">
        <v>4</v>
      </c>
      <c r="L91" s="71">
        <v>47</v>
      </c>
      <c r="M91" s="70">
        <f t="shared" si="48"/>
        <v>4</v>
      </c>
      <c r="N91" s="70">
        <f t="shared" si="49"/>
        <v>47</v>
      </c>
      <c r="O91" s="75">
        <v>281</v>
      </c>
      <c r="P91" s="75">
        <v>2660</v>
      </c>
      <c r="Q91" s="71"/>
      <c r="R91" s="71"/>
      <c r="S91" s="72"/>
      <c r="T91" s="252">
        <f t="shared" si="53"/>
        <v>1.1240000000000001</v>
      </c>
      <c r="U91" s="73"/>
      <c r="V91" s="73"/>
      <c r="W91" s="73"/>
      <c r="X91" s="73"/>
      <c r="AA91" s="61">
        <f>H85</f>
        <v>15</v>
      </c>
      <c r="AB91" s="61" t="str">
        <f>E85</f>
        <v>CI2-QUU-019 W</v>
      </c>
      <c r="AC91" s="74" t="s">
        <v>433</v>
      </c>
      <c r="AD91" s="61" t="str">
        <f t="shared" si="50"/>
        <v>SHA</v>
      </c>
      <c r="AE91" s="61">
        <f t="shared" si="51"/>
        <v>250</v>
      </c>
      <c r="AF91" s="61">
        <f t="shared" si="52"/>
        <v>281</v>
      </c>
    </row>
    <row r="92" spans="1:32" s="65" customFormat="1" ht="12.75" hidden="1" customHeight="1">
      <c r="A92" s="52" t="s">
        <v>8</v>
      </c>
      <c r="B92" s="1">
        <f>B71+7</f>
        <v>43193</v>
      </c>
      <c r="C92" s="257">
        <v>100</v>
      </c>
      <c r="D92" s="257">
        <v>1350</v>
      </c>
      <c r="E92" s="69">
        <f t="shared" si="44"/>
        <v>0</v>
      </c>
      <c r="F92" s="70">
        <f t="shared" si="45"/>
        <v>0</v>
      </c>
      <c r="G92" s="257">
        <f t="shared" si="46"/>
        <v>-100</v>
      </c>
      <c r="H92" s="257">
        <f t="shared" si="47"/>
        <v>-1350</v>
      </c>
      <c r="I92" s="71"/>
      <c r="J92" s="71"/>
      <c r="K92" s="71">
        <v>21</v>
      </c>
      <c r="L92" s="71">
        <v>262</v>
      </c>
      <c r="M92" s="70">
        <f t="shared" si="48"/>
        <v>21</v>
      </c>
      <c r="N92" s="70">
        <f t="shared" si="49"/>
        <v>262</v>
      </c>
      <c r="O92" s="71"/>
      <c r="P92" s="71"/>
      <c r="Q92" s="71"/>
      <c r="R92" s="71"/>
      <c r="S92" s="77" t="s">
        <v>610</v>
      </c>
      <c r="T92" s="252">
        <f t="shared" si="53"/>
        <v>0</v>
      </c>
      <c r="U92" s="73"/>
      <c r="V92" s="73"/>
      <c r="W92" s="73"/>
      <c r="X92" s="73"/>
      <c r="AA92" s="61">
        <f>H85</f>
        <v>15</v>
      </c>
      <c r="AB92" s="61" t="str">
        <f>E85</f>
        <v>CI2-QUU-019 W</v>
      </c>
      <c r="AC92" s="74" t="s">
        <v>433</v>
      </c>
      <c r="AD92" s="61" t="str">
        <f t="shared" si="50"/>
        <v>NGB</v>
      </c>
      <c r="AE92" s="61">
        <f t="shared" si="51"/>
        <v>100</v>
      </c>
      <c r="AF92" s="61">
        <f t="shared" si="52"/>
        <v>0</v>
      </c>
    </row>
    <row r="93" spans="1:32" s="65" customFormat="1" ht="12.75" hidden="1" customHeight="1">
      <c r="A93" s="52" t="s">
        <v>10</v>
      </c>
      <c r="B93" s="1" t="s">
        <v>18</v>
      </c>
      <c r="C93" s="257">
        <v>0</v>
      </c>
      <c r="D93" s="257">
        <v>0</v>
      </c>
      <c r="E93" s="69">
        <f t="shared" si="44"/>
        <v>18</v>
      </c>
      <c r="F93" s="70">
        <f t="shared" si="45"/>
        <v>304</v>
      </c>
      <c r="G93" s="257">
        <f t="shared" si="46"/>
        <v>18</v>
      </c>
      <c r="H93" s="257">
        <f t="shared" si="47"/>
        <v>304</v>
      </c>
      <c r="I93" s="75"/>
      <c r="J93" s="75"/>
      <c r="K93" s="70"/>
      <c r="L93" s="70"/>
      <c r="M93" s="70">
        <f t="shared" si="48"/>
        <v>0</v>
      </c>
      <c r="N93" s="70">
        <f t="shared" si="49"/>
        <v>0</v>
      </c>
      <c r="O93" s="75">
        <v>18</v>
      </c>
      <c r="P93" s="75">
        <v>304</v>
      </c>
      <c r="Q93" s="70"/>
      <c r="R93" s="70"/>
      <c r="S93" s="72"/>
      <c r="T93" s="252" t="e">
        <f t="shared" si="53"/>
        <v>#DIV/0!</v>
      </c>
      <c r="U93" s="73"/>
      <c r="V93" s="73"/>
      <c r="W93" s="73"/>
      <c r="X93" s="73"/>
      <c r="AA93" s="61">
        <f>H85</f>
        <v>15</v>
      </c>
      <c r="AB93" s="61" t="str">
        <f>E85</f>
        <v>CI2-QUU-019 W</v>
      </c>
      <c r="AC93" s="74" t="s">
        <v>433</v>
      </c>
      <c r="AD93" s="61" t="str">
        <f t="shared" si="50"/>
        <v>WUH</v>
      </c>
      <c r="AE93" s="61">
        <f t="shared" si="51"/>
        <v>0</v>
      </c>
      <c r="AF93" s="61">
        <f t="shared" si="52"/>
        <v>18</v>
      </c>
    </row>
    <row r="94" spans="1:32" s="65" customFormat="1" ht="12.75" hidden="1" customHeight="1">
      <c r="A94" s="52" t="s">
        <v>11</v>
      </c>
      <c r="B94" s="1" t="s">
        <v>18</v>
      </c>
      <c r="C94" s="257">
        <v>0</v>
      </c>
      <c r="D94" s="257">
        <v>0</v>
      </c>
      <c r="E94" s="69">
        <f t="shared" si="44"/>
        <v>0</v>
      </c>
      <c r="F94" s="70">
        <f t="shared" si="45"/>
        <v>0</v>
      </c>
      <c r="G94" s="257">
        <f t="shared" si="46"/>
        <v>0</v>
      </c>
      <c r="H94" s="257">
        <f t="shared" si="47"/>
        <v>0</v>
      </c>
      <c r="I94" s="70"/>
      <c r="J94" s="70"/>
      <c r="K94" s="70"/>
      <c r="L94" s="70"/>
      <c r="M94" s="70">
        <f t="shared" si="48"/>
        <v>0</v>
      </c>
      <c r="N94" s="70">
        <f t="shared" si="49"/>
        <v>0</v>
      </c>
      <c r="O94" s="75"/>
      <c r="P94" s="75"/>
      <c r="Q94" s="70"/>
      <c r="R94" s="70"/>
      <c r="S94" s="72"/>
      <c r="T94" s="252" t="e">
        <f t="shared" si="53"/>
        <v>#DIV/0!</v>
      </c>
      <c r="U94" s="73"/>
      <c r="V94" s="73"/>
      <c r="W94" s="73"/>
      <c r="X94" s="73"/>
      <c r="AA94" s="61">
        <f>H85</f>
        <v>15</v>
      </c>
      <c r="AB94" s="61" t="str">
        <f>E85</f>
        <v>CI2-QUU-019 W</v>
      </c>
      <c r="AC94" s="74" t="s">
        <v>433</v>
      </c>
      <c r="AD94" s="61" t="str">
        <f t="shared" si="50"/>
        <v>DLC</v>
      </c>
      <c r="AE94" s="61">
        <f t="shared" si="51"/>
        <v>0</v>
      </c>
      <c r="AF94" s="61">
        <f t="shared" si="52"/>
        <v>0</v>
      </c>
    </row>
    <row r="95" spans="1:32" s="65" customFormat="1" ht="12.75" hidden="1" customHeight="1">
      <c r="A95" s="52" t="s">
        <v>12</v>
      </c>
      <c r="B95" s="1" t="s">
        <v>18</v>
      </c>
      <c r="C95" s="257">
        <v>0</v>
      </c>
      <c r="D95" s="257">
        <v>0</v>
      </c>
      <c r="E95" s="69">
        <f t="shared" si="44"/>
        <v>0</v>
      </c>
      <c r="F95" s="70">
        <f t="shared" si="45"/>
        <v>0</v>
      </c>
      <c r="G95" s="257">
        <f t="shared" si="46"/>
        <v>0</v>
      </c>
      <c r="H95" s="257">
        <f t="shared" si="47"/>
        <v>0</v>
      </c>
      <c r="I95" s="70"/>
      <c r="J95" s="70"/>
      <c r="K95" s="70"/>
      <c r="L95" s="70"/>
      <c r="M95" s="70">
        <f t="shared" si="48"/>
        <v>0</v>
      </c>
      <c r="N95" s="70">
        <f t="shared" si="49"/>
        <v>0</v>
      </c>
      <c r="O95" s="75"/>
      <c r="P95" s="75"/>
      <c r="Q95" s="76"/>
      <c r="R95" s="71"/>
      <c r="S95" s="72"/>
      <c r="T95" s="252" t="e">
        <f t="shared" si="53"/>
        <v>#DIV/0!</v>
      </c>
      <c r="U95" s="73"/>
      <c r="V95" s="73"/>
      <c r="W95" s="73"/>
      <c r="X95" s="73"/>
      <c r="AA95" s="61">
        <f>H85</f>
        <v>15</v>
      </c>
      <c r="AB95" s="61" t="str">
        <f>E85</f>
        <v>CI2-QUU-019 W</v>
      </c>
      <c r="AC95" s="74" t="s">
        <v>433</v>
      </c>
      <c r="AD95" s="61" t="str">
        <f t="shared" si="50"/>
        <v>TSN</v>
      </c>
      <c r="AE95" s="61">
        <f t="shared" si="51"/>
        <v>0</v>
      </c>
      <c r="AF95" s="61">
        <f t="shared" si="52"/>
        <v>0</v>
      </c>
    </row>
    <row r="96" spans="1:32" s="65" customFormat="1" ht="12.75" hidden="1" customHeight="1">
      <c r="A96" s="52" t="s">
        <v>14</v>
      </c>
      <c r="B96" s="1" t="s">
        <v>18</v>
      </c>
      <c r="C96" s="257">
        <v>0</v>
      </c>
      <c r="D96" s="257">
        <v>0</v>
      </c>
      <c r="E96" s="69">
        <f t="shared" si="44"/>
        <v>0</v>
      </c>
      <c r="F96" s="70">
        <f t="shared" si="45"/>
        <v>0</v>
      </c>
      <c r="G96" s="257">
        <f t="shared" si="46"/>
        <v>0</v>
      </c>
      <c r="H96" s="257">
        <f t="shared" si="47"/>
        <v>0</v>
      </c>
      <c r="I96" s="70"/>
      <c r="J96" s="70"/>
      <c r="K96" s="70"/>
      <c r="L96" s="70"/>
      <c r="M96" s="70">
        <f t="shared" si="48"/>
        <v>0</v>
      </c>
      <c r="N96" s="70">
        <f t="shared" si="49"/>
        <v>0</v>
      </c>
      <c r="O96" s="71"/>
      <c r="P96" s="71"/>
      <c r="Q96" s="70"/>
      <c r="R96" s="70"/>
      <c r="S96" s="72"/>
      <c r="T96" s="252" t="e">
        <f t="shared" si="53"/>
        <v>#DIV/0!</v>
      </c>
      <c r="U96" s="73"/>
      <c r="V96" s="73"/>
      <c r="W96" s="73"/>
      <c r="X96" s="73"/>
      <c r="AA96" s="61">
        <f>H85</f>
        <v>15</v>
      </c>
      <c r="AB96" s="61" t="str">
        <f>E85</f>
        <v>CI2-QUU-019 W</v>
      </c>
      <c r="AC96" s="74" t="s">
        <v>433</v>
      </c>
      <c r="AD96" s="61" t="str">
        <f t="shared" si="50"/>
        <v>XMN</v>
      </c>
      <c r="AE96" s="61">
        <f t="shared" si="51"/>
        <v>0</v>
      </c>
      <c r="AF96" s="61">
        <f t="shared" si="52"/>
        <v>0</v>
      </c>
    </row>
    <row r="97" spans="1:32" s="65" customFormat="1" ht="12.75" hidden="1" customHeight="1">
      <c r="A97" s="52" t="s">
        <v>19</v>
      </c>
      <c r="B97" s="1" t="s">
        <v>18</v>
      </c>
      <c r="C97" s="257">
        <v>0</v>
      </c>
      <c r="D97" s="257">
        <v>0</v>
      </c>
      <c r="E97" s="69">
        <f t="shared" si="44"/>
        <v>0</v>
      </c>
      <c r="F97" s="70">
        <f t="shared" si="45"/>
        <v>0</v>
      </c>
      <c r="G97" s="257">
        <f t="shared" si="46"/>
        <v>0</v>
      </c>
      <c r="H97" s="257">
        <f t="shared" si="47"/>
        <v>0</v>
      </c>
      <c r="I97" s="70"/>
      <c r="J97" s="70"/>
      <c r="K97" s="70"/>
      <c r="L97" s="70"/>
      <c r="M97" s="70">
        <f t="shared" si="48"/>
        <v>0</v>
      </c>
      <c r="N97" s="70">
        <f t="shared" si="49"/>
        <v>0</v>
      </c>
      <c r="O97" s="70"/>
      <c r="P97" s="70"/>
      <c r="Q97" s="70"/>
      <c r="R97" s="70"/>
      <c r="S97" s="72"/>
      <c r="T97" s="252" t="e">
        <f t="shared" si="53"/>
        <v>#DIV/0!</v>
      </c>
      <c r="U97" s="73"/>
      <c r="V97" s="73"/>
      <c r="W97" s="73"/>
      <c r="X97" s="73"/>
      <c r="AA97" s="61">
        <f>H85</f>
        <v>15</v>
      </c>
      <c r="AB97" s="61" t="str">
        <f>E85</f>
        <v>CI2-QUU-019 W</v>
      </c>
      <c r="AC97" s="74" t="s">
        <v>433</v>
      </c>
      <c r="AD97" s="61" t="str">
        <f t="shared" si="50"/>
        <v>TWC</v>
      </c>
      <c r="AE97" s="61">
        <f t="shared" si="51"/>
        <v>0</v>
      </c>
      <c r="AF97" s="61">
        <f t="shared" si="52"/>
        <v>0</v>
      </c>
    </row>
    <row r="98" spans="1:32" s="65" customFormat="1" ht="12.75" hidden="1" customHeight="1">
      <c r="A98" s="52" t="s">
        <v>16</v>
      </c>
      <c r="B98" s="1">
        <f>B77+7</f>
        <v>43197</v>
      </c>
      <c r="C98" s="257">
        <v>0</v>
      </c>
      <c r="D98" s="257">
        <v>0</v>
      </c>
      <c r="E98" s="69">
        <f>O98+Q98</f>
        <v>9</v>
      </c>
      <c r="F98" s="70">
        <f>P98+R97</f>
        <v>0</v>
      </c>
      <c r="G98" s="257">
        <f t="shared" si="46"/>
        <v>9</v>
      </c>
      <c r="H98" s="257">
        <f t="shared" si="47"/>
        <v>0</v>
      </c>
      <c r="I98" s="70"/>
      <c r="J98" s="70"/>
      <c r="K98" s="70"/>
      <c r="L98" s="70"/>
      <c r="M98" s="70">
        <f t="shared" si="48"/>
        <v>0</v>
      </c>
      <c r="N98" s="70">
        <f t="shared" si="49"/>
        <v>0</v>
      </c>
      <c r="O98" s="70"/>
      <c r="P98" s="70"/>
      <c r="Q98" s="70">
        <v>9</v>
      </c>
      <c r="R98" s="84">
        <v>701</v>
      </c>
      <c r="S98" s="72"/>
      <c r="T98" s="252" t="e">
        <f t="shared" si="53"/>
        <v>#DIV/0!</v>
      </c>
      <c r="U98" s="73"/>
      <c r="V98" s="73"/>
      <c r="W98" s="73"/>
      <c r="X98" s="73"/>
      <c r="AA98" s="61">
        <f>H85</f>
        <v>15</v>
      </c>
      <c r="AB98" s="61" t="str">
        <f>E85</f>
        <v>CI2-QUU-019 W</v>
      </c>
      <c r="AC98" s="74" t="s">
        <v>433</v>
      </c>
      <c r="AD98" s="61" t="str">
        <f t="shared" si="50"/>
        <v>HUA</v>
      </c>
      <c r="AE98" s="61">
        <f t="shared" si="51"/>
        <v>0</v>
      </c>
      <c r="AF98" s="61">
        <f t="shared" si="52"/>
        <v>9</v>
      </c>
    </row>
    <row r="99" spans="1:32" s="65" customFormat="1" ht="12.75" hidden="1" customHeight="1">
      <c r="A99" s="52" t="s">
        <v>68</v>
      </c>
      <c r="B99" s="1" t="s">
        <v>18</v>
      </c>
      <c r="C99" s="257"/>
      <c r="D99" s="257"/>
      <c r="E99" s="69">
        <f>O99+Q99</f>
        <v>0</v>
      </c>
      <c r="F99" s="70">
        <f>P99+R99</f>
        <v>0</v>
      </c>
      <c r="G99" s="257"/>
      <c r="H99" s="257"/>
      <c r="I99" s="70"/>
      <c r="J99" s="70"/>
      <c r="K99" s="70"/>
      <c r="L99" s="70"/>
      <c r="M99" s="70">
        <f t="shared" si="48"/>
        <v>0</v>
      </c>
      <c r="N99" s="70">
        <f t="shared" si="49"/>
        <v>0</v>
      </c>
      <c r="O99" s="70"/>
      <c r="P99" s="70"/>
      <c r="Q99" s="265"/>
      <c r="R99" s="70"/>
      <c r="S99" s="72"/>
      <c r="T99" s="252" t="e">
        <f t="shared" si="53"/>
        <v>#DIV/0!</v>
      </c>
      <c r="U99" s="73"/>
      <c r="V99" s="73"/>
      <c r="W99" s="73"/>
      <c r="X99" s="73"/>
      <c r="AA99" s="61">
        <f>H85</f>
        <v>15</v>
      </c>
      <c r="AB99" s="61" t="str">
        <f>E85</f>
        <v>CI2-QUU-019 W</v>
      </c>
      <c r="AC99" s="74" t="s">
        <v>433</v>
      </c>
      <c r="AD99" s="61" t="str">
        <f t="shared" si="50"/>
        <v>GNS</v>
      </c>
      <c r="AE99" s="61">
        <f t="shared" si="51"/>
        <v>0</v>
      </c>
      <c r="AF99" s="61">
        <f t="shared" si="52"/>
        <v>0</v>
      </c>
    </row>
    <row r="100" spans="1:32" s="65" customFormat="1" ht="12.75" hidden="1" customHeight="1">
      <c r="A100" s="52" t="s">
        <v>3</v>
      </c>
      <c r="B100" s="1"/>
      <c r="C100" s="257">
        <v>0</v>
      </c>
      <c r="D100" s="257">
        <v>0</v>
      </c>
      <c r="E100" s="69">
        <f>O100+Q100</f>
        <v>0</v>
      </c>
      <c r="F100" s="70">
        <f>P100+R100</f>
        <v>0</v>
      </c>
      <c r="G100" s="257">
        <f t="shared" ref="G100:G103" si="54">E100-C100</f>
        <v>0</v>
      </c>
      <c r="H100" s="257">
        <f t="shared" ref="H100:H103" si="55">F100-D100</f>
        <v>0</v>
      </c>
      <c r="I100" s="70"/>
      <c r="J100" s="70"/>
      <c r="K100" s="70"/>
      <c r="L100" s="70"/>
      <c r="M100" s="70">
        <f t="shared" si="48"/>
        <v>0</v>
      </c>
      <c r="N100" s="70">
        <f t="shared" si="49"/>
        <v>0</v>
      </c>
      <c r="O100" s="257"/>
      <c r="P100" s="257"/>
      <c r="Q100" s="70"/>
      <c r="R100" s="70"/>
      <c r="S100" s="72"/>
      <c r="T100" s="252" t="e">
        <f t="shared" si="53"/>
        <v>#DIV/0!</v>
      </c>
      <c r="U100" s="73"/>
      <c r="V100" s="73"/>
      <c r="W100" s="73"/>
      <c r="X100" s="73"/>
      <c r="AA100" s="61">
        <f>H85</f>
        <v>15</v>
      </c>
      <c r="AB100" s="61" t="str">
        <f>E85</f>
        <v>CI2-QUU-019 W</v>
      </c>
      <c r="AC100" s="74" t="s">
        <v>433</v>
      </c>
      <c r="AD100" s="61" t="str">
        <f t="shared" si="50"/>
        <v>SGP</v>
      </c>
      <c r="AE100" s="61">
        <f t="shared" si="51"/>
        <v>0</v>
      </c>
      <c r="AF100" s="61">
        <f t="shared" si="52"/>
        <v>0</v>
      </c>
    </row>
    <row r="101" spans="1:32" s="65" customFormat="1" ht="12.75" hidden="1" customHeight="1">
      <c r="A101" s="52" t="s">
        <v>436</v>
      </c>
      <c r="B101" s="1">
        <f>B80+7</f>
        <v>43202</v>
      </c>
      <c r="C101" s="257">
        <v>100</v>
      </c>
      <c r="D101" s="257">
        <v>1350</v>
      </c>
      <c r="E101" s="69">
        <f>O101+Q101</f>
        <v>94</v>
      </c>
      <c r="F101" s="70">
        <f>P101+R101</f>
        <v>1383</v>
      </c>
      <c r="G101" s="257">
        <f t="shared" si="54"/>
        <v>-6</v>
      </c>
      <c r="H101" s="257">
        <f t="shared" si="55"/>
        <v>33</v>
      </c>
      <c r="I101" s="70"/>
      <c r="J101" s="70"/>
      <c r="K101" s="70"/>
      <c r="L101" s="70"/>
      <c r="M101" s="70">
        <f t="shared" si="48"/>
        <v>0</v>
      </c>
      <c r="N101" s="70">
        <f t="shared" si="49"/>
        <v>0</v>
      </c>
      <c r="O101" s="70"/>
      <c r="P101" s="70"/>
      <c r="Q101" s="70">
        <v>94</v>
      </c>
      <c r="R101" s="70">
        <v>1383</v>
      </c>
      <c r="S101" s="72"/>
      <c r="T101" s="252">
        <f>E101/C101</f>
        <v>0.94</v>
      </c>
      <c r="U101" s="73"/>
      <c r="V101" s="73"/>
      <c r="W101" s="73"/>
      <c r="X101" s="73"/>
      <c r="AA101" s="61">
        <f>H85</f>
        <v>15</v>
      </c>
      <c r="AB101" s="61" t="str">
        <f>E85</f>
        <v>CI2-QUU-019 W</v>
      </c>
      <c r="AC101" s="74" t="s">
        <v>433</v>
      </c>
      <c r="AD101" s="61" t="str">
        <f t="shared" si="50"/>
        <v>PKG</v>
      </c>
      <c r="AE101" s="61">
        <f t="shared" si="51"/>
        <v>100</v>
      </c>
      <c r="AF101" s="61">
        <f t="shared" si="52"/>
        <v>94</v>
      </c>
    </row>
    <row r="102" spans="1:32" s="65" customFormat="1" ht="12.75" hidden="1" customHeight="1">
      <c r="A102" s="52" t="s">
        <v>31</v>
      </c>
      <c r="B102" s="257"/>
      <c r="C102" s="257">
        <v>50</v>
      </c>
      <c r="D102" s="257">
        <v>675</v>
      </c>
      <c r="E102" s="69">
        <f>O102+Q102</f>
        <v>0</v>
      </c>
      <c r="F102" s="70">
        <f>P102+R102</f>
        <v>0</v>
      </c>
      <c r="G102" s="257">
        <f t="shared" si="54"/>
        <v>-50</v>
      </c>
      <c r="H102" s="257">
        <f t="shared" si="55"/>
        <v>-675</v>
      </c>
      <c r="I102" s="70"/>
      <c r="J102" s="70"/>
      <c r="K102" s="70"/>
      <c r="L102" s="70"/>
      <c r="M102" s="70">
        <f t="shared" si="48"/>
        <v>0</v>
      </c>
      <c r="N102" s="70">
        <f t="shared" si="49"/>
        <v>0</v>
      </c>
      <c r="O102" s="71"/>
      <c r="P102" s="71"/>
      <c r="Q102" s="71">
        <v>0</v>
      </c>
      <c r="R102" s="71"/>
      <c r="S102" s="72"/>
      <c r="T102" s="73"/>
      <c r="U102" s="73"/>
      <c r="V102" s="73"/>
      <c r="W102" s="73"/>
      <c r="X102" s="73"/>
      <c r="AA102" s="61">
        <f>H85</f>
        <v>15</v>
      </c>
      <c r="AB102" s="61" t="str">
        <f>E85</f>
        <v>CI2-QUU-019 W</v>
      </c>
      <c r="AC102" s="74" t="s">
        <v>433</v>
      </c>
      <c r="AD102" s="61" t="str">
        <f t="shared" si="50"/>
        <v>COSCO T/S</v>
      </c>
      <c r="AE102" s="61">
        <f t="shared" si="51"/>
        <v>50</v>
      </c>
      <c r="AF102" s="61">
        <f t="shared" si="52"/>
        <v>0</v>
      </c>
    </row>
    <row r="103" spans="1:32" s="65" customFormat="1" ht="12.75" hidden="1" customHeight="1">
      <c r="A103" s="51" t="s">
        <v>36</v>
      </c>
      <c r="B103" s="72"/>
      <c r="C103" s="71">
        <f>SUM(C89:C102)</f>
        <v>700</v>
      </c>
      <c r="D103" s="71">
        <f>SUM(D89:D102)</f>
        <v>9450</v>
      </c>
      <c r="E103" s="78">
        <f>SUM(E89:E102)</f>
        <v>465</v>
      </c>
      <c r="F103" s="76">
        <f>SUM(F89:F102)</f>
        <v>5066</v>
      </c>
      <c r="G103" s="71">
        <f t="shared" si="54"/>
        <v>-235</v>
      </c>
      <c r="H103" s="71">
        <f t="shared" si="55"/>
        <v>-4384</v>
      </c>
      <c r="I103" s="70">
        <f t="shared" ref="I103:L103" si="56">SUM(I89:I102)</f>
        <v>0</v>
      </c>
      <c r="J103" s="70">
        <f t="shared" si="56"/>
        <v>0</v>
      </c>
      <c r="K103" s="70">
        <f t="shared" si="56"/>
        <v>25</v>
      </c>
      <c r="L103" s="70">
        <f t="shared" si="56"/>
        <v>309</v>
      </c>
      <c r="M103" s="70"/>
      <c r="N103" s="70"/>
      <c r="O103" s="70">
        <f t="shared" ref="O103:R103" si="57">SUM(O89:O102)</f>
        <v>362</v>
      </c>
      <c r="P103" s="70">
        <f t="shared" si="57"/>
        <v>3683</v>
      </c>
      <c r="Q103" s="70">
        <f t="shared" si="57"/>
        <v>103</v>
      </c>
      <c r="R103" s="70">
        <f t="shared" si="57"/>
        <v>2084</v>
      </c>
      <c r="S103" s="72"/>
      <c r="T103" s="73"/>
      <c r="U103" s="73"/>
      <c r="V103" s="73"/>
      <c r="W103" s="73"/>
      <c r="X103" s="73"/>
      <c r="AA103" s="61"/>
      <c r="AB103" s="61"/>
      <c r="AC103" s="61"/>
      <c r="AD103" s="61"/>
      <c r="AE103" s="61"/>
      <c r="AF103" s="61"/>
    </row>
    <row r="104" spans="1:32" s="65" customFormat="1" ht="12.75" hidden="1" customHeight="1">
      <c r="A104" s="84">
        <f>D103/C103</f>
        <v>13.5</v>
      </c>
      <c r="C104" s="253">
        <f>F103-E104</f>
        <v>-3439</v>
      </c>
      <c r="E104" s="65">
        <f>D103*0.9</f>
        <v>8505</v>
      </c>
      <c r="F104" s="253">
        <f>E103-L104</f>
        <v>-165</v>
      </c>
      <c r="I104" s="80" t="s">
        <v>48</v>
      </c>
      <c r="J104" s="245">
        <f>E103/C103</f>
        <v>0.66428571428571426</v>
      </c>
      <c r="K104" s="80"/>
      <c r="L104" s="80">
        <f>C103*0.9</f>
        <v>630</v>
      </c>
      <c r="M104" s="80"/>
      <c r="N104" s="80"/>
      <c r="O104" s="80" t="s">
        <v>49</v>
      </c>
      <c r="P104" s="80"/>
      <c r="Q104" s="65">
        <f>P90+P91+P93+P94+P95+J90+J91+L90+L91+J93+R93</f>
        <v>3730</v>
      </c>
      <c r="R104" s="65">
        <v>16856</v>
      </c>
      <c r="AA104" s="81"/>
      <c r="AB104" s="81"/>
      <c r="AC104" s="81"/>
      <c r="AD104" s="81"/>
      <c r="AE104" s="81"/>
      <c r="AF104" s="81"/>
    </row>
    <row r="105" spans="1:32" hidden="1"/>
    <row r="106" spans="1:32" s="63" customFormat="1" ht="12.75" customHeight="1">
      <c r="A106" s="59" t="s">
        <v>433</v>
      </c>
      <c r="B106" s="58" t="s">
        <v>546</v>
      </c>
      <c r="C106" s="56"/>
      <c r="D106" s="57"/>
      <c r="E106" s="58" t="s">
        <v>547</v>
      </c>
      <c r="F106" s="57"/>
      <c r="G106" s="59" t="s">
        <v>37</v>
      </c>
      <c r="H106" s="60">
        <f>H85+1</f>
        <v>16</v>
      </c>
      <c r="I106" s="57"/>
      <c r="J106" s="57"/>
      <c r="K106" s="57"/>
      <c r="L106" s="57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2"/>
      <c r="Z106" s="62"/>
      <c r="AA106" s="62"/>
      <c r="AB106" s="62"/>
      <c r="AC106" s="62"/>
    </row>
    <row r="107" spans="1:32" s="65" customFormat="1" ht="12.75" customHeight="1">
      <c r="A107" s="340" t="s">
        <v>0</v>
      </c>
      <c r="B107" s="336" t="s">
        <v>1</v>
      </c>
      <c r="C107" s="331" t="s">
        <v>25</v>
      </c>
      <c r="D107" s="332"/>
      <c r="E107" s="331" t="s">
        <v>21</v>
      </c>
      <c r="F107" s="332"/>
      <c r="G107" s="335" t="s">
        <v>24</v>
      </c>
      <c r="H107" s="335"/>
      <c r="I107" s="328" t="s">
        <v>33</v>
      </c>
      <c r="J107" s="329"/>
      <c r="K107" s="329"/>
      <c r="L107" s="329"/>
      <c r="M107" s="329"/>
      <c r="N107" s="330"/>
      <c r="O107" s="331" t="s">
        <v>22</v>
      </c>
      <c r="P107" s="332"/>
      <c r="Q107" s="335" t="s">
        <v>23</v>
      </c>
      <c r="R107" s="335"/>
      <c r="S107" s="336" t="s">
        <v>27</v>
      </c>
      <c r="T107" s="64"/>
      <c r="U107" s="64"/>
      <c r="V107" s="64"/>
      <c r="W107" s="64"/>
      <c r="X107" s="64"/>
      <c r="Y107" s="339"/>
      <c r="Z107" s="282"/>
      <c r="AA107" s="61"/>
      <c r="AB107" s="61"/>
      <c r="AC107" s="74"/>
      <c r="AD107" s="61"/>
      <c r="AE107" s="61"/>
      <c r="AF107" s="61"/>
    </row>
    <row r="108" spans="1:32" s="65" customFormat="1" ht="12.75" customHeight="1">
      <c r="A108" s="341"/>
      <c r="B108" s="337"/>
      <c r="C108" s="333"/>
      <c r="D108" s="334"/>
      <c r="E108" s="333"/>
      <c r="F108" s="334"/>
      <c r="G108" s="335"/>
      <c r="H108" s="335"/>
      <c r="I108" s="283" t="s">
        <v>28</v>
      </c>
      <c r="J108" s="284" t="s">
        <v>3</v>
      </c>
      <c r="K108" s="283" t="s">
        <v>29</v>
      </c>
      <c r="L108" s="284" t="s">
        <v>4</v>
      </c>
      <c r="M108" s="328" t="s">
        <v>30</v>
      </c>
      <c r="N108" s="330"/>
      <c r="O108" s="333"/>
      <c r="P108" s="334"/>
      <c r="Q108" s="335"/>
      <c r="R108" s="335"/>
      <c r="S108" s="337"/>
      <c r="T108" s="64"/>
      <c r="U108" s="64"/>
      <c r="V108" s="64"/>
      <c r="W108" s="64"/>
      <c r="X108" s="64"/>
      <c r="Y108" s="339"/>
      <c r="Z108" s="282"/>
      <c r="AA108" s="61"/>
      <c r="AB108" s="61"/>
      <c r="AC108" s="74"/>
      <c r="AD108" s="61"/>
      <c r="AE108" s="61"/>
      <c r="AF108" s="61"/>
    </row>
    <row r="109" spans="1:32" s="65" customFormat="1" ht="12.75" customHeight="1">
      <c r="A109" s="342"/>
      <c r="B109" s="338"/>
      <c r="C109" s="285" t="s">
        <v>5</v>
      </c>
      <c r="D109" s="285" t="s">
        <v>6</v>
      </c>
      <c r="E109" s="284" t="s">
        <v>5</v>
      </c>
      <c r="F109" s="285" t="s">
        <v>6</v>
      </c>
      <c r="G109" s="285" t="s">
        <v>5</v>
      </c>
      <c r="H109" s="285" t="s">
        <v>6</v>
      </c>
      <c r="I109" s="284" t="s">
        <v>5</v>
      </c>
      <c r="J109" s="285" t="s">
        <v>6</v>
      </c>
      <c r="K109" s="284" t="s">
        <v>5</v>
      </c>
      <c r="L109" s="285" t="s">
        <v>6</v>
      </c>
      <c r="M109" s="285"/>
      <c r="N109" s="285"/>
      <c r="O109" s="284" t="s">
        <v>5</v>
      </c>
      <c r="P109" s="285" t="s">
        <v>6</v>
      </c>
      <c r="Q109" s="285" t="s">
        <v>5</v>
      </c>
      <c r="R109" s="285" t="s">
        <v>6</v>
      </c>
      <c r="S109" s="338"/>
      <c r="T109" s="64"/>
      <c r="U109" s="64"/>
      <c r="V109" s="64"/>
      <c r="W109" s="64"/>
      <c r="X109" s="64"/>
      <c r="Y109" s="339"/>
      <c r="Z109" s="282"/>
      <c r="AA109" s="61" t="s">
        <v>43</v>
      </c>
      <c r="AB109" s="61" t="s">
        <v>45</v>
      </c>
      <c r="AC109" s="61" t="s">
        <v>46</v>
      </c>
      <c r="AD109" s="61" t="s">
        <v>42</v>
      </c>
      <c r="AE109" s="61" t="s">
        <v>41</v>
      </c>
      <c r="AF109" s="61" t="s">
        <v>44</v>
      </c>
    </row>
    <row r="110" spans="1:32" s="65" customFormat="1" ht="12.75" customHeight="1">
      <c r="A110" s="51" t="s">
        <v>7</v>
      </c>
      <c r="B110" s="285" t="s">
        <v>18</v>
      </c>
      <c r="C110" s="285">
        <v>0</v>
      </c>
      <c r="D110" s="285">
        <v>0</v>
      </c>
      <c r="E110" s="69">
        <f t="shared" ref="E110:E118" si="58">O110+Q110</f>
        <v>0</v>
      </c>
      <c r="F110" s="70">
        <f t="shared" ref="F110:F118" si="59">P110+R110</f>
        <v>0</v>
      </c>
      <c r="G110" s="285">
        <f t="shared" ref="G110:G119" si="60">E110-C110</f>
        <v>0</v>
      </c>
      <c r="H110" s="285">
        <f t="shared" ref="H110:H119" si="61">F110-D110</f>
        <v>0</v>
      </c>
      <c r="I110" s="70"/>
      <c r="J110" s="70"/>
      <c r="K110" s="70"/>
      <c r="L110" s="70"/>
      <c r="M110" s="70">
        <f t="shared" ref="M110:M123" si="62">I110+K110</f>
        <v>0</v>
      </c>
      <c r="N110" s="70">
        <f t="shared" ref="N110:N123" si="63">J110+L110</f>
        <v>0</v>
      </c>
      <c r="O110" s="71"/>
      <c r="P110" s="71"/>
      <c r="Q110" s="70"/>
      <c r="R110" s="70"/>
      <c r="S110" s="72"/>
      <c r="T110" s="252" t="e">
        <f>E110/C110</f>
        <v>#DIV/0!</v>
      </c>
      <c r="U110" s="73"/>
      <c r="V110" s="73"/>
      <c r="W110" s="73"/>
      <c r="X110" s="73"/>
      <c r="Y110" s="339"/>
      <c r="Z110" s="282"/>
      <c r="AA110" s="61">
        <f>H106</f>
        <v>16</v>
      </c>
      <c r="AB110" s="61" t="str">
        <f>E106</f>
        <v>CI2-QCG-036 W</v>
      </c>
      <c r="AC110" s="74" t="s">
        <v>433</v>
      </c>
      <c r="AD110" s="61" t="str">
        <f t="shared" ref="AD110:AD123" si="64">A110</f>
        <v>KR</v>
      </c>
      <c r="AE110" s="61">
        <f t="shared" ref="AE110:AE123" si="65">C110</f>
        <v>0</v>
      </c>
      <c r="AF110" s="61">
        <f t="shared" ref="AF110:AF123" si="66">E110</f>
        <v>0</v>
      </c>
    </row>
    <row r="111" spans="1:32" s="65" customFormat="1" ht="12.75" customHeight="1">
      <c r="A111" s="52" t="s">
        <v>13</v>
      </c>
      <c r="B111" s="1">
        <f>B90+7</f>
        <v>43196</v>
      </c>
      <c r="C111" s="285">
        <v>250</v>
      </c>
      <c r="D111" s="285">
        <v>3375</v>
      </c>
      <c r="E111" s="69">
        <f t="shared" si="58"/>
        <v>218</v>
      </c>
      <c r="F111" s="70">
        <f t="shared" si="59"/>
        <v>3167</v>
      </c>
      <c r="G111" s="285">
        <f t="shared" si="60"/>
        <v>-32</v>
      </c>
      <c r="H111" s="285">
        <f t="shared" si="61"/>
        <v>-208</v>
      </c>
      <c r="I111" s="75"/>
      <c r="J111" s="75"/>
      <c r="K111" s="70"/>
      <c r="L111" s="70"/>
      <c r="M111" s="70">
        <f t="shared" si="62"/>
        <v>0</v>
      </c>
      <c r="N111" s="70">
        <f t="shared" si="63"/>
        <v>0</v>
      </c>
      <c r="O111" s="75">
        <v>218</v>
      </c>
      <c r="P111" s="75">
        <v>3167</v>
      </c>
      <c r="Q111" s="71"/>
      <c r="R111" s="71"/>
      <c r="S111" s="72"/>
      <c r="T111" s="252">
        <f t="shared" ref="T111:T121" si="67">E111/C111</f>
        <v>0.872</v>
      </c>
      <c r="U111" s="73"/>
      <c r="V111" s="73"/>
      <c r="W111" s="73"/>
      <c r="X111" s="73"/>
      <c r="AA111" s="61">
        <f>H106</f>
        <v>16</v>
      </c>
      <c r="AB111" s="61" t="str">
        <f>E106</f>
        <v>CI2-QCG-036 W</v>
      </c>
      <c r="AC111" s="74" t="s">
        <v>433</v>
      </c>
      <c r="AD111" s="61" t="str">
        <f t="shared" si="64"/>
        <v>TAO</v>
      </c>
      <c r="AE111" s="61">
        <f t="shared" si="65"/>
        <v>250</v>
      </c>
      <c r="AF111" s="61">
        <f t="shared" si="66"/>
        <v>218</v>
      </c>
    </row>
    <row r="112" spans="1:32" s="65" customFormat="1" ht="12.75" customHeight="1">
      <c r="A112" s="52" t="s">
        <v>9</v>
      </c>
      <c r="B112" s="1">
        <f>B91+7</f>
        <v>43199</v>
      </c>
      <c r="C112" s="285">
        <v>250</v>
      </c>
      <c r="D112" s="285">
        <v>3375</v>
      </c>
      <c r="E112" s="69">
        <f t="shared" si="58"/>
        <v>285</v>
      </c>
      <c r="F112" s="70">
        <f t="shared" si="59"/>
        <v>3269</v>
      </c>
      <c r="G112" s="285">
        <f t="shared" si="60"/>
        <v>35</v>
      </c>
      <c r="H112" s="285">
        <f t="shared" si="61"/>
        <v>-106</v>
      </c>
      <c r="I112" s="75"/>
      <c r="J112" s="75"/>
      <c r="K112" s="71">
        <v>20</v>
      </c>
      <c r="L112" s="71">
        <v>394</v>
      </c>
      <c r="M112" s="70">
        <f t="shared" si="62"/>
        <v>20</v>
      </c>
      <c r="N112" s="70">
        <f t="shared" si="63"/>
        <v>394</v>
      </c>
      <c r="O112" s="75">
        <v>285</v>
      </c>
      <c r="P112" s="75">
        <v>3269</v>
      </c>
      <c r="Q112" s="71"/>
      <c r="R112" s="71"/>
      <c r="S112" s="72"/>
      <c r="T112" s="252">
        <f t="shared" si="67"/>
        <v>1.1399999999999999</v>
      </c>
      <c r="U112" s="73"/>
      <c r="V112" s="73"/>
      <c r="W112" s="73"/>
      <c r="X112" s="73"/>
      <c r="AA112" s="61">
        <f>H106</f>
        <v>16</v>
      </c>
      <c r="AB112" s="61" t="str">
        <f>E106</f>
        <v>CI2-QCG-036 W</v>
      </c>
      <c r="AC112" s="74" t="s">
        <v>433</v>
      </c>
      <c r="AD112" s="61" t="str">
        <f t="shared" si="64"/>
        <v>SHA</v>
      </c>
      <c r="AE112" s="61">
        <f t="shared" si="65"/>
        <v>250</v>
      </c>
      <c r="AF112" s="61">
        <f t="shared" si="66"/>
        <v>285</v>
      </c>
    </row>
    <row r="113" spans="1:32" s="65" customFormat="1" ht="12.75" customHeight="1">
      <c r="A113" s="52" t="s">
        <v>8</v>
      </c>
      <c r="B113" s="1">
        <f>B92+7</f>
        <v>43200</v>
      </c>
      <c r="C113" s="285">
        <v>100</v>
      </c>
      <c r="D113" s="285">
        <v>1350</v>
      </c>
      <c r="E113" s="69">
        <f t="shared" si="58"/>
        <v>119</v>
      </c>
      <c r="F113" s="70">
        <f t="shared" si="59"/>
        <v>1298</v>
      </c>
      <c r="G113" s="285">
        <f t="shared" si="60"/>
        <v>19</v>
      </c>
      <c r="H113" s="285">
        <f t="shared" si="61"/>
        <v>-52</v>
      </c>
      <c r="I113" s="71"/>
      <c r="J113" s="71"/>
      <c r="K113" s="71">
        <v>40</v>
      </c>
      <c r="L113" s="71">
        <v>432</v>
      </c>
      <c r="M113" s="70">
        <f t="shared" si="62"/>
        <v>40</v>
      </c>
      <c r="N113" s="70">
        <f t="shared" si="63"/>
        <v>432</v>
      </c>
      <c r="O113" s="71"/>
      <c r="P113" s="71"/>
      <c r="Q113" s="71">
        <v>119</v>
      </c>
      <c r="R113" s="71">
        <v>1298</v>
      </c>
      <c r="S113" s="72"/>
      <c r="T113" s="252">
        <f t="shared" si="67"/>
        <v>1.19</v>
      </c>
      <c r="U113" s="73"/>
      <c r="V113" s="73"/>
      <c r="W113" s="73"/>
      <c r="X113" s="73"/>
      <c r="AA113" s="61">
        <f>H106</f>
        <v>16</v>
      </c>
      <c r="AB113" s="61" t="str">
        <f>E106</f>
        <v>CI2-QCG-036 W</v>
      </c>
      <c r="AC113" s="74" t="s">
        <v>433</v>
      </c>
      <c r="AD113" s="61" t="str">
        <f t="shared" si="64"/>
        <v>NGB</v>
      </c>
      <c r="AE113" s="61">
        <f t="shared" si="65"/>
        <v>100</v>
      </c>
      <c r="AF113" s="61">
        <f t="shared" si="66"/>
        <v>119</v>
      </c>
    </row>
    <row r="114" spans="1:32" s="65" customFormat="1" ht="12.75" customHeight="1">
      <c r="A114" s="52" t="s">
        <v>10</v>
      </c>
      <c r="B114" s="1" t="s">
        <v>18</v>
      </c>
      <c r="C114" s="285"/>
      <c r="D114" s="285"/>
      <c r="E114" s="69">
        <f t="shared" si="58"/>
        <v>0</v>
      </c>
      <c r="F114" s="70">
        <f t="shared" si="59"/>
        <v>0</v>
      </c>
      <c r="G114" s="285">
        <f t="shared" si="60"/>
        <v>0</v>
      </c>
      <c r="H114" s="285">
        <f t="shared" si="61"/>
        <v>0</v>
      </c>
      <c r="I114" s="75"/>
      <c r="J114" s="75"/>
      <c r="K114" s="70"/>
      <c r="L114" s="70"/>
      <c r="M114" s="70">
        <f t="shared" si="62"/>
        <v>0</v>
      </c>
      <c r="N114" s="70">
        <f t="shared" si="63"/>
        <v>0</v>
      </c>
      <c r="O114" s="75"/>
      <c r="P114" s="75"/>
      <c r="Q114" s="70"/>
      <c r="R114" s="70"/>
      <c r="S114" s="72"/>
      <c r="T114" s="252" t="e">
        <f t="shared" si="67"/>
        <v>#DIV/0!</v>
      </c>
      <c r="U114" s="73"/>
      <c r="V114" s="73"/>
      <c r="W114" s="73"/>
      <c r="X114" s="73"/>
      <c r="AA114" s="61">
        <f>H106</f>
        <v>16</v>
      </c>
      <c r="AB114" s="61" t="str">
        <f>E106</f>
        <v>CI2-QCG-036 W</v>
      </c>
      <c r="AC114" s="74" t="s">
        <v>433</v>
      </c>
      <c r="AD114" s="61" t="str">
        <f t="shared" si="64"/>
        <v>WUH</v>
      </c>
      <c r="AE114" s="61">
        <f t="shared" si="65"/>
        <v>0</v>
      </c>
      <c r="AF114" s="61">
        <f t="shared" si="66"/>
        <v>0</v>
      </c>
    </row>
    <row r="115" spans="1:32" s="65" customFormat="1" ht="12.75" customHeight="1">
      <c r="A115" s="52" t="s">
        <v>11</v>
      </c>
      <c r="B115" s="1" t="s">
        <v>18</v>
      </c>
      <c r="C115" s="285"/>
      <c r="D115" s="285"/>
      <c r="E115" s="69">
        <f t="shared" si="58"/>
        <v>0</v>
      </c>
      <c r="F115" s="70">
        <f t="shared" si="59"/>
        <v>0</v>
      </c>
      <c r="G115" s="285">
        <f t="shared" si="60"/>
        <v>0</v>
      </c>
      <c r="H115" s="285">
        <f t="shared" si="61"/>
        <v>0</v>
      </c>
      <c r="I115" s="70"/>
      <c r="J115" s="70"/>
      <c r="K115" s="70"/>
      <c r="L115" s="70"/>
      <c r="M115" s="70">
        <f t="shared" si="62"/>
        <v>0</v>
      </c>
      <c r="N115" s="70">
        <f t="shared" si="63"/>
        <v>0</v>
      </c>
      <c r="O115" s="75"/>
      <c r="P115" s="75"/>
      <c r="Q115" s="70"/>
      <c r="R115" s="70"/>
      <c r="S115" s="72"/>
      <c r="T115" s="252" t="e">
        <f t="shared" si="67"/>
        <v>#DIV/0!</v>
      </c>
      <c r="U115" s="73"/>
      <c r="V115" s="73"/>
      <c r="W115" s="73"/>
      <c r="X115" s="73"/>
      <c r="AA115" s="61">
        <f>H106</f>
        <v>16</v>
      </c>
      <c r="AB115" s="61" t="str">
        <f>E106</f>
        <v>CI2-QCG-036 W</v>
      </c>
      <c r="AC115" s="74" t="s">
        <v>433</v>
      </c>
      <c r="AD115" s="61" t="str">
        <f t="shared" si="64"/>
        <v>DLC</v>
      </c>
      <c r="AE115" s="61">
        <f t="shared" si="65"/>
        <v>0</v>
      </c>
      <c r="AF115" s="61">
        <f t="shared" si="66"/>
        <v>0</v>
      </c>
    </row>
    <row r="116" spans="1:32" s="65" customFormat="1" ht="12.75" customHeight="1">
      <c r="A116" s="52" t="s">
        <v>12</v>
      </c>
      <c r="B116" s="1" t="s">
        <v>18</v>
      </c>
      <c r="C116" s="285"/>
      <c r="D116" s="285"/>
      <c r="E116" s="69">
        <f t="shared" si="58"/>
        <v>61</v>
      </c>
      <c r="F116" s="70">
        <f t="shared" si="59"/>
        <v>1608</v>
      </c>
      <c r="G116" s="285">
        <f t="shared" si="60"/>
        <v>61</v>
      </c>
      <c r="H116" s="285">
        <f t="shared" si="61"/>
        <v>1608</v>
      </c>
      <c r="I116" s="70"/>
      <c r="J116" s="70"/>
      <c r="K116" s="70"/>
      <c r="L116" s="70"/>
      <c r="M116" s="70">
        <f t="shared" si="62"/>
        <v>0</v>
      </c>
      <c r="N116" s="70">
        <f t="shared" si="63"/>
        <v>0</v>
      </c>
      <c r="O116" s="75">
        <v>61</v>
      </c>
      <c r="P116" s="75">
        <v>1608</v>
      </c>
      <c r="Q116" s="76"/>
      <c r="R116" s="71"/>
      <c r="S116" s="72"/>
      <c r="T116" s="252" t="e">
        <f t="shared" si="67"/>
        <v>#DIV/0!</v>
      </c>
      <c r="U116" s="73"/>
      <c r="V116" s="73"/>
      <c r="W116" s="73"/>
      <c r="X116" s="73"/>
      <c r="AA116" s="61">
        <f>H106</f>
        <v>16</v>
      </c>
      <c r="AB116" s="61" t="str">
        <f>E106</f>
        <v>CI2-QCG-036 W</v>
      </c>
      <c r="AC116" s="74" t="s">
        <v>433</v>
      </c>
      <c r="AD116" s="61" t="str">
        <f t="shared" si="64"/>
        <v>TSN</v>
      </c>
      <c r="AE116" s="61">
        <f t="shared" si="65"/>
        <v>0</v>
      </c>
      <c r="AF116" s="61">
        <f t="shared" si="66"/>
        <v>61</v>
      </c>
    </row>
    <row r="117" spans="1:32" s="65" customFormat="1" ht="12.75" customHeight="1">
      <c r="A117" s="52" t="s">
        <v>14</v>
      </c>
      <c r="B117" s="1" t="s">
        <v>18</v>
      </c>
      <c r="C117" s="285"/>
      <c r="D117" s="285"/>
      <c r="E117" s="69">
        <f t="shared" si="58"/>
        <v>0</v>
      </c>
      <c r="F117" s="70">
        <f t="shared" si="59"/>
        <v>0</v>
      </c>
      <c r="G117" s="285">
        <f t="shared" si="60"/>
        <v>0</v>
      </c>
      <c r="H117" s="285">
        <f t="shared" si="61"/>
        <v>0</v>
      </c>
      <c r="I117" s="70"/>
      <c r="J117" s="70"/>
      <c r="K117" s="70"/>
      <c r="L117" s="70"/>
      <c r="M117" s="70">
        <f t="shared" si="62"/>
        <v>0</v>
      </c>
      <c r="N117" s="70">
        <f t="shared" si="63"/>
        <v>0</v>
      </c>
      <c r="O117" s="71"/>
      <c r="P117" s="71"/>
      <c r="Q117" s="70"/>
      <c r="R117" s="70"/>
      <c r="S117" s="72"/>
      <c r="T117" s="252" t="e">
        <f t="shared" si="67"/>
        <v>#DIV/0!</v>
      </c>
      <c r="U117" s="73"/>
      <c r="V117" s="73"/>
      <c r="W117" s="73"/>
      <c r="X117" s="73"/>
      <c r="AA117" s="61">
        <f>H106</f>
        <v>16</v>
      </c>
      <c r="AB117" s="61" t="str">
        <f>E106</f>
        <v>CI2-QCG-036 W</v>
      </c>
      <c r="AC117" s="74" t="s">
        <v>433</v>
      </c>
      <c r="AD117" s="61" t="str">
        <f t="shared" si="64"/>
        <v>XMN</v>
      </c>
      <c r="AE117" s="61">
        <f t="shared" si="65"/>
        <v>0</v>
      </c>
      <c r="AF117" s="61">
        <f t="shared" si="66"/>
        <v>0</v>
      </c>
    </row>
    <row r="118" spans="1:32" s="65" customFormat="1" ht="12.75" customHeight="1">
      <c r="A118" s="52" t="s">
        <v>19</v>
      </c>
      <c r="B118" s="1" t="s">
        <v>18</v>
      </c>
      <c r="C118" s="285"/>
      <c r="D118" s="285"/>
      <c r="E118" s="69">
        <f t="shared" si="58"/>
        <v>0</v>
      </c>
      <c r="F118" s="70">
        <f t="shared" si="59"/>
        <v>0</v>
      </c>
      <c r="G118" s="285">
        <f t="shared" si="60"/>
        <v>0</v>
      </c>
      <c r="H118" s="285">
        <f t="shared" si="61"/>
        <v>0</v>
      </c>
      <c r="I118" s="70"/>
      <c r="J118" s="70"/>
      <c r="K118" s="70"/>
      <c r="L118" s="70"/>
      <c r="M118" s="70">
        <f t="shared" si="62"/>
        <v>0</v>
      </c>
      <c r="N118" s="70">
        <f t="shared" si="63"/>
        <v>0</v>
      </c>
      <c r="O118" s="70"/>
      <c r="P118" s="70"/>
      <c r="Q118" s="70"/>
      <c r="R118" s="70"/>
      <c r="S118" s="72"/>
      <c r="T118" s="252" t="e">
        <f t="shared" si="67"/>
        <v>#DIV/0!</v>
      </c>
      <c r="U118" s="73"/>
      <c r="V118" s="73"/>
      <c r="W118" s="73"/>
      <c r="X118" s="73"/>
      <c r="AA118" s="61">
        <f>H106</f>
        <v>16</v>
      </c>
      <c r="AB118" s="61" t="str">
        <f>E106</f>
        <v>CI2-QCG-036 W</v>
      </c>
      <c r="AC118" s="74" t="s">
        <v>433</v>
      </c>
      <c r="AD118" s="61" t="str">
        <f t="shared" si="64"/>
        <v>TWC</v>
      </c>
      <c r="AE118" s="61">
        <f t="shared" si="65"/>
        <v>0</v>
      </c>
      <c r="AF118" s="61">
        <f t="shared" si="66"/>
        <v>0</v>
      </c>
    </row>
    <row r="119" spans="1:32" s="65" customFormat="1" ht="12.75" customHeight="1">
      <c r="A119" s="52" t="s">
        <v>16</v>
      </c>
      <c r="B119" s="1">
        <f>B98+7</f>
        <v>43204</v>
      </c>
      <c r="C119" s="285">
        <v>100</v>
      </c>
      <c r="D119" s="285">
        <v>1350</v>
      </c>
      <c r="E119" s="69">
        <f>O119+Q119</f>
        <v>0</v>
      </c>
      <c r="F119" s="70">
        <f>P119+R118</f>
        <v>0</v>
      </c>
      <c r="G119" s="285">
        <f t="shared" si="60"/>
        <v>-100</v>
      </c>
      <c r="H119" s="285">
        <f t="shared" si="61"/>
        <v>-1350</v>
      </c>
      <c r="I119" s="70"/>
      <c r="J119" s="70"/>
      <c r="K119" s="70"/>
      <c r="L119" s="70"/>
      <c r="M119" s="70">
        <f t="shared" si="62"/>
        <v>0</v>
      </c>
      <c r="N119" s="70">
        <f t="shared" si="63"/>
        <v>0</v>
      </c>
      <c r="O119" s="70"/>
      <c r="P119" s="70"/>
      <c r="Q119" s="70"/>
      <c r="R119" s="84"/>
      <c r="S119" s="77" t="s">
        <v>635</v>
      </c>
      <c r="T119" s="252">
        <f t="shared" si="67"/>
        <v>0</v>
      </c>
      <c r="U119" s="73"/>
      <c r="V119" s="73"/>
      <c r="W119" s="73"/>
      <c r="X119" s="73"/>
      <c r="AA119" s="61">
        <f>H106</f>
        <v>16</v>
      </c>
      <c r="AB119" s="61" t="str">
        <f>E106</f>
        <v>CI2-QCG-036 W</v>
      </c>
      <c r="AC119" s="74" t="s">
        <v>433</v>
      </c>
      <c r="AD119" s="61" t="str">
        <f t="shared" si="64"/>
        <v>HUA</v>
      </c>
      <c r="AE119" s="61">
        <f t="shared" si="65"/>
        <v>100</v>
      </c>
      <c r="AF119" s="61">
        <f t="shared" si="66"/>
        <v>0</v>
      </c>
    </row>
    <row r="120" spans="1:32" s="65" customFormat="1" ht="12.75" customHeight="1">
      <c r="A120" s="52" t="s">
        <v>68</v>
      </c>
      <c r="B120" s="1" t="s">
        <v>18</v>
      </c>
      <c r="C120" s="285"/>
      <c r="D120" s="285"/>
      <c r="E120" s="69">
        <f>O120+Q120</f>
        <v>0</v>
      </c>
      <c r="F120" s="70">
        <f>P120+R120</f>
        <v>0</v>
      </c>
      <c r="G120" s="285"/>
      <c r="H120" s="285"/>
      <c r="I120" s="70"/>
      <c r="J120" s="70"/>
      <c r="K120" s="70"/>
      <c r="L120" s="70"/>
      <c r="M120" s="70">
        <f t="shared" si="62"/>
        <v>0</v>
      </c>
      <c r="N120" s="70">
        <f t="shared" si="63"/>
        <v>0</v>
      </c>
      <c r="O120" s="70"/>
      <c r="P120" s="70"/>
      <c r="Q120" s="265"/>
      <c r="R120" s="70"/>
      <c r="S120" s="72"/>
      <c r="T120" s="252" t="e">
        <f t="shared" si="67"/>
        <v>#DIV/0!</v>
      </c>
      <c r="U120" s="73"/>
      <c r="V120" s="73"/>
      <c r="W120" s="73"/>
      <c r="X120" s="73"/>
      <c r="AA120" s="61">
        <f>H106</f>
        <v>16</v>
      </c>
      <c r="AB120" s="61" t="str">
        <f>E106</f>
        <v>CI2-QCG-036 W</v>
      </c>
      <c r="AC120" s="74" t="s">
        <v>433</v>
      </c>
      <c r="AD120" s="61" t="str">
        <f t="shared" si="64"/>
        <v>GNS</v>
      </c>
      <c r="AE120" s="61">
        <f t="shared" si="65"/>
        <v>0</v>
      </c>
      <c r="AF120" s="61">
        <f t="shared" si="66"/>
        <v>0</v>
      </c>
    </row>
    <row r="121" spans="1:32" s="65" customFormat="1" ht="12.75" customHeight="1">
      <c r="A121" s="52" t="s">
        <v>3</v>
      </c>
      <c r="B121" s="1"/>
      <c r="C121" s="285">
        <v>0</v>
      </c>
      <c r="D121" s="285">
        <v>0</v>
      </c>
      <c r="E121" s="69">
        <f>O121+Q121</f>
        <v>0</v>
      </c>
      <c r="F121" s="70">
        <f>P121+R121</f>
        <v>0</v>
      </c>
      <c r="G121" s="285">
        <f t="shared" ref="G121:G124" si="68">E121-C121</f>
        <v>0</v>
      </c>
      <c r="H121" s="285">
        <f t="shared" ref="H121:H124" si="69">F121-D121</f>
        <v>0</v>
      </c>
      <c r="I121" s="70"/>
      <c r="J121" s="70"/>
      <c r="K121" s="70"/>
      <c r="L121" s="70"/>
      <c r="M121" s="70">
        <f t="shared" si="62"/>
        <v>0</v>
      </c>
      <c r="N121" s="70">
        <f t="shared" si="63"/>
        <v>0</v>
      </c>
      <c r="O121" s="285"/>
      <c r="P121" s="285"/>
      <c r="Q121" s="70"/>
      <c r="R121" s="70"/>
      <c r="S121" s="72"/>
      <c r="T121" s="252" t="e">
        <f t="shared" si="67"/>
        <v>#DIV/0!</v>
      </c>
      <c r="U121" s="73"/>
      <c r="V121" s="73"/>
      <c r="W121" s="73"/>
      <c r="X121" s="73"/>
      <c r="AA121" s="61">
        <f>H106</f>
        <v>16</v>
      </c>
      <c r="AB121" s="61" t="str">
        <f>E106</f>
        <v>CI2-QCG-036 W</v>
      </c>
      <c r="AC121" s="74" t="s">
        <v>433</v>
      </c>
      <c r="AD121" s="61" t="str">
        <f t="shared" si="64"/>
        <v>SGP</v>
      </c>
      <c r="AE121" s="61">
        <f t="shared" si="65"/>
        <v>0</v>
      </c>
      <c r="AF121" s="61">
        <f t="shared" si="66"/>
        <v>0</v>
      </c>
    </row>
    <row r="122" spans="1:32" s="65" customFormat="1" ht="12.75" customHeight="1">
      <c r="A122" s="52" t="s">
        <v>436</v>
      </c>
      <c r="B122" s="1">
        <f>B101+7</f>
        <v>43209</v>
      </c>
      <c r="C122" s="285">
        <v>100</v>
      </c>
      <c r="D122" s="285">
        <v>1350</v>
      </c>
      <c r="E122" s="69">
        <f>O122+Q122</f>
        <v>100</v>
      </c>
      <c r="F122" s="70">
        <f>P122+R122</f>
        <v>1350</v>
      </c>
      <c r="G122" s="285">
        <f t="shared" si="68"/>
        <v>0</v>
      </c>
      <c r="H122" s="285">
        <f t="shared" si="69"/>
        <v>0</v>
      </c>
      <c r="I122" s="70"/>
      <c r="J122" s="70"/>
      <c r="K122" s="70"/>
      <c r="L122" s="70"/>
      <c r="M122" s="70">
        <f t="shared" si="62"/>
        <v>0</v>
      </c>
      <c r="N122" s="70">
        <f t="shared" si="63"/>
        <v>0</v>
      </c>
      <c r="O122" s="70"/>
      <c r="P122" s="70"/>
      <c r="Q122" s="70">
        <v>100</v>
      </c>
      <c r="R122" s="70">
        <v>1350</v>
      </c>
      <c r="S122" s="72"/>
      <c r="T122" s="252">
        <f>E122/C122</f>
        <v>1</v>
      </c>
      <c r="U122" s="73"/>
      <c r="V122" s="73"/>
      <c r="W122" s="73"/>
      <c r="X122" s="73"/>
      <c r="AA122" s="61">
        <f>H106</f>
        <v>16</v>
      </c>
      <c r="AB122" s="61" t="str">
        <f>E106</f>
        <v>CI2-QCG-036 W</v>
      </c>
      <c r="AC122" s="74" t="s">
        <v>433</v>
      </c>
      <c r="AD122" s="61" t="str">
        <f t="shared" si="64"/>
        <v>PKG</v>
      </c>
      <c r="AE122" s="61">
        <f t="shared" si="65"/>
        <v>100</v>
      </c>
      <c r="AF122" s="61">
        <f t="shared" si="66"/>
        <v>100</v>
      </c>
    </row>
    <row r="123" spans="1:32" s="65" customFormat="1" ht="12.75" customHeight="1">
      <c r="A123" s="52" t="s">
        <v>31</v>
      </c>
      <c r="B123" s="285"/>
      <c r="C123" s="285">
        <v>100</v>
      </c>
      <c r="D123" s="285">
        <v>1350</v>
      </c>
      <c r="E123" s="69">
        <f>O123+Q123</f>
        <v>0</v>
      </c>
      <c r="F123" s="70">
        <f>P123+R123</f>
        <v>0</v>
      </c>
      <c r="G123" s="285">
        <f t="shared" si="68"/>
        <v>-100</v>
      </c>
      <c r="H123" s="285">
        <f t="shared" si="69"/>
        <v>-1350</v>
      </c>
      <c r="I123" s="70"/>
      <c r="J123" s="70"/>
      <c r="K123" s="70"/>
      <c r="L123" s="70"/>
      <c r="M123" s="70">
        <f t="shared" si="62"/>
        <v>0</v>
      </c>
      <c r="N123" s="70">
        <f t="shared" si="63"/>
        <v>0</v>
      </c>
      <c r="O123" s="71"/>
      <c r="P123" s="71"/>
      <c r="Q123" s="71"/>
      <c r="R123" s="71"/>
      <c r="S123" s="72"/>
      <c r="T123" s="73">
        <f>E123/C123</f>
        <v>0</v>
      </c>
      <c r="U123" s="73"/>
      <c r="V123" s="73"/>
      <c r="W123" s="73"/>
      <c r="X123" s="73"/>
      <c r="AA123" s="61">
        <f>H106</f>
        <v>16</v>
      </c>
      <c r="AB123" s="61" t="str">
        <f>E106</f>
        <v>CI2-QCG-036 W</v>
      </c>
      <c r="AC123" s="74" t="s">
        <v>433</v>
      </c>
      <c r="AD123" s="61" t="str">
        <f t="shared" si="64"/>
        <v>COSCO T/S</v>
      </c>
      <c r="AE123" s="61">
        <f t="shared" si="65"/>
        <v>100</v>
      </c>
      <c r="AF123" s="61">
        <f t="shared" si="66"/>
        <v>0</v>
      </c>
    </row>
    <row r="124" spans="1:32" s="65" customFormat="1" ht="12.75" customHeight="1">
      <c r="A124" s="51" t="s">
        <v>36</v>
      </c>
      <c r="B124" s="72"/>
      <c r="C124" s="71">
        <v>900</v>
      </c>
      <c r="D124" s="71">
        <f>SUM(D110:D123)</f>
        <v>12150</v>
      </c>
      <c r="E124" s="78">
        <f>SUM(E110:E123)</f>
        <v>783</v>
      </c>
      <c r="F124" s="76">
        <f>SUM(F110:F123)</f>
        <v>10692</v>
      </c>
      <c r="G124" s="71">
        <f t="shared" si="68"/>
        <v>-117</v>
      </c>
      <c r="H124" s="71">
        <f t="shared" si="69"/>
        <v>-1458</v>
      </c>
      <c r="I124" s="70">
        <f t="shared" ref="I124:L124" si="70">SUM(I110:I123)</f>
        <v>0</v>
      </c>
      <c r="J124" s="70">
        <f t="shared" si="70"/>
        <v>0</v>
      </c>
      <c r="K124" s="70">
        <f t="shared" si="70"/>
        <v>60</v>
      </c>
      <c r="L124" s="70">
        <f t="shared" si="70"/>
        <v>826</v>
      </c>
      <c r="M124" s="70"/>
      <c r="N124" s="70"/>
      <c r="O124" s="70">
        <f t="shared" ref="O124:R124" si="71">SUM(O110:O123)</f>
        <v>564</v>
      </c>
      <c r="P124" s="70">
        <f t="shared" si="71"/>
        <v>8044</v>
      </c>
      <c r="Q124" s="70">
        <f t="shared" si="71"/>
        <v>219</v>
      </c>
      <c r="R124" s="70">
        <f t="shared" si="71"/>
        <v>2648</v>
      </c>
      <c r="S124" s="72"/>
      <c r="T124" s="73"/>
      <c r="U124" s="73"/>
      <c r="V124" s="73"/>
      <c r="W124" s="73"/>
      <c r="X124" s="73"/>
      <c r="AA124" s="61"/>
      <c r="AB124" s="61"/>
      <c r="AC124" s="61"/>
      <c r="AD124" s="61"/>
      <c r="AE124" s="61"/>
      <c r="AF124" s="61"/>
    </row>
    <row r="125" spans="1:32" s="65" customFormat="1" ht="12.75" customHeight="1">
      <c r="A125" s="84">
        <f>D124/C124</f>
        <v>13.5</v>
      </c>
      <c r="C125" s="281">
        <f>F124-E125</f>
        <v>-243</v>
      </c>
      <c r="E125" s="65">
        <f>D124*0.9</f>
        <v>10935</v>
      </c>
      <c r="F125" s="281">
        <f>E124-L125</f>
        <v>-27</v>
      </c>
      <c r="I125" s="80" t="s">
        <v>48</v>
      </c>
      <c r="J125" s="245">
        <f>E124/C124</f>
        <v>0.87</v>
      </c>
      <c r="K125" s="80"/>
      <c r="L125" s="80">
        <f>C124*0.9</f>
        <v>810</v>
      </c>
      <c r="M125" s="80"/>
      <c r="N125" s="80"/>
      <c r="O125" s="80" t="s">
        <v>49</v>
      </c>
      <c r="P125" s="80"/>
      <c r="Q125" s="65">
        <f>P111+P112+P114+P115+P116+J111+J112+L111+L112+J114+R114</f>
        <v>8438</v>
      </c>
      <c r="R125" s="65">
        <v>16856</v>
      </c>
      <c r="AA125" s="81"/>
      <c r="AB125" s="81"/>
      <c r="AC125" s="81"/>
      <c r="AD125" s="81"/>
      <c r="AE125" s="81"/>
      <c r="AF125" s="81"/>
    </row>
    <row r="127" spans="1:32" s="63" customFormat="1" ht="12.75" customHeight="1">
      <c r="A127" s="59" t="s">
        <v>433</v>
      </c>
      <c r="B127" s="58" t="s">
        <v>596</v>
      </c>
      <c r="C127" s="56"/>
      <c r="D127" s="57"/>
      <c r="E127" s="58" t="s">
        <v>644</v>
      </c>
      <c r="F127" s="57"/>
      <c r="G127" s="59" t="s">
        <v>37</v>
      </c>
      <c r="H127" s="60">
        <f>H106+1</f>
        <v>17</v>
      </c>
      <c r="I127" s="57"/>
      <c r="J127" s="57"/>
      <c r="K127" s="57"/>
      <c r="L127" s="57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2"/>
      <c r="Z127" s="62"/>
      <c r="AA127" s="62"/>
      <c r="AB127" s="62"/>
      <c r="AC127" s="62"/>
    </row>
    <row r="128" spans="1:32" s="65" customFormat="1" ht="12.75" customHeight="1">
      <c r="A128" s="340" t="s">
        <v>0</v>
      </c>
      <c r="B128" s="336" t="s">
        <v>1</v>
      </c>
      <c r="C128" s="331" t="s">
        <v>25</v>
      </c>
      <c r="D128" s="332"/>
      <c r="E128" s="331" t="s">
        <v>21</v>
      </c>
      <c r="F128" s="332"/>
      <c r="G128" s="335" t="s">
        <v>24</v>
      </c>
      <c r="H128" s="335"/>
      <c r="I128" s="328" t="s">
        <v>33</v>
      </c>
      <c r="J128" s="329"/>
      <c r="K128" s="329"/>
      <c r="L128" s="329"/>
      <c r="M128" s="329"/>
      <c r="N128" s="330"/>
      <c r="O128" s="331" t="s">
        <v>22</v>
      </c>
      <c r="P128" s="332"/>
      <c r="Q128" s="335" t="s">
        <v>23</v>
      </c>
      <c r="R128" s="335"/>
      <c r="S128" s="336" t="s">
        <v>27</v>
      </c>
      <c r="T128" s="64"/>
      <c r="U128" s="64"/>
      <c r="V128" s="64"/>
      <c r="W128" s="64"/>
      <c r="X128" s="64"/>
      <c r="Y128" s="339"/>
      <c r="Z128" s="297"/>
      <c r="AA128" s="61"/>
      <c r="AB128" s="61"/>
      <c r="AC128" s="74"/>
      <c r="AD128" s="61"/>
      <c r="AE128" s="61"/>
      <c r="AF128" s="61"/>
    </row>
    <row r="129" spans="1:32" s="65" customFormat="1" ht="12.75" customHeight="1">
      <c r="A129" s="341"/>
      <c r="B129" s="337"/>
      <c r="C129" s="333"/>
      <c r="D129" s="334"/>
      <c r="E129" s="333"/>
      <c r="F129" s="334"/>
      <c r="G129" s="335"/>
      <c r="H129" s="335"/>
      <c r="I129" s="293" t="s">
        <v>28</v>
      </c>
      <c r="J129" s="294" t="s">
        <v>3</v>
      </c>
      <c r="K129" s="293" t="s">
        <v>29</v>
      </c>
      <c r="L129" s="294" t="s">
        <v>4</v>
      </c>
      <c r="M129" s="328" t="s">
        <v>30</v>
      </c>
      <c r="N129" s="330"/>
      <c r="O129" s="333"/>
      <c r="P129" s="334"/>
      <c r="Q129" s="335"/>
      <c r="R129" s="335"/>
      <c r="S129" s="337"/>
      <c r="T129" s="64"/>
      <c r="U129" s="64"/>
      <c r="V129" s="64"/>
      <c r="W129" s="64"/>
      <c r="X129" s="64"/>
      <c r="Y129" s="339"/>
      <c r="Z129" s="297"/>
      <c r="AA129" s="61"/>
      <c r="AB129" s="61"/>
      <c r="AC129" s="74"/>
      <c r="AD129" s="61"/>
      <c r="AE129" s="61"/>
      <c r="AF129" s="61"/>
    </row>
    <row r="130" spans="1:32" s="65" customFormat="1" ht="12.75" customHeight="1">
      <c r="A130" s="342"/>
      <c r="B130" s="338"/>
      <c r="C130" s="295" t="s">
        <v>5</v>
      </c>
      <c r="D130" s="295" t="s">
        <v>6</v>
      </c>
      <c r="E130" s="294" t="s">
        <v>5</v>
      </c>
      <c r="F130" s="295" t="s">
        <v>6</v>
      </c>
      <c r="G130" s="295" t="s">
        <v>5</v>
      </c>
      <c r="H130" s="295" t="s">
        <v>6</v>
      </c>
      <c r="I130" s="294" t="s">
        <v>5</v>
      </c>
      <c r="J130" s="295" t="s">
        <v>6</v>
      </c>
      <c r="K130" s="294" t="s">
        <v>5</v>
      </c>
      <c r="L130" s="295" t="s">
        <v>6</v>
      </c>
      <c r="M130" s="295"/>
      <c r="N130" s="295"/>
      <c r="O130" s="294" t="s">
        <v>5</v>
      </c>
      <c r="P130" s="295" t="s">
        <v>6</v>
      </c>
      <c r="Q130" s="295" t="s">
        <v>5</v>
      </c>
      <c r="R130" s="295" t="s">
        <v>6</v>
      </c>
      <c r="S130" s="338"/>
      <c r="T130" s="64"/>
      <c r="U130" s="64"/>
      <c r="V130" s="64"/>
      <c r="W130" s="64"/>
      <c r="X130" s="64"/>
      <c r="Y130" s="339"/>
      <c r="Z130" s="297"/>
      <c r="AA130" s="61" t="s">
        <v>43</v>
      </c>
      <c r="AB130" s="61" t="s">
        <v>45</v>
      </c>
      <c r="AC130" s="61" t="s">
        <v>46</v>
      </c>
      <c r="AD130" s="61" t="s">
        <v>42</v>
      </c>
      <c r="AE130" s="61" t="s">
        <v>41</v>
      </c>
      <c r="AF130" s="61" t="s">
        <v>44</v>
      </c>
    </row>
    <row r="131" spans="1:32" s="65" customFormat="1" ht="12.75" customHeight="1">
      <c r="A131" s="51" t="s">
        <v>7</v>
      </c>
      <c r="B131" s="295" t="s">
        <v>18</v>
      </c>
      <c r="C131" s="295">
        <v>0</v>
      </c>
      <c r="D131" s="295">
        <v>0</v>
      </c>
      <c r="E131" s="69">
        <f t="shared" ref="E131:E139" si="72">O131+Q131</f>
        <v>0</v>
      </c>
      <c r="F131" s="70">
        <f t="shared" ref="F131:F139" si="73">P131+R131</f>
        <v>0</v>
      </c>
      <c r="G131" s="295">
        <f t="shared" ref="G131:G140" si="74">E131-C131</f>
        <v>0</v>
      </c>
      <c r="H131" s="295">
        <f t="shared" ref="H131:H140" si="75">F131-D131</f>
        <v>0</v>
      </c>
      <c r="I131" s="70"/>
      <c r="J131" s="70"/>
      <c r="K131" s="70"/>
      <c r="L131" s="70"/>
      <c r="M131" s="70">
        <f t="shared" ref="M131:M144" si="76">I131+K131</f>
        <v>0</v>
      </c>
      <c r="N131" s="70">
        <f t="shared" ref="N131:N144" si="77">J131+L131</f>
        <v>0</v>
      </c>
      <c r="O131" s="71"/>
      <c r="P131" s="71"/>
      <c r="Q131" s="70"/>
      <c r="R131" s="70"/>
      <c r="S131" s="72"/>
      <c r="T131" s="252" t="e">
        <f>E131/C131</f>
        <v>#DIV/0!</v>
      </c>
      <c r="U131" s="73"/>
      <c r="V131" s="73"/>
      <c r="W131" s="73"/>
      <c r="X131" s="73"/>
      <c r="Y131" s="339"/>
      <c r="Z131" s="297"/>
      <c r="AA131" s="61">
        <f>H127</f>
        <v>17</v>
      </c>
      <c r="AB131" s="61" t="str">
        <f>E127</f>
        <v>CI2-TBZ-022 W</v>
      </c>
      <c r="AC131" s="74" t="s">
        <v>433</v>
      </c>
      <c r="AD131" s="61" t="str">
        <f t="shared" ref="AD131:AD144" si="78">A131</f>
        <v>KR</v>
      </c>
      <c r="AE131" s="61">
        <f t="shared" ref="AE131:AE144" si="79">C131</f>
        <v>0</v>
      </c>
      <c r="AF131" s="61">
        <f t="shared" ref="AF131:AF144" si="80">E131</f>
        <v>0</v>
      </c>
    </row>
    <row r="132" spans="1:32" s="65" customFormat="1" ht="12.75" customHeight="1">
      <c r="A132" s="52" t="s">
        <v>13</v>
      </c>
      <c r="B132" s="1">
        <f>B111+7</f>
        <v>43203</v>
      </c>
      <c r="C132" s="295">
        <v>250</v>
      </c>
      <c r="D132" s="295">
        <v>3375</v>
      </c>
      <c r="E132" s="69">
        <f t="shared" si="72"/>
        <v>244</v>
      </c>
      <c r="F132" s="70">
        <f t="shared" si="73"/>
        <v>2776</v>
      </c>
      <c r="G132" s="295">
        <f t="shared" si="74"/>
        <v>-6</v>
      </c>
      <c r="H132" s="295">
        <f t="shared" si="75"/>
        <v>-599</v>
      </c>
      <c r="I132" s="75"/>
      <c r="J132" s="75"/>
      <c r="K132" s="70"/>
      <c r="L132" s="70"/>
      <c r="M132" s="70">
        <f t="shared" si="76"/>
        <v>0</v>
      </c>
      <c r="N132" s="70">
        <f t="shared" si="77"/>
        <v>0</v>
      </c>
      <c r="O132" s="75">
        <v>244</v>
      </c>
      <c r="P132" s="75">
        <v>2776</v>
      </c>
      <c r="Q132" s="71"/>
      <c r="R132" s="71"/>
      <c r="S132" s="72"/>
      <c r="T132" s="252">
        <f t="shared" ref="T132:T142" si="81">E132/C132</f>
        <v>0.97599999999999998</v>
      </c>
      <c r="U132" s="73"/>
      <c r="V132" s="73"/>
      <c r="W132" s="73"/>
      <c r="X132" s="73"/>
      <c r="AA132" s="61">
        <f>H127</f>
        <v>17</v>
      </c>
      <c r="AB132" s="61" t="str">
        <f>E127</f>
        <v>CI2-TBZ-022 W</v>
      </c>
      <c r="AC132" s="74" t="s">
        <v>433</v>
      </c>
      <c r="AD132" s="61" t="str">
        <f t="shared" si="78"/>
        <v>TAO</v>
      </c>
      <c r="AE132" s="61">
        <f t="shared" si="79"/>
        <v>250</v>
      </c>
      <c r="AF132" s="61">
        <f t="shared" si="80"/>
        <v>244</v>
      </c>
    </row>
    <row r="133" spans="1:32" s="65" customFormat="1" ht="12.75" customHeight="1">
      <c r="A133" s="52" t="s">
        <v>9</v>
      </c>
      <c r="B133" s="1">
        <f>B112+7</f>
        <v>43206</v>
      </c>
      <c r="C133" s="295">
        <v>250</v>
      </c>
      <c r="D133" s="295">
        <v>3375</v>
      </c>
      <c r="E133" s="69">
        <f t="shared" si="72"/>
        <v>297</v>
      </c>
      <c r="F133" s="70">
        <f t="shared" si="73"/>
        <v>2101</v>
      </c>
      <c r="G133" s="295">
        <f t="shared" si="74"/>
        <v>47</v>
      </c>
      <c r="H133" s="295">
        <f t="shared" si="75"/>
        <v>-1274</v>
      </c>
      <c r="I133" s="75"/>
      <c r="J133" s="75"/>
      <c r="K133" s="71">
        <v>52</v>
      </c>
      <c r="L133" s="71">
        <v>968</v>
      </c>
      <c r="M133" s="70">
        <f t="shared" si="76"/>
        <v>52</v>
      </c>
      <c r="N133" s="70">
        <f t="shared" si="77"/>
        <v>968</v>
      </c>
      <c r="O133" s="75">
        <v>297</v>
      </c>
      <c r="P133" s="75">
        <v>2101</v>
      </c>
      <c r="Q133" s="71"/>
      <c r="R133" s="71"/>
      <c r="S133" s="72"/>
      <c r="T133" s="252">
        <f t="shared" si="81"/>
        <v>1.1879999999999999</v>
      </c>
      <c r="U133" s="73"/>
      <c r="V133" s="73"/>
      <c r="W133" s="73"/>
      <c r="X133" s="73"/>
      <c r="AA133" s="61">
        <f>H127</f>
        <v>17</v>
      </c>
      <c r="AB133" s="61" t="str">
        <f>E127</f>
        <v>CI2-TBZ-022 W</v>
      </c>
      <c r="AC133" s="74" t="s">
        <v>433</v>
      </c>
      <c r="AD133" s="61" t="str">
        <f t="shared" si="78"/>
        <v>SHA</v>
      </c>
      <c r="AE133" s="61">
        <f t="shared" si="79"/>
        <v>250</v>
      </c>
      <c r="AF133" s="61">
        <f t="shared" si="80"/>
        <v>297</v>
      </c>
    </row>
    <row r="134" spans="1:32" s="65" customFormat="1" ht="12.75" customHeight="1">
      <c r="A134" s="52" t="s">
        <v>8</v>
      </c>
      <c r="B134" s="1">
        <f>B113+7</f>
        <v>43207</v>
      </c>
      <c r="C134" s="295">
        <v>100</v>
      </c>
      <c r="D134" s="295">
        <v>1350</v>
      </c>
      <c r="E134" s="69">
        <f t="shared" si="72"/>
        <v>181</v>
      </c>
      <c r="F134" s="70">
        <f t="shared" si="73"/>
        <v>2142</v>
      </c>
      <c r="G134" s="295">
        <f t="shared" si="74"/>
        <v>81</v>
      </c>
      <c r="H134" s="295">
        <f t="shared" si="75"/>
        <v>792</v>
      </c>
      <c r="I134" s="71"/>
      <c r="J134" s="71"/>
      <c r="K134" s="71">
        <v>13</v>
      </c>
      <c r="L134" s="71">
        <v>146</v>
      </c>
      <c r="M134" s="70">
        <f t="shared" si="76"/>
        <v>13</v>
      </c>
      <c r="N134" s="70">
        <f t="shared" si="77"/>
        <v>146</v>
      </c>
      <c r="O134" s="71"/>
      <c r="P134" s="71"/>
      <c r="Q134" s="71">
        <v>181</v>
      </c>
      <c r="R134" s="71">
        <v>2142</v>
      </c>
      <c r="S134" s="72"/>
      <c r="T134" s="252">
        <f t="shared" si="81"/>
        <v>1.81</v>
      </c>
      <c r="U134" s="73"/>
      <c r="V134" s="73"/>
      <c r="W134" s="73"/>
      <c r="X134" s="73"/>
      <c r="AA134" s="61">
        <f>H127</f>
        <v>17</v>
      </c>
      <c r="AB134" s="61" t="str">
        <f>E127</f>
        <v>CI2-TBZ-022 W</v>
      </c>
      <c r="AC134" s="74" t="s">
        <v>433</v>
      </c>
      <c r="AD134" s="61" t="str">
        <f t="shared" si="78"/>
        <v>NGB</v>
      </c>
      <c r="AE134" s="61">
        <f t="shared" si="79"/>
        <v>100</v>
      </c>
      <c r="AF134" s="61">
        <f t="shared" si="80"/>
        <v>181</v>
      </c>
    </row>
    <row r="135" spans="1:32" s="65" customFormat="1" ht="12.75" customHeight="1">
      <c r="A135" s="52" t="s">
        <v>10</v>
      </c>
      <c r="B135" s="1" t="s">
        <v>18</v>
      </c>
      <c r="C135" s="295"/>
      <c r="D135" s="295"/>
      <c r="E135" s="69">
        <f t="shared" si="72"/>
        <v>2</v>
      </c>
      <c r="F135" s="70">
        <f t="shared" si="73"/>
        <v>59</v>
      </c>
      <c r="G135" s="295">
        <f t="shared" si="74"/>
        <v>2</v>
      </c>
      <c r="H135" s="295">
        <f t="shared" si="75"/>
        <v>59</v>
      </c>
      <c r="I135" s="75"/>
      <c r="J135" s="75"/>
      <c r="K135" s="70"/>
      <c r="L135" s="70"/>
      <c r="M135" s="70">
        <f t="shared" si="76"/>
        <v>0</v>
      </c>
      <c r="N135" s="70">
        <f t="shared" si="77"/>
        <v>0</v>
      </c>
      <c r="O135" s="75">
        <v>2</v>
      </c>
      <c r="P135" s="75">
        <v>59</v>
      </c>
      <c r="Q135" s="70"/>
      <c r="R135" s="70"/>
      <c r="S135" s="72"/>
      <c r="T135" s="252" t="e">
        <f t="shared" si="81"/>
        <v>#DIV/0!</v>
      </c>
      <c r="U135" s="73"/>
      <c r="V135" s="73"/>
      <c r="W135" s="73"/>
      <c r="X135" s="73"/>
      <c r="AA135" s="61">
        <f>H127</f>
        <v>17</v>
      </c>
      <c r="AB135" s="61" t="str">
        <f>E127</f>
        <v>CI2-TBZ-022 W</v>
      </c>
      <c r="AC135" s="74" t="s">
        <v>433</v>
      </c>
      <c r="AD135" s="61" t="str">
        <f t="shared" si="78"/>
        <v>WUH</v>
      </c>
      <c r="AE135" s="61">
        <f t="shared" si="79"/>
        <v>0</v>
      </c>
      <c r="AF135" s="61">
        <f t="shared" si="80"/>
        <v>2</v>
      </c>
    </row>
    <row r="136" spans="1:32" s="65" customFormat="1" ht="12.75" customHeight="1">
      <c r="A136" s="52" t="s">
        <v>11</v>
      </c>
      <c r="B136" s="1" t="s">
        <v>18</v>
      </c>
      <c r="C136" s="295"/>
      <c r="D136" s="295"/>
      <c r="E136" s="69">
        <f t="shared" si="72"/>
        <v>15</v>
      </c>
      <c r="F136" s="70">
        <f t="shared" si="73"/>
        <v>454</v>
      </c>
      <c r="G136" s="295">
        <f t="shared" si="74"/>
        <v>15</v>
      </c>
      <c r="H136" s="295">
        <f t="shared" si="75"/>
        <v>454</v>
      </c>
      <c r="I136" s="70"/>
      <c r="J136" s="70"/>
      <c r="K136" s="70"/>
      <c r="L136" s="70"/>
      <c r="M136" s="70">
        <f t="shared" si="76"/>
        <v>0</v>
      </c>
      <c r="N136" s="70">
        <f t="shared" si="77"/>
        <v>0</v>
      </c>
      <c r="O136" s="75"/>
      <c r="P136" s="75"/>
      <c r="Q136" s="70">
        <v>15</v>
      </c>
      <c r="R136" s="70">
        <v>454</v>
      </c>
      <c r="S136" s="72"/>
      <c r="T136" s="252" t="e">
        <f t="shared" si="81"/>
        <v>#DIV/0!</v>
      </c>
      <c r="U136" s="73"/>
      <c r="V136" s="73"/>
      <c r="W136" s="73"/>
      <c r="X136" s="73"/>
      <c r="AA136" s="61">
        <f>H127</f>
        <v>17</v>
      </c>
      <c r="AB136" s="61" t="str">
        <f>E127</f>
        <v>CI2-TBZ-022 W</v>
      </c>
      <c r="AC136" s="74" t="s">
        <v>433</v>
      </c>
      <c r="AD136" s="61" t="str">
        <f t="shared" si="78"/>
        <v>DLC</v>
      </c>
      <c r="AE136" s="61">
        <f t="shared" si="79"/>
        <v>0</v>
      </c>
      <c r="AF136" s="61">
        <f t="shared" si="80"/>
        <v>15</v>
      </c>
    </row>
    <row r="137" spans="1:32" s="65" customFormat="1" ht="12.75" customHeight="1">
      <c r="A137" s="52" t="s">
        <v>12</v>
      </c>
      <c r="B137" s="1" t="s">
        <v>18</v>
      </c>
      <c r="C137" s="295"/>
      <c r="D137" s="295"/>
      <c r="E137" s="69">
        <f t="shared" si="72"/>
        <v>0</v>
      </c>
      <c r="F137" s="70">
        <f t="shared" si="73"/>
        <v>0</v>
      </c>
      <c r="G137" s="295">
        <f t="shared" si="74"/>
        <v>0</v>
      </c>
      <c r="H137" s="295">
        <f t="shared" si="75"/>
        <v>0</v>
      </c>
      <c r="I137" s="70"/>
      <c r="J137" s="70"/>
      <c r="K137" s="70"/>
      <c r="L137" s="70"/>
      <c r="M137" s="70">
        <f t="shared" si="76"/>
        <v>0</v>
      </c>
      <c r="N137" s="70">
        <f t="shared" si="77"/>
        <v>0</v>
      </c>
      <c r="O137" s="75"/>
      <c r="P137" s="75"/>
      <c r="Q137" s="76"/>
      <c r="R137" s="71"/>
      <c r="S137" s="72"/>
      <c r="T137" s="252" t="e">
        <f t="shared" si="81"/>
        <v>#DIV/0!</v>
      </c>
      <c r="U137" s="73"/>
      <c r="V137" s="73"/>
      <c r="W137" s="73"/>
      <c r="X137" s="73"/>
      <c r="AA137" s="61">
        <f>H127</f>
        <v>17</v>
      </c>
      <c r="AB137" s="61" t="str">
        <f>E127</f>
        <v>CI2-TBZ-022 W</v>
      </c>
      <c r="AC137" s="74" t="s">
        <v>433</v>
      </c>
      <c r="AD137" s="61" t="str">
        <f t="shared" si="78"/>
        <v>TSN</v>
      </c>
      <c r="AE137" s="61">
        <f t="shared" si="79"/>
        <v>0</v>
      </c>
      <c r="AF137" s="61">
        <f t="shared" si="80"/>
        <v>0</v>
      </c>
    </row>
    <row r="138" spans="1:32" s="65" customFormat="1" ht="12.75" customHeight="1">
      <c r="A138" s="52" t="s">
        <v>14</v>
      </c>
      <c r="B138" s="1" t="s">
        <v>18</v>
      </c>
      <c r="C138" s="295"/>
      <c r="D138" s="295"/>
      <c r="E138" s="69">
        <f t="shared" si="72"/>
        <v>0</v>
      </c>
      <c r="F138" s="70">
        <f t="shared" si="73"/>
        <v>0</v>
      </c>
      <c r="G138" s="295">
        <f t="shared" si="74"/>
        <v>0</v>
      </c>
      <c r="H138" s="295">
        <f t="shared" si="75"/>
        <v>0</v>
      </c>
      <c r="I138" s="70"/>
      <c r="J138" s="70"/>
      <c r="K138" s="70"/>
      <c r="L138" s="70"/>
      <c r="M138" s="70">
        <f t="shared" si="76"/>
        <v>0</v>
      </c>
      <c r="N138" s="70">
        <f t="shared" si="77"/>
        <v>0</v>
      </c>
      <c r="O138" s="71"/>
      <c r="P138" s="71"/>
      <c r="Q138" s="70"/>
      <c r="R138" s="70"/>
      <c r="S138" s="72"/>
      <c r="T138" s="252" t="e">
        <f t="shared" si="81"/>
        <v>#DIV/0!</v>
      </c>
      <c r="U138" s="73"/>
      <c r="V138" s="73"/>
      <c r="W138" s="73"/>
      <c r="X138" s="73"/>
      <c r="AA138" s="61">
        <f>H127</f>
        <v>17</v>
      </c>
      <c r="AB138" s="61" t="str">
        <f>E127</f>
        <v>CI2-TBZ-022 W</v>
      </c>
      <c r="AC138" s="74" t="s">
        <v>433</v>
      </c>
      <c r="AD138" s="61" t="str">
        <f t="shared" si="78"/>
        <v>XMN</v>
      </c>
      <c r="AE138" s="61">
        <f t="shared" si="79"/>
        <v>0</v>
      </c>
      <c r="AF138" s="61">
        <f t="shared" si="80"/>
        <v>0</v>
      </c>
    </row>
    <row r="139" spans="1:32" s="65" customFormat="1" ht="12.75" customHeight="1">
      <c r="A139" s="52" t="s">
        <v>19</v>
      </c>
      <c r="B139" s="1" t="s">
        <v>18</v>
      </c>
      <c r="C139" s="295"/>
      <c r="D139" s="295"/>
      <c r="E139" s="69">
        <f t="shared" si="72"/>
        <v>0</v>
      </c>
      <c r="F139" s="70">
        <f t="shared" si="73"/>
        <v>0</v>
      </c>
      <c r="G139" s="295">
        <f t="shared" si="74"/>
        <v>0</v>
      </c>
      <c r="H139" s="295">
        <f t="shared" si="75"/>
        <v>0</v>
      </c>
      <c r="I139" s="70"/>
      <c r="J139" s="70"/>
      <c r="K139" s="70"/>
      <c r="L139" s="70"/>
      <c r="M139" s="70">
        <f t="shared" si="76"/>
        <v>0</v>
      </c>
      <c r="N139" s="70">
        <f t="shared" si="77"/>
        <v>0</v>
      </c>
      <c r="O139" s="70"/>
      <c r="P139" s="70"/>
      <c r="Q139" s="70"/>
      <c r="R139" s="70"/>
      <c r="S139" s="72"/>
      <c r="T139" s="252" t="e">
        <f t="shared" si="81"/>
        <v>#DIV/0!</v>
      </c>
      <c r="U139" s="73"/>
      <c r="V139" s="73"/>
      <c r="W139" s="73"/>
      <c r="X139" s="73"/>
      <c r="AA139" s="61">
        <f>H127</f>
        <v>17</v>
      </c>
      <c r="AB139" s="61" t="str">
        <f>E127</f>
        <v>CI2-TBZ-022 W</v>
      </c>
      <c r="AC139" s="74" t="s">
        <v>433</v>
      </c>
      <c r="AD139" s="61" t="str">
        <f t="shared" si="78"/>
        <v>TWC</v>
      </c>
      <c r="AE139" s="61">
        <f t="shared" si="79"/>
        <v>0</v>
      </c>
      <c r="AF139" s="61">
        <f t="shared" si="80"/>
        <v>0</v>
      </c>
    </row>
    <row r="140" spans="1:32" s="65" customFormat="1" ht="12.75" customHeight="1">
      <c r="A140" s="52" t="s">
        <v>16</v>
      </c>
      <c r="B140" s="1">
        <f>B119+7</f>
        <v>43211</v>
      </c>
      <c r="C140" s="295">
        <v>100</v>
      </c>
      <c r="D140" s="295">
        <v>1350</v>
      </c>
      <c r="E140" s="69">
        <f>O140+Q140</f>
        <v>66</v>
      </c>
      <c r="F140" s="70">
        <f>P140+R139</f>
        <v>0</v>
      </c>
      <c r="G140" s="295">
        <f t="shared" si="74"/>
        <v>-34</v>
      </c>
      <c r="H140" s="295">
        <f t="shared" si="75"/>
        <v>-1350</v>
      </c>
      <c r="I140" s="70"/>
      <c r="J140" s="70"/>
      <c r="K140" s="70">
        <v>7</v>
      </c>
      <c r="L140" s="70">
        <v>131</v>
      </c>
      <c r="M140" s="70">
        <f t="shared" si="76"/>
        <v>7</v>
      </c>
      <c r="N140" s="70">
        <f t="shared" si="77"/>
        <v>131</v>
      </c>
      <c r="O140" s="70"/>
      <c r="P140" s="70"/>
      <c r="Q140" s="70">
        <v>66</v>
      </c>
      <c r="R140" s="84">
        <v>1491</v>
      </c>
      <c r="S140" s="72"/>
      <c r="T140" s="252">
        <f t="shared" si="81"/>
        <v>0.66</v>
      </c>
      <c r="U140" s="73"/>
      <c r="V140" s="73"/>
      <c r="W140" s="73"/>
      <c r="X140" s="73"/>
      <c r="AA140" s="61">
        <f>H127</f>
        <v>17</v>
      </c>
      <c r="AB140" s="61" t="str">
        <f>E127</f>
        <v>CI2-TBZ-022 W</v>
      </c>
      <c r="AC140" s="74" t="s">
        <v>433</v>
      </c>
      <c r="AD140" s="61" t="str">
        <f t="shared" si="78"/>
        <v>HUA</v>
      </c>
      <c r="AE140" s="61">
        <f t="shared" si="79"/>
        <v>100</v>
      </c>
      <c r="AF140" s="61">
        <f t="shared" si="80"/>
        <v>66</v>
      </c>
    </row>
    <row r="141" spans="1:32" s="65" customFormat="1" ht="12.75" customHeight="1">
      <c r="A141" s="52" t="s">
        <v>68</v>
      </c>
      <c r="B141" s="1" t="s">
        <v>18</v>
      </c>
      <c r="C141" s="295"/>
      <c r="D141" s="295"/>
      <c r="E141" s="69">
        <f>O141+Q141</f>
        <v>0</v>
      </c>
      <c r="F141" s="70">
        <f>P141+R141</f>
        <v>0</v>
      </c>
      <c r="G141" s="295"/>
      <c r="H141" s="295"/>
      <c r="I141" s="70"/>
      <c r="J141" s="70"/>
      <c r="K141" s="70"/>
      <c r="L141" s="70"/>
      <c r="M141" s="70">
        <f t="shared" si="76"/>
        <v>0</v>
      </c>
      <c r="N141" s="70">
        <f t="shared" si="77"/>
        <v>0</v>
      </c>
      <c r="O141" s="70"/>
      <c r="P141" s="70"/>
      <c r="Q141" s="265"/>
      <c r="R141" s="70"/>
      <c r="S141" s="72"/>
      <c r="T141" s="252" t="e">
        <f t="shared" si="81"/>
        <v>#DIV/0!</v>
      </c>
      <c r="U141" s="73"/>
      <c r="V141" s="73"/>
      <c r="W141" s="73"/>
      <c r="X141" s="73"/>
      <c r="AA141" s="61">
        <f>H127</f>
        <v>17</v>
      </c>
      <c r="AB141" s="61" t="str">
        <f>E127</f>
        <v>CI2-TBZ-022 W</v>
      </c>
      <c r="AC141" s="74" t="s">
        <v>433</v>
      </c>
      <c r="AD141" s="61" t="str">
        <f t="shared" si="78"/>
        <v>GNS</v>
      </c>
      <c r="AE141" s="61">
        <f t="shared" si="79"/>
        <v>0</v>
      </c>
      <c r="AF141" s="61">
        <f t="shared" si="80"/>
        <v>0</v>
      </c>
    </row>
    <row r="142" spans="1:32" s="65" customFormat="1" ht="12.75" customHeight="1">
      <c r="A142" s="52" t="s">
        <v>3</v>
      </c>
      <c r="B142" s="1"/>
      <c r="C142" s="295">
        <v>0</v>
      </c>
      <c r="D142" s="295">
        <v>0</v>
      </c>
      <c r="E142" s="69">
        <f>O142+Q142</f>
        <v>0</v>
      </c>
      <c r="F142" s="70">
        <f>P142+R142</f>
        <v>0</v>
      </c>
      <c r="G142" s="295">
        <f t="shared" ref="G142:G145" si="82">E142-C142</f>
        <v>0</v>
      </c>
      <c r="H142" s="295">
        <f t="shared" ref="H142:H145" si="83">F142-D142</f>
        <v>0</v>
      </c>
      <c r="I142" s="70"/>
      <c r="J142" s="70"/>
      <c r="K142" s="70"/>
      <c r="L142" s="70"/>
      <c r="M142" s="70">
        <f t="shared" si="76"/>
        <v>0</v>
      </c>
      <c r="N142" s="70">
        <f t="shared" si="77"/>
        <v>0</v>
      </c>
      <c r="O142" s="295"/>
      <c r="P142" s="295"/>
      <c r="Q142" s="70"/>
      <c r="R142" s="70"/>
      <c r="S142" s="72"/>
      <c r="T142" s="252" t="e">
        <f t="shared" si="81"/>
        <v>#DIV/0!</v>
      </c>
      <c r="U142" s="73"/>
      <c r="V142" s="73"/>
      <c r="W142" s="73"/>
      <c r="X142" s="73"/>
      <c r="AA142" s="61">
        <f>H127</f>
        <v>17</v>
      </c>
      <c r="AB142" s="61" t="str">
        <f>E127</f>
        <v>CI2-TBZ-022 W</v>
      </c>
      <c r="AC142" s="74" t="s">
        <v>433</v>
      </c>
      <c r="AD142" s="61" t="str">
        <f t="shared" si="78"/>
        <v>SGP</v>
      </c>
      <c r="AE142" s="61">
        <f t="shared" si="79"/>
        <v>0</v>
      </c>
      <c r="AF142" s="61">
        <f t="shared" si="80"/>
        <v>0</v>
      </c>
    </row>
    <row r="143" spans="1:32" s="65" customFormat="1" ht="12.75" customHeight="1">
      <c r="A143" s="52" t="s">
        <v>436</v>
      </c>
      <c r="B143" s="1">
        <f>B122+7</f>
        <v>43216</v>
      </c>
      <c r="C143" s="295">
        <v>100</v>
      </c>
      <c r="D143" s="295">
        <v>1350</v>
      </c>
      <c r="E143" s="69">
        <f>O143+Q143</f>
        <v>100</v>
      </c>
      <c r="F143" s="70">
        <f>P143+R143</f>
        <v>1350</v>
      </c>
      <c r="G143" s="295">
        <f t="shared" si="82"/>
        <v>0</v>
      </c>
      <c r="H143" s="295">
        <f t="shared" si="83"/>
        <v>0</v>
      </c>
      <c r="I143" s="70"/>
      <c r="J143" s="70"/>
      <c r="K143" s="70"/>
      <c r="L143" s="70"/>
      <c r="M143" s="70">
        <f t="shared" si="76"/>
        <v>0</v>
      </c>
      <c r="N143" s="70">
        <f t="shared" si="77"/>
        <v>0</v>
      </c>
      <c r="O143" s="70"/>
      <c r="P143" s="70"/>
      <c r="Q143" s="70">
        <v>100</v>
      </c>
      <c r="R143" s="70">
        <v>1350</v>
      </c>
      <c r="S143" s="72"/>
      <c r="T143" s="252">
        <f>E143/C143</f>
        <v>1</v>
      </c>
      <c r="U143" s="73"/>
      <c r="V143" s="73"/>
      <c r="W143" s="73"/>
      <c r="X143" s="73"/>
      <c r="AA143" s="61">
        <f>H127</f>
        <v>17</v>
      </c>
      <c r="AB143" s="61" t="str">
        <f>E127</f>
        <v>CI2-TBZ-022 W</v>
      </c>
      <c r="AC143" s="74" t="s">
        <v>433</v>
      </c>
      <c r="AD143" s="61" t="str">
        <f t="shared" si="78"/>
        <v>PKG</v>
      </c>
      <c r="AE143" s="61">
        <f t="shared" si="79"/>
        <v>100</v>
      </c>
      <c r="AF143" s="61">
        <f t="shared" si="80"/>
        <v>100</v>
      </c>
    </row>
    <row r="144" spans="1:32" s="65" customFormat="1" ht="12.75" customHeight="1">
      <c r="A144" s="52" t="s">
        <v>31</v>
      </c>
      <c r="B144" s="295"/>
      <c r="C144" s="295">
        <v>100</v>
      </c>
      <c r="D144" s="295">
        <v>1350</v>
      </c>
      <c r="E144" s="69">
        <f>O144+Q144</f>
        <v>0</v>
      </c>
      <c r="F144" s="70">
        <f>P144+R144</f>
        <v>0</v>
      </c>
      <c r="G144" s="295">
        <f t="shared" si="82"/>
        <v>-100</v>
      </c>
      <c r="H144" s="295">
        <f t="shared" si="83"/>
        <v>-1350</v>
      </c>
      <c r="I144" s="70"/>
      <c r="J144" s="70"/>
      <c r="K144" s="70"/>
      <c r="L144" s="70"/>
      <c r="M144" s="70">
        <f t="shared" si="76"/>
        <v>0</v>
      </c>
      <c r="N144" s="70">
        <f t="shared" si="77"/>
        <v>0</v>
      </c>
      <c r="O144" s="71"/>
      <c r="P144" s="71"/>
      <c r="Q144" s="71">
        <v>0</v>
      </c>
      <c r="R144" s="71"/>
      <c r="S144" s="72"/>
      <c r="T144" s="73">
        <f>E144/C144</f>
        <v>0</v>
      </c>
      <c r="U144" s="73"/>
      <c r="V144" s="73"/>
      <c r="W144" s="73"/>
      <c r="X144" s="73"/>
      <c r="AA144" s="61">
        <f>H127</f>
        <v>17</v>
      </c>
      <c r="AB144" s="61" t="str">
        <f>E127</f>
        <v>CI2-TBZ-022 W</v>
      </c>
      <c r="AC144" s="74" t="s">
        <v>433</v>
      </c>
      <c r="AD144" s="61" t="str">
        <f t="shared" si="78"/>
        <v>COSCO T/S</v>
      </c>
      <c r="AE144" s="61">
        <f t="shared" si="79"/>
        <v>100</v>
      </c>
      <c r="AF144" s="61">
        <f t="shared" si="80"/>
        <v>0</v>
      </c>
    </row>
    <row r="145" spans="1:32" s="65" customFormat="1" ht="12.75" customHeight="1">
      <c r="A145" s="51" t="s">
        <v>36</v>
      </c>
      <c r="B145" s="72"/>
      <c r="C145" s="71">
        <v>900</v>
      </c>
      <c r="D145" s="71">
        <f>SUM(D131:D144)</f>
        <v>12150</v>
      </c>
      <c r="E145" s="78">
        <f>SUM(E131:E144)</f>
        <v>905</v>
      </c>
      <c r="F145" s="76">
        <f>SUM(F131:F144)</f>
        <v>8882</v>
      </c>
      <c r="G145" s="71">
        <f t="shared" si="82"/>
        <v>5</v>
      </c>
      <c r="H145" s="71">
        <f t="shared" si="83"/>
        <v>-3268</v>
      </c>
      <c r="I145" s="70">
        <f t="shared" ref="I145:L145" si="84">SUM(I131:I144)</f>
        <v>0</v>
      </c>
      <c r="J145" s="70">
        <f t="shared" si="84"/>
        <v>0</v>
      </c>
      <c r="K145" s="70">
        <f t="shared" si="84"/>
        <v>72</v>
      </c>
      <c r="L145" s="70">
        <f t="shared" si="84"/>
        <v>1245</v>
      </c>
      <c r="M145" s="70"/>
      <c r="N145" s="70"/>
      <c r="O145" s="70">
        <f t="shared" ref="O145:R145" si="85">SUM(O131:O144)</f>
        <v>543</v>
      </c>
      <c r="P145" s="70">
        <f t="shared" si="85"/>
        <v>4936</v>
      </c>
      <c r="Q145" s="70">
        <f t="shared" si="85"/>
        <v>362</v>
      </c>
      <c r="R145" s="70">
        <f t="shared" si="85"/>
        <v>5437</v>
      </c>
      <c r="S145" s="72"/>
      <c r="T145" s="73"/>
      <c r="U145" s="73"/>
      <c r="V145" s="73"/>
      <c r="W145" s="73"/>
      <c r="X145" s="73"/>
      <c r="AA145" s="61"/>
      <c r="AB145" s="61"/>
      <c r="AC145" s="61"/>
      <c r="AD145" s="61"/>
      <c r="AE145" s="61"/>
      <c r="AF145" s="61"/>
    </row>
    <row r="146" spans="1:32" s="65" customFormat="1" ht="12.75" customHeight="1">
      <c r="A146" s="84">
        <f>D145/C145</f>
        <v>13.5</v>
      </c>
      <c r="C146" s="296">
        <f>F145-E146</f>
        <v>-2053</v>
      </c>
      <c r="E146" s="65">
        <f>D145*0.9</f>
        <v>10935</v>
      </c>
      <c r="F146" s="296">
        <f>E145-L146</f>
        <v>95</v>
      </c>
      <c r="I146" s="80" t="s">
        <v>48</v>
      </c>
      <c r="J146" s="245">
        <f>E145/C145</f>
        <v>1.0055555555555555</v>
      </c>
      <c r="K146" s="80"/>
      <c r="L146" s="80">
        <f>C145*0.9</f>
        <v>810</v>
      </c>
      <c r="M146" s="80"/>
      <c r="N146" s="80"/>
      <c r="O146" s="80" t="s">
        <v>49</v>
      </c>
      <c r="P146" s="80"/>
      <c r="Q146" s="65">
        <f>P132+P133+P135+P136+P137+J132+J133+L132+L133+J135+R135</f>
        <v>5904</v>
      </c>
      <c r="R146" s="65">
        <v>16856</v>
      </c>
      <c r="AA146" s="81"/>
      <c r="AB146" s="81"/>
      <c r="AC146" s="81"/>
      <c r="AD146" s="81"/>
      <c r="AE146" s="81"/>
      <c r="AF146" s="81"/>
    </row>
    <row r="148" spans="1:32" s="63" customFormat="1" ht="12.75" customHeight="1">
      <c r="A148" s="59" t="s">
        <v>433</v>
      </c>
      <c r="B148" s="270" t="s">
        <v>524</v>
      </c>
      <c r="C148" s="56"/>
      <c r="D148" s="57"/>
      <c r="E148" s="270" t="s">
        <v>524</v>
      </c>
      <c r="F148" s="57"/>
      <c r="G148" s="59" t="s">
        <v>37</v>
      </c>
      <c r="H148" s="60">
        <f>H127+1</f>
        <v>18</v>
      </c>
      <c r="I148" s="57"/>
      <c r="J148" s="57"/>
      <c r="K148" s="57"/>
      <c r="L148" s="57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2"/>
      <c r="Z148" s="62"/>
      <c r="AA148" s="62"/>
      <c r="AB148" s="62"/>
      <c r="AC148" s="62"/>
    </row>
    <row r="149" spans="1:32" s="65" customFormat="1" ht="12.75" customHeight="1">
      <c r="A149" s="340" t="s">
        <v>0</v>
      </c>
      <c r="B149" s="336" t="s">
        <v>1</v>
      </c>
      <c r="C149" s="331" t="s">
        <v>25</v>
      </c>
      <c r="D149" s="332"/>
      <c r="E149" s="331" t="s">
        <v>21</v>
      </c>
      <c r="F149" s="332"/>
      <c r="G149" s="335" t="s">
        <v>24</v>
      </c>
      <c r="H149" s="335"/>
      <c r="I149" s="328" t="s">
        <v>33</v>
      </c>
      <c r="J149" s="329"/>
      <c r="K149" s="329"/>
      <c r="L149" s="329"/>
      <c r="M149" s="329"/>
      <c r="N149" s="330"/>
      <c r="O149" s="331" t="s">
        <v>22</v>
      </c>
      <c r="P149" s="332"/>
      <c r="Q149" s="335" t="s">
        <v>23</v>
      </c>
      <c r="R149" s="335"/>
      <c r="S149" s="336" t="s">
        <v>27</v>
      </c>
      <c r="T149" s="64"/>
      <c r="U149" s="64"/>
      <c r="V149" s="64"/>
      <c r="W149" s="64"/>
      <c r="X149" s="64"/>
      <c r="Y149" s="339"/>
      <c r="Z149" s="308"/>
      <c r="AA149" s="61"/>
      <c r="AB149" s="61"/>
      <c r="AC149" s="74"/>
      <c r="AD149" s="61"/>
      <c r="AE149" s="61"/>
      <c r="AF149" s="61"/>
    </row>
    <row r="150" spans="1:32" s="65" customFormat="1" ht="12.75" customHeight="1">
      <c r="A150" s="341"/>
      <c r="B150" s="337"/>
      <c r="C150" s="333"/>
      <c r="D150" s="334"/>
      <c r="E150" s="333"/>
      <c r="F150" s="334"/>
      <c r="G150" s="335"/>
      <c r="H150" s="335"/>
      <c r="I150" s="304" t="s">
        <v>28</v>
      </c>
      <c r="J150" s="305" t="s">
        <v>3</v>
      </c>
      <c r="K150" s="304" t="s">
        <v>29</v>
      </c>
      <c r="L150" s="305" t="s">
        <v>4</v>
      </c>
      <c r="M150" s="328" t="s">
        <v>30</v>
      </c>
      <c r="N150" s="330"/>
      <c r="O150" s="333"/>
      <c r="P150" s="334"/>
      <c r="Q150" s="335"/>
      <c r="R150" s="335"/>
      <c r="S150" s="337"/>
      <c r="T150" s="64"/>
      <c r="U150" s="64"/>
      <c r="V150" s="64"/>
      <c r="W150" s="64"/>
      <c r="X150" s="64"/>
      <c r="Y150" s="339"/>
      <c r="Z150" s="308"/>
      <c r="AA150" s="61"/>
      <c r="AB150" s="61"/>
      <c r="AC150" s="74"/>
      <c r="AD150" s="61"/>
      <c r="AE150" s="61"/>
      <c r="AF150" s="61"/>
    </row>
    <row r="151" spans="1:32" s="65" customFormat="1" ht="12.75" customHeight="1">
      <c r="A151" s="342"/>
      <c r="B151" s="338"/>
      <c r="C151" s="306" t="s">
        <v>5</v>
      </c>
      <c r="D151" s="306" t="s">
        <v>6</v>
      </c>
      <c r="E151" s="305" t="s">
        <v>5</v>
      </c>
      <c r="F151" s="306" t="s">
        <v>6</v>
      </c>
      <c r="G151" s="306" t="s">
        <v>5</v>
      </c>
      <c r="H151" s="306" t="s">
        <v>6</v>
      </c>
      <c r="I151" s="305" t="s">
        <v>5</v>
      </c>
      <c r="J151" s="306" t="s">
        <v>6</v>
      </c>
      <c r="K151" s="305" t="s">
        <v>5</v>
      </c>
      <c r="L151" s="306" t="s">
        <v>6</v>
      </c>
      <c r="M151" s="306"/>
      <c r="N151" s="306"/>
      <c r="O151" s="305" t="s">
        <v>5</v>
      </c>
      <c r="P151" s="306" t="s">
        <v>6</v>
      </c>
      <c r="Q151" s="306" t="s">
        <v>5</v>
      </c>
      <c r="R151" s="306" t="s">
        <v>6</v>
      </c>
      <c r="S151" s="338"/>
      <c r="T151" s="64"/>
      <c r="U151" s="64"/>
      <c r="V151" s="64"/>
      <c r="W151" s="64"/>
      <c r="X151" s="64"/>
      <c r="Y151" s="339"/>
      <c r="Z151" s="308"/>
      <c r="AA151" s="61" t="s">
        <v>43</v>
      </c>
      <c r="AB151" s="61" t="s">
        <v>45</v>
      </c>
      <c r="AC151" s="61" t="s">
        <v>46</v>
      </c>
      <c r="AD151" s="61" t="s">
        <v>42</v>
      </c>
      <c r="AE151" s="61" t="s">
        <v>41</v>
      </c>
      <c r="AF151" s="61" t="s">
        <v>44</v>
      </c>
    </row>
    <row r="152" spans="1:32" s="65" customFormat="1" ht="12.75" customHeight="1">
      <c r="A152" s="51" t="s">
        <v>7</v>
      </c>
      <c r="B152" s="306" t="s">
        <v>18</v>
      </c>
      <c r="C152" s="306">
        <v>0</v>
      </c>
      <c r="D152" s="306">
        <v>0</v>
      </c>
      <c r="E152" s="69">
        <f t="shared" ref="E152:E160" si="86">O152+Q152</f>
        <v>0</v>
      </c>
      <c r="F152" s="70">
        <f t="shared" ref="F152:F160" si="87">P152+R152</f>
        <v>0</v>
      </c>
      <c r="G152" s="306">
        <f t="shared" ref="G152:G161" si="88">E152-C152</f>
        <v>0</v>
      </c>
      <c r="H152" s="306">
        <f t="shared" ref="H152:H161" si="89">F152-D152</f>
        <v>0</v>
      </c>
      <c r="I152" s="70"/>
      <c r="J152" s="70"/>
      <c r="K152" s="70"/>
      <c r="L152" s="70"/>
      <c r="M152" s="70">
        <f t="shared" ref="M152:M165" si="90">I152+K152</f>
        <v>0</v>
      </c>
      <c r="N152" s="70">
        <f t="shared" ref="N152:N165" si="91">J152+L152</f>
        <v>0</v>
      </c>
      <c r="O152" s="71"/>
      <c r="P152" s="71"/>
      <c r="Q152" s="70"/>
      <c r="R152" s="70"/>
      <c r="S152" s="72"/>
      <c r="T152" s="252" t="e">
        <f>E152/C152</f>
        <v>#DIV/0!</v>
      </c>
      <c r="U152" s="73"/>
      <c r="V152" s="73"/>
      <c r="W152" s="73"/>
      <c r="X152" s="73"/>
      <c r="Y152" s="339"/>
      <c r="Z152" s="308"/>
      <c r="AA152" s="61">
        <f>H148</f>
        <v>18</v>
      </c>
      <c r="AB152" s="61" t="str">
        <f>E148</f>
        <v>停航</v>
      </c>
      <c r="AC152" s="74" t="s">
        <v>433</v>
      </c>
      <c r="AD152" s="61" t="str">
        <f t="shared" ref="AD152:AD165" si="92">A152</f>
        <v>KR</v>
      </c>
      <c r="AE152" s="61">
        <f t="shared" ref="AE152:AE165" si="93">C152</f>
        <v>0</v>
      </c>
      <c r="AF152" s="61">
        <f t="shared" ref="AF152:AF165" si="94">E152</f>
        <v>0</v>
      </c>
    </row>
    <row r="153" spans="1:32" s="65" customFormat="1" ht="12.75" customHeight="1">
      <c r="A153" s="52" t="s">
        <v>13</v>
      </c>
      <c r="B153" s="1">
        <f>B132+7</f>
        <v>43210</v>
      </c>
      <c r="C153" s="306">
        <v>250</v>
      </c>
      <c r="D153" s="306">
        <v>3375</v>
      </c>
      <c r="E153" s="69">
        <f t="shared" si="86"/>
        <v>0</v>
      </c>
      <c r="F153" s="70">
        <f t="shared" si="87"/>
        <v>0</v>
      </c>
      <c r="G153" s="306">
        <f t="shared" si="88"/>
        <v>-250</v>
      </c>
      <c r="H153" s="306">
        <f t="shared" si="89"/>
        <v>-3375</v>
      </c>
      <c r="I153" s="75"/>
      <c r="J153" s="75"/>
      <c r="K153" s="70"/>
      <c r="L153" s="70"/>
      <c r="M153" s="70">
        <f t="shared" si="90"/>
        <v>0</v>
      </c>
      <c r="N153" s="70">
        <f t="shared" si="91"/>
        <v>0</v>
      </c>
      <c r="O153" s="75"/>
      <c r="P153" s="75"/>
      <c r="Q153" s="71"/>
      <c r="R153" s="71"/>
      <c r="S153" s="72"/>
      <c r="T153" s="252">
        <f t="shared" ref="T153:T163" si="95">E153/C153</f>
        <v>0</v>
      </c>
      <c r="U153" s="73"/>
      <c r="V153" s="73"/>
      <c r="W153" s="73"/>
      <c r="X153" s="73"/>
      <c r="AA153" s="61">
        <f>H148</f>
        <v>18</v>
      </c>
      <c r="AB153" s="61" t="str">
        <f>E148</f>
        <v>停航</v>
      </c>
      <c r="AC153" s="74" t="s">
        <v>433</v>
      </c>
      <c r="AD153" s="61" t="str">
        <f t="shared" si="92"/>
        <v>TAO</v>
      </c>
      <c r="AE153" s="61">
        <f t="shared" si="93"/>
        <v>250</v>
      </c>
      <c r="AF153" s="61">
        <f t="shared" si="94"/>
        <v>0</v>
      </c>
    </row>
    <row r="154" spans="1:32" s="65" customFormat="1" ht="12.75" customHeight="1">
      <c r="A154" s="52" t="s">
        <v>9</v>
      </c>
      <c r="B154" s="1">
        <f>B133+7</f>
        <v>43213</v>
      </c>
      <c r="C154" s="306">
        <v>250</v>
      </c>
      <c r="D154" s="306">
        <v>3375</v>
      </c>
      <c r="E154" s="69">
        <f t="shared" si="86"/>
        <v>0</v>
      </c>
      <c r="F154" s="70">
        <f t="shared" si="87"/>
        <v>0</v>
      </c>
      <c r="G154" s="306">
        <f t="shared" si="88"/>
        <v>-250</v>
      </c>
      <c r="H154" s="306">
        <f t="shared" si="89"/>
        <v>-3375</v>
      </c>
      <c r="I154" s="75"/>
      <c r="J154" s="75"/>
      <c r="K154" s="71"/>
      <c r="L154" s="71"/>
      <c r="M154" s="70">
        <f t="shared" si="90"/>
        <v>0</v>
      </c>
      <c r="N154" s="70">
        <f t="shared" si="91"/>
        <v>0</v>
      </c>
      <c r="O154" s="75"/>
      <c r="P154" s="75"/>
      <c r="Q154" s="71"/>
      <c r="R154" s="71"/>
      <c r="S154" s="72"/>
      <c r="T154" s="252">
        <f t="shared" si="95"/>
        <v>0</v>
      </c>
      <c r="U154" s="73"/>
      <c r="V154" s="73"/>
      <c r="W154" s="73"/>
      <c r="X154" s="73"/>
      <c r="AA154" s="61">
        <f>H148</f>
        <v>18</v>
      </c>
      <c r="AB154" s="61" t="str">
        <f>E148</f>
        <v>停航</v>
      </c>
      <c r="AC154" s="74" t="s">
        <v>433</v>
      </c>
      <c r="AD154" s="61" t="str">
        <f t="shared" si="92"/>
        <v>SHA</v>
      </c>
      <c r="AE154" s="61">
        <f t="shared" si="93"/>
        <v>250</v>
      </c>
      <c r="AF154" s="61">
        <f t="shared" si="94"/>
        <v>0</v>
      </c>
    </row>
    <row r="155" spans="1:32" s="65" customFormat="1" ht="12.75" customHeight="1">
      <c r="A155" s="52" t="s">
        <v>8</v>
      </c>
      <c r="B155" s="1">
        <f>B134+7</f>
        <v>43214</v>
      </c>
      <c r="C155" s="306">
        <v>100</v>
      </c>
      <c r="D155" s="306">
        <v>1350</v>
      </c>
      <c r="E155" s="69">
        <f t="shared" si="86"/>
        <v>0</v>
      </c>
      <c r="F155" s="70">
        <f t="shared" si="87"/>
        <v>0</v>
      </c>
      <c r="G155" s="306">
        <f t="shared" si="88"/>
        <v>-100</v>
      </c>
      <c r="H155" s="306">
        <f t="shared" si="89"/>
        <v>-1350</v>
      </c>
      <c r="I155" s="71"/>
      <c r="J155" s="71"/>
      <c r="K155" s="71"/>
      <c r="L155" s="71"/>
      <c r="M155" s="70">
        <f t="shared" si="90"/>
        <v>0</v>
      </c>
      <c r="N155" s="70">
        <f t="shared" si="91"/>
        <v>0</v>
      </c>
      <c r="O155" s="71"/>
      <c r="P155" s="71"/>
      <c r="Q155" s="71"/>
      <c r="R155" s="71"/>
      <c r="S155" s="72"/>
      <c r="T155" s="252">
        <f t="shared" si="95"/>
        <v>0</v>
      </c>
      <c r="U155" s="73"/>
      <c r="V155" s="73"/>
      <c r="W155" s="73"/>
      <c r="X155" s="73"/>
      <c r="AA155" s="61">
        <f>H148</f>
        <v>18</v>
      </c>
      <c r="AB155" s="61" t="str">
        <f>E148</f>
        <v>停航</v>
      </c>
      <c r="AC155" s="74" t="s">
        <v>433</v>
      </c>
      <c r="AD155" s="61" t="str">
        <f t="shared" si="92"/>
        <v>NGB</v>
      </c>
      <c r="AE155" s="61">
        <f t="shared" si="93"/>
        <v>100</v>
      </c>
      <c r="AF155" s="61">
        <f t="shared" si="94"/>
        <v>0</v>
      </c>
    </row>
    <row r="156" spans="1:32" s="65" customFormat="1" ht="12.75" customHeight="1">
      <c r="A156" s="52" t="s">
        <v>10</v>
      </c>
      <c r="B156" s="1" t="s">
        <v>18</v>
      </c>
      <c r="C156" s="306"/>
      <c r="D156" s="306"/>
      <c r="E156" s="69">
        <f t="shared" si="86"/>
        <v>0</v>
      </c>
      <c r="F156" s="70">
        <f t="shared" si="87"/>
        <v>0</v>
      </c>
      <c r="G156" s="306">
        <f t="shared" si="88"/>
        <v>0</v>
      </c>
      <c r="H156" s="306">
        <f t="shared" si="89"/>
        <v>0</v>
      </c>
      <c r="I156" s="75"/>
      <c r="J156" s="75"/>
      <c r="K156" s="70"/>
      <c r="L156" s="70"/>
      <c r="M156" s="70">
        <f t="shared" si="90"/>
        <v>0</v>
      </c>
      <c r="N156" s="70">
        <f t="shared" si="91"/>
        <v>0</v>
      </c>
      <c r="O156" s="75"/>
      <c r="P156" s="75"/>
      <c r="Q156" s="70"/>
      <c r="R156" s="70"/>
      <c r="S156" s="72"/>
      <c r="T156" s="252" t="e">
        <f t="shared" si="95"/>
        <v>#DIV/0!</v>
      </c>
      <c r="U156" s="73"/>
      <c r="V156" s="73"/>
      <c r="W156" s="73"/>
      <c r="X156" s="73"/>
      <c r="AA156" s="61">
        <f>H148</f>
        <v>18</v>
      </c>
      <c r="AB156" s="61" t="str">
        <f>E148</f>
        <v>停航</v>
      </c>
      <c r="AC156" s="74" t="s">
        <v>433</v>
      </c>
      <c r="AD156" s="61" t="str">
        <f t="shared" si="92"/>
        <v>WUH</v>
      </c>
      <c r="AE156" s="61">
        <f t="shared" si="93"/>
        <v>0</v>
      </c>
      <c r="AF156" s="61">
        <f t="shared" si="94"/>
        <v>0</v>
      </c>
    </row>
    <row r="157" spans="1:32" s="65" customFormat="1" ht="12.75" customHeight="1">
      <c r="A157" s="52" t="s">
        <v>11</v>
      </c>
      <c r="B157" s="1" t="s">
        <v>18</v>
      </c>
      <c r="C157" s="306"/>
      <c r="D157" s="306"/>
      <c r="E157" s="69">
        <f t="shared" si="86"/>
        <v>0</v>
      </c>
      <c r="F157" s="70">
        <f t="shared" si="87"/>
        <v>0</v>
      </c>
      <c r="G157" s="306">
        <f t="shared" si="88"/>
        <v>0</v>
      </c>
      <c r="H157" s="306">
        <f t="shared" si="89"/>
        <v>0</v>
      </c>
      <c r="I157" s="70"/>
      <c r="J157" s="70"/>
      <c r="K157" s="70"/>
      <c r="L157" s="70"/>
      <c r="M157" s="70">
        <f t="shared" si="90"/>
        <v>0</v>
      </c>
      <c r="N157" s="70">
        <f t="shared" si="91"/>
        <v>0</v>
      </c>
      <c r="O157" s="75"/>
      <c r="P157" s="75"/>
      <c r="Q157" s="70"/>
      <c r="R157" s="70"/>
      <c r="S157" s="72"/>
      <c r="T157" s="252" t="e">
        <f t="shared" si="95"/>
        <v>#DIV/0!</v>
      </c>
      <c r="U157" s="73"/>
      <c r="V157" s="73"/>
      <c r="W157" s="73"/>
      <c r="X157" s="73"/>
      <c r="AA157" s="61">
        <f>H148</f>
        <v>18</v>
      </c>
      <c r="AB157" s="61" t="str">
        <f>E148</f>
        <v>停航</v>
      </c>
      <c r="AC157" s="74" t="s">
        <v>433</v>
      </c>
      <c r="AD157" s="61" t="str">
        <f t="shared" si="92"/>
        <v>DLC</v>
      </c>
      <c r="AE157" s="61">
        <f t="shared" si="93"/>
        <v>0</v>
      </c>
      <c r="AF157" s="61">
        <f t="shared" si="94"/>
        <v>0</v>
      </c>
    </row>
    <row r="158" spans="1:32" s="65" customFormat="1" ht="12.75" customHeight="1">
      <c r="A158" s="52" t="s">
        <v>12</v>
      </c>
      <c r="B158" s="1" t="s">
        <v>18</v>
      </c>
      <c r="C158" s="306"/>
      <c r="D158" s="306"/>
      <c r="E158" s="69">
        <f t="shared" si="86"/>
        <v>0</v>
      </c>
      <c r="F158" s="70">
        <f t="shared" si="87"/>
        <v>0</v>
      </c>
      <c r="G158" s="306">
        <f t="shared" si="88"/>
        <v>0</v>
      </c>
      <c r="H158" s="306">
        <f t="shared" si="89"/>
        <v>0</v>
      </c>
      <c r="I158" s="70"/>
      <c r="J158" s="70"/>
      <c r="K158" s="70"/>
      <c r="L158" s="70"/>
      <c r="M158" s="70">
        <f t="shared" si="90"/>
        <v>0</v>
      </c>
      <c r="N158" s="70">
        <f t="shared" si="91"/>
        <v>0</v>
      </c>
      <c r="O158" s="75"/>
      <c r="P158" s="75"/>
      <c r="Q158" s="76"/>
      <c r="R158" s="71"/>
      <c r="S158" s="72"/>
      <c r="T158" s="252" t="e">
        <f t="shared" si="95"/>
        <v>#DIV/0!</v>
      </c>
      <c r="U158" s="73"/>
      <c r="V158" s="73"/>
      <c r="W158" s="73"/>
      <c r="X158" s="73"/>
      <c r="AA158" s="61">
        <f>H148</f>
        <v>18</v>
      </c>
      <c r="AB158" s="61" t="str">
        <f>E148</f>
        <v>停航</v>
      </c>
      <c r="AC158" s="74" t="s">
        <v>433</v>
      </c>
      <c r="AD158" s="61" t="str">
        <f t="shared" si="92"/>
        <v>TSN</v>
      </c>
      <c r="AE158" s="61">
        <f t="shared" si="93"/>
        <v>0</v>
      </c>
      <c r="AF158" s="61">
        <f t="shared" si="94"/>
        <v>0</v>
      </c>
    </row>
    <row r="159" spans="1:32" s="65" customFormat="1" ht="12.75" customHeight="1">
      <c r="A159" s="52" t="s">
        <v>14</v>
      </c>
      <c r="B159" s="1" t="s">
        <v>18</v>
      </c>
      <c r="C159" s="306"/>
      <c r="D159" s="306"/>
      <c r="E159" s="69">
        <f t="shared" si="86"/>
        <v>0</v>
      </c>
      <c r="F159" s="70">
        <f t="shared" si="87"/>
        <v>0</v>
      </c>
      <c r="G159" s="306">
        <f t="shared" si="88"/>
        <v>0</v>
      </c>
      <c r="H159" s="306">
        <f t="shared" si="89"/>
        <v>0</v>
      </c>
      <c r="I159" s="70"/>
      <c r="J159" s="70"/>
      <c r="K159" s="70"/>
      <c r="L159" s="70"/>
      <c r="M159" s="70">
        <f t="shared" si="90"/>
        <v>0</v>
      </c>
      <c r="N159" s="70">
        <f t="shared" si="91"/>
        <v>0</v>
      </c>
      <c r="O159" s="71"/>
      <c r="P159" s="71"/>
      <c r="Q159" s="70"/>
      <c r="R159" s="70"/>
      <c r="S159" s="72"/>
      <c r="T159" s="252" t="e">
        <f t="shared" si="95"/>
        <v>#DIV/0!</v>
      </c>
      <c r="U159" s="73"/>
      <c r="V159" s="73"/>
      <c r="W159" s="73"/>
      <c r="X159" s="73"/>
      <c r="AA159" s="61">
        <f>H148</f>
        <v>18</v>
      </c>
      <c r="AB159" s="61" t="str">
        <f>E148</f>
        <v>停航</v>
      </c>
      <c r="AC159" s="74" t="s">
        <v>433</v>
      </c>
      <c r="AD159" s="61" t="str">
        <f t="shared" si="92"/>
        <v>XMN</v>
      </c>
      <c r="AE159" s="61">
        <f t="shared" si="93"/>
        <v>0</v>
      </c>
      <c r="AF159" s="61">
        <f t="shared" si="94"/>
        <v>0</v>
      </c>
    </row>
    <row r="160" spans="1:32" s="65" customFormat="1" ht="12.75" customHeight="1">
      <c r="A160" s="52" t="s">
        <v>19</v>
      </c>
      <c r="B160" s="1" t="s">
        <v>18</v>
      </c>
      <c r="C160" s="306"/>
      <c r="D160" s="306"/>
      <c r="E160" s="69">
        <f t="shared" si="86"/>
        <v>0</v>
      </c>
      <c r="F160" s="70">
        <f t="shared" si="87"/>
        <v>0</v>
      </c>
      <c r="G160" s="306">
        <f t="shared" si="88"/>
        <v>0</v>
      </c>
      <c r="H160" s="306">
        <f t="shared" si="89"/>
        <v>0</v>
      </c>
      <c r="I160" s="70"/>
      <c r="J160" s="70"/>
      <c r="K160" s="70"/>
      <c r="L160" s="70"/>
      <c r="M160" s="70">
        <f t="shared" si="90"/>
        <v>0</v>
      </c>
      <c r="N160" s="70">
        <f t="shared" si="91"/>
        <v>0</v>
      </c>
      <c r="O160" s="70"/>
      <c r="P160" s="70"/>
      <c r="Q160" s="70"/>
      <c r="R160" s="70"/>
      <c r="S160" s="72"/>
      <c r="T160" s="252" t="e">
        <f t="shared" si="95"/>
        <v>#DIV/0!</v>
      </c>
      <c r="U160" s="73"/>
      <c r="V160" s="73"/>
      <c r="W160" s="73"/>
      <c r="X160" s="73"/>
      <c r="AA160" s="61">
        <f>H148</f>
        <v>18</v>
      </c>
      <c r="AB160" s="61" t="str">
        <f>E148</f>
        <v>停航</v>
      </c>
      <c r="AC160" s="74" t="s">
        <v>433</v>
      </c>
      <c r="AD160" s="61" t="str">
        <f t="shared" si="92"/>
        <v>TWC</v>
      </c>
      <c r="AE160" s="61">
        <f t="shared" si="93"/>
        <v>0</v>
      </c>
      <c r="AF160" s="61">
        <f t="shared" si="94"/>
        <v>0</v>
      </c>
    </row>
    <row r="161" spans="1:32" s="65" customFormat="1" ht="12.75" customHeight="1">
      <c r="A161" s="52" t="s">
        <v>16</v>
      </c>
      <c r="B161" s="1">
        <f>B140+7</f>
        <v>43218</v>
      </c>
      <c r="C161" s="306">
        <v>100</v>
      </c>
      <c r="D161" s="306">
        <v>1350</v>
      </c>
      <c r="E161" s="69">
        <f>O161+Q161</f>
        <v>0</v>
      </c>
      <c r="F161" s="70">
        <f>P161+R160</f>
        <v>0</v>
      </c>
      <c r="G161" s="306">
        <f t="shared" si="88"/>
        <v>-100</v>
      </c>
      <c r="H161" s="306">
        <f t="shared" si="89"/>
        <v>-1350</v>
      </c>
      <c r="I161" s="70"/>
      <c r="J161" s="70"/>
      <c r="K161" s="70"/>
      <c r="L161" s="70"/>
      <c r="M161" s="70">
        <f t="shared" si="90"/>
        <v>0</v>
      </c>
      <c r="N161" s="70">
        <f t="shared" si="91"/>
        <v>0</v>
      </c>
      <c r="O161" s="70"/>
      <c r="P161" s="70"/>
      <c r="Q161" s="70"/>
      <c r="R161" s="84"/>
      <c r="S161" s="72"/>
      <c r="T161" s="252">
        <f t="shared" si="95"/>
        <v>0</v>
      </c>
      <c r="U161" s="73"/>
      <c r="V161" s="73"/>
      <c r="W161" s="73"/>
      <c r="X161" s="73"/>
      <c r="AA161" s="61">
        <f>H148</f>
        <v>18</v>
      </c>
      <c r="AB161" s="61" t="str">
        <f>E148</f>
        <v>停航</v>
      </c>
      <c r="AC161" s="74" t="s">
        <v>433</v>
      </c>
      <c r="AD161" s="61" t="str">
        <f t="shared" si="92"/>
        <v>HUA</v>
      </c>
      <c r="AE161" s="61">
        <f t="shared" si="93"/>
        <v>100</v>
      </c>
      <c r="AF161" s="61">
        <f t="shared" si="94"/>
        <v>0</v>
      </c>
    </row>
    <row r="162" spans="1:32" s="65" customFormat="1" ht="12.75" customHeight="1">
      <c r="A162" s="52" t="s">
        <v>68</v>
      </c>
      <c r="B162" s="1" t="s">
        <v>18</v>
      </c>
      <c r="C162" s="306"/>
      <c r="D162" s="306"/>
      <c r="E162" s="69">
        <f>O162+Q162</f>
        <v>0</v>
      </c>
      <c r="F162" s="70">
        <f>P162+R162</f>
        <v>0</v>
      </c>
      <c r="G162" s="306"/>
      <c r="H162" s="306"/>
      <c r="I162" s="70"/>
      <c r="J162" s="70"/>
      <c r="K162" s="70"/>
      <c r="L162" s="70"/>
      <c r="M162" s="70">
        <f t="shared" si="90"/>
        <v>0</v>
      </c>
      <c r="N162" s="70">
        <f t="shared" si="91"/>
        <v>0</v>
      </c>
      <c r="O162" s="70"/>
      <c r="P162" s="70"/>
      <c r="Q162" s="265"/>
      <c r="R162" s="70"/>
      <c r="S162" s="72"/>
      <c r="T162" s="252" t="e">
        <f t="shared" si="95"/>
        <v>#DIV/0!</v>
      </c>
      <c r="U162" s="73"/>
      <c r="V162" s="73"/>
      <c r="W162" s="73"/>
      <c r="X162" s="73"/>
      <c r="AA162" s="61">
        <f>H148</f>
        <v>18</v>
      </c>
      <c r="AB162" s="61" t="str">
        <f>E148</f>
        <v>停航</v>
      </c>
      <c r="AC162" s="74" t="s">
        <v>433</v>
      </c>
      <c r="AD162" s="61" t="str">
        <f t="shared" si="92"/>
        <v>GNS</v>
      </c>
      <c r="AE162" s="61">
        <f t="shared" si="93"/>
        <v>0</v>
      </c>
      <c r="AF162" s="61">
        <f t="shared" si="94"/>
        <v>0</v>
      </c>
    </row>
    <row r="163" spans="1:32" s="65" customFormat="1" ht="12.75" customHeight="1">
      <c r="A163" s="52" t="s">
        <v>3</v>
      </c>
      <c r="B163" s="1"/>
      <c r="C163" s="306">
        <v>0</v>
      </c>
      <c r="D163" s="306">
        <v>0</v>
      </c>
      <c r="E163" s="69">
        <f>O163+Q163</f>
        <v>0</v>
      </c>
      <c r="F163" s="70">
        <f>P163+R163</f>
        <v>0</v>
      </c>
      <c r="G163" s="306">
        <f t="shared" ref="G163:G166" si="96">E163-C163</f>
        <v>0</v>
      </c>
      <c r="H163" s="306">
        <f t="shared" ref="H163:H166" si="97">F163-D163</f>
        <v>0</v>
      </c>
      <c r="I163" s="70"/>
      <c r="J163" s="70"/>
      <c r="K163" s="70"/>
      <c r="L163" s="70"/>
      <c r="M163" s="70">
        <f t="shared" si="90"/>
        <v>0</v>
      </c>
      <c r="N163" s="70">
        <f t="shared" si="91"/>
        <v>0</v>
      </c>
      <c r="O163" s="306"/>
      <c r="P163" s="306"/>
      <c r="Q163" s="70"/>
      <c r="R163" s="70"/>
      <c r="S163" s="72"/>
      <c r="T163" s="252" t="e">
        <f t="shared" si="95"/>
        <v>#DIV/0!</v>
      </c>
      <c r="U163" s="73"/>
      <c r="V163" s="73"/>
      <c r="W163" s="73"/>
      <c r="X163" s="73"/>
      <c r="AA163" s="61">
        <f>H148</f>
        <v>18</v>
      </c>
      <c r="AB163" s="61" t="str">
        <f>E148</f>
        <v>停航</v>
      </c>
      <c r="AC163" s="74" t="s">
        <v>433</v>
      </c>
      <c r="AD163" s="61" t="str">
        <f t="shared" si="92"/>
        <v>SGP</v>
      </c>
      <c r="AE163" s="61">
        <f t="shared" si="93"/>
        <v>0</v>
      </c>
      <c r="AF163" s="61">
        <f t="shared" si="94"/>
        <v>0</v>
      </c>
    </row>
    <row r="164" spans="1:32" s="65" customFormat="1" ht="12.75" customHeight="1">
      <c r="A164" s="52" t="s">
        <v>436</v>
      </c>
      <c r="B164" s="1">
        <f>B143+7</f>
        <v>43223</v>
      </c>
      <c r="C164" s="306">
        <v>100</v>
      </c>
      <c r="D164" s="306">
        <v>1350</v>
      </c>
      <c r="E164" s="69">
        <f>O164+Q164</f>
        <v>0</v>
      </c>
      <c r="F164" s="70">
        <f>P164+R164</f>
        <v>0</v>
      </c>
      <c r="G164" s="306">
        <f t="shared" si="96"/>
        <v>-100</v>
      </c>
      <c r="H164" s="306">
        <f t="shared" si="97"/>
        <v>-1350</v>
      </c>
      <c r="I164" s="70"/>
      <c r="J164" s="70"/>
      <c r="K164" s="70"/>
      <c r="L164" s="70"/>
      <c r="M164" s="70">
        <f t="shared" si="90"/>
        <v>0</v>
      </c>
      <c r="N164" s="70">
        <f t="shared" si="91"/>
        <v>0</v>
      </c>
      <c r="O164" s="70"/>
      <c r="P164" s="70"/>
      <c r="Q164" s="70"/>
      <c r="R164" s="70"/>
      <c r="S164" s="72"/>
      <c r="T164" s="252">
        <f>E164/C164</f>
        <v>0</v>
      </c>
      <c r="U164" s="73"/>
      <c r="V164" s="73"/>
      <c r="W164" s="73"/>
      <c r="X164" s="73"/>
      <c r="AA164" s="61">
        <f>H148</f>
        <v>18</v>
      </c>
      <c r="AB164" s="61" t="str">
        <f>E148</f>
        <v>停航</v>
      </c>
      <c r="AC164" s="74" t="s">
        <v>433</v>
      </c>
      <c r="AD164" s="61" t="str">
        <f t="shared" si="92"/>
        <v>PKG</v>
      </c>
      <c r="AE164" s="61">
        <f t="shared" si="93"/>
        <v>100</v>
      </c>
      <c r="AF164" s="61">
        <f t="shared" si="94"/>
        <v>0</v>
      </c>
    </row>
    <row r="165" spans="1:32" s="65" customFormat="1" ht="12.75" customHeight="1">
      <c r="A165" s="52" t="s">
        <v>31</v>
      </c>
      <c r="B165" s="306"/>
      <c r="C165" s="306">
        <v>100</v>
      </c>
      <c r="D165" s="306">
        <v>1350</v>
      </c>
      <c r="E165" s="69">
        <f>O165+Q165</f>
        <v>0</v>
      </c>
      <c r="F165" s="70">
        <f>P165+R165</f>
        <v>0</v>
      </c>
      <c r="G165" s="306">
        <f t="shared" si="96"/>
        <v>-100</v>
      </c>
      <c r="H165" s="306">
        <f t="shared" si="97"/>
        <v>-1350</v>
      </c>
      <c r="I165" s="70"/>
      <c r="J165" s="70"/>
      <c r="K165" s="70"/>
      <c r="L165" s="70"/>
      <c r="M165" s="70">
        <f t="shared" si="90"/>
        <v>0</v>
      </c>
      <c r="N165" s="70">
        <f t="shared" si="91"/>
        <v>0</v>
      </c>
      <c r="O165" s="71"/>
      <c r="P165" s="71"/>
      <c r="Q165" s="71">
        <v>0</v>
      </c>
      <c r="R165" s="71"/>
      <c r="S165" s="72"/>
      <c r="T165" s="73">
        <f>E165/C165</f>
        <v>0</v>
      </c>
      <c r="U165" s="73"/>
      <c r="V165" s="73"/>
      <c r="W165" s="73"/>
      <c r="X165" s="73"/>
      <c r="AA165" s="61">
        <f>H148</f>
        <v>18</v>
      </c>
      <c r="AB165" s="61" t="str">
        <f>E148</f>
        <v>停航</v>
      </c>
      <c r="AC165" s="74" t="s">
        <v>433</v>
      </c>
      <c r="AD165" s="61" t="str">
        <f t="shared" si="92"/>
        <v>COSCO T/S</v>
      </c>
      <c r="AE165" s="61">
        <f t="shared" si="93"/>
        <v>100</v>
      </c>
      <c r="AF165" s="61">
        <f t="shared" si="94"/>
        <v>0</v>
      </c>
    </row>
    <row r="166" spans="1:32" s="65" customFormat="1" ht="12.75" customHeight="1">
      <c r="A166" s="51" t="s">
        <v>36</v>
      </c>
      <c r="B166" s="72"/>
      <c r="C166" s="71">
        <v>900</v>
      </c>
      <c r="D166" s="71">
        <f>SUM(D152:D165)</f>
        <v>12150</v>
      </c>
      <c r="E166" s="78">
        <f>SUM(E152:E165)</f>
        <v>0</v>
      </c>
      <c r="F166" s="76">
        <f>SUM(F152:F165)</f>
        <v>0</v>
      </c>
      <c r="G166" s="71">
        <f t="shared" si="96"/>
        <v>-900</v>
      </c>
      <c r="H166" s="71">
        <f t="shared" si="97"/>
        <v>-12150</v>
      </c>
      <c r="I166" s="70">
        <f t="shared" ref="I166:L166" si="98">SUM(I152:I165)</f>
        <v>0</v>
      </c>
      <c r="J166" s="70">
        <f t="shared" si="98"/>
        <v>0</v>
      </c>
      <c r="K166" s="70">
        <f t="shared" si="98"/>
        <v>0</v>
      </c>
      <c r="L166" s="70">
        <f t="shared" si="98"/>
        <v>0</v>
      </c>
      <c r="M166" s="70"/>
      <c r="N166" s="70"/>
      <c r="O166" s="70">
        <f t="shared" ref="O166:R166" si="99">SUM(O152:O165)</f>
        <v>0</v>
      </c>
      <c r="P166" s="70">
        <f t="shared" si="99"/>
        <v>0</v>
      </c>
      <c r="Q166" s="70">
        <f t="shared" si="99"/>
        <v>0</v>
      </c>
      <c r="R166" s="70">
        <f t="shared" si="99"/>
        <v>0</v>
      </c>
      <c r="S166" s="72"/>
      <c r="T166" s="73"/>
      <c r="U166" s="73"/>
      <c r="V166" s="73"/>
      <c r="W166" s="73"/>
      <c r="X166" s="73"/>
      <c r="AA166" s="61"/>
      <c r="AB166" s="61"/>
      <c r="AC166" s="61"/>
      <c r="AD166" s="61"/>
      <c r="AE166" s="61"/>
      <c r="AF166" s="61"/>
    </row>
    <row r="167" spans="1:32" s="65" customFormat="1" ht="12.75" customHeight="1">
      <c r="A167" s="84">
        <f>D166/C166</f>
        <v>13.5</v>
      </c>
      <c r="C167" s="307">
        <f>F166-E167</f>
        <v>-10935</v>
      </c>
      <c r="E167" s="65">
        <f>D166*0.9</f>
        <v>10935</v>
      </c>
      <c r="F167" s="307">
        <f>E166-L167</f>
        <v>-810</v>
      </c>
      <c r="I167" s="80" t="s">
        <v>48</v>
      </c>
      <c r="J167" s="245">
        <f>E166/C166</f>
        <v>0</v>
      </c>
      <c r="K167" s="80"/>
      <c r="L167" s="80">
        <f>C166*0.9</f>
        <v>810</v>
      </c>
      <c r="M167" s="80"/>
      <c r="N167" s="80"/>
      <c r="O167" s="80" t="s">
        <v>49</v>
      </c>
      <c r="P167" s="80"/>
      <c r="Q167" s="65">
        <f>P153+P154+P156+P157+P158+J153+J154+L153+L154+J156+R156</f>
        <v>0</v>
      </c>
      <c r="R167" s="65">
        <v>16856</v>
      </c>
      <c r="AA167" s="81"/>
      <c r="AB167" s="81"/>
      <c r="AC167" s="81"/>
      <c r="AD167" s="81"/>
      <c r="AE167" s="81"/>
      <c r="AF167" s="81"/>
    </row>
    <row r="169" spans="1:32" s="63" customFormat="1" ht="12.75" customHeight="1">
      <c r="A169" s="59" t="s">
        <v>433</v>
      </c>
      <c r="B169" s="270" t="s">
        <v>641</v>
      </c>
      <c r="C169" s="56"/>
      <c r="D169" s="57"/>
      <c r="E169" s="270" t="s">
        <v>640</v>
      </c>
      <c r="F169" s="57"/>
      <c r="G169" s="59" t="s">
        <v>37</v>
      </c>
      <c r="H169" s="60">
        <f>H148+1</f>
        <v>19</v>
      </c>
      <c r="I169" s="57"/>
      <c r="J169" s="286"/>
      <c r="K169" s="57"/>
      <c r="L169" s="57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2"/>
      <c r="Z169" s="62"/>
      <c r="AA169" s="62"/>
      <c r="AB169" s="62"/>
      <c r="AC169" s="62"/>
    </row>
    <row r="170" spans="1:32" s="65" customFormat="1" ht="12.75" customHeight="1">
      <c r="A170" s="340" t="s">
        <v>0</v>
      </c>
      <c r="B170" s="336" t="s">
        <v>1</v>
      </c>
      <c r="C170" s="331" t="s">
        <v>25</v>
      </c>
      <c r="D170" s="332"/>
      <c r="E170" s="331" t="s">
        <v>21</v>
      </c>
      <c r="F170" s="332"/>
      <c r="G170" s="335" t="s">
        <v>24</v>
      </c>
      <c r="H170" s="335"/>
      <c r="I170" s="328" t="s">
        <v>33</v>
      </c>
      <c r="J170" s="329"/>
      <c r="K170" s="329"/>
      <c r="L170" s="329"/>
      <c r="M170" s="329"/>
      <c r="N170" s="330"/>
      <c r="O170" s="331" t="s">
        <v>22</v>
      </c>
      <c r="P170" s="332"/>
      <c r="Q170" s="335" t="s">
        <v>23</v>
      </c>
      <c r="R170" s="335"/>
      <c r="S170" s="336" t="s">
        <v>27</v>
      </c>
      <c r="T170" s="64"/>
      <c r="U170" s="64"/>
      <c r="V170" s="64"/>
      <c r="W170" s="64"/>
      <c r="X170" s="64"/>
      <c r="Y170" s="339"/>
      <c r="Z170" s="327"/>
      <c r="AA170" s="61"/>
      <c r="AB170" s="61"/>
      <c r="AC170" s="74"/>
      <c r="AD170" s="61"/>
      <c r="AE170" s="61"/>
      <c r="AF170" s="61"/>
    </row>
    <row r="171" spans="1:32" s="65" customFormat="1" ht="12.75" customHeight="1">
      <c r="A171" s="341"/>
      <c r="B171" s="337"/>
      <c r="C171" s="333"/>
      <c r="D171" s="334"/>
      <c r="E171" s="333"/>
      <c r="F171" s="334"/>
      <c r="G171" s="335"/>
      <c r="H171" s="335"/>
      <c r="I171" s="323" t="s">
        <v>28</v>
      </c>
      <c r="J171" s="324" t="s">
        <v>3</v>
      </c>
      <c r="K171" s="323" t="s">
        <v>29</v>
      </c>
      <c r="L171" s="324" t="s">
        <v>4</v>
      </c>
      <c r="M171" s="328" t="s">
        <v>30</v>
      </c>
      <c r="N171" s="330"/>
      <c r="O171" s="333"/>
      <c r="P171" s="334"/>
      <c r="Q171" s="335"/>
      <c r="R171" s="335"/>
      <c r="S171" s="337"/>
      <c r="T171" s="64"/>
      <c r="U171" s="64"/>
      <c r="V171" s="64"/>
      <c r="W171" s="64"/>
      <c r="X171" s="64"/>
      <c r="Y171" s="339"/>
      <c r="Z171" s="327"/>
      <c r="AA171" s="61"/>
      <c r="AB171" s="61"/>
      <c r="AC171" s="74"/>
      <c r="AD171" s="61"/>
      <c r="AE171" s="61"/>
      <c r="AF171" s="61"/>
    </row>
    <row r="172" spans="1:32" s="65" customFormat="1" ht="12.75" customHeight="1">
      <c r="A172" s="342"/>
      <c r="B172" s="338"/>
      <c r="C172" s="325" t="s">
        <v>5</v>
      </c>
      <c r="D172" s="325" t="s">
        <v>6</v>
      </c>
      <c r="E172" s="324" t="s">
        <v>5</v>
      </c>
      <c r="F172" s="325" t="s">
        <v>6</v>
      </c>
      <c r="G172" s="325" t="s">
        <v>5</v>
      </c>
      <c r="H172" s="325" t="s">
        <v>6</v>
      </c>
      <c r="I172" s="324" t="s">
        <v>5</v>
      </c>
      <c r="J172" s="325" t="s">
        <v>6</v>
      </c>
      <c r="K172" s="324" t="s">
        <v>5</v>
      </c>
      <c r="L172" s="325" t="s">
        <v>6</v>
      </c>
      <c r="M172" s="325"/>
      <c r="N172" s="325"/>
      <c r="O172" s="324" t="s">
        <v>5</v>
      </c>
      <c r="P172" s="325" t="s">
        <v>6</v>
      </c>
      <c r="Q172" s="325" t="s">
        <v>5</v>
      </c>
      <c r="R172" s="325" t="s">
        <v>6</v>
      </c>
      <c r="S172" s="338"/>
      <c r="T172" s="64"/>
      <c r="U172" s="64"/>
      <c r="V172" s="64"/>
      <c r="W172" s="64"/>
      <c r="X172" s="64"/>
      <c r="Y172" s="339"/>
      <c r="Z172" s="327"/>
      <c r="AA172" s="61" t="s">
        <v>43</v>
      </c>
      <c r="AB172" s="61" t="s">
        <v>45</v>
      </c>
      <c r="AC172" s="61" t="s">
        <v>46</v>
      </c>
      <c r="AD172" s="61" t="s">
        <v>42</v>
      </c>
      <c r="AE172" s="61" t="s">
        <v>41</v>
      </c>
      <c r="AF172" s="61" t="s">
        <v>44</v>
      </c>
    </row>
    <row r="173" spans="1:32" s="65" customFormat="1" ht="12.75" customHeight="1">
      <c r="A173" s="51" t="s">
        <v>7</v>
      </c>
      <c r="B173" s="325" t="s">
        <v>18</v>
      </c>
      <c r="C173" s="325">
        <v>0</v>
      </c>
      <c r="D173" s="325">
        <v>0</v>
      </c>
      <c r="E173" s="69">
        <f t="shared" ref="E173:E181" si="100">O173+Q173</f>
        <v>0</v>
      </c>
      <c r="F173" s="70">
        <f t="shared" ref="F173:F181" si="101">P173+R173</f>
        <v>0</v>
      </c>
      <c r="G173" s="325">
        <f t="shared" ref="G173:G182" si="102">E173-C173</f>
        <v>0</v>
      </c>
      <c r="H173" s="325">
        <f t="shared" ref="H173:H182" si="103">F173-D173</f>
        <v>0</v>
      </c>
      <c r="I173" s="70"/>
      <c r="J173" s="70"/>
      <c r="K173" s="70"/>
      <c r="L173" s="70"/>
      <c r="M173" s="70">
        <f t="shared" ref="M173:M186" si="104">I173+K173</f>
        <v>0</v>
      </c>
      <c r="N173" s="70">
        <f t="shared" ref="N173:N186" si="105">J173+L173</f>
        <v>0</v>
      </c>
      <c r="O173" s="71"/>
      <c r="P173" s="71"/>
      <c r="Q173" s="70"/>
      <c r="R173" s="70"/>
      <c r="S173" s="72"/>
      <c r="T173" s="252" t="e">
        <f>E173/C173</f>
        <v>#DIV/0!</v>
      </c>
      <c r="U173" s="73"/>
      <c r="V173" s="73"/>
      <c r="W173" s="73"/>
      <c r="X173" s="73"/>
      <c r="Y173" s="339"/>
      <c r="Z173" s="327"/>
      <c r="AA173" s="61">
        <f>H169</f>
        <v>19</v>
      </c>
      <c r="AB173" s="61" t="str">
        <f>E169</f>
        <v>CI2-CAN-039 W</v>
      </c>
      <c r="AC173" s="74" t="s">
        <v>433</v>
      </c>
      <c r="AD173" s="61" t="str">
        <f t="shared" ref="AD173:AD186" si="106">A173</f>
        <v>KR</v>
      </c>
      <c r="AE173" s="61">
        <f t="shared" ref="AE173:AE186" si="107">C173</f>
        <v>0</v>
      </c>
      <c r="AF173" s="61">
        <f t="shared" ref="AF173:AF186" si="108">E173</f>
        <v>0</v>
      </c>
    </row>
    <row r="174" spans="1:32" s="65" customFormat="1" ht="12.75" customHeight="1">
      <c r="A174" s="52" t="s">
        <v>13</v>
      </c>
      <c r="B174" s="1">
        <f>B153+7</f>
        <v>43217</v>
      </c>
      <c r="C174" s="325">
        <v>250</v>
      </c>
      <c r="D174" s="325">
        <v>3375</v>
      </c>
      <c r="E174" s="69">
        <f t="shared" si="100"/>
        <v>142</v>
      </c>
      <c r="F174" s="70">
        <f t="shared" si="101"/>
        <v>2595</v>
      </c>
      <c r="G174" s="325">
        <f t="shared" si="102"/>
        <v>-108</v>
      </c>
      <c r="H174" s="325">
        <f t="shared" si="103"/>
        <v>-780</v>
      </c>
      <c r="I174" s="75"/>
      <c r="J174" s="75"/>
      <c r="K174" s="70"/>
      <c r="L174" s="70"/>
      <c r="M174" s="70">
        <f t="shared" si="104"/>
        <v>0</v>
      </c>
      <c r="N174" s="70">
        <f t="shared" si="105"/>
        <v>0</v>
      </c>
      <c r="O174" s="75">
        <v>142</v>
      </c>
      <c r="P174" s="75">
        <v>2595</v>
      </c>
      <c r="Q174" s="71"/>
      <c r="R174" s="71"/>
      <c r="S174" s="72"/>
      <c r="T174" s="252">
        <f t="shared" ref="T174:T184" si="109">E174/C174</f>
        <v>0.56799999999999995</v>
      </c>
      <c r="U174" s="73"/>
      <c r="V174" s="73"/>
      <c r="W174" s="73"/>
      <c r="X174" s="73"/>
      <c r="AA174" s="61">
        <f>H169</f>
        <v>19</v>
      </c>
      <c r="AB174" s="61" t="str">
        <f>E169</f>
        <v>CI2-CAN-039 W</v>
      </c>
      <c r="AC174" s="74" t="s">
        <v>433</v>
      </c>
      <c r="AD174" s="61" t="str">
        <f t="shared" si="106"/>
        <v>TAO</v>
      </c>
      <c r="AE174" s="61">
        <f t="shared" si="107"/>
        <v>250</v>
      </c>
      <c r="AF174" s="61">
        <f t="shared" si="108"/>
        <v>142</v>
      </c>
    </row>
    <row r="175" spans="1:32" s="65" customFormat="1" ht="12.75" customHeight="1">
      <c r="A175" s="52" t="s">
        <v>9</v>
      </c>
      <c r="B175" s="1">
        <f>B154+7</f>
        <v>43220</v>
      </c>
      <c r="C175" s="325">
        <v>250</v>
      </c>
      <c r="D175" s="325">
        <v>3375</v>
      </c>
      <c r="E175" s="69">
        <f t="shared" si="100"/>
        <v>20</v>
      </c>
      <c r="F175" s="70">
        <f t="shared" si="101"/>
        <v>197</v>
      </c>
      <c r="G175" s="325">
        <f t="shared" si="102"/>
        <v>-230</v>
      </c>
      <c r="H175" s="325">
        <f t="shared" si="103"/>
        <v>-3178</v>
      </c>
      <c r="I175" s="75"/>
      <c r="J175" s="75"/>
      <c r="K175" s="71"/>
      <c r="L175" s="71"/>
      <c r="M175" s="70">
        <f t="shared" si="104"/>
        <v>0</v>
      </c>
      <c r="N175" s="70">
        <f t="shared" si="105"/>
        <v>0</v>
      </c>
      <c r="O175" s="75">
        <v>20</v>
      </c>
      <c r="P175" s="75">
        <v>197</v>
      </c>
      <c r="Q175" s="71"/>
      <c r="R175" s="71"/>
      <c r="S175" s="72"/>
      <c r="T175" s="252">
        <f t="shared" si="109"/>
        <v>0.08</v>
      </c>
      <c r="U175" s="73"/>
      <c r="V175" s="73"/>
      <c r="W175" s="73"/>
      <c r="X175" s="73"/>
      <c r="AA175" s="61">
        <f>H169</f>
        <v>19</v>
      </c>
      <c r="AB175" s="61" t="str">
        <f>E169</f>
        <v>CI2-CAN-039 W</v>
      </c>
      <c r="AC175" s="74" t="s">
        <v>433</v>
      </c>
      <c r="AD175" s="61" t="str">
        <f t="shared" si="106"/>
        <v>SHA</v>
      </c>
      <c r="AE175" s="61">
        <f t="shared" si="107"/>
        <v>250</v>
      </c>
      <c r="AF175" s="61">
        <f t="shared" si="108"/>
        <v>20</v>
      </c>
    </row>
    <row r="176" spans="1:32" s="65" customFormat="1" ht="12.75" customHeight="1">
      <c r="A176" s="52" t="s">
        <v>8</v>
      </c>
      <c r="B176" s="1">
        <f>B155+7</f>
        <v>43221</v>
      </c>
      <c r="C176" s="325">
        <v>100</v>
      </c>
      <c r="D176" s="325">
        <v>1350</v>
      </c>
      <c r="E176" s="69">
        <f t="shared" si="100"/>
        <v>0</v>
      </c>
      <c r="F176" s="70">
        <f t="shared" si="101"/>
        <v>0</v>
      </c>
      <c r="G176" s="325">
        <f t="shared" si="102"/>
        <v>-100</v>
      </c>
      <c r="H176" s="325">
        <f t="shared" si="103"/>
        <v>-1350</v>
      </c>
      <c r="I176" s="71"/>
      <c r="J176" s="71"/>
      <c r="K176" s="71"/>
      <c r="L176" s="71"/>
      <c r="M176" s="70">
        <f t="shared" si="104"/>
        <v>0</v>
      </c>
      <c r="N176" s="70">
        <f t="shared" si="105"/>
        <v>0</v>
      </c>
      <c r="O176" s="71"/>
      <c r="P176" s="71"/>
      <c r="Q176" s="71"/>
      <c r="R176" s="71"/>
      <c r="S176" s="72"/>
      <c r="T176" s="252">
        <f t="shared" si="109"/>
        <v>0</v>
      </c>
      <c r="U176" s="73"/>
      <c r="V176" s="73"/>
      <c r="W176" s="73"/>
      <c r="X176" s="73"/>
      <c r="AA176" s="61">
        <f>H169</f>
        <v>19</v>
      </c>
      <c r="AB176" s="61" t="str">
        <f>E169</f>
        <v>CI2-CAN-039 W</v>
      </c>
      <c r="AC176" s="74" t="s">
        <v>433</v>
      </c>
      <c r="AD176" s="61" t="str">
        <f t="shared" si="106"/>
        <v>NGB</v>
      </c>
      <c r="AE176" s="61">
        <f t="shared" si="107"/>
        <v>100</v>
      </c>
      <c r="AF176" s="61">
        <f t="shared" si="108"/>
        <v>0</v>
      </c>
    </row>
    <row r="177" spans="1:32" s="65" customFormat="1" ht="12.75" customHeight="1">
      <c r="A177" s="52" t="s">
        <v>10</v>
      </c>
      <c r="B177" s="1" t="s">
        <v>18</v>
      </c>
      <c r="C177" s="325"/>
      <c r="D177" s="325"/>
      <c r="E177" s="69">
        <f t="shared" si="100"/>
        <v>1</v>
      </c>
      <c r="F177" s="70">
        <f t="shared" si="101"/>
        <v>21</v>
      </c>
      <c r="G177" s="325">
        <f t="shared" si="102"/>
        <v>1</v>
      </c>
      <c r="H177" s="325">
        <f t="shared" si="103"/>
        <v>21</v>
      </c>
      <c r="I177" s="75"/>
      <c r="J177" s="75"/>
      <c r="K177" s="70"/>
      <c r="L177" s="70"/>
      <c r="M177" s="70">
        <f t="shared" si="104"/>
        <v>0</v>
      </c>
      <c r="N177" s="70">
        <f t="shared" si="105"/>
        <v>0</v>
      </c>
      <c r="O177" s="75">
        <v>1</v>
      </c>
      <c r="P177" s="75">
        <v>21</v>
      </c>
      <c r="Q177" s="70"/>
      <c r="R177" s="70"/>
      <c r="S177" s="72"/>
      <c r="T177" s="252" t="e">
        <f t="shared" si="109"/>
        <v>#DIV/0!</v>
      </c>
      <c r="U177" s="73"/>
      <c r="V177" s="73"/>
      <c r="W177" s="73"/>
      <c r="X177" s="73"/>
      <c r="AA177" s="61">
        <f>H169</f>
        <v>19</v>
      </c>
      <c r="AB177" s="61" t="str">
        <f>E169</f>
        <v>CI2-CAN-039 W</v>
      </c>
      <c r="AC177" s="74" t="s">
        <v>433</v>
      </c>
      <c r="AD177" s="61" t="str">
        <f t="shared" si="106"/>
        <v>WUH</v>
      </c>
      <c r="AE177" s="61">
        <f t="shared" si="107"/>
        <v>0</v>
      </c>
      <c r="AF177" s="61">
        <f t="shared" si="108"/>
        <v>1</v>
      </c>
    </row>
    <row r="178" spans="1:32" s="65" customFormat="1" ht="12.75" customHeight="1">
      <c r="A178" s="52" t="s">
        <v>11</v>
      </c>
      <c r="B178" s="1" t="s">
        <v>18</v>
      </c>
      <c r="C178" s="325"/>
      <c r="D178" s="325"/>
      <c r="E178" s="69">
        <f t="shared" si="100"/>
        <v>0</v>
      </c>
      <c r="F178" s="70">
        <f t="shared" si="101"/>
        <v>0</v>
      </c>
      <c r="G178" s="325">
        <f t="shared" si="102"/>
        <v>0</v>
      </c>
      <c r="H178" s="325">
        <f t="shared" si="103"/>
        <v>0</v>
      </c>
      <c r="I178" s="70"/>
      <c r="J178" s="70"/>
      <c r="K178" s="70"/>
      <c r="L178" s="70"/>
      <c r="M178" s="70">
        <f t="shared" si="104"/>
        <v>0</v>
      </c>
      <c r="N178" s="70">
        <f t="shared" si="105"/>
        <v>0</v>
      </c>
      <c r="O178" s="75"/>
      <c r="P178" s="75"/>
      <c r="Q178" s="70"/>
      <c r="R178" s="70"/>
      <c r="S178" s="72"/>
      <c r="T178" s="252" t="e">
        <f t="shared" si="109"/>
        <v>#DIV/0!</v>
      </c>
      <c r="U178" s="73"/>
      <c r="V178" s="73"/>
      <c r="W178" s="73"/>
      <c r="X178" s="73"/>
      <c r="AA178" s="61">
        <f>H169</f>
        <v>19</v>
      </c>
      <c r="AB178" s="61" t="str">
        <f>E169</f>
        <v>CI2-CAN-039 W</v>
      </c>
      <c r="AC178" s="74" t="s">
        <v>433</v>
      </c>
      <c r="AD178" s="61" t="str">
        <f t="shared" si="106"/>
        <v>DLC</v>
      </c>
      <c r="AE178" s="61">
        <f t="shared" si="107"/>
        <v>0</v>
      </c>
      <c r="AF178" s="61">
        <f t="shared" si="108"/>
        <v>0</v>
      </c>
    </row>
    <row r="179" spans="1:32" s="65" customFormat="1" ht="12.75" customHeight="1">
      <c r="A179" s="52" t="s">
        <v>12</v>
      </c>
      <c r="B179" s="1" t="s">
        <v>18</v>
      </c>
      <c r="C179" s="325"/>
      <c r="D179" s="325"/>
      <c r="E179" s="69">
        <f t="shared" si="100"/>
        <v>0</v>
      </c>
      <c r="F179" s="70">
        <f t="shared" si="101"/>
        <v>0</v>
      </c>
      <c r="G179" s="325">
        <f t="shared" si="102"/>
        <v>0</v>
      </c>
      <c r="H179" s="325">
        <f t="shared" si="103"/>
        <v>0</v>
      </c>
      <c r="I179" s="70"/>
      <c r="J179" s="70"/>
      <c r="K179" s="70"/>
      <c r="L179" s="70"/>
      <c r="M179" s="70">
        <f t="shared" si="104"/>
        <v>0</v>
      </c>
      <c r="N179" s="70">
        <f t="shared" si="105"/>
        <v>0</v>
      </c>
      <c r="O179" s="75"/>
      <c r="P179" s="75"/>
      <c r="Q179" s="76"/>
      <c r="R179" s="71"/>
      <c r="S179" s="72"/>
      <c r="T179" s="252" t="e">
        <f t="shared" si="109"/>
        <v>#DIV/0!</v>
      </c>
      <c r="U179" s="73"/>
      <c r="V179" s="73"/>
      <c r="W179" s="73"/>
      <c r="X179" s="73"/>
      <c r="AA179" s="61">
        <f>H169</f>
        <v>19</v>
      </c>
      <c r="AB179" s="61" t="str">
        <f>E169</f>
        <v>CI2-CAN-039 W</v>
      </c>
      <c r="AC179" s="74" t="s">
        <v>433</v>
      </c>
      <c r="AD179" s="61" t="str">
        <f t="shared" si="106"/>
        <v>TSN</v>
      </c>
      <c r="AE179" s="61">
        <f t="shared" si="107"/>
        <v>0</v>
      </c>
      <c r="AF179" s="61">
        <f t="shared" si="108"/>
        <v>0</v>
      </c>
    </row>
    <row r="180" spans="1:32" s="65" customFormat="1" ht="12.75" customHeight="1">
      <c r="A180" s="52" t="s">
        <v>14</v>
      </c>
      <c r="B180" s="1" t="s">
        <v>18</v>
      </c>
      <c r="C180" s="325"/>
      <c r="D180" s="325"/>
      <c r="E180" s="69">
        <f t="shared" si="100"/>
        <v>0</v>
      </c>
      <c r="F180" s="70">
        <f t="shared" si="101"/>
        <v>0</v>
      </c>
      <c r="G180" s="325">
        <f t="shared" si="102"/>
        <v>0</v>
      </c>
      <c r="H180" s="325">
        <f t="shared" si="103"/>
        <v>0</v>
      </c>
      <c r="I180" s="70"/>
      <c r="J180" s="70"/>
      <c r="K180" s="70"/>
      <c r="L180" s="70"/>
      <c r="M180" s="70">
        <f t="shared" si="104"/>
        <v>0</v>
      </c>
      <c r="N180" s="70">
        <f t="shared" si="105"/>
        <v>0</v>
      </c>
      <c r="O180" s="71"/>
      <c r="P180" s="71"/>
      <c r="Q180" s="70"/>
      <c r="R180" s="70"/>
      <c r="S180" s="72"/>
      <c r="T180" s="252" t="e">
        <f t="shared" si="109"/>
        <v>#DIV/0!</v>
      </c>
      <c r="U180" s="73"/>
      <c r="V180" s="73"/>
      <c r="W180" s="73"/>
      <c r="X180" s="73"/>
      <c r="AA180" s="61">
        <f>H169</f>
        <v>19</v>
      </c>
      <c r="AB180" s="61" t="str">
        <f>E169</f>
        <v>CI2-CAN-039 W</v>
      </c>
      <c r="AC180" s="74" t="s">
        <v>433</v>
      </c>
      <c r="AD180" s="61" t="str">
        <f t="shared" si="106"/>
        <v>XMN</v>
      </c>
      <c r="AE180" s="61">
        <f t="shared" si="107"/>
        <v>0</v>
      </c>
      <c r="AF180" s="61">
        <f t="shared" si="108"/>
        <v>0</v>
      </c>
    </row>
    <row r="181" spans="1:32" s="65" customFormat="1" ht="12.75" customHeight="1">
      <c r="A181" s="52" t="s">
        <v>19</v>
      </c>
      <c r="B181" s="1" t="s">
        <v>18</v>
      </c>
      <c r="C181" s="325"/>
      <c r="D181" s="325"/>
      <c r="E181" s="69">
        <f t="shared" si="100"/>
        <v>0</v>
      </c>
      <c r="F181" s="70">
        <f t="shared" si="101"/>
        <v>0</v>
      </c>
      <c r="G181" s="325">
        <f t="shared" si="102"/>
        <v>0</v>
      </c>
      <c r="H181" s="325">
        <f t="shared" si="103"/>
        <v>0</v>
      </c>
      <c r="I181" s="70"/>
      <c r="J181" s="70"/>
      <c r="K181" s="70"/>
      <c r="L181" s="70"/>
      <c r="M181" s="70">
        <f t="shared" si="104"/>
        <v>0</v>
      </c>
      <c r="N181" s="70">
        <f t="shared" si="105"/>
        <v>0</v>
      </c>
      <c r="O181" s="70"/>
      <c r="P181" s="70"/>
      <c r="Q181" s="70"/>
      <c r="R181" s="70"/>
      <c r="S181" s="72"/>
      <c r="T181" s="252" t="e">
        <f t="shared" si="109"/>
        <v>#DIV/0!</v>
      </c>
      <c r="U181" s="73"/>
      <c r="V181" s="73"/>
      <c r="W181" s="73"/>
      <c r="X181" s="73"/>
      <c r="AA181" s="61">
        <f>H169</f>
        <v>19</v>
      </c>
      <c r="AB181" s="61" t="str">
        <f>E169</f>
        <v>CI2-CAN-039 W</v>
      </c>
      <c r="AC181" s="74" t="s">
        <v>433</v>
      </c>
      <c r="AD181" s="61" t="str">
        <f t="shared" si="106"/>
        <v>TWC</v>
      </c>
      <c r="AE181" s="61">
        <f t="shared" si="107"/>
        <v>0</v>
      </c>
      <c r="AF181" s="61">
        <f t="shared" si="108"/>
        <v>0</v>
      </c>
    </row>
    <row r="182" spans="1:32" s="65" customFormat="1" ht="12.75" customHeight="1">
      <c r="A182" s="52" t="s">
        <v>16</v>
      </c>
      <c r="B182" s="1">
        <f>B161+7</f>
        <v>43225</v>
      </c>
      <c r="C182" s="325">
        <v>100</v>
      </c>
      <c r="D182" s="325">
        <v>1350</v>
      </c>
      <c r="E182" s="69">
        <f>O182+Q182</f>
        <v>0</v>
      </c>
      <c r="F182" s="70">
        <f>P182+R181</f>
        <v>0</v>
      </c>
      <c r="G182" s="325">
        <f t="shared" si="102"/>
        <v>-100</v>
      </c>
      <c r="H182" s="325">
        <f t="shared" si="103"/>
        <v>-1350</v>
      </c>
      <c r="I182" s="70"/>
      <c r="J182" s="70"/>
      <c r="K182" s="70"/>
      <c r="L182" s="70"/>
      <c r="M182" s="70">
        <f t="shared" si="104"/>
        <v>0</v>
      </c>
      <c r="N182" s="70">
        <f t="shared" si="105"/>
        <v>0</v>
      </c>
      <c r="O182" s="70"/>
      <c r="P182" s="70"/>
      <c r="Q182" s="70"/>
      <c r="R182" s="84"/>
      <c r="S182" s="72"/>
      <c r="T182" s="252">
        <f t="shared" si="109"/>
        <v>0</v>
      </c>
      <c r="U182" s="73"/>
      <c r="V182" s="73"/>
      <c r="W182" s="73"/>
      <c r="X182" s="73"/>
      <c r="AA182" s="61">
        <f>H169</f>
        <v>19</v>
      </c>
      <c r="AB182" s="61" t="str">
        <f>E169</f>
        <v>CI2-CAN-039 W</v>
      </c>
      <c r="AC182" s="74" t="s">
        <v>433</v>
      </c>
      <c r="AD182" s="61" t="str">
        <f t="shared" si="106"/>
        <v>HUA</v>
      </c>
      <c r="AE182" s="61">
        <f t="shared" si="107"/>
        <v>100</v>
      </c>
      <c r="AF182" s="61">
        <f t="shared" si="108"/>
        <v>0</v>
      </c>
    </row>
    <row r="183" spans="1:32" s="65" customFormat="1" ht="12.75" customHeight="1">
      <c r="A183" s="52" t="s">
        <v>68</v>
      </c>
      <c r="B183" s="1" t="s">
        <v>18</v>
      </c>
      <c r="C183" s="325"/>
      <c r="D183" s="325"/>
      <c r="E183" s="69">
        <f>O183+Q183</f>
        <v>0</v>
      </c>
      <c r="F183" s="70">
        <f>P183+R183</f>
        <v>0</v>
      </c>
      <c r="G183" s="325"/>
      <c r="H183" s="325"/>
      <c r="I183" s="70"/>
      <c r="J183" s="70"/>
      <c r="K183" s="70"/>
      <c r="L183" s="70"/>
      <c r="M183" s="70">
        <f t="shared" si="104"/>
        <v>0</v>
      </c>
      <c r="N183" s="70">
        <f t="shared" si="105"/>
        <v>0</v>
      </c>
      <c r="O183" s="70"/>
      <c r="P183" s="70"/>
      <c r="Q183" s="265"/>
      <c r="R183" s="70"/>
      <c r="S183" s="72"/>
      <c r="T183" s="252" t="e">
        <f t="shared" si="109"/>
        <v>#DIV/0!</v>
      </c>
      <c r="U183" s="73"/>
      <c r="V183" s="73"/>
      <c r="W183" s="73"/>
      <c r="X183" s="73"/>
      <c r="AA183" s="61">
        <f>H169</f>
        <v>19</v>
      </c>
      <c r="AB183" s="61" t="str">
        <f>E169</f>
        <v>CI2-CAN-039 W</v>
      </c>
      <c r="AC183" s="74" t="s">
        <v>433</v>
      </c>
      <c r="AD183" s="61" t="str">
        <f t="shared" si="106"/>
        <v>GNS</v>
      </c>
      <c r="AE183" s="61">
        <f t="shared" si="107"/>
        <v>0</v>
      </c>
      <c r="AF183" s="61">
        <f t="shared" si="108"/>
        <v>0</v>
      </c>
    </row>
    <row r="184" spans="1:32" s="65" customFormat="1" ht="12.75" customHeight="1">
      <c r="A184" s="52" t="s">
        <v>3</v>
      </c>
      <c r="B184" s="1"/>
      <c r="C184" s="325">
        <v>0</v>
      </c>
      <c r="D184" s="325">
        <v>0</v>
      </c>
      <c r="E184" s="69">
        <f>O184+Q184</f>
        <v>0</v>
      </c>
      <c r="F184" s="70">
        <f>P184+R184</f>
        <v>0</v>
      </c>
      <c r="G184" s="325">
        <f t="shared" ref="G184:G187" si="110">E184-C184</f>
        <v>0</v>
      </c>
      <c r="H184" s="325">
        <f t="shared" ref="H184:H187" si="111">F184-D184</f>
        <v>0</v>
      </c>
      <c r="I184" s="70"/>
      <c r="J184" s="70"/>
      <c r="K184" s="70"/>
      <c r="L184" s="70"/>
      <c r="M184" s="70">
        <f t="shared" si="104"/>
        <v>0</v>
      </c>
      <c r="N184" s="70">
        <f t="shared" si="105"/>
        <v>0</v>
      </c>
      <c r="O184" s="325"/>
      <c r="P184" s="325"/>
      <c r="Q184" s="70"/>
      <c r="R184" s="70"/>
      <c r="S184" s="72"/>
      <c r="T184" s="252" t="e">
        <f t="shared" si="109"/>
        <v>#DIV/0!</v>
      </c>
      <c r="U184" s="73"/>
      <c r="V184" s="73"/>
      <c r="W184" s="73"/>
      <c r="X184" s="73"/>
      <c r="AA184" s="61">
        <f>H169</f>
        <v>19</v>
      </c>
      <c r="AB184" s="61" t="str">
        <f>E169</f>
        <v>CI2-CAN-039 W</v>
      </c>
      <c r="AC184" s="74" t="s">
        <v>433</v>
      </c>
      <c r="AD184" s="61" t="str">
        <f t="shared" si="106"/>
        <v>SGP</v>
      </c>
      <c r="AE184" s="61">
        <f t="shared" si="107"/>
        <v>0</v>
      </c>
      <c r="AF184" s="61">
        <f t="shared" si="108"/>
        <v>0</v>
      </c>
    </row>
    <row r="185" spans="1:32" s="65" customFormat="1" ht="12.75" customHeight="1">
      <c r="A185" s="52" t="s">
        <v>436</v>
      </c>
      <c r="B185" s="1">
        <f>B164+7</f>
        <v>43230</v>
      </c>
      <c r="C185" s="325">
        <v>100</v>
      </c>
      <c r="D185" s="325">
        <v>1350</v>
      </c>
      <c r="E185" s="69">
        <f>O185+Q185</f>
        <v>100</v>
      </c>
      <c r="F185" s="70">
        <f>P185+R185</f>
        <v>1350</v>
      </c>
      <c r="G185" s="325">
        <f t="shared" si="110"/>
        <v>0</v>
      </c>
      <c r="H185" s="325">
        <f t="shared" si="111"/>
        <v>0</v>
      </c>
      <c r="I185" s="70"/>
      <c r="J185" s="70"/>
      <c r="K185" s="70"/>
      <c r="L185" s="70"/>
      <c r="M185" s="70">
        <f t="shared" si="104"/>
        <v>0</v>
      </c>
      <c r="N185" s="70">
        <f t="shared" si="105"/>
        <v>0</v>
      </c>
      <c r="O185" s="70"/>
      <c r="P185" s="70"/>
      <c r="Q185" s="70">
        <v>100</v>
      </c>
      <c r="R185" s="70">
        <v>1350</v>
      </c>
      <c r="S185" s="72"/>
      <c r="T185" s="252">
        <f>E185/C185</f>
        <v>1</v>
      </c>
      <c r="U185" s="73"/>
      <c r="V185" s="73"/>
      <c r="W185" s="73"/>
      <c r="X185" s="73"/>
      <c r="AA185" s="61">
        <f>H169</f>
        <v>19</v>
      </c>
      <c r="AB185" s="61" t="str">
        <f>E169</f>
        <v>CI2-CAN-039 W</v>
      </c>
      <c r="AC185" s="74" t="s">
        <v>433</v>
      </c>
      <c r="AD185" s="61" t="str">
        <f t="shared" si="106"/>
        <v>PKG</v>
      </c>
      <c r="AE185" s="61">
        <f t="shared" si="107"/>
        <v>100</v>
      </c>
      <c r="AF185" s="61">
        <f t="shared" si="108"/>
        <v>100</v>
      </c>
    </row>
    <row r="186" spans="1:32" s="65" customFormat="1" ht="12.75" customHeight="1">
      <c r="A186" s="52" t="s">
        <v>31</v>
      </c>
      <c r="B186" s="325"/>
      <c r="C186" s="325">
        <v>100</v>
      </c>
      <c r="D186" s="325">
        <v>1350</v>
      </c>
      <c r="E186" s="69">
        <f>O186+Q186</f>
        <v>0</v>
      </c>
      <c r="F186" s="70">
        <f>P186+R186</f>
        <v>0</v>
      </c>
      <c r="G186" s="325">
        <f t="shared" si="110"/>
        <v>-100</v>
      </c>
      <c r="H186" s="325">
        <f t="shared" si="111"/>
        <v>-1350</v>
      </c>
      <c r="I186" s="70"/>
      <c r="J186" s="70"/>
      <c r="K186" s="70"/>
      <c r="L186" s="70"/>
      <c r="M186" s="70">
        <f t="shared" si="104"/>
        <v>0</v>
      </c>
      <c r="N186" s="70">
        <f t="shared" si="105"/>
        <v>0</v>
      </c>
      <c r="O186" s="71"/>
      <c r="P186" s="71"/>
      <c r="Q186" s="71">
        <v>0</v>
      </c>
      <c r="R186" s="71"/>
      <c r="S186" s="72"/>
      <c r="T186" s="73">
        <f>E186/C186</f>
        <v>0</v>
      </c>
      <c r="U186" s="73"/>
      <c r="V186" s="73"/>
      <c r="W186" s="73"/>
      <c r="X186" s="73"/>
      <c r="AA186" s="61">
        <f>H169</f>
        <v>19</v>
      </c>
      <c r="AB186" s="61" t="str">
        <f>E169</f>
        <v>CI2-CAN-039 W</v>
      </c>
      <c r="AC186" s="74" t="s">
        <v>433</v>
      </c>
      <c r="AD186" s="61" t="str">
        <f t="shared" si="106"/>
        <v>COSCO T/S</v>
      </c>
      <c r="AE186" s="61">
        <f t="shared" si="107"/>
        <v>100</v>
      </c>
      <c r="AF186" s="61">
        <f t="shared" si="108"/>
        <v>0</v>
      </c>
    </row>
    <row r="187" spans="1:32" s="65" customFormat="1" ht="12.75" customHeight="1">
      <c r="A187" s="51" t="s">
        <v>36</v>
      </c>
      <c r="B187" s="72"/>
      <c r="C187" s="71">
        <v>900</v>
      </c>
      <c r="D187" s="71">
        <f>SUM(D173:D186)</f>
        <v>12150</v>
      </c>
      <c r="E187" s="78">
        <f>SUM(E173:E186)</f>
        <v>263</v>
      </c>
      <c r="F187" s="76">
        <f>SUM(F173:F186)</f>
        <v>4163</v>
      </c>
      <c r="G187" s="71">
        <f t="shared" si="110"/>
        <v>-637</v>
      </c>
      <c r="H187" s="71">
        <f t="shared" si="111"/>
        <v>-7987</v>
      </c>
      <c r="I187" s="70">
        <f t="shared" ref="I187:L187" si="112">SUM(I173:I186)</f>
        <v>0</v>
      </c>
      <c r="J187" s="70">
        <f t="shared" si="112"/>
        <v>0</v>
      </c>
      <c r="K187" s="70">
        <f t="shared" si="112"/>
        <v>0</v>
      </c>
      <c r="L187" s="70">
        <f t="shared" si="112"/>
        <v>0</v>
      </c>
      <c r="M187" s="70"/>
      <c r="N187" s="70"/>
      <c r="O187" s="70">
        <f t="shared" ref="O187:R187" si="113">SUM(O173:O186)</f>
        <v>163</v>
      </c>
      <c r="P187" s="70">
        <f t="shared" si="113"/>
        <v>2813</v>
      </c>
      <c r="Q187" s="70">
        <f t="shared" si="113"/>
        <v>100</v>
      </c>
      <c r="R187" s="70">
        <f t="shared" si="113"/>
        <v>1350</v>
      </c>
      <c r="S187" s="72"/>
      <c r="T187" s="73"/>
      <c r="U187" s="73"/>
      <c r="V187" s="73"/>
      <c r="W187" s="73"/>
      <c r="X187" s="73"/>
      <c r="AA187" s="61"/>
      <c r="AB187" s="61"/>
      <c r="AC187" s="61"/>
      <c r="AD187" s="61"/>
      <c r="AE187" s="61"/>
      <c r="AF187" s="61"/>
    </row>
    <row r="188" spans="1:32" s="65" customFormat="1" ht="12.75" customHeight="1">
      <c r="A188" s="84">
        <f>D187/C187</f>
        <v>13.5</v>
      </c>
      <c r="C188" s="326">
        <f>F187-E188</f>
        <v>-6772</v>
      </c>
      <c r="E188" s="65">
        <f>D187*0.9</f>
        <v>10935</v>
      </c>
      <c r="F188" s="326">
        <f>E187-L188</f>
        <v>-547</v>
      </c>
      <c r="I188" s="80" t="s">
        <v>48</v>
      </c>
      <c r="J188" s="245">
        <f>E187/C187</f>
        <v>0.29222222222222222</v>
      </c>
      <c r="K188" s="80"/>
      <c r="L188" s="80">
        <f>C187*0.9</f>
        <v>810</v>
      </c>
      <c r="M188" s="80"/>
      <c r="N188" s="80"/>
      <c r="O188" s="80" t="s">
        <v>49</v>
      </c>
      <c r="P188" s="80"/>
      <c r="Q188" s="65">
        <f>P174+P175+P177+P178+P179+J174+J175+L174+L175+J177+R177</f>
        <v>2813</v>
      </c>
      <c r="R188" s="65">
        <v>16856</v>
      </c>
      <c r="AA188" s="81"/>
      <c r="AB188" s="81"/>
      <c r="AC188" s="81"/>
      <c r="AD188" s="81"/>
      <c r="AE188" s="81"/>
      <c r="AF188" s="81"/>
    </row>
  </sheetData>
  <mergeCells count="108">
    <mergeCell ref="Y149:Y150"/>
    <mergeCell ref="M150:N150"/>
    <mergeCell ref="Y151:Y152"/>
    <mergeCell ref="A149:A151"/>
    <mergeCell ref="B149:B151"/>
    <mergeCell ref="C149:D150"/>
    <mergeCell ref="E149:F150"/>
    <mergeCell ref="G149:H150"/>
    <mergeCell ref="I149:N149"/>
    <mergeCell ref="O149:P150"/>
    <mergeCell ref="Q149:R150"/>
    <mergeCell ref="S149:S151"/>
    <mergeCell ref="A44:A46"/>
    <mergeCell ref="B44:B46"/>
    <mergeCell ref="C44:D45"/>
    <mergeCell ref="E44:F45"/>
    <mergeCell ref="G44:H45"/>
    <mergeCell ref="O44:P45"/>
    <mergeCell ref="Q44:R45"/>
    <mergeCell ref="S44:S46"/>
    <mergeCell ref="Y44:Y45"/>
    <mergeCell ref="M45:N45"/>
    <mergeCell ref="Y46:Y47"/>
    <mergeCell ref="I44:N44"/>
    <mergeCell ref="A23:A25"/>
    <mergeCell ref="B23:B25"/>
    <mergeCell ref="C23:D24"/>
    <mergeCell ref="E23:F24"/>
    <mergeCell ref="G23:H24"/>
    <mergeCell ref="O23:P24"/>
    <mergeCell ref="Q23:R24"/>
    <mergeCell ref="S23:S25"/>
    <mergeCell ref="Y23:Y24"/>
    <mergeCell ref="M24:N24"/>
    <mergeCell ref="Y25:Y26"/>
    <mergeCell ref="I23:N23"/>
    <mergeCell ref="A2:A4"/>
    <mergeCell ref="B2:B4"/>
    <mergeCell ref="C2:D3"/>
    <mergeCell ref="E2:F3"/>
    <mergeCell ref="G2:H3"/>
    <mergeCell ref="O2:P3"/>
    <mergeCell ref="Q2:R3"/>
    <mergeCell ref="S2:S4"/>
    <mergeCell ref="Y2:Y3"/>
    <mergeCell ref="M3:N3"/>
    <mergeCell ref="Y4:Y5"/>
    <mergeCell ref="I2:N2"/>
    <mergeCell ref="I65:N65"/>
    <mergeCell ref="O65:P66"/>
    <mergeCell ref="Q65:R66"/>
    <mergeCell ref="S65:S67"/>
    <mergeCell ref="Y65:Y66"/>
    <mergeCell ref="M66:N66"/>
    <mergeCell ref="Y67:Y68"/>
    <mergeCell ref="A65:A67"/>
    <mergeCell ref="B65:B67"/>
    <mergeCell ref="C65:D66"/>
    <mergeCell ref="E65:F66"/>
    <mergeCell ref="G65:H66"/>
    <mergeCell ref="I86:N86"/>
    <mergeCell ref="O86:P87"/>
    <mergeCell ref="Q86:R87"/>
    <mergeCell ref="S86:S88"/>
    <mergeCell ref="Y86:Y87"/>
    <mergeCell ref="M87:N87"/>
    <mergeCell ref="Y88:Y89"/>
    <mergeCell ref="A86:A88"/>
    <mergeCell ref="B86:B88"/>
    <mergeCell ref="C86:D87"/>
    <mergeCell ref="E86:F87"/>
    <mergeCell ref="G86:H87"/>
    <mergeCell ref="I107:N107"/>
    <mergeCell ref="O107:P108"/>
    <mergeCell ref="Q107:R108"/>
    <mergeCell ref="S107:S109"/>
    <mergeCell ref="Y107:Y108"/>
    <mergeCell ref="M108:N108"/>
    <mergeCell ref="Y109:Y110"/>
    <mergeCell ref="A107:A109"/>
    <mergeCell ref="B107:B109"/>
    <mergeCell ref="C107:D108"/>
    <mergeCell ref="E107:F108"/>
    <mergeCell ref="G107:H108"/>
    <mergeCell ref="I128:N128"/>
    <mergeCell ref="O128:P129"/>
    <mergeCell ref="Q128:R129"/>
    <mergeCell ref="S128:S130"/>
    <mergeCell ref="Y128:Y129"/>
    <mergeCell ref="M129:N129"/>
    <mergeCell ref="Y130:Y131"/>
    <mergeCell ref="A128:A130"/>
    <mergeCell ref="B128:B130"/>
    <mergeCell ref="C128:D129"/>
    <mergeCell ref="E128:F129"/>
    <mergeCell ref="G128:H129"/>
    <mergeCell ref="I170:N170"/>
    <mergeCell ref="O170:P171"/>
    <mergeCell ref="Q170:R171"/>
    <mergeCell ref="S170:S172"/>
    <mergeCell ref="Y170:Y171"/>
    <mergeCell ref="M171:N171"/>
    <mergeCell ref="Y172:Y173"/>
    <mergeCell ref="A170:A172"/>
    <mergeCell ref="B170:B172"/>
    <mergeCell ref="C170:D171"/>
    <mergeCell ref="E170:F171"/>
    <mergeCell ref="G170:H171"/>
  </mergeCells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周定义</vt:lpstr>
      <vt:lpstr>PMX</vt:lpstr>
      <vt:lpstr>PIX</vt:lpstr>
      <vt:lpstr>WIN</vt:lpstr>
      <vt:lpstr>AIS</vt:lpstr>
      <vt:lpstr>FCS</vt:lpstr>
      <vt:lpstr>FCE</vt:lpstr>
      <vt:lpstr>CI1</vt:lpstr>
      <vt:lpstr>CI2</vt:lpstr>
      <vt:lpstr>CISC</vt:lpstr>
      <vt:lpstr>舱位分配记录</vt:lpstr>
      <vt:lpstr>PMX BSA</vt:lpstr>
      <vt:lpstr>调度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rockyqasim</dc:creator>
  <cp:lastModifiedBy>zhangy20/Zhang Yi(COSCON S.E.A)</cp:lastModifiedBy>
  <cp:lastPrinted>2018-02-06T09:44:35Z</cp:lastPrinted>
  <dcterms:created xsi:type="dcterms:W3CDTF">2006-09-16T00:00:00Z</dcterms:created>
  <dcterms:modified xsi:type="dcterms:W3CDTF">2018-04-17T02:50:17Z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