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F9" i="1"/>
  <c r="G9" i="1"/>
  <c r="M15" i="1"/>
  <c r="M16" i="1"/>
  <c r="M17" i="1"/>
  <c r="M18" i="1"/>
  <c r="M19" i="1"/>
  <c r="M14" i="1"/>
  <c r="I15" i="1"/>
  <c r="I16" i="1"/>
  <c r="I17" i="1"/>
  <c r="I18" i="1"/>
  <c r="I19" i="1"/>
  <c r="I14" i="1"/>
  <c r="H14" i="1" a="1"/>
  <c r="H17" i="1" s="1"/>
  <c r="F25" i="1" s="1"/>
  <c r="H24" i="1"/>
  <c r="H6" i="1"/>
  <c r="J6" i="1" s="1"/>
  <c r="F6" i="1"/>
  <c r="G6" i="1"/>
  <c r="F12" i="1"/>
  <c r="G2" i="1"/>
  <c r="H2" i="1" s="1"/>
  <c r="F2" i="1"/>
  <c r="F14" i="1"/>
  <c r="H16" i="1" l="1"/>
  <c r="F24" i="1" s="1"/>
  <c r="H15" i="1"/>
  <c r="F23" i="1" s="1"/>
  <c r="H14" i="1"/>
  <c r="F22" i="1" s="1"/>
  <c r="H19" i="1"/>
  <c r="F27" i="1" s="1"/>
  <c r="H20" i="1"/>
  <c r="H18" i="1"/>
  <c r="F26" i="1" s="1"/>
  <c r="H12" i="1"/>
  <c r="G14" i="1" s="1"/>
  <c r="F15" i="1" s="1"/>
  <c r="J3" i="1"/>
  <c r="J14" i="1"/>
  <c r="J2" i="1"/>
  <c r="G15" i="1" l="1"/>
  <c r="J15" i="1" s="1"/>
  <c r="F16" i="1" l="1"/>
  <c r="G16" i="1" l="1"/>
  <c r="F17" i="1" l="1"/>
  <c r="J16" i="1"/>
  <c r="G17" i="1" l="1"/>
  <c r="J17" i="1" s="1"/>
  <c r="F18" i="1" l="1"/>
  <c r="G18" i="1" l="1"/>
  <c r="F19" i="1" l="1"/>
  <c r="J18" i="1"/>
  <c r="G19" i="1" l="1"/>
  <c r="J19" i="1" l="1"/>
  <c r="L17" i="1" l="1"/>
  <c r="L19" i="1"/>
  <c r="L16" i="1"/>
  <c r="L18" i="1"/>
  <c r="L15" i="1"/>
  <c r="L14" i="1"/>
  <c r="K14" i="1"/>
  <c r="K16" i="1"/>
</calcChain>
</file>

<file path=xl/sharedStrings.xml><?xml version="1.0" encoding="utf-8"?>
<sst xmlns="http://schemas.openxmlformats.org/spreadsheetml/2006/main" count="71" uniqueCount="70">
  <si>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</si>
  <si>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</si>
  <si>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</si>
  <si>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</si>
  <si>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</si>
  <si>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</si>
  <si>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</si>
  <si>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</si>
  <si>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</si>
  <si>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</si>
  <si>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</si>
  <si>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</si>
  <si>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</si>
  <si>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</si>
  <si>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</si>
  <si>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</si>
  <si>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</si>
  <si>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</si>
  <si>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</si>
  <si>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</si>
  <si>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</si>
  <si>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область без Ненецкого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</si>
  <si>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</si>
  <si>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</si>
  <si>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</si>
  <si>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</si>
  <si>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</si>
  <si>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</si>
  <si>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</si>
  <si>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</si>
  <si>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</si>
  <si>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</si>
  <si>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</si>
  <si>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</si>
  <si>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</si>
  <si>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</si>
  <si>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</si>
  <si>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</si>
  <si>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</si>
  <si>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</si>
  <si>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</si>
  <si>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</si>
  <si>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Прирост численности населения; человек</t>
  </si>
  <si>
    <t>городское</t>
  </si>
  <si>
    <t>Среднее арифм</t>
  </si>
  <si>
    <t>Выборрочн. Дисперсия</t>
  </si>
  <si>
    <t>Выборочн. СКО</t>
  </si>
  <si>
    <t>Мода</t>
  </si>
  <si>
    <t>Медиана</t>
  </si>
  <si>
    <t>Размах выборки</t>
  </si>
  <si>
    <t>Оценка СКО с помощю размаха</t>
  </si>
  <si>
    <t>Верхний квартиль</t>
  </si>
  <si>
    <t>Нижний квартиль</t>
  </si>
  <si>
    <t>Кол-во интервалов по формуле Старджеса</t>
  </si>
  <si>
    <t>Шаг интервала</t>
  </si>
  <si>
    <t>ИНТЕРВАЛЫ</t>
  </si>
  <si>
    <t>ЧАСТОТА</t>
  </si>
  <si>
    <t>Середины интервалов</t>
  </si>
  <si>
    <t>Выбороч. Дисперсия</t>
  </si>
  <si>
    <t>Мат. Ожидание Сгрупп. Ряда</t>
  </si>
  <si>
    <t>Накопленная частота</t>
  </si>
  <si>
    <t>Модальный интервал</t>
  </si>
  <si>
    <t>Середина модального интервала</t>
  </si>
  <si>
    <t>Медианный интервал</t>
  </si>
  <si>
    <t>Относ. Накопл. Частота</t>
  </si>
  <si>
    <t>Высота</t>
  </si>
  <si>
    <t>Центр медиан. интервала</t>
  </si>
  <si>
    <t>Относ. Частота</t>
  </si>
  <si>
    <t>[-6775:5630)</t>
  </si>
  <si>
    <r>
      <t xml:space="preserve">Проверка правила трёх </t>
    </r>
    <r>
      <rPr>
        <sz val="11"/>
        <color theme="1"/>
        <rFont val="Calibri"/>
        <family val="2"/>
        <charset val="204"/>
      </rPr>
      <t>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</si>
</sst>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1" fillId="0" borderId="0" xfId="1"/>
    <xf numFmtId="0" fontId="0" fillId="0" borderId="1" xfId="0" applyBorder="1"/>
    <xf numFmtId="0" fontId="1" fillId="0" borderId="0" xfId="1"/>
    <xf numFmtId="0" fontId="1" fillId="0" borderId="0" xfId="1"/>
    <xf numFmtId="3" fontId="1" fillId="0" borderId="0" xfId="1" applyNumberFormat="1"/>
    <xf numFmtId="3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1" xfId="0" applyFill="1" applyBorder="1"/>
    <xf numFmtId="3" fontId="0" fillId="0" borderId="2" xfId="0" applyNumberFormat="1" applyBorder="1"/>
    <xf numFmtId="0" fontId="0" fillId="0" borderId="1" xfId="0" applyBorder="1" applyAlignment="1">
      <alignment horizontal="right"/>
    </xf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3" fontId="1" fillId="0" borderId="0" xfId="1" applyNumberFormat="1" applyBorder="1"/>
    <xf numFmtId="0" fontId="1" fillId="0" borderId="0" xfId="1"/>
    <xf numFmtId="0" fontId="1" fillId="0" borderId="0" xfId="1"/>
    <xf numFmtId="0" fontId="1" fillId="0" borderId="0" xfId="1"/>
    <xf numFmtId="3" fontId="1" fillId="0" borderId="0" xfId="1" applyNumberForma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j-ea"/>
                <a:cs typeface="+mj-cs"/>
              </a:defRPr>
            </a:pPr>
            <a:r>
              <a:rPr lang="ru-RU">
                <a:latin typeface="+mn-lt"/>
              </a:rPr>
              <a:t>Гистограмма частоты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Лист1!$F$14:$G$19</c:f>
              <c:multiLvlStrCache>
                <c:ptCount val="6"/>
                <c:lvl>
                  <c:pt idx="0">
                    <c:v>5 630</c:v>
                  </c:pt>
                  <c:pt idx="1">
                    <c:v>18 035</c:v>
                  </c:pt>
                  <c:pt idx="2">
                    <c:v>30 440</c:v>
                  </c:pt>
                  <c:pt idx="3">
                    <c:v>42 845</c:v>
                  </c:pt>
                  <c:pt idx="4">
                    <c:v>55 250</c:v>
                  </c:pt>
                  <c:pt idx="5">
                    <c:v>67 655</c:v>
                  </c:pt>
                </c:lvl>
                <c:lvl>
                  <c:pt idx="0">
                    <c:v>-6 775</c:v>
                  </c:pt>
                  <c:pt idx="1">
                    <c:v>5 630</c:v>
                  </c:pt>
                  <c:pt idx="2">
                    <c:v>18 035</c:v>
                  </c:pt>
                  <c:pt idx="3">
                    <c:v>30 440</c:v>
                  </c:pt>
                  <c:pt idx="4">
                    <c:v>42 845</c:v>
                  </c:pt>
                  <c:pt idx="5">
                    <c:v>55 250</c:v>
                  </c:pt>
                </c:lvl>
              </c:multiLvlStrCache>
            </c:multiLvlStrRef>
          </c:cat>
          <c:val>
            <c:numRef>
              <c:f>Лист1!$F$22:$F$27</c:f>
              <c:numCache>
                <c:formatCode>General</c:formatCode>
                <c:ptCount val="6"/>
                <c:pt idx="0">
                  <c:v>6.4489900716851567E-5</c:v>
                </c:pt>
                <c:pt idx="1">
                  <c:v>1.2091856384409669E-5</c:v>
                </c:pt>
                <c:pt idx="2">
                  <c:v>0</c:v>
                </c:pt>
                <c:pt idx="3">
                  <c:v>2.0153093974016115E-6</c:v>
                </c:pt>
                <c:pt idx="4">
                  <c:v>2.0153093974016115E-6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4-441F-9FF3-37FC7CAB0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25"/>
        <c:axId val="1336927888"/>
        <c:axId val="1336928720"/>
      </c:barChart>
      <c:catAx>
        <c:axId val="133692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6928720"/>
        <c:crosses val="autoZero"/>
        <c:auto val="1"/>
        <c:lblAlgn val="ctr"/>
        <c:lblOffset val="100"/>
        <c:noMultiLvlLbl val="0"/>
      </c:catAx>
      <c:valAx>
        <c:axId val="133692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692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Эмпирическая</a:t>
            </a:r>
            <a:r>
              <a:rPr lang="ru-RU" sz="1600" baseline="0"/>
              <a:t>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Лист1!$F$14:$G$19</c:f>
              <c:multiLvlStrCache>
                <c:ptCount val="6"/>
                <c:lvl>
                  <c:pt idx="0">
                    <c:v>5 630</c:v>
                  </c:pt>
                  <c:pt idx="1">
                    <c:v>18 035</c:v>
                  </c:pt>
                  <c:pt idx="2">
                    <c:v>30 440</c:v>
                  </c:pt>
                  <c:pt idx="3">
                    <c:v>42 845</c:v>
                  </c:pt>
                  <c:pt idx="4">
                    <c:v>55 250</c:v>
                  </c:pt>
                  <c:pt idx="5">
                    <c:v>67 655</c:v>
                  </c:pt>
                </c:lvl>
                <c:lvl>
                  <c:pt idx="0">
                    <c:v>-6 775</c:v>
                  </c:pt>
                  <c:pt idx="1">
                    <c:v>5 630</c:v>
                  </c:pt>
                  <c:pt idx="2">
                    <c:v>18 035</c:v>
                  </c:pt>
                  <c:pt idx="3">
                    <c:v>30 440</c:v>
                  </c:pt>
                  <c:pt idx="4">
                    <c:v>42 845</c:v>
                  </c:pt>
                  <c:pt idx="5">
                    <c:v>55 250</c:v>
                  </c:pt>
                </c:lvl>
              </c:multiLvlStrCache>
            </c:multiLvlStrRef>
          </c:cat>
          <c:val>
            <c:numRef>
              <c:f>Лист1!$M$14:$M$19</c:f>
              <c:numCache>
                <c:formatCode>General</c:formatCode>
                <c:ptCount val="6"/>
                <c:pt idx="0">
                  <c:v>0.8</c:v>
                </c:pt>
                <c:pt idx="1">
                  <c:v>0.95</c:v>
                </c:pt>
                <c:pt idx="2">
                  <c:v>0.95</c:v>
                </c:pt>
                <c:pt idx="3">
                  <c:v>0.97499999999999998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B2-41B9-9798-97A5C5B6D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36924144"/>
        <c:axId val="1336923312"/>
      </c:barChart>
      <c:catAx>
        <c:axId val="133692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6923312"/>
        <c:crosses val="autoZero"/>
        <c:auto val="1"/>
        <c:lblAlgn val="ctr"/>
        <c:lblOffset val="100"/>
        <c:noMultiLvlLbl val="0"/>
      </c:catAx>
      <c:valAx>
        <c:axId val="133692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692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24</xdr:row>
      <xdr:rowOff>9525</xdr:rowOff>
    </xdr:from>
    <xdr:to>
      <xdr:col>9</xdr:col>
      <xdr:colOff>666750</xdr:colOff>
      <xdr:row>38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666750</xdr:colOff>
      <xdr:row>24</xdr:row>
      <xdr:rowOff>9525</xdr:rowOff>
    </xdr:from>
    <xdr:to>
      <xdr:col>13</xdr:col>
      <xdr:colOff>9525</xdr:colOff>
      <xdr:row>38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="95" zoomScaleNormal="95" workbookViewId="0">
      <selection activeCell="O1" sqref="O1"/>
    </sheetView>
  </sheetViews>
  <sheetFormatPr defaultRowHeight="15" x14ac:dyDescent="0.25"/>
  <cols>
    <col min="1" max="1" width="27.42578125" customWidth="1"/>
    <col min="2" max="2" width="13.7109375" customWidth="1"/>
    <col min="6" max="6" width="18.28515625" customWidth="1"/>
    <col min="7" max="7" width="31.140625" customWidth="1"/>
    <col min="8" max="8" width="24.140625" customWidth="1"/>
    <col min="9" max="9" width="15.7109375" customWidth="1"/>
    <col min="10" max="10" width="30" customWidth="1"/>
    <col min="11" max="11" width="27.42578125" customWidth="1"/>
    <col min="12" max="12" width="20.42578125" customWidth="1"/>
    <col min="13" max="13" width="27.42578125" customWidth="1"/>
  </cols>
  <sheetData>
    <row r="1" spans="1:13" x14ac:dyDescent="0.25">
      <c r="A1" s="3">
        <v>2016</v>
      </c>
      <c r="B1" s="3" t="s">
        <v>42</v>
      </c>
      <c r="F1" s="2" t="s">
        <v>44</v>
      </c>
      <c r="G1" s="2" t="s">
        <v>45</v>
      </c>
      <c r="H1" s="2" t="s">
        <v>46</v>
      </c>
      <c r="I1" s="2"/>
      <c r="J1" s="2" t="s">
        <v>69</v>
      </c>
      <c r="K1" s="14"/>
      <c r="L1" s="16"/>
    </row>
    <row r="2" spans="1:13" x14ac:dyDescent="0.25">
      <c r="B2" t="s">
        <v>43</v>
      </c>
      <c r="F2" s="6">
        <f>AVERAGE(B3:B44)</f>
        <v>6140.3095238095239</v>
      </c>
      <c r="G2" s="2">
        <f>_xlfn.VAR.S(B3:B44)</f>
        <v>564620295.82868755</v>
      </c>
      <c r="H2" s="2">
        <f>SQRT(G2)</f>
        <v>23761.740168360724</v>
      </c>
      <c r="I2" s="2"/>
      <c r="J2" s="2">
        <f>F2-3*H2</f>
        <v>-65144.910981272638</v>
      </c>
      <c r="K2" s="14"/>
      <c r="L2" s="17"/>
    </row>
    <row r="3" spans="1:13" x14ac:dyDescent="0.25">
      <c r="A3" s="1" t="s">
        <v>0</v>
      </c>
      <c r="B3" s="5">
        <v>3462</v>
      </c>
      <c r="C3" s="5">
        <v>-6775</v>
      </c>
      <c r="J3" s="2">
        <f>F2+3*H2</f>
        <v>77425.530028891691</v>
      </c>
    </row>
    <row r="4" spans="1:13" x14ac:dyDescent="0.25">
      <c r="A4" s="1" t="s">
        <v>1</v>
      </c>
      <c r="B4" s="5">
        <v>-3357</v>
      </c>
      <c r="C4" s="5">
        <v>-5346</v>
      </c>
    </row>
    <row r="5" spans="1:13" x14ac:dyDescent="0.25">
      <c r="A5" s="1" t="s">
        <v>2</v>
      </c>
      <c r="B5" s="5">
        <v>-4738</v>
      </c>
      <c r="C5" s="5">
        <v>-5345</v>
      </c>
      <c r="F5" s="2" t="s">
        <v>47</v>
      </c>
      <c r="G5" s="2" t="s">
        <v>48</v>
      </c>
      <c r="H5" s="2" t="s">
        <v>49</v>
      </c>
      <c r="I5" s="2"/>
      <c r="J5" s="2" t="s">
        <v>50</v>
      </c>
    </row>
    <row r="6" spans="1:13" x14ac:dyDescent="0.25">
      <c r="A6" s="1" t="s">
        <v>3</v>
      </c>
      <c r="B6" s="5">
        <v>6974</v>
      </c>
      <c r="C6" s="5">
        <v>-5117</v>
      </c>
      <c r="F6" s="2" t="e">
        <f>MODE(C3:C43)</f>
        <v>#N/A</v>
      </c>
      <c r="G6" s="6">
        <f>MEDIAN(C3:C43)</f>
        <v>-1078</v>
      </c>
      <c r="H6" s="6">
        <f>C43-C3</f>
        <v>77988</v>
      </c>
      <c r="I6" s="6"/>
      <c r="J6" s="2">
        <f>H6/6</f>
        <v>12998</v>
      </c>
    </row>
    <row r="7" spans="1:13" x14ac:dyDescent="0.25">
      <c r="A7" s="1" t="s">
        <v>4</v>
      </c>
      <c r="B7" s="5">
        <v>-5117</v>
      </c>
      <c r="C7" s="5">
        <v>-4837</v>
      </c>
    </row>
    <row r="8" spans="1:13" x14ac:dyDescent="0.25">
      <c r="A8" s="1" t="s">
        <v>5</v>
      </c>
      <c r="B8" s="5">
        <v>-1175</v>
      </c>
      <c r="C8" s="5">
        <v>-4738</v>
      </c>
      <c r="F8" s="2" t="s">
        <v>51</v>
      </c>
      <c r="G8" s="2" t="s">
        <v>52</v>
      </c>
    </row>
    <row r="9" spans="1:13" x14ac:dyDescent="0.25">
      <c r="A9" s="1" t="s">
        <v>6</v>
      </c>
      <c r="B9" s="4">
        <v>-553</v>
      </c>
      <c r="C9" s="5">
        <v>-4594</v>
      </c>
      <c r="F9" s="2">
        <f>QUARTILE(C3:C43,3)</f>
        <v>3462</v>
      </c>
      <c r="G9" s="2">
        <f>QUARTILE(C3:C43,1)</f>
        <v>-3911</v>
      </c>
    </row>
    <row r="10" spans="1:13" x14ac:dyDescent="0.25">
      <c r="A10" s="1" t="s">
        <v>7</v>
      </c>
      <c r="B10" s="5">
        <v>6877</v>
      </c>
      <c r="C10" s="5">
        <v>-4434</v>
      </c>
    </row>
    <row r="11" spans="1:13" x14ac:dyDescent="0.25">
      <c r="A11" s="1" t="s">
        <v>8</v>
      </c>
      <c r="B11" s="5">
        <v>-1078</v>
      </c>
      <c r="C11" s="5">
        <v>-4337</v>
      </c>
      <c r="F11" s="9" t="s">
        <v>53</v>
      </c>
      <c r="G11" s="9"/>
      <c r="H11" s="2" t="s">
        <v>54</v>
      </c>
      <c r="I11" s="14"/>
    </row>
    <row r="12" spans="1:13" x14ac:dyDescent="0.25">
      <c r="A12" s="1" t="s">
        <v>10</v>
      </c>
      <c r="B12" s="5">
        <v>-1585</v>
      </c>
      <c r="C12" s="5">
        <v>-4121</v>
      </c>
      <c r="F12" s="7">
        <f>LOG10(40)*3.3+1</f>
        <v>6.286797971382275</v>
      </c>
      <c r="G12" s="7"/>
      <c r="H12" s="8">
        <f>H6/F12</f>
        <v>12405.043132450592</v>
      </c>
      <c r="I12" s="15"/>
    </row>
    <row r="13" spans="1:13" x14ac:dyDescent="0.25">
      <c r="A13" s="1" t="s">
        <v>11</v>
      </c>
      <c r="B13" s="5">
        <v>-1578</v>
      </c>
      <c r="C13" s="5">
        <v>-3911</v>
      </c>
      <c r="F13" s="9" t="s">
        <v>55</v>
      </c>
      <c r="G13" s="9"/>
      <c r="H13" s="2" t="s">
        <v>56</v>
      </c>
      <c r="I13" s="2" t="s">
        <v>67</v>
      </c>
      <c r="J13" s="2" t="s">
        <v>57</v>
      </c>
      <c r="K13" s="10" t="s">
        <v>59</v>
      </c>
      <c r="L13" s="11" t="s">
        <v>60</v>
      </c>
      <c r="M13" s="11" t="s">
        <v>64</v>
      </c>
    </row>
    <row r="14" spans="1:13" x14ac:dyDescent="0.25">
      <c r="A14" s="1" t="s">
        <v>12</v>
      </c>
      <c r="B14" s="5">
        <v>-4434</v>
      </c>
      <c r="C14" s="5">
        <v>-3357</v>
      </c>
      <c r="F14" s="6">
        <f>C3</f>
        <v>-6775</v>
      </c>
      <c r="G14" s="6">
        <f>C3+H12</f>
        <v>5630.0431324505917</v>
      </c>
      <c r="H14" s="2">
        <f t="array" ref="H14:H20">FREQUENCY(C3:C43,G14:G19)</f>
        <v>32</v>
      </c>
      <c r="I14" s="2">
        <f>H14/40</f>
        <v>0.8</v>
      </c>
      <c r="J14" s="6">
        <f>AVERAGE(F14:G14)</f>
        <v>-572.47843377470417</v>
      </c>
      <c r="K14" s="10">
        <f>SUM(J14:J19)/F12</f>
        <v>29051.478545278194</v>
      </c>
      <c r="L14" s="2">
        <f>H14</f>
        <v>32</v>
      </c>
      <c r="M14" s="2">
        <f>L14/40</f>
        <v>0.8</v>
      </c>
    </row>
    <row r="15" spans="1:13" x14ac:dyDescent="0.25">
      <c r="A15" s="1" t="s">
        <v>13</v>
      </c>
      <c r="B15" s="5">
        <v>-3911</v>
      </c>
      <c r="C15" s="5">
        <v>-2596</v>
      </c>
      <c r="F15" s="6">
        <f>G14</f>
        <v>5630.0431324505917</v>
      </c>
      <c r="G15" s="6">
        <f>F15+H12</f>
        <v>18035.086264901183</v>
      </c>
      <c r="H15" s="2">
        <v>6</v>
      </c>
      <c r="I15" s="2">
        <f t="shared" ref="I15:I19" si="0">H15/40</f>
        <v>0.15</v>
      </c>
      <c r="J15" s="6">
        <f>AVERAGE(F15:G15)</f>
        <v>11832.564698675887</v>
      </c>
      <c r="K15" s="10" t="s">
        <v>58</v>
      </c>
      <c r="L15" s="2">
        <f>SUM(H14:H15)</f>
        <v>38</v>
      </c>
      <c r="M15" s="2">
        <f t="shared" ref="M15:M19" si="1">L15/40</f>
        <v>0.95</v>
      </c>
    </row>
    <row r="16" spans="1:13" x14ac:dyDescent="0.25">
      <c r="A16" s="1" t="s">
        <v>14</v>
      </c>
      <c r="B16" s="5">
        <v>-4837</v>
      </c>
      <c r="C16" s="5">
        <v>-2579</v>
      </c>
      <c r="F16" s="6">
        <f>G15</f>
        <v>18035.086264901183</v>
      </c>
      <c r="G16" s="6">
        <f>F16+H12</f>
        <v>30440.129397351775</v>
      </c>
      <c r="H16" s="2">
        <v>0</v>
      </c>
      <c r="I16" s="2">
        <f t="shared" si="0"/>
        <v>0</v>
      </c>
      <c r="J16" s="6">
        <f>AVERAGE(F16:G16)</f>
        <v>24237.607831126479</v>
      </c>
      <c r="K16" s="12">
        <f>AVERAGE(J14:J19)</f>
        <v>30440.129397351775</v>
      </c>
      <c r="L16" s="2">
        <f>SUM(H14:H16)</f>
        <v>38</v>
      </c>
      <c r="M16" s="2">
        <f t="shared" si="1"/>
        <v>0.95</v>
      </c>
    </row>
    <row r="17" spans="1:13" x14ac:dyDescent="0.25">
      <c r="A17" s="1" t="s">
        <v>15</v>
      </c>
      <c r="B17" s="5">
        <v>-5346</v>
      </c>
      <c r="C17" s="5">
        <v>-2371</v>
      </c>
      <c r="F17" s="6">
        <f>G16</f>
        <v>30440.129397351775</v>
      </c>
      <c r="G17" s="6">
        <f>F17+H12</f>
        <v>42845.172529802367</v>
      </c>
      <c r="H17" s="2">
        <v>1</v>
      </c>
      <c r="I17" s="2">
        <f t="shared" si="0"/>
        <v>2.5000000000000001E-2</v>
      </c>
      <c r="J17" s="6">
        <f>AVERAGE(F17:G17)</f>
        <v>36642.650963577071</v>
      </c>
      <c r="L17" s="2">
        <f>SUM(H14:H17)</f>
        <v>39</v>
      </c>
      <c r="M17" s="2">
        <f t="shared" si="1"/>
        <v>0.97499999999999998</v>
      </c>
    </row>
    <row r="18" spans="1:13" x14ac:dyDescent="0.25">
      <c r="A18" s="1" t="s">
        <v>16</v>
      </c>
      <c r="B18" s="4">
        <v>-213</v>
      </c>
      <c r="C18" s="5">
        <v>-1843</v>
      </c>
      <c r="F18" s="6">
        <f>G17</f>
        <v>42845.172529802367</v>
      </c>
      <c r="G18" s="6">
        <f>F18+H12</f>
        <v>55250.215662252958</v>
      </c>
      <c r="H18" s="2">
        <v>1</v>
      </c>
      <c r="I18" s="2">
        <f t="shared" si="0"/>
        <v>2.5000000000000001E-2</v>
      </c>
      <c r="J18" s="6">
        <f>AVERAGE(F18:G18)</f>
        <v>49047.694096027662</v>
      </c>
      <c r="L18" s="2">
        <f>SUM(H14:H18)</f>
        <v>40</v>
      </c>
      <c r="M18" s="2">
        <f t="shared" si="1"/>
        <v>1</v>
      </c>
    </row>
    <row r="19" spans="1:13" x14ac:dyDescent="0.25">
      <c r="A19" s="1" t="s">
        <v>18</v>
      </c>
      <c r="B19" s="4">
        <v>-47</v>
      </c>
      <c r="C19" s="5">
        <v>-1687</v>
      </c>
      <c r="F19" s="6">
        <f>G18</f>
        <v>55250.215662252958</v>
      </c>
      <c r="G19" s="6">
        <f>F19+H12</f>
        <v>67655.25879470355</v>
      </c>
      <c r="H19" s="2">
        <v>0</v>
      </c>
      <c r="I19" s="2">
        <f t="shared" si="0"/>
        <v>0</v>
      </c>
      <c r="J19" s="6">
        <f>AVERAGE(F19:G19)</f>
        <v>61452.737228478254</v>
      </c>
      <c r="L19" s="2">
        <f>SUM(H14:H19)</f>
        <v>40</v>
      </c>
      <c r="M19" s="2">
        <f t="shared" si="1"/>
        <v>1</v>
      </c>
    </row>
    <row r="20" spans="1:13" x14ac:dyDescent="0.25">
      <c r="A20" s="1" t="s">
        <v>19</v>
      </c>
      <c r="B20" s="5">
        <v>-4337</v>
      </c>
      <c r="C20" s="5">
        <v>-1585</v>
      </c>
      <c r="H20">
        <v>1</v>
      </c>
    </row>
    <row r="21" spans="1:13" x14ac:dyDescent="0.25">
      <c r="A21" s="1" t="s">
        <v>20</v>
      </c>
      <c r="B21" s="4">
        <v>620</v>
      </c>
      <c r="C21" s="5">
        <v>-1578</v>
      </c>
      <c r="F21" s="2" t="s">
        <v>65</v>
      </c>
      <c r="G21" s="2" t="s">
        <v>61</v>
      </c>
      <c r="H21" s="2" t="s">
        <v>63</v>
      </c>
      <c r="I21" s="14"/>
    </row>
    <row r="22" spans="1:13" x14ac:dyDescent="0.25">
      <c r="A22" s="1" t="s">
        <v>21</v>
      </c>
      <c r="B22" s="5">
        <v>-2596</v>
      </c>
      <c r="C22" s="5">
        <v>-1175</v>
      </c>
      <c r="F22" s="2">
        <f>H14/(40*$H$12)</f>
        <v>6.4489900716851567E-5</v>
      </c>
      <c r="G22" s="13" t="s">
        <v>68</v>
      </c>
      <c r="H22" s="13" t="s">
        <v>68</v>
      </c>
      <c r="I22" s="14"/>
    </row>
    <row r="23" spans="1:13" x14ac:dyDescent="0.25">
      <c r="A23" s="1" t="s">
        <v>22</v>
      </c>
      <c r="B23" s="5">
        <v>-1687</v>
      </c>
      <c r="C23" s="5">
        <v>-1078</v>
      </c>
      <c r="F23" s="2">
        <f t="shared" ref="F23:F27" si="2">H15/(40*$H$12)</f>
        <v>1.2091856384409669E-5</v>
      </c>
      <c r="G23" s="2" t="s">
        <v>62</v>
      </c>
      <c r="H23" s="2" t="s">
        <v>66</v>
      </c>
      <c r="I23" s="14"/>
    </row>
    <row r="24" spans="1:13" x14ac:dyDescent="0.25">
      <c r="A24" s="1" t="s">
        <v>23</v>
      </c>
      <c r="B24" s="5">
        <v>6252</v>
      </c>
      <c r="C24" s="4">
        <v>-570</v>
      </c>
      <c r="F24" s="2">
        <f t="shared" si="2"/>
        <v>0</v>
      </c>
      <c r="G24" s="2">
        <f>(-6775+5630)/2</f>
        <v>-572.5</v>
      </c>
      <c r="H24" s="2">
        <f>(-6775+5630)/2</f>
        <v>-572.5</v>
      </c>
      <c r="I24" s="14"/>
    </row>
    <row r="25" spans="1:13" x14ac:dyDescent="0.25">
      <c r="A25" s="1" t="s">
        <v>24</v>
      </c>
      <c r="B25" s="5">
        <v>-4121</v>
      </c>
      <c r="C25" s="4">
        <v>-553</v>
      </c>
      <c r="F25" s="2">
        <f t="shared" si="2"/>
        <v>2.0153093974016115E-6</v>
      </c>
    </row>
    <row r="26" spans="1:13" x14ac:dyDescent="0.25">
      <c r="A26" s="1" t="s">
        <v>25</v>
      </c>
      <c r="B26" s="5">
        <v>-4594</v>
      </c>
      <c r="C26" s="4">
        <v>-480</v>
      </c>
      <c r="F26" s="2">
        <f t="shared" si="2"/>
        <v>2.0153093974016115E-6</v>
      </c>
    </row>
    <row r="27" spans="1:13" x14ac:dyDescent="0.25">
      <c r="A27" s="1" t="s">
        <v>26</v>
      </c>
      <c r="B27" s="5">
        <v>-2371</v>
      </c>
      <c r="C27" s="4">
        <v>-361</v>
      </c>
      <c r="F27" s="2">
        <f t="shared" si="2"/>
        <v>0</v>
      </c>
    </row>
    <row r="28" spans="1:13" x14ac:dyDescent="0.25">
      <c r="A28" s="1" t="s">
        <v>27</v>
      </c>
      <c r="B28" s="5">
        <v>-2579</v>
      </c>
      <c r="C28" s="4">
        <v>-213</v>
      </c>
    </row>
    <row r="29" spans="1:13" x14ac:dyDescent="0.25">
      <c r="A29" s="1" t="s">
        <v>28</v>
      </c>
      <c r="B29" s="5">
        <v>34000</v>
      </c>
      <c r="C29" s="4">
        <v>-47</v>
      </c>
    </row>
    <row r="30" spans="1:13" x14ac:dyDescent="0.25">
      <c r="A30" s="1" t="s">
        <v>29</v>
      </c>
      <c r="B30" s="5">
        <v>1817</v>
      </c>
      <c r="C30" s="4">
        <v>451</v>
      </c>
    </row>
    <row r="31" spans="1:13" x14ac:dyDescent="0.25">
      <c r="A31" s="1" t="s">
        <v>30</v>
      </c>
      <c r="B31" s="4">
        <v>-570</v>
      </c>
      <c r="C31" s="4">
        <v>620</v>
      </c>
    </row>
    <row r="32" spans="1:13" x14ac:dyDescent="0.25">
      <c r="A32" s="1" t="s">
        <v>31</v>
      </c>
      <c r="B32" s="5">
        <v>46874</v>
      </c>
      <c r="C32" s="5">
        <v>1817</v>
      </c>
    </row>
    <row r="33" spans="1:3" x14ac:dyDescent="0.25">
      <c r="A33" s="1" t="s">
        <v>32</v>
      </c>
      <c r="B33" s="5">
        <v>-1843</v>
      </c>
      <c r="C33" s="5">
        <v>3462</v>
      </c>
    </row>
    <row r="34" spans="1:3" x14ac:dyDescent="0.25">
      <c r="A34" s="1" t="s">
        <v>33</v>
      </c>
      <c r="B34" s="5">
        <v>-5345</v>
      </c>
      <c r="C34" s="5">
        <v>4625</v>
      </c>
    </row>
    <row r="35" spans="1:3" x14ac:dyDescent="0.25">
      <c r="A35" s="1" t="s">
        <v>34</v>
      </c>
      <c r="B35" s="5">
        <v>-6775</v>
      </c>
      <c r="C35" s="5">
        <v>6246</v>
      </c>
    </row>
    <row r="36" spans="1:3" x14ac:dyDescent="0.25">
      <c r="A36" s="1" t="s">
        <v>35</v>
      </c>
      <c r="B36" s="5">
        <v>10065</v>
      </c>
      <c r="C36" s="5">
        <v>6252</v>
      </c>
    </row>
    <row r="37" spans="1:3" x14ac:dyDescent="0.25">
      <c r="A37" s="1" t="s">
        <v>36</v>
      </c>
      <c r="B37" s="5">
        <v>6246</v>
      </c>
      <c r="C37" s="5">
        <v>6877</v>
      </c>
    </row>
    <row r="38" spans="1:3" x14ac:dyDescent="0.25">
      <c r="A38" s="1" t="s">
        <v>37</v>
      </c>
      <c r="B38" s="4">
        <v>451</v>
      </c>
      <c r="C38" s="5">
        <v>6974</v>
      </c>
    </row>
    <row r="39" spans="1:3" x14ac:dyDescent="0.25">
      <c r="A39" s="1" t="s">
        <v>38</v>
      </c>
      <c r="B39" s="4">
        <v>-361</v>
      </c>
      <c r="C39" s="5">
        <v>9144</v>
      </c>
    </row>
    <row r="40" spans="1:3" x14ac:dyDescent="0.25">
      <c r="A40" s="1" t="s">
        <v>39</v>
      </c>
      <c r="B40" s="4">
        <v>-480</v>
      </c>
      <c r="C40" s="5">
        <v>10065</v>
      </c>
    </row>
    <row r="41" spans="1:3" x14ac:dyDescent="0.25">
      <c r="A41" s="1" t="s">
        <v>40</v>
      </c>
      <c r="B41" s="5">
        <v>9144</v>
      </c>
      <c r="C41" s="5">
        <v>34000</v>
      </c>
    </row>
    <row r="42" spans="1:3" x14ac:dyDescent="0.25">
      <c r="A42" s="1" t="s">
        <v>41</v>
      </c>
      <c r="B42" s="5">
        <v>4625</v>
      </c>
      <c r="C42" s="5">
        <v>46874</v>
      </c>
    </row>
    <row r="43" spans="1:3" x14ac:dyDescent="0.25">
      <c r="A43" s="18" t="s">
        <v>17</v>
      </c>
      <c r="B43" s="21">
        <v>124901</v>
      </c>
      <c r="C43" s="21">
        <v>71213</v>
      </c>
    </row>
    <row r="44" spans="1:3" x14ac:dyDescent="0.25">
      <c r="A44" s="19" t="s">
        <v>9</v>
      </c>
      <c r="B44" s="21">
        <v>71213</v>
      </c>
    </row>
    <row r="45" spans="1:3" x14ac:dyDescent="0.25">
      <c r="B45" s="21"/>
    </row>
    <row r="46" spans="1:3" x14ac:dyDescent="0.25">
      <c r="B46" s="21"/>
    </row>
    <row r="47" spans="1:3" x14ac:dyDescent="0.25">
      <c r="B47" s="21"/>
    </row>
    <row r="48" spans="1:3" x14ac:dyDescent="0.25">
      <c r="B48" s="21"/>
    </row>
    <row r="49" spans="2:2" x14ac:dyDescent="0.25">
      <c r="B49" s="21"/>
    </row>
    <row r="50" spans="2:2" x14ac:dyDescent="0.25">
      <c r="B50" s="20"/>
    </row>
  </sheetData>
  <sortState ref="C3:C42">
    <sortCondition ref="C3"/>
  </sortState>
  <mergeCells count="3">
    <mergeCell ref="F11:G11"/>
    <mergeCell ref="F12:G12"/>
    <mergeCell ref="F13:G1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2021-02-15T14:39:33Z</dcterms:modified>
</cp:coreProperties>
</file>