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دراسة جدوى مراكز علاج طبيعي\"/>
    </mc:Choice>
  </mc:AlternateContent>
  <bookViews>
    <workbookView xWindow="-105" yWindow="-105" windowWidth="23250" windowHeight="12570" tabRatio="811"/>
  </bookViews>
  <sheets>
    <sheet name="B S" sheetId="1" r:id="rId1"/>
    <sheet name="أصول العام 1" sheetId="7" r:id="rId2"/>
    <sheet name="أصول العام 2" sheetId="33" r:id="rId3"/>
    <sheet name="النقدية" sheetId="16" r:id="rId4"/>
    <sheet name="رأس المال" sheetId="19" r:id="rId5"/>
    <sheet name="مستحق أطراف ذات علاقة" sheetId="22" r:id="rId6"/>
    <sheet name="مخصص زكاة" sheetId="23" r:id="rId7"/>
    <sheet name="مصروفات مستحقة" sheetId="36" r:id="rId8"/>
    <sheet name="ايرادات" sheetId="26" r:id="rId9"/>
    <sheet name="م عمومية" sheetId="29" r:id="rId10"/>
    <sheet name="تحليل الرواتب" sheetId="35" r:id="rId11"/>
  </sheets>
  <definedNames>
    <definedName name="_xlnm.Print_Area" localSheetId="10">'تحليل الرواتب'!$B$3:$U$15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6" l="1"/>
  <c r="P21" i="1"/>
  <c r="O21" i="1"/>
  <c r="E23" i="26" l="1"/>
  <c r="F23" i="26"/>
  <c r="G23" i="26"/>
  <c r="H23" i="26"/>
  <c r="I23" i="26"/>
  <c r="J23" i="26"/>
  <c r="K23" i="26"/>
  <c r="L23" i="26"/>
  <c r="M23" i="26"/>
  <c r="N23" i="26"/>
  <c r="O23" i="26"/>
  <c r="D23" i="26"/>
  <c r="Q12" i="26"/>
  <c r="R12" i="26"/>
  <c r="P12" i="26"/>
  <c r="M12" i="26"/>
  <c r="N12" i="26"/>
  <c r="L12" i="26"/>
  <c r="H12" i="26"/>
  <c r="J12" i="26"/>
  <c r="I12" i="26"/>
  <c r="E12" i="26"/>
  <c r="F12" i="26"/>
  <c r="D12" i="26"/>
  <c r="F15" i="33"/>
  <c r="I27" i="1" l="1"/>
  <c r="H7" i="35" l="1"/>
  <c r="F13" i="22"/>
  <c r="E24" i="26"/>
  <c r="F24" i="26"/>
  <c r="G24" i="26"/>
  <c r="H24" i="26"/>
  <c r="I24" i="26"/>
  <c r="J24" i="26"/>
  <c r="K24" i="26"/>
  <c r="L24" i="26"/>
  <c r="M24" i="26"/>
  <c r="N24" i="26"/>
  <c r="O24" i="26"/>
  <c r="D24" i="26"/>
  <c r="I13" i="26"/>
  <c r="J13" i="26"/>
  <c r="L13" i="26"/>
  <c r="M13" i="26"/>
  <c r="N13" i="26"/>
  <c r="P13" i="26"/>
  <c r="Q13" i="26"/>
  <c r="R13" i="26"/>
  <c r="H13" i="26"/>
  <c r="E13" i="26"/>
  <c r="F13" i="26"/>
  <c r="D13" i="26"/>
  <c r="D14" i="22" l="1"/>
  <c r="E14" i="22"/>
  <c r="C20" i="16"/>
  <c r="D20" i="16"/>
  <c r="B14" i="7"/>
  <c r="C14" i="7"/>
  <c r="D14" i="7"/>
  <c r="F14" i="7"/>
  <c r="D9" i="16"/>
  <c r="E12" i="1" s="1"/>
  <c r="D18" i="29"/>
  <c r="D17" i="29"/>
  <c r="E14" i="33"/>
  <c r="E13" i="33"/>
  <c r="E12" i="33"/>
  <c r="E11" i="33"/>
  <c r="E10" i="33"/>
  <c r="G10" i="33" s="1"/>
  <c r="H10" i="33" s="1"/>
  <c r="I10" i="33" s="1"/>
  <c r="E9" i="33"/>
  <c r="G9" i="33" s="1"/>
  <c r="H9" i="33" s="1"/>
  <c r="E8" i="33"/>
  <c r="G8" i="33" s="1"/>
  <c r="H8" i="33" s="1"/>
  <c r="E7" i="33"/>
  <c r="G7" i="33" s="1"/>
  <c r="H7" i="33" s="1"/>
  <c r="I7" i="33" s="1"/>
  <c r="E8" i="7"/>
  <c r="G8" i="7" s="1"/>
  <c r="H8" i="7" s="1"/>
  <c r="E7" i="7"/>
  <c r="G7" i="7" s="1"/>
  <c r="H7" i="7" s="1"/>
  <c r="E11" i="7"/>
  <c r="E10" i="7"/>
  <c r="E12" i="7"/>
  <c r="G12" i="7" s="1"/>
  <c r="H12" i="7" s="1"/>
  <c r="I12" i="7" s="1"/>
  <c r="E9" i="7"/>
  <c r="G9" i="7" s="1"/>
  <c r="H9" i="7" s="1"/>
  <c r="E13" i="7"/>
  <c r="G13" i="7" s="1"/>
  <c r="H13" i="7" s="1"/>
  <c r="I13" i="7" s="1"/>
  <c r="E6" i="7"/>
  <c r="P24" i="26"/>
  <c r="E25" i="26"/>
  <c r="F25" i="26"/>
  <c r="G25" i="26"/>
  <c r="H25" i="26"/>
  <c r="I25" i="26"/>
  <c r="J25" i="26"/>
  <c r="K25" i="26"/>
  <c r="L25" i="26"/>
  <c r="P23" i="26"/>
  <c r="M25" i="26"/>
  <c r="N25" i="26"/>
  <c r="O25" i="26"/>
  <c r="D25" i="26"/>
  <c r="G2" i="1"/>
  <c r="N2" i="1" s="1"/>
  <c r="G1" i="1"/>
  <c r="N1" i="1" s="1"/>
  <c r="O4" i="1"/>
  <c r="P4" i="1"/>
  <c r="S12" i="26"/>
  <c r="D14" i="26"/>
  <c r="H14" i="26"/>
  <c r="I14" i="26"/>
  <c r="J14" i="26"/>
  <c r="L14" i="26"/>
  <c r="M14" i="26"/>
  <c r="N14" i="26"/>
  <c r="P14" i="26"/>
  <c r="Q14" i="26"/>
  <c r="R14" i="26"/>
  <c r="O23" i="1"/>
  <c r="E14" i="26"/>
  <c r="F14" i="26"/>
  <c r="H9" i="35"/>
  <c r="O9" i="35" s="1"/>
  <c r="I9" i="35"/>
  <c r="J9" i="35"/>
  <c r="K9" i="35"/>
  <c r="N9" i="35"/>
  <c r="P9" i="35"/>
  <c r="H10" i="35"/>
  <c r="O10" i="35" s="1"/>
  <c r="I10" i="35"/>
  <c r="J10" i="35"/>
  <c r="K10" i="35"/>
  <c r="N10" i="35"/>
  <c r="P10" i="35"/>
  <c r="H11" i="35"/>
  <c r="O11" i="35" s="1"/>
  <c r="I11" i="35"/>
  <c r="J11" i="35"/>
  <c r="K11" i="35"/>
  <c r="L11" i="35"/>
  <c r="N11" i="35"/>
  <c r="P11" i="35"/>
  <c r="H12" i="35"/>
  <c r="K12" i="35"/>
  <c r="M12" i="35" s="1"/>
  <c r="L12" i="35"/>
  <c r="O12" i="35"/>
  <c r="P12" i="35"/>
  <c r="Q12" i="35"/>
  <c r="H13" i="35"/>
  <c r="I13" i="35"/>
  <c r="J13" i="35"/>
  <c r="J15" i="35" s="1"/>
  <c r="K13" i="35"/>
  <c r="N13" i="35"/>
  <c r="P13" i="35"/>
  <c r="H14" i="35"/>
  <c r="Q14" i="35" s="1"/>
  <c r="I14" i="35"/>
  <c r="J14" i="35"/>
  <c r="K14" i="35"/>
  <c r="N14" i="35"/>
  <c r="P14" i="35"/>
  <c r="Q7" i="35"/>
  <c r="I7" i="35"/>
  <c r="J7" i="35"/>
  <c r="K7" i="35"/>
  <c r="N7" i="35"/>
  <c r="N15" i="35" s="1"/>
  <c r="P7" i="35"/>
  <c r="H8" i="35"/>
  <c r="Q8" i="35" s="1"/>
  <c r="P8" i="35"/>
  <c r="K8" i="35"/>
  <c r="G15" i="35"/>
  <c r="F15" i="35"/>
  <c r="E15" i="35"/>
  <c r="D15" i="35"/>
  <c r="M6" i="35"/>
  <c r="C15" i="33"/>
  <c r="D15" i="33"/>
  <c r="B15" i="33"/>
  <c r="D18" i="1"/>
  <c r="E18" i="1"/>
  <c r="D9" i="22"/>
  <c r="D15" i="23"/>
  <c r="C15" i="23"/>
  <c r="G6" i="7" l="1"/>
  <c r="H6" i="7" s="1"/>
  <c r="I6" i="7" s="1"/>
  <c r="P23" i="1"/>
  <c r="I24" i="1"/>
  <c r="R12" i="35"/>
  <c r="S12" i="35" s="1"/>
  <c r="T12" i="35" s="1"/>
  <c r="U12" i="35" s="1"/>
  <c r="K15" i="35"/>
  <c r="Q10" i="35"/>
  <c r="R10" i="35" s="1"/>
  <c r="P15" i="35"/>
  <c r="Q9" i="35"/>
  <c r="R9" i="35" s="1"/>
  <c r="O15" i="1"/>
  <c r="Q11" i="35"/>
  <c r="M11" i="35"/>
  <c r="R11" i="35"/>
  <c r="P25" i="26"/>
  <c r="C6" i="26" s="1"/>
  <c r="C8" i="26" s="1"/>
  <c r="I6" i="1" s="1"/>
  <c r="S13" i="26"/>
  <c r="S14" i="26" s="1"/>
  <c r="D6" i="26" s="1"/>
  <c r="D8" i="26" s="1"/>
  <c r="L6" i="1" s="1"/>
  <c r="R14" i="35"/>
  <c r="M14" i="35"/>
  <c r="S14" i="35" s="1"/>
  <c r="T14" i="35" s="1"/>
  <c r="U14" i="35" s="1"/>
  <c r="L8" i="35"/>
  <c r="M8" i="35" s="1"/>
  <c r="O14" i="35"/>
  <c r="Q13" i="35"/>
  <c r="L10" i="35"/>
  <c r="M10" i="35" s="1"/>
  <c r="O13" i="35"/>
  <c r="L9" i="35"/>
  <c r="M9" i="35" s="1"/>
  <c r="O8" i="35"/>
  <c r="R8" i="35" s="1"/>
  <c r="L14" i="35"/>
  <c r="I15" i="35"/>
  <c r="L13" i="35"/>
  <c r="M13" i="35" s="1"/>
  <c r="C9" i="16"/>
  <c r="D12" i="1" s="1"/>
  <c r="E15" i="33"/>
  <c r="F14" i="22"/>
  <c r="E14" i="7"/>
  <c r="O7" i="35"/>
  <c r="L7" i="35"/>
  <c r="H15" i="35"/>
  <c r="D13" i="1"/>
  <c r="I8" i="7"/>
  <c r="G10" i="7"/>
  <c r="H10" i="7" s="1"/>
  <c r="I10" i="7" s="1"/>
  <c r="I9" i="7"/>
  <c r="G11" i="7"/>
  <c r="H11" i="7" s="1"/>
  <c r="I11" i="7" s="1"/>
  <c r="I7" i="7"/>
  <c r="I9" i="33"/>
  <c r="G12" i="33"/>
  <c r="H12" i="33" s="1"/>
  <c r="I12" i="33" s="1"/>
  <c r="G13" i="33"/>
  <c r="H13" i="33" s="1"/>
  <c r="I13" i="33" s="1"/>
  <c r="G14" i="33"/>
  <c r="H14" i="33" s="1"/>
  <c r="I14" i="33" s="1"/>
  <c r="I8" i="33"/>
  <c r="G11" i="33"/>
  <c r="E13" i="1"/>
  <c r="E14" i="1" s="1"/>
  <c r="P15" i="1"/>
  <c r="I26" i="1" l="1"/>
  <c r="I28" i="1" s="1"/>
  <c r="C8" i="29"/>
  <c r="R13" i="35"/>
  <c r="S10" i="35"/>
  <c r="T10" i="35" s="1"/>
  <c r="U10" i="35" s="1"/>
  <c r="S9" i="35"/>
  <c r="T9" i="35" s="1"/>
  <c r="U9" i="35" s="1"/>
  <c r="S11" i="35"/>
  <c r="T11" i="35" s="1"/>
  <c r="U11" i="35" s="1"/>
  <c r="J16" i="1"/>
  <c r="K16" i="1"/>
  <c r="G14" i="7"/>
  <c r="L9" i="1" s="1"/>
  <c r="I14" i="7"/>
  <c r="E8" i="1" s="1"/>
  <c r="E9" i="1" s="1"/>
  <c r="E15" i="1" s="1"/>
  <c r="H14" i="7"/>
  <c r="S13" i="35"/>
  <c r="T13" i="35" s="1"/>
  <c r="U13" i="35" s="1"/>
  <c r="Q15" i="35"/>
  <c r="S8" i="35"/>
  <c r="T8" i="35" s="1"/>
  <c r="U8" i="35" s="1"/>
  <c r="D14" i="1"/>
  <c r="D25" i="1"/>
  <c r="C11" i="23"/>
  <c r="R7" i="35"/>
  <c r="R15" i="35" s="1"/>
  <c r="C11" i="36" s="1"/>
  <c r="O15" i="35"/>
  <c r="D8" i="29"/>
  <c r="M7" i="35"/>
  <c r="L15" i="35"/>
  <c r="P9" i="1"/>
  <c r="H11" i="33"/>
  <c r="G15" i="33"/>
  <c r="E8" i="22" l="1"/>
  <c r="L20" i="1"/>
  <c r="I20" i="1"/>
  <c r="D11" i="36"/>
  <c r="D13" i="36" s="1"/>
  <c r="E28" i="1" s="1"/>
  <c r="C13" i="36"/>
  <c r="D28" i="1" s="1"/>
  <c r="D11" i="29"/>
  <c r="C11" i="29" s="1"/>
  <c r="S7" i="35"/>
  <c r="M15" i="35"/>
  <c r="D10" i="29" s="1"/>
  <c r="C10" i="29" s="1"/>
  <c r="K9" i="1"/>
  <c r="D8" i="23"/>
  <c r="O9" i="1"/>
  <c r="I9" i="1"/>
  <c r="H15" i="33"/>
  <c r="I11" i="33"/>
  <c r="I15" i="33" s="1"/>
  <c r="D8" i="1" s="1"/>
  <c r="D9" i="1" s="1"/>
  <c r="D15" i="1" s="1"/>
  <c r="F8" i="22" l="1"/>
  <c r="F9" i="22" s="1"/>
  <c r="E9" i="22"/>
  <c r="P16" i="1"/>
  <c r="O16" i="1"/>
  <c r="E24" i="1"/>
  <c r="P12" i="1"/>
  <c r="O12" i="1"/>
  <c r="D24" i="1"/>
  <c r="D9" i="29"/>
  <c r="S15" i="35"/>
  <c r="T7" i="35"/>
  <c r="C8" i="23"/>
  <c r="J9" i="1"/>
  <c r="C9" i="29" l="1"/>
  <c r="C21" i="29" s="1"/>
  <c r="I8" i="1" s="1"/>
  <c r="J8" i="1" s="1"/>
  <c r="P27" i="1"/>
  <c r="P28" i="1" s="1"/>
  <c r="D11" i="23"/>
  <c r="E25" i="1"/>
  <c r="E26" i="1" s="1"/>
  <c r="O27" i="1"/>
  <c r="D21" i="29"/>
  <c r="L8" i="1" s="1"/>
  <c r="L11" i="1" s="1"/>
  <c r="U7" i="35"/>
  <c r="U15" i="35" s="1"/>
  <c r="T15" i="35"/>
  <c r="D26" i="1"/>
  <c r="K8" i="1" l="1"/>
  <c r="I11" i="1"/>
  <c r="I13" i="1" s="1"/>
  <c r="J13" i="1" s="1"/>
  <c r="L13" i="1"/>
  <c r="C6" i="23"/>
  <c r="C9" i="23" s="1"/>
  <c r="K13" i="1" l="1"/>
  <c r="D6" i="23"/>
  <c r="D9" i="23" s="1"/>
  <c r="C12" i="23"/>
  <c r="C16" i="23" l="1"/>
  <c r="C17" i="23" s="1"/>
  <c r="O10" i="1" s="1"/>
  <c r="D12" i="23"/>
  <c r="I14" i="1" l="1"/>
  <c r="D29" i="1"/>
  <c r="D30" i="1" s="1"/>
  <c r="D31" i="1" s="1"/>
  <c r="C22" i="23"/>
  <c r="D16" i="23"/>
  <c r="D17" i="23" s="1"/>
  <c r="D22" i="23" l="1"/>
  <c r="D24" i="23" s="1"/>
  <c r="C21" i="23" s="1"/>
  <c r="C23" i="23" s="1"/>
  <c r="O17" i="1"/>
  <c r="I15" i="1"/>
  <c r="I17" i="1" s="1"/>
  <c r="E29" i="1"/>
  <c r="E30" i="1" s="1"/>
  <c r="E31" i="1" s="1"/>
  <c r="L14" i="1"/>
  <c r="L15" i="1" s="1"/>
  <c r="P10" i="1"/>
  <c r="J20" i="1" l="1"/>
  <c r="C24" i="23"/>
  <c r="J15" i="1"/>
  <c r="K15" i="1"/>
  <c r="L17" i="1"/>
  <c r="J17" i="1"/>
  <c r="O7" i="1"/>
  <c r="O13" i="1" s="1"/>
  <c r="O18" i="1" s="1"/>
  <c r="K20" i="1" l="1"/>
  <c r="K17" i="1"/>
  <c r="E20" i="1"/>
  <c r="P7" i="1"/>
  <c r="D20" i="1" l="1"/>
  <c r="D21" i="1" s="1"/>
  <c r="D32" i="1" s="1"/>
  <c r="E21" i="1"/>
  <c r="E32" i="1" s="1"/>
  <c r="O28" i="1"/>
  <c r="O30" i="1" s="1"/>
  <c r="P13" i="1"/>
  <c r="P18" i="1" s="1"/>
  <c r="P30" i="1" s="1"/>
  <c r="P32" i="1" s="1"/>
  <c r="O31" i="1" l="1"/>
  <c r="O32" i="1" s="1"/>
</calcChain>
</file>

<file path=xl/comments1.xml><?xml version="1.0" encoding="utf-8"?>
<comments xmlns="http://schemas.openxmlformats.org/spreadsheetml/2006/main">
  <authors>
    <author>عبدالقادر السمان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عبدالقادر السمان:</t>
        </r>
        <r>
          <rPr>
            <sz val="9"/>
            <color indexed="81"/>
            <rFont val="Tahoma"/>
            <family val="2"/>
          </rPr>
          <t xml:space="preserve">
1/3
 شهر عن كل سنة
</t>
        </r>
      </text>
    </comment>
  </commentList>
</comments>
</file>

<file path=xl/sharedStrings.xml><?xml version="1.0" encoding="utf-8"?>
<sst xmlns="http://schemas.openxmlformats.org/spreadsheetml/2006/main" count="336" uniqueCount="218">
  <si>
    <t>رأس المال</t>
  </si>
  <si>
    <t xml:space="preserve">ايضاح </t>
  </si>
  <si>
    <t>رقم</t>
  </si>
  <si>
    <t>ريـــــــــال</t>
  </si>
  <si>
    <t>ريـــــــال</t>
  </si>
  <si>
    <t>يتمثل هذا البند فيما يلي :</t>
  </si>
  <si>
    <t>ريــــال</t>
  </si>
  <si>
    <t>ريـــــال</t>
  </si>
  <si>
    <t>الإجمـــــــــــــــالي</t>
  </si>
  <si>
    <t>إيضاح رقم ( 6 )</t>
  </si>
  <si>
    <t>إيضاح رقم ( 8 )</t>
  </si>
  <si>
    <t>إيضاح رقم ( 12 )</t>
  </si>
  <si>
    <t xml:space="preserve">الأصــــــــــــــل </t>
  </si>
  <si>
    <t>الإضافات</t>
  </si>
  <si>
    <t xml:space="preserve"> خلال العام</t>
  </si>
  <si>
    <t>التكلفة في</t>
  </si>
  <si>
    <t>الاستبعادات</t>
  </si>
  <si>
    <t>خلال العام</t>
  </si>
  <si>
    <t>مجمع الإهلاك</t>
  </si>
  <si>
    <t>التكلفة بالصافي</t>
  </si>
  <si>
    <t>العـــــام</t>
  </si>
  <si>
    <t>إهــلاك</t>
  </si>
  <si>
    <t>الإجمالي</t>
  </si>
  <si>
    <t>الإيـــــــــــــــــــــرادات</t>
  </si>
  <si>
    <t>الإيـــــــــــــــــــــــرادات</t>
  </si>
  <si>
    <t>مصروفات عمومية وإدارية</t>
  </si>
  <si>
    <t>استهلاكات أصول ثابتة - إدارية</t>
  </si>
  <si>
    <t>مصروفات متنوعة</t>
  </si>
  <si>
    <t>أجور ومرتبات وما في حكمها</t>
  </si>
  <si>
    <t>صافي أرباح العام</t>
  </si>
  <si>
    <t>التدفقات النقدية من أنشطة التشغيل :</t>
  </si>
  <si>
    <t>تعديل صافي الدخل إلى صافي التدفق من عمليات التشغيل:</t>
  </si>
  <si>
    <t>استهلاكات الأصول الثابتة</t>
  </si>
  <si>
    <t>مخصص مكفأة نهاية الخدمة - مكون</t>
  </si>
  <si>
    <t>التغير في الموجودات والمطلوبات :</t>
  </si>
  <si>
    <t>التدفقات النقدية من أنشطة الاستثمار:</t>
  </si>
  <si>
    <t>شراء أصول ثابتة</t>
  </si>
  <si>
    <t>مقبوضات من بيع أصول ثابتة</t>
  </si>
  <si>
    <t>التدفقات النقدية من أنشطة التمويل:</t>
  </si>
  <si>
    <t>صافي التغيرات في النقدية خلال العام</t>
  </si>
  <si>
    <t>رصيد النقدية في بداية العام</t>
  </si>
  <si>
    <t>رصيد النقدية في نهاية العام</t>
  </si>
  <si>
    <t>الموجودات</t>
  </si>
  <si>
    <t>موجودات غير متداولة</t>
  </si>
  <si>
    <t>النقدية وما في حكمها</t>
  </si>
  <si>
    <t>مجموع الموجودات الغير متداولة</t>
  </si>
  <si>
    <t>الموجودات المتداولة</t>
  </si>
  <si>
    <t>النقد بالصندوق</t>
  </si>
  <si>
    <t>حسابات بنكية</t>
  </si>
  <si>
    <t>مصروفات مدفوعة مقدما وأرصدة مدينة أخرى</t>
  </si>
  <si>
    <t>إيضاح رقم ( 7 )</t>
  </si>
  <si>
    <t>مجموع الموجودات المتداولة</t>
  </si>
  <si>
    <t>مجموع الموجودات</t>
  </si>
  <si>
    <t>حقوق الشركاء والمطلوبات</t>
  </si>
  <si>
    <t>مصروفات مستحقة وأرصدة دائنة أخرى</t>
  </si>
  <si>
    <t>إيضاح رقم ( 9 )</t>
  </si>
  <si>
    <t>مستحق من أطراف ذات علاقة</t>
  </si>
  <si>
    <t>مالك رأس المال</t>
  </si>
  <si>
    <t>قيمة الحصة</t>
  </si>
  <si>
    <t>النسبة</t>
  </si>
  <si>
    <t>الإجمـــــــــالي</t>
  </si>
  <si>
    <t>الحركة المدينة خلال الفترة</t>
  </si>
  <si>
    <t>الحركة الدائنة خلال الفترة</t>
  </si>
  <si>
    <t>الرصيد نهاية الفترة</t>
  </si>
  <si>
    <t>نوع العلاقة</t>
  </si>
  <si>
    <t>تمويل</t>
  </si>
  <si>
    <t>الإجمـــــــــــالي</t>
  </si>
  <si>
    <t>ريال سعودي</t>
  </si>
  <si>
    <t>.</t>
  </si>
  <si>
    <t>الاحتياطي النظامي</t>
  </si>
  <si>
    <t>الأرباح المبقاه</t>
  </si>
  <si>
    <t>مجموع حقوق الشركاء</t>
  </si>
  <si>
    <t>المطلوبات</t>
  </si>
  <si>
    <t>المطللوبات غير المتداولة</t>
  </si>
  <si>
    <t>منافع الموظفين</t>
  </si>
  <si>
    <t>مستحق أطراف ذات علاقة</t>
  </si>
  <si>
    <t>مجموع المطلوبات غير المتداولة</t>
  </si>
  <si>
    <t>المطللوبات المتداولة</t>
  </si>
  <si>
    <t>مخصص الزكاة الشرعية</t>
  </si>
  <si>
    <t>صافي ربح ربح الفترة قبل الزكاة الشرعية</t>
  </si>
  <si>
    <t>صافي الربح المعدل</t>
  </si>
  <si>
    <t>إجمالي الوعاء الموجب</t>
  </si>
  <si>
    <t>يضاف :</t>
  </si>
  <si>
    <t>يخصم:</t>
  </si>
  <si>
    <t>إجمالي الوعاء السالب</t>
  </si>
  <si>
    <t>صافي الوعاء الزكوي</t>
  </si>
  <si>
    <t>الزكاة الشرعية بواقع 2.5% من صافي الربح</t>
  </si>
  <si>
    <t>حركة مخصص الزكاة الشرعية</t>
  </si>
  <si>
    <t>الرصيد بداية الفترة</t>
  </si>
  <si>
    <t>المكون خلال الفترة</t>
  </si>
  <si>
    <t>المسدد خلال الفترة</t>
  </si>
  <si>
    <t>الرصيد آخر الفترة</t>
  </si>
  <si>
    <t>مجموع المطلوبات المتداولة</t>
  </si>
  <si>
    <t>مجموع المطلوبات</t>
  </si>
  <si>
    <t>مجموع حقوق الشركاء والمطلوبات</t>
  </si>
  <si>
    <t>يخصم المصروفات والأعباء الأخرى</t>
  </si>
  <si>
    <t>رسوم حكومية واشتراكات</t>
  </si>
  <si>
    <t>قرطاسية ومطبوعات</t>
  </si>
  <si>
    <t>ضيافة ونظافة</t>
  </si>
  <si>
    <t>مجموع المصروفات والأعباء الأخرى</t>
  </si>
  <si>
    <t>صافي ربح الفترة قبل الزكاة الشرعية</t>
  </si>
  <si>
    <t>مصروف الزكاة الشرعية</t>
  </si>
  <si>
    <t>صافي ربح الفترة</t>
  </si>
  <si>
    <t>صافي الدخل الشامل</t>
  </si>
  <si>
    <t>الدخل الشامل الآخر</t>
  </si>
  <si>
    <t>أرصدة مدينة أخرى</t>
  </si>
  <si>
    <t>الأصول الثابتة بالصافي</t>
  </si>
  <si>
    <t>الأثاث والمفروشات</t>
  </si>
  <si>
    <t>سيارات</t>
  </si>
  <si>
    <t>صيانة عامة</t>
  </si>
  <si>
    <t>الإهلاك</t>
  </si>
  <si>
    <t>القروض</t>
  </si>
  <si>
    <t>الزكاة الشرعية</t>
  </si>
  <si>
    <t>النقص ( الزيادة ) في مصروفات مدفوعة مقدما</t>
  </si>
  <si>
    <t>قائمة المركز المالي في 31 / 12 / 2023</t>
  </si>
  <si>
    <t>قائمة الدخل في 31 / 12 / 2023</t>
  </si>
  <si>
    <t>المسدد من الزكاة</t>
  </si>
  <si>
    <t>أجهزة الحاسب الآلي وماكينات تصوير</t>
  </si>
  <si>
    <t>قائمة التدفق النقدي في 31 / 12 / 2023</t>
  </si>
  <si>
    <t>قيمة كل حصة (1000) ريال يتم توزيعها كالآتي:</t>
  </si>
  <si>
    <t xml:space="preserve">حدد رأس مال الشركة ب ( 100,000 ) ريال مقسمة إلى (100)حصة متساوية القيمة، </t>
  </si>
  <si>
    <t>موظف استقبال</t>
  </si>
  <si>
    <t>عمال نظافة</t>
  </si>
  <si>
    <t>العدد</t>
  </si>
  <si>
    <t>كهرباء ومياه وهاتف</t>
  </si>
  <si>
    <t>إيرادات النشاط</t>
  </si>
  <si>
    <t>ايرادات النشاط تفصيلي</t>
  </si>
  <si>
    <t>إيرادات أخرى</t>
  </si>
  <si>
    <t>الإيراد</t>
  </si>
  <si>
    <t>سائق</t>
  </si>
  <si>
    <t>برامج محاسبية</t>
  </si>
  <si>
    <t>عدد</t>
  </si>
  <si>
    <t>أتعاب محاسبية</t>
  </si>
  <si>
    <t>رواتب مستحقة</t>
  </si>
  <si>
    <t>IS</t>
  </si>
  <si>
    <t>إيضاح رقم ( 11 )</t>
  </si>
  <si>
    <t>إيضاح رقم ( 13 )</t>
  </si>
  <si>
    <t>مدير  المركز</t>
  </si>
  <si>
    <t>أخصائيين</t>
  </si>
  <si>
    <t>أجنبي</t>
  </si>
  <si>
    <t>سعودي</t>
  </si>
  <si>
    <t>محاسب</t>
  </si>
  <si>
    <t>البند</t>
  </si>
  <si>
    <t>مصاريف شهرية</t>
  </si>
  <si>
    <t>اجمالي الراتب  شهريا</t>
  </si>
  <si>
    <t>سنوية حكومية</t>
  </si>
  <si>
    <t>سنوية بدلات</t>
  </si>
  <si>
    <t>اجمالي البدلات الشهرية</t>
  </si>
  <si>
    <t>اجمالي مصاريف حكومية +بدلات</t>
  </si>
  <si>
    <t>اجمالي تكلفة الموظف الشهرية</t>
  </si>
  <si>
    <t>تكلفة الموظف السنوية</t>
  </si>
  <si>
    <t>الراتب الشهري</t>
  </si>
  <si>
    <t>بدل السكن</t>
  </si>
  <si>
    <t>بدل التنقل</t>
  </si>
  <si>
    <t>رسوم مكتب العمل</t>
  </si>
  <si>
    <t>رسوم الجوازات</t>
  </si>
  <si>
    <t>تامين طبي</t>
  </si>
  <si>
    <t>التامينات الاجتماعية</t>
  </si>
  <si>
    <t>اجمالى الرسوم الحكومية</t>
  </si>
  <si>
    <t>تذاكر سفر</t>
  </si>
  <si>
    <t>بدل اجازة</t>
  </si>
  <si>
    <t>رسوم خروج وعودة</t>
  </si>
  <si>
    <t>نهاية خدمة</t>
  </si>
  <si>
    <t>الاجمالي</t>
  </si>
  <si>
    <t>إيرادات المراجعين - تأمين</t>
  </si>
  <si>
    <t>ايرادات المراجعين - نقدي</t>
  </si>
  <si>
    <t xml:space="preserve">السنوي </t>
  </si>
  <si>
    <t>عدد المراجعين</t>
  </si>
  <si>
    <t>شهر 1</t>
  </si>
  <si>
    <t>شهر 2</t>
  </si>
  <si>
    <t>شهر 3</t>
  </si>
  <si>
    <t>شهر 4</t>
  </si>
  <si>
    <t>شهر 5</t>
  </si>
  <si>
    <t>شهر 6</t>
  </si>
  <si>
    <t>شهر 7</t>
  </si>
  <si>
    <t>شهر 8</t>
  </si>
  <si>
    <t>شهر 9</t>
  </si>
  <si>
    <t>شهر 10</t>
  </si>
  <si>
    <t>شهر 11</t>
  </si>
  <si>
    <t>شهر 12</t>
  </si>
  <si>
    <t>الشهور</t>
  </si>
  <si>
    <t xml:space="preserve">تم احتساب الإيراد النقدي للفرد كالآتي : </t>
  </si>
  <si>
    <t>تقييم</t>
  </si>
  <si>
    <t>ريال</t>
  </si>
  <si>
    <t xml:space="preserve">جلسات </t>
  </si>
  <si>
    <t>عدد 6 فقط</t>
  </si>
  <si>
    <t xml:space="preserve">تم احتساب إيراد التأمين للفرد كالآتي : </t>
  </si>
  <si>
    <t>المراجعين</t>
  </si>
  <si>
    <t>يتم احتساب معدل نمو 20% سنويا لأول 3 سنوات</t>
  </si>
  <si>
    <t>ثم 15 % لل 5 سنوات التالية</t>
  </si>
  <si>
    <t>أجهزة طبية كهربائية</t>
  </si>
  <si>
    <t>أجهزة طبية رياضية</t>
  </si>
  <si>
    <t>الايجارات</t>
  </si>
  <si>
    <t>تحسينات على مباني الغير</t>
  </si>
  <si>
    <t>المكيفات</t>
  </si>
  <si>
    <t xml:space="preserve">شركة مركز الاحتراف للعلاج الطبيعي </t>
  </si>
  <si>
    <t>شركة ذات مسئولية محدودة</t>
  </si>
  <si>
    <t>رسوم حكومية موظفين</t>
  </si>
  <si>
    <t>منافع وبدلات موظفين</t>
  </si>
  <si>
    <t>نهاية الخدمة</t>
  </si>
  <si>
    <r>
      <rPr>
        <sz val="12"/>
        <color rgb="FFFF0000"/>
        <rFont val="Calibri"/>
        <family val="2"/>
        <scheme val="minor"/>
      </rPr>
      <t xml:space="preserve"> النقص)</t>
    </r>
    <r>
      <rPr>
        <sz val="12"/>
        <color theme="1"/>
        <rFont val="Calibri"/>
        <family val="2"/>
        <scheme val="minor"/>
      </rPr>
      <t xml:space="preserve"> الزيادة في مصروفات مستحقة وأرصدة دائنة أخرى</t>
    </r>
  </si>
  <si>
    <t>إيضاح رقم ( 4 ): أصـــــــــــول ثابتة - بالصــــــــــــافي</t>
  </si>
  <si>
    <t>إيضاح رقم ( 5 ):النقدية وما في حكمها</t>
  </si>
  <si>
    <t>صافي التدفق النقدي من أنشطة التشغيل</t>
  </si>
  <si>
    <t>صافي التدفق النقدي من أنشطة الاستثمار</t>
  </si>
  <si>
    <t>صافي التدفق النقدي من أنشطة التمويل</t>
  </si>
  <si>
    <t>دعاية وإعلان</t>
  </si>
  <si>
    <t>معدل العائد على رأس المال</t>
  </si>
  <si>
    <t xml:space="preserve">رواتب 3 شهور </t>
  </si>
  <si>
    <t>ايجار 6 شهور</t>
  </si>
  <si>
    <t>أصول ثابتة</t>
  </si>
  <si>
    <t>رأس المال المدفوع</t>
  </si>
  <si>
    <t>01/01/20235</t>
  </si>
  <si>
    <t>إيجارات مقدمة</t>
  </si>
  <si>
    <t>تخاطب</t>
  </si>
  <si>
    <t>العام 1</t>
  </si>
  <si>
    <t>العام 2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</si>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</sst>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;\(#,##0\);\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b/>
      <sz val="14"/>
      <color theme="1"/>
      <name val="Century Schoolbook"/>
      <family val="1"/>
    </font>
    <font>
      <b/>
      <sz val="14"/>
      <color rgb="FF0070C0"/>
      <name val="Century Schoolbook"/>
      <family val="1"/>
    </font>
    <font>
      <b/>
      <sz val="12"/>
      <color rgb="FF0070C0"/>
      <name val="Century Schoolbook"/>
      <family val="1"/>
    </font>
    <font>
      <b/>
      <sz val="12"/>
      <color theme="0"/>
      <name val="Century Schoolbook"/>
      <family val="1"/>
    </font>
    <font>
      <b/>
      <sz val="12"/>
      <name val="Century Schoolbook"/>
      <family val="1"/>
    </font>
    <font>
      <b/>
      <sz val="12"/>
      <color theme="1"/>
      <name val="Century Schoolbook"/>
      <family val="1"/>
    </font>
    <font>
      <b/>
      <sz val="14"/>
      <color theme="0"/>
      <name val="Century Schoolbook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rgb="FFFF0000"/>
      </right>
      <top style="medium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auto="1"/>
      </top>
      <bottom/>
      <diagonal/>
    </border>
    <border>
      <left style="medium">
        <color rgb="FFFF0000"/>
      </left>
      <right/>
      <top style="medium">
        <color auto="1"/>
      </top>
      <bottom style="medium">
        <color rgb="FFFF0000"/>
      </bottom>
      <diagonal/>
    </border>
    <border>
      <left/>
      <right/>
      <top style="medium">
        <color auto="1"/>
      </top>
      <bottom style="medium">
        <color rgb="FFFF0000"/>
      </bottom>
      <diagonal/>
    </border>
    <border>
      <left/>
      <right style="medium">
        <color rgb="FFFF0000"/>
      </right>
      <top style="medium">
        <color auto="1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auto="1"/>
      </top>
      <bottom style="medium">
        <color rgb="FFFF0000"/>
      </bottom>
      <diagonal/>
    </border>
    <border>
      <left style="medium">
        <color rgb="FFFF0000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FF0000"/>
      </right>
      <top style="medium">
        <color auto="1"/>
      </top>
      <bottom/>
      <diagonal/>
    </border>
    <border>
      <left style="medium">
        <color rgb="FFFF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auto="1"/>
      </right>
      <top/>
      <bottom style="medium">
        <color rgb="FFFF0000"/>
      </bottom>
      <diagonal/>
    </border>
    <border>
      <left style="medium">
        <color rgb="FFFF0000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41" fontId="3" fillId="0" borderId="0" xfId="0" applyNumberFormat="1" applyFont="1"/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41" fontId="2" fillId="0" borderId="0" xfId="1" applyNumberFormat="1" applyFont="1"/>
    <xf numFmtId="41" fontId="5" fillId="0" borderId="0" xfId="1" applyNumberFormat="1" applyFont="1"/>
    <xf numFmtId="0" fontId="4" fillId="0" borderId="0" xfId="0" applyFont="1" applyAlignment="1">
      <alignment horizontal="center" vertical="center"/>
    </xf>
    <xf numFmtId="41" fontId="2" fillId="0" borderId="2" xfId="1" applyNumberFormat="1" applyFont="1" applyBorder="1"/>
    <xf numFmtId="0" fontId="6" fillId="0" borderId="0" xfId="0" applyFont="1" applyAlignment="1">
      <alignment horizontal="center" vertical="center"/>
    </xf>
    <xf numFmtId="41" fontId="3" fillId="0" borderId="0" xfId="1" applyNumberFormat="1" applyFont="1"/>
    <xf numFmtId="41" fontId="3" fillId="0" borderId="0" xfId="1" applyNumberFormat="1" applyFont="1" applyFill="1"/>
    <xf numFmtId="164" fontId="3" fillId="0" borderId="0" xfId="1" applyNumberFormat="1" applyFont="1"/>
    <xf numFmtId="0" fontId="3" fillId="0" borderId="0" xfId="0" applyFont="1" applyFill="1"/>
    <xf numFmtId="0" fontId="6" fillId="0" borderId="0" xfId="0" applyFont="1"/>
    <xf numFmtId="0" fontId="10" fillId="0" borderId="0" xfId="0" applyFont="1"/>
    <xf numFmtId="41" fontId="2" fillId="0" borderId="0" xfId="1" applyNumberFormat="1" applyFont="1" applyFill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1" fontId="7" fillId="0" borderId="0" xfId="1" applyNumberFormat="1" applyFont="1" applyAlignment="1">
      <alignment horizontal="center"/>
    </xf>
    <xf numFmtId="0" fontId="2" fillId="0" borderId="8" xfId="0" applyFont="1" applyBorder="1"/>
    <xf numFmtId="41" fontId="2" fillId="0" borderId="8" xfId="1" applyNumberFormat="1" applyFont="1" applyBorder="1"/>
    <xf numFmtId="41" fontId="2" fillId="0" borderId="9" xfId="1" applyNumberFormat="1" applyFont="1" applyBorder="1"/>
    <xf numFmtId="9" fontId="2" fillId="0" borderId="8" xfId="2" applyFont="1" applyBorder="1"/>
    <xf numFmtId="0" fontId="5" fillId="0" borderId="9" xfId="0" applyFont="1" applyBorder="1"/>
    <xf numFmtId="9" fontId="2" fillId="0" borderId="9" xfId="2" applyFont="1" applyBorder="1"/>
    <xf numFmtId="0" fontId="3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3" fontId="6" fillId="0" borderId="10" xfId="1" applyFont="1" applyBorder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0" fontId="3" fillId="2" borderId="0" xfId="0" applyFont="1" applyFill="1"/>
    <xf numFmtId="41" fontId="6" fillId="0" borderId="2" xfId="1" applyNumberFormat="1" applyFont="1" applyFill="1" applyBorder="1"/>
    <xf numFmtId="164" fontId="3" fillId="0" borderId="0" xfId="1" applyNumberFormat="1" applyFont="1" applyFill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Alignment="1">
      <alignment horizontal="center" vertical="center"/>
    </xf>
    <xf numFmtId="41" fontId="0" fillId="0" borderId="0" xfId="0" applyNumberFormat="1"/>
    <xf numFmtId="41" fontId="5" fillId="0" borderId="2" xfId="1" applyNumberFormat="1" applyFont="1" applyBorder="1"/>
    <xf numFmtId="164" fontId="0" fillId="0" borderId="0" xfId="1" applyNumberFormat="1" applyFont="1"/>
    <xf numFmtId="164" fontId="5" fillId="0" borderId="0" xfId="1" applyNumberFormat="1" applyFont="1"/>
    <xf numFmtId="0" fontId="2" fillId="0" borderId="0" xfId="0" applyFont="1" applyAlignment="1">
      <alignment horizontal="center"/>
    </xf>
    <xf numFmtId="0" fontId="12" fillId="0" borderId="0" xfId="0" applyFont="1"/>
    <xf numFmtId="41" fontId="12" fillId="0" borderId="0" xfId="1" applyNumberFormat="1" applyFont="1"/>
    <xf numFmtId="0" fontId="4" fillId="0" borderId="0" xfId="0" applyFont="1" applyAlignment="1">
      <alignment horizontal="center" vertical="center"/>
    </xf>
    <xf numFmtId="164" fontId="3" fillId="3" borderId="0" xfId="1" applyNumberFormat="1" applyFont="1" applyFill="1"/>
    <xf numFmtId="0" fontId="3" fillId="4" borderId="0" xfId="0" applyFont="1" applyFill="1"/>
    <xf numFmtId="164" fontId="0" fillId="3" borderId="0" xfId="1" applyNumberFormat="1" applyFont="1" applyFill="1"/>
    <xf numFmtId="0" fontId="3" fillId="5" borderId="0" xfId="0" applyFont="1" applyFill="1"/>
    <xf numFmtId="0" fontId="0" fillId="5" borderId="0" xfId="0" applyFill="1"/>
    <xf numFmtId="164" fontId="0" fillId="5" borderId="0" xfId="1" applyNumberFormat="1" applyFont="1" applyFill="1"/>
    <xf numFmtId="0" fontId="6" fillId="4" borderId="0" xfId="0" applyFont="1" applyFill="1"/>
    <xf numFmtId="41" fontId="6" fillId="0" borderId="0" xfId="1" applyNumberFormat="1" applyFont="1"/>
    <xf numFmtId="164" fontId="0" fillId="6" borderId="0" xfId="1" applyNumberFormat="1" applyFont="1" applyFill="1"/>
    <xf numFmtId="41" fontId="3" fillId="0" borderId="0" xfId="1" applyNumberFormat="1" applyFont="1" applyAlignment="1">
      <alignment horizontal="right"/>
    </xf>
    <xf numFmtId="0" fontId="9" fillId="0" borderId="0" xfId="0" applyFont="1"/>
    <xf numFmtId="3" fontId="3" fillId="0" borderId="0" xfId="0" applyNumberFormat="1" applyFont="1"/>
    <xf numFmtId="3" fontId="9" fillId="8" borderId="17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3" fontId="9" fillId="0" borderId="0" xfId="0" applyNumberFormat="1" applyFont="1" applyAlignment="1">
      <alignment vertical="center"/>
    </xf>
    <xf numFmtId="3" fontId="9" fillId="0" borderId="24" xfId="0" applyNumberFormat="1" applyFont="1" applyBorder="1" applyAlignment="1">
      <alignment horizontal="center" vertical="center" wrapText="1"/>
    </xf>
    <xf numFmtId="3" fontId="9" fillId="8" borderId="24" xfId="0" applyNumberFormat="1" applyFont="1" applyFill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/>
    </xf>
    <xf numFmtId="3" fontId="13" fillId="0" borderId="24" xfId="0" applyNumberFormat="1" applyFont="1" applyBorder="1" applyAlignment="1">
      <alignment horizontal="center" vertical="center" wrapText="1"/>
    </xf>
    <xf numFmtId="3" fontId="14" fillId="0" borderId="24" xfId="0" applyNumberFormat="1" applyFont="1" applyBorder="1" applyAlignment="1">
      <alignment horizontal="center" vertical="center" wrapText="1"/>
    </xf>
    <xf numFmtId="3" fontId="14" fillId="8" borderId="24" xfId="0" applyNumberFormat="1" applyFont="1" applyFill="1" applyBorder="1" applyAlignment="1">
      <alignment horizontal="center" vertical="center" wrapText="1"/>
    </xf>
    <xf numFmtId="3" fontId="15" fillId="0" borderId="24" xfId="0" applyNumberFormat="1" applyFont="1" applyBorder="1" applyAlignment="1">
      <alignment horizontal="center" vertical="center" wrapText="1"/>
    </xf>
    <xf numFmtId="3" fontId="16" fillId="0" borderId="24" xfId="0" applyNumberFormat="1" applyFont="1" applyBorder="1" applyAlignment="1">
      <alignment horizontal="center" vertical="center" wrapText="1"/>
    </xf>
    <xf numFmtId="3" fontId="17" fillId="9" borderId="24" xfId="0" applyNumberFormat="1" applyFont="1" applyFill="1" applyBorder="1" applyAlignment="1">
      <alignment horizontal="center" vertical="center" wrapText="1"/>
    </xf>
    <xf numFmtId="3" fontId="18" fillId="8" borderId="24" xfId="0" applyNumberFormat="1" applyFont="1" applyFill="1" applyBorder="1" applyAlignment="1">
      <alignment horizontal="center" vertical="center" wrapText="1"/>
    </xf>
    <xf numFmtId="3" fontId="19" fillId="8" borderId="24" xfId="0" applyNumberFormat="1" applyFont="1" applyFill="1" applyBorder="1" applyAlignment="1">
      <alignment horizontal="center" vertical="center" wrapText="1"/>
    </xf>
    <xf numFmtId="3" fontId="19" fillId="8" borderId="26" xfId="0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/>
    </xf>
    <xf numFmtId="3" fontId="18" fillId="0" borderId="24" xfId="0" applyNumberFormat="1" applyFont="1" applyBorder="1" applyAlignment="1">
      <alignment horizontal="center" vertical="center" wrapText="1"/>
    </xf>
    <xf numFmtId="3" fontId="14" fillId="0" borderId="27" xfId="0" applyNumberFormat="1" applyFont="1" applyBorder="1" applyAlignment="1">
      <alignment horizontal="center" vertical="center" wrapText="1"/>
    </xf>
    <xf numFmtId="3" fontId="14" fillId="8" borderId="28" xfId="0" applyNumberFormat="1" applyFont="1" applyFill="1" applyBorder="1" applyAlignment="1">
      <alignment horizontal="center" vertical="center" wrapText="1"/>
    </xf>
    <xf numFmtId="3" fontId="20" fillId="10" borderId="28" xfId="0" applyNumberFormat="1" applyFont="1" applyFill="1" applyBorder="1" applyAlignment="1">
      <alignment horizontal="center" vertical="center" wrapText="1"/>
    </xf>
    <xf numFmtId="3" fontId="19" fillId="8" borderId="28" xfId="0" applyNumberFormat="1" applyFont="1" applyFill="1" applyBorder="1" applyAlignment="1">
      <alignment horizontal="center" vertical="center" wrapText="1"/>
    </xf>
    <xf numFmtId="3" fontId="20" fillId="10" borderId="29" xfId="0" applyNumberFormat="1" applyFont="1" applyFill="1" applyBorder="1" applyAlignment="1">
      <alignment horizontal="center" vertical="center" wrapText="1"/>
    </xf>
    <xf numFmtId="3" fontId="13" fillId="0" borderId="23" xfId="0" applyNumberFormat="1" applyFont="1" applyBorder="1" applyAlignment="1">
      <alignment horizontal="center" vertical="center" wrapText="1"/>
    </xf>
    <xf numFmtId="3" fontId="13" fillId="0" borderId="18" xfId="0" applyNumberFormat="1" applyFont="1" applyBorder="1" applyAlignment="1">
      <alignment horizontal="center" vertical="center" wrapText="1"/>
    </xf>
    <xf numFmtId="3" fontId="17" fillId="0" borderId="24" xfId="0" applyNumberFormat="1" applyFont="1" applyFill="1" applyBorder="1" applyAlignment="1">
      <alignment horizontal="center" vertical="center" wrapText="1"/>
    </xf>
    <xf numFmtId="3" fontId="14" fillId="7" borderId="27" xfId="0" applyNumberFormat="1" applyFont="1" applyFill="1" applyBorder="1" applyAlignment="1">
      <alignment horizontal="center" vertical="center" wrapText="1"/>
    </xf>
    <xf numFmtId="3" fontId="18" fillId="7" borderId="24" xfId="0" applyNumberFormat="1" applyFont="1" applyFill="1" applyBorder="1" applyAlignment="1">
      <alignment horizontal="center" vertical="center" wrapText="1"/>
    </xf>
    <xf numFmtId="3" fontId="19" fillId="0" borderId="24" xfId="0" applyNumberFormat="1" applyFont="1" applyBorder="1" applyAlignment="1">
      <alignment horizontal="center" vertical="center" wrapText="1"/>
    </xf>
    <xf numFmtId="3" fontId="19" fillId="7" borderId="27" xfId="0" applyNumberFormat="1" applyFont="1" applyFill="1" applyBorder="1" applyAlignment="1">
      <alignment horizontal="center" vertical="center" wrapText="1"/>
    </xf>
    <xf numFmtId="3" fontId="19" fillId="0" borderId="27" xfId="0" applyNumberFormat="1" applyFont="1" applyBorder="1" applyAlignment="1">
      <alignment horizontal="center" vertical="center" wrapText="1"/>
    </xf>
    <xf numFmtId="0" fontId="9" fillId="0" borderId="11" xfId="0" applyFont="1" applyBorder="1"/>
    <xf numFmtId="164" fontId="9" fillId="0" borderId="11" xfId="1" applyNumberFormat="1" applyFont="1" applyBorder="1"/>
    <xf numFmtId="0" fontId="9" fillId="7" borderId="11" xfId="0" applyFont="1" applyFill="1" applyBorder="1"/>
    <xf numFmtId="164" fontId="9" fillId="7" borderId="11" xfId="1" applyNumberFormat="1" applyFont="1" applyFill="1" applyBorder="1"/>
    <xf numFmtId="164" fontId="3" fillId="5" borderId="0" xfId="1" applyNumberFormat="1" applyFont="1" applyFill="1" applyAlignment="1"/>
    <xf numFmtId="164" fontId="3" fillId="4" borderId="0" xfId="1" applyNumberFormat="1" applyFont="1" applyFill="1" applyAlignment="1"/>
    <xf numFmtId="164" fontId="0" fillId="4" borderId="0" xfId="1" applyNumberFormat="1" applyFont="1" applyFill="1"/>
    <xf numFmtId="0" fontId="3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6" fillId="0" borderId="31" xfId="0" applyFont="1" applyBorder="1"/>
    <xf numFmtId="41" fontId="6" fillId="0" borderId="32" xfId="1" applyNumberFormat="1" applyFont="1" applyBorder="1"/>
    <xf numFmtId="41" fontId="6" fillId="0" borderId="30" xfId="1" applyNumberFormat="1" applyFont="1" applyBorder="1"/>
    <xf numFmtId="43" fontId="12" fillId="0" borderId="0" xfId="0" applyNumberFormat="1" applyFont="1"/>
    <xf numFmtId="0" fontId="12" fillId="0" borderId="0" xfId="0" applyFont="1" applyAlignment="1">
      <alignment horizontal="center" vertical="center"/>
    </xf>
    <xf numFmtId="0" fontId="24" fillId="11" borderId="0" xfId="0" applyFont="1" applyFill="1"/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5" fillId="0" borderId="0" xfId="0" applyFont="1"/>
    <xf numFmtId="0" fontId="9" fillId="0" borderId="0" xfId="0" applyFont="1" applyAlignment="1">
      <alignment horizontal="center" vertical="center"/>
    </xf>
    <xf numFmtId="0" fontId="26" fillId="0" borderId="0" xfId="0" applyFont="1"/>
    <xf numFmtId="0" fontId="25" fillId="0" borderId="0" xfId="0" applyFont="1" applyAlignment="1">
      <alignment horizontal="center" vertical="center"/>
    </xf>
    <xf numFmtId="41" fontId="24" fillId="0" borderId="0" xfId="0" applyNumberFormat="1" applyFont="1"/>
    <xf numFmtId="0" fontId="12" fillId="0" borderId="1" xfId="0" applyFont="1" applyBorder="1"/>
    <xf numFmtId="41" fontId="25" fillId="0" borderId="6" xfId="0" applyNumberFormat="1" applyFont="1" applyBorder="1"/>
    <xf numFmtId="41" fontId="9" fillId="0" borderId="3" xfId="1" applyNumberFormat="1" applyFont="1" applyBorder="1"/>
    <xf numFmtId="41" fontId="12" fillId="0" borderId="0" xfId="1" applyNumberFormat="1" applyFont="1" applyBorder="1"/>
    <xf numFmtId="41" fontId="12" fillId="0" borderId="3" xfId="1" applyNumberFormat="1" applyFont="1" applyBorder="1"/>
    <xf numFmtId="41" fontId="25" fillId="0" borderId="7" xfId="0" applyNumberFormat="1" applyFont="1" applyBorder="1"/>
    <xf numFmtId="164" fontId="12" fillId="0" borderId="0" xfId="1" applyNumberFormat="1" applyFont="1"/>
    <xf numFmtId="41" fontId="25" fillId="0" borderId="0" xfId="0" applyNumberFormat="1" applyFont="1" applyBorder="1"/>
    <xf numFmtId="41" fontId="12" fillId="0" borderId="1" xfId="1" applyNumberFormat="1" applyFont="1" applyBorder="1"/>
    <xf numFmtId="0" fontId="25" fillId="0" borderId="0" xfId="0" applyNumberFormat="1" applyFont="1" applyAlignment="1">
      <alignment horizontal="center" vertical="center"/>
    </xf>
    <xf numFmtId="41" fontId="12" fillId="0" borderId="4" xfId="1" applyNumberFormat="1" applyFont="1" applyBorder="1"/>
    <xf numFmtId="0" fontId="12" fillId="0" borderId="0" xfId="0" applyFont="1" applyAlignment="1"/>
    <xf numFmtId="41" fontId="12" fillId="0" borderId="0" xfId="0" applyNumberFormat="1" applyFont="1"/>
    <xf numFmtId="41" fontId="12" fillId="0" borderId="0" xfId="0" applyNumberFormat="1" applyFont="1" applyBorder="1"/>
    <xf numFmtId="164" fontId="12" fillId="0" borderId="1" xfId="1" applyNumberFormat="1" applyFont="1" applyBorder="1"/>
    <xf numFmtId="164" fontId="24" fillId="0" borderId="0" xfId="1" applyNumberFormat="1" applyFont="1"/>
    <xf numFmtId="41" fontId="12" fillId="0" borderId="1" xfId="0" applyNumberFormat="1" applyFont="1" applyBorder="1"/>
    <xf numFmtId="165" fontId="12" fillId="0" borderId="1" xfId="1" applyNumberFormat="1" applyFont="1" applyBorder="1"/>
    <xf numFmtId="41" fontId="9" fillId="0" borderId="2" xfId="0" applyNumberFormat="1" applyFont="1" applyBorder="1"/>
    <xf numFmtId="10" fontId="12" fillId="0" borderId="0" xfId="2" applyNumberFormat="1" applyFont="1"/>
    <xf numFmtId="10" fontId="9" fillId="0" borderId="3" xfId="2" applyNumberFormat="1" applyFont="1" applyBorder="1"/>
    <xf numFmtId="10" fontId="12" fillId="0" borderId="0" xfId="2" applyNumberFormat="1" applyFont="1" applyBorder="1"/>
    <xf numFmtId="0" fontId="12" fillId="0" borderId="30" xfId="0" applyFont="1" applyBorder="1" applyAlignment="1">
      <alignment horizontal="center" vertical="center"/>
    </xf>
    <xf numFmtId="14" fontId="9" fillId="0" borderId="30" xfId="0" applyNumberFormat="1" applyFont="1" applyBorder="1" applyAlignment="1">
      <alignment horizontal="center" vertical="center"/>
    </xf>
    <xf numFmtId="0" fontId="12" fillId="0" borderId="30" xfId="0" applyFont="1" applyBorder="1"/>
    <xf numFmtId="41" fontId="12" fillId="0" borderId="30" xfId="1" applyNumberFormat="1" applyFont="1" applyBorder="1"/>
    <xf numFmtId="0" fontId="12" fillId="0" borderId="11" xfId="0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0" fontId="12" fillId="0" borderId="11" xfId="0" applyFont="1" applyBorder="1"/>
    <xf numFmtId="41" fontId="12" fillId="0" borderId="11" xfId="1" applyNumberFormat="1" applyFont="1" applyBorder="1"/>
    <xf numFmtId="41" fontId="9" fillId="0" borderId="0" xfId="1" applyNumberFormat="1" applyFont="1" applyBorder="1"/>
    <xf numFmtId="10" fontId="9" fillId="0" borderId="0" xfId="2" applyNumberFormat="1" applyFont="1" applyBorder="1"/>
    <xf numFmtId="164" fontId="12" fillId="0" borderId="0" xfId="1" applyNumberFormat="1" applyFont="1" applyAlignment="1"/>
    <xf numFmtId="0" fontId="12" fillId="5" borderId="0" xfId="0" applyFont="1" applyFill="1" applyAlignment="1"/>
    <xf numFmtId="164" fontId="12" fillId="5" borderId="0" xfId="0" applyNumberFormat="1" applyFont="1" applyFill="1" applyAlignment="1"/>
    <xf numFmtId="10" fontId="28" fillId="0" borderId="0" xfId="2" applyNumberFormat="1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 wrapText="1"/>
    </xf>
    <xf numFmtId="3" fontId="13" fillId="0" borderId="22" xfId="0" applyNumberFormat="1" applyFont="1" applyBorder="1" applyAlignment="1">
      <alignment horizontal="center" vertical="center" wrapText="1"/>
    </xf>
    <xf numFmtId="3" fontId="11" fillId="8" borderId="13" xfId="0" applyNumberFormat="1" applyFont="1" applyFill="1" applyBorder="1" applyAlignment="1">
      <alignment horizontal="center" vertical="center" wrapText="1"/>
    </xf>
    <xf numFmtId="3" fontId="11" fillId="8" borderId="23" xfId="0" applyNumberFormat="1" applyFont="1" applyFill="1" applyBorder="1" applyAlignment="1">
      <alignment horizontal="center" vertical="center" wrapText="1"/>
    </xf>
    <xf numFmtId="3" fontId="11" fillId="8" borderId="21" xfId="0" applyNumberFormat="1" applyFont="1" applyFill="1" applyBorder="1" applyAlignment="1">
      <alignment horizontal="center" vertical="center" wrapText="1"/>
    </xf>
    <xf numFmtId="3" fontId="11" fillId="8" borderId="25" xfId="0" applyNumberFormat="1" applyFont="1" applyFill="1" applyBorder="1" applyAlignment="1">
      <alignment horizontal="center" vertical="center" wrapText="1"/>
    </xf>
    <xf numFmtId="3" fontId="13" fillId="0" borderId="13" xfId="0" applyNumberFormat="1" applyFont="1" applyBorder="1" applyAlignment="1">
      <alignment horizontal="center" vertical="center" wrapText="1"/>
    </xf>
    <xf numFmtId="3" fontId="13" fillId="0" borderId="23" xfId="0" applyNumberFormat="1" applyFont="1" applyBorder="1" applyAlignment="1">
      <alignment horizontal="center" vertical="center" wrapText="1"/>
    </xf>
    <xf numFmtId="3" fontId="11" fillId="0" borderId="14" xfId="0" applyNumberFormat="1" applyFont="1" applyBorder="1" applyAlignment="1">
      <alignment horizontal="center" vertical="center" wrapText="1"/>
    </xf>
    <xf numFmtId="3" fontId="11" fillId="0" borderId="15" xfId="0" applyNumberFormat="1" applyFont="1" applyBorder="1" applyAlignment="1">
      <alignment horizontal="center" vertical="center" wrapText="1"/>
    </xf>
    <xf numFmtId="3" fontId="11" fillId="0" borderId="16" xfId="0" applyNumberFormat="1" applyFont="1" applyBorder="1" applyAlignment="1">
      <alignment horizontal="center" vertical="center" wrapText="1"/>
    </xf>
    <xf numFmtId="3" fontId="9" fillId="0" borderId="18" xfId="0" applyNumberFormat="1" applyFont="1" applyBorder="1" applyAlignment="1">
      <alignment horizontal="center" vertical="center" wrapText="1"/>
    </xf>
    <xf numFmtId="3" fontId="9" fillId="0" borderId="19" xfId="0" applyNumberFormat="1" applyFont="1" applyBorder="1" applyAlignment="1">
      <alignment horizontal="center" vertical="center" wrapText="1"/>
    </xf>
    <xf numFmtId="3" fontId="9" fillId="0" borderId="20" xfId="0" applyNumberFormat="1" applyFont="1" applyBorder="1" applyAlignment="1">
      <alignment horizontal="center" vertical="center" wrapText="1"/>
    </xf>
    <xf numFmtId="3" fontId="9" fillId="0" borderId="14" xfId="0" applyNumberFormat="1" applyFont="1" applyBorder="1" applyAlignment="1">
      <alignment horizontal="center" vertical="center" wrapText="1"/>
    </xf>
    <xf numFmtId="3" fontId="9" fillId="0" borderId="15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tabSelected="1" topLeftCell="M5" workbookViewId="0">
      <selection activeCell="O27" sqref="O27"/>
    </sheetView>
  </sheetViews>
  <sheetFormatPr defaultColWidth="8.7109375" defaultRowHeight="15.75" x14ac:dyDescent="0.25"/>
  <cols>
    <col min="1" max="1" width="5.7109375" style="103" customWidth="1"/>
    <col min="2" max="2" width="35.28515625" style="103" bestFit="1" customWidth="1"/>
    <col min="3" max="3" width="6.140625" style="104" bestFit="1" customWidth="1"/>
    <col min="4" max="5" width="12.28515625" style="103" bestFit="1" customWidth="1"/>
    <col min="6" max="6" width="1.42578125" style="103" customWidth="1"/>
    <col min="7" max="7" width="28" style="103" customWidth="1"/>
    <col min="8" max="8" width="6.140625" style="103" customWidth="1"/>
    <col min="9" max="9" width="11.28515625" style="103" customWidth="1"/>
    <col min="10" max="11" width="7.85546875" style="103" bestFit="1" customWidth="1"/>
    <col min="12" max="12" width="11.28515625" style="103" customWidth="1"/>
    <col min="13" max="13" width="1.42578125" style="103" customWidth="1"/>
    <col min="14" max="14" width="52" style="103" bestFit="1" customWidth="1"/>
    <col min="15" max="16" width="12.28515625" style="103" bestFit="1" customWidth="1"/>
    <col min="17" max="16384" width="8.7109375" style="103"/>
  </cols>
  <sheetData>
    <row r="1" spans="2:16" x14ac:dyDescent="0.25">
      <c r="B1" s="151" t="s">
        <v>195</v>
      </c>
      <c r="C1" s="151"/>
      <c r="D1" s="151"/>
      <c r="E1" s="151"/>
      <c r="F1" s="102"/>
      <c r="G1" s="149" t="str">
        <f>B1</f>
        <v xml:space="preserve">شركة مركز الاحتراف للعلاج الطبيعي </v>
      </c>
      <c r="H1" s="149"/>
      <c r="I1" s="149"/>
      <c r="J1" s="149"/>
      <c r="K1" s="149"/>
      <c r="L1" s="149"/>
      <c r="M1" s="102"/>
      <c r="N1" s="149" t="str">
        <f>G1</f>
        <v xml:space="preserve">شركة مركز الاحتراف للعلاج الطبيعي </v>
      </c>
      <c r="O1" s="149"/>
      <c r="P1" s="149"/>
    </row>
    <row r="2" spans="2:16" x14ac:dyDescent="0.25">
      <c r="B2" s="151" t="s">
        <v>196</v>
      </c>
      <c r="C2" s="151"/>
      <c r="D2" s="151"/>
      <c r="E2" s="151"/>
      <c r="F2" s="102"/>
      <c r="G2" s="149" t="str">
        <f>B2</f>
        <v>شركة ذات مسئولية محدودة</v>
      </c>
      <c r="H2" s="149"/>
      <c r="I2" s="149"/>
      <c r="J2" s="149"/>
      <c r="K2" s="149"/>
      <c r="L2" s="149"/>
      <c r="M2" s="102"/>
      <c r="N2" s="149" t="str">
        <f>G2</f>
        <v>شركة ذات مسئولية محدودة</v>
      </c>
      <c r="O2" s="149"/>
      <c r="P2" s="149"/>
    </row>
    <row r="3" spans="2:16" ht="16.5" thickBot="1" x14ac:dyDescent="0.3">
      <c r="B3" s="152" t="s">
        <v>114</v>
      </c>
      <c r="C3" s="152"/>
      <c r="D3" s="152"/>
      <c r="E3" s="152"/>
      <c r="F3" s="102"/>
      <c r="G3" s="150" t="s">
        <v>115</v>
      </c>
      <c r="H3" s="150"/>
      <c r="I3" s="150"/>
      <c r="J3" s="150"/>
      <c r="K3" s="150"/>
      <c r="L3" s="150"/>
      <c r="M3" s="102"/>
      <c r="N3" s="150" t="s">
        <v>118</v>
      </c>
      <c r="O3" s="150"/>
      <c r="P3" s="150"/>
    </row>
    <row r="4" spans="2:16" x14ac:dyDescent="0.25">
      <c r="C4" s="104" t="s">
        <v>1</v>
      </c>
      <c r="D4" s="104" t="s">
        <v>216</v>
      </c>
      <c r="E4" s="104" t="s">
        <v>215</v>
      </c>
      <c r="F4" s="102"/>
      <c r="G4" s="43"/>
      <c r="H4" s="101" t="s">
        <v>1</v>
      </c>
      <c r="I4" s="101" t="s">
        <v>216</v>
      </c>
      <c r="J4" s="101"/>
      <c r="K4" s="101"/>
      <c r="L4" s="101" t="s">
        <v>215</v>
      </c>
      <c r="M4" s="102"/>
      <c r="N4" s="43"/>
      <c r="O4" s="101" t="str">
        <f>'B S'!D4</f>
        <v>العام 2</v>
      </c>
      <c r="P4" s="101" t="str">
        <f>'B S'!E4</f>
        <v>العام 1</v>
      </c>
    </row>
    <row r="5" spans="2:16" ht="16.5" thickBot="1" x14ac:dyDescent="0.3">
      <c r="C5" s="105" t="s">
        <v>2</v>
      </c>
      <c r="D5" s="105" t="s">
        <v>4</v>
      </c>
      <c r="E5" s="105" t="s">
        <v>3</v>
      </c>
      <c r="F5" s="102"/>
      <c r="G5" s="43"/>
      <c r="H5" s="106" t="s">
        <v>2</v>
      </c>
      <c r="I5" s="107" t="s">
        <v>4</v>
      </c>
      <c r="J5" s="107"/>
      <c r="K5" s="107"/>
      <c r="L5" s="107" t="s">
        <v>3</v>
      </c>
      <c r="M5" s="102"/>
      <c r="N5" s="43"/>
      <c r="O5" s="107" t="s">
        <v>4</v>
      </c>
      <c r="P5" s="107" t="s">
        <v>3</v>
      </c>
    </row>
    <row r="6" spans="2:16" x14ac:dyDescent="0.25">
      <c r="B6" s="108" t="s">
        <v>42</v>
      </c>
      <c r="F6" s="102"/>
      <c r="G6" s="43" t="s">
        <v>24</v>
      </c>
      <c r="H6" s="109">
        <v>12</v>
      </c>
      <c r="I6" s="44">
        <f>ايرادات!C8</f>
        <v>3252000</v>
      </c>
      <c r="J6" s="44"/>
      <c r="K6" s="44"/>
      <c r="L6" s="44">
        <f>ايرادات!D8</f>
        <v>1836000</v>
      </c>
      <c r="M6" s="102"/>
      <c r="N6" s="110" t="s">
        <v>30</v>
      </c>
      <c r="O6" s="44"/>
      <c r="P6" s="44"/>
    </row>
    <row r="7" spans="2:16" x14ac:dyDescent="0.25">
      <c r="B7" s="108" t="s">
        <v>43</v>
      </c>
      <c r="F7" s="102"/>
      <c r="G7" s="110" t="s">
        <v>95</v>
      </c>
      <c r="H7" s="109"/>
      <c r="I7" s="44"/>
      <c r="J7" s="44"/>
      <c r="K7" s="44"/>
      <c r="L7" s="44"/>
      <c r="M7" s="102"/>
      <c r="N7" s="43" t="s">
        <v>29</v>
      </c>
      <c r="O7" s="44">
        <f>'B S'!I17</f>
        <v>1454878</v>
      </c>
      <c r="P7" s="44">
        <f>'B S'!L17</f>
        <v>177853</v>
      </c>
    </row>
    <row r="8" spans="2:16" ht="16.5" thickBot="1" x14ac:dyDescent="0.3">
      <c r="B8" s="103" t="s">
        <v>106</v>
      </c>
      <c r="C8" s="111">
        <v>4</v>
      </c>
      <c r="D8" s="112">
        <f>'أصول العام 2'!I15</f>
        <v>783500</v>
      </c>
      <c r="E8" s="112">
        <f>'أصول العام 1'!I14</f>
        <v>833750</v>
      </c>
      <c r="F8" s="102"/>
      <c r="G8" s="43" t="s">
        <v>25</v>
      </c>
      <c r="H8" s="109">
        <v>13</v>
      </c>
      <c r="I8" s="44">
        <f>'م عمومية'!C21</f>
        <v>1633920</v>
      </c>
      <c r="J8" s="132">
        <f>I8/$I$6</f>
        <v>0.50243542435424349</v>
      </c>
      <c r="K8" s="132">
        <f>L8/$L$6</f>
        <v>0.83710239651416118</v>
      </c>
      <c r="L8" s="44">
        <f>'م عمومية'!D21</f>
        <v>1536920</v>
      </c>
      <c r="M8" s="102"/>
      <c r="N8" s="113" t="s">
        <v>31</v>
      </c>
      <c r="O8" s="44"/>
      <c r="P8" s="44"/>
    </row>
    <row r="9" spans="2:16" x14ac:dyDescent="0.25">
      <c r="B9" s="108" t="s">
        <v>45</v>
      </c>
      <c r="C9" s="111"/>
      <c r="D9" s="114">
        <f>SUM(D8:D8)</f>
        <v>783500</v>
      </c>
      <c r="E9" s="114">
        <f>SUM(E8:E8)</f>
        <v>833750</v>
      </c>
      <c r="F9" s="102"/>
      <c r="G9" s="43" t="s">
        <v>26</v>
      </c>
      <c r="H9" s="109">
        <v>4</v>
      </c>
      <c r="I9" s="44">
        <f>'أصول العام 2'!G15</f>
        <v>120250</v>
      </c>
      <c r="J9" s="132">
        <f t="shared" ref="J9:J17" si="0">I9/$I$6</f>
        <v>3.6977244772447723E-2</v>
      </c>
      <c r="K9" s="132">
        <f t="shared" ref="K9:K17" si="1">L9/$L$6</f>
        <v>6.0593681917211331E-2</v>
      </c>
      <c r="L9" s="44">
        <f>'أصول العام 1'!G14</f>
        <v>111250</v>
      </c>
      <c r="M9" s="102"/>
      <c r="N9" s="43" t="s">
        <v>32</v>
      </c>
      <c r="O9" s="44">
        <f>'أصول العام 2'!G15</f>
        <v>120250</v>
      </c>
      <c r="P9" s="44">
        <f>'أصول العام 1'!G14</f>
        <v>111250</v>
      </c>
    </row>
    <row r="10" spans="2:16" ht="16.5" thickBot="1" x14ac:dyDescent="0.3">
      <c r="C10" s="111"/>
      <c r="F10" s="102"/>
      <c r="G10" s="43"/>
      <c r="H10" s="109"/>
      <c r="I10" s="44"/>
      <c r="J10" s="132"/>
      <c r="K10" s="132"/>
      <c r="L10" s="44"/>
      <c r="M10" s="102"/>
      <c r="N10" s="43" t="s">
        <v>112</v>
      </c>
      <c r="O10" s="44">
        <f>'مخصص زكاة'!C17</f>
        <v>42952</v>
      </c>
      <c r="P10" s="44">
        <f>'مخصص زكاة'!D17</f>
        <v>9977</v>
      </c>
    </row>
    <row r="11" spans="2:16" ht="16.5" thickBot="1" x14ac:dyDescent="0.3">
      <c r="B11" s="108" t="s">
        <v>46</v>
      </c>
      <c r="C11" s="111"/>
      <c r="F11" s="102"/>
      <c r="G11" s="56" t="s">
        <v>99</v>
      </c>
      <c r="H11" s="109"/>
      <c r="I11" s="115">
        <f>SUM(I8:I10)</f>
        <v>1754170</v>
      </c>
      <c r="J11" s="115"/>
      <c r="K11" s="115"/>
      <c r="L11" s="115">
        <f t="shared" ref="L11" si="2">SUM(L8:L10)</f>
        <v>1648170</v>
      </c>
      <c r="M11" s="102"/>
      <c r="N11" s="43" t="s">
        <v>69</v>
      </c>
      <c r="O11" s="44">
        <v>30000</v>
      </c>
      <c r="P11" s="44">
        <v>0</v>
      </c>
    </row>
    <row r="12" spans="2:16" ht="17.25" thickTop="1" thickBot="1" x14ac:dyDescent="0.3">
      <c r="B12" s="103" t="s">
        <v>44</v>
      </c>
      <c r="C12" s="111">
        <v>5</v>
      </c>
      <c r="D12" s="112">
        <f>النقدية!C9</f>
        <v>1334412</v>
      </c>
      <c r="E12" s="112">
        <f>النقدية!D9</f>
        <v>463697</v>
      </c>
      <c r="F12" s="102"/>
      <c r="G12" s="43"/>
      <c r="H12" s="109"/>
      <c r="I12" s="43"/>
      <c r="J12" s="43"/>
      <c r="K12" s="43"/>
      <c r="L12" s="43"/>
      <c r="M12" s="102"/>
      <c r="N12" s="43" t="s">
        <v>33</v>
      </c>
      <c r="O12" s="44">
        <f>'م عمومية'!C11</f>
        <v>29000</v>
      </c>
      <c r="P12" s="44">
        <f>'م عمومية'!D11</f>
        <v>29000</v>
      </c>
    </row>
    <row r="13" spans="2:16" ht="16.5" thickBot="1" x14ac:dyDescent="0.3">
      <c r="B13" s="103" t="s">
        <v>49</v>
      </c>
      <c r="C13" s="111">
        <v>6</v>
      </c>
      <c r="D13" s="112">
        <f>النقدية!C20</f>
        <v>150000</v>
      </c>
      <c r="E13" s="112">
        <f>النقدية!D20</f>
        <v>150000</v>
      </c>
      <c r="F13" s="102"/>
      <c r="G13" s="56" t="s">
        <v>100</v>
      </c>
      <c r="H13" s="109"/>
      <c r="I13" s="115">
        <f>I6-I11</f>
        <v>1497830</v>
      </c>
      <c r="J13" s="133">
        <f t="shared" si="0"/>
        <v>0.46058733087330872</v>
      </c>
      <c r="K13" s="133">
        <f t="shared" si="1"/>
        <v>0.10230392156862746</v>
      </c>
      <c r="L13" s="115">
        <f>L6-L11</f>
        <v>187830</v>
      </c>
      <c r="M13" s="102"/>
      <c r="N13" s="43"/>
      <c r="O13" s="117">
        <f>SUM(O7:O12)</f>
        <v>1677080</v>
      </c>
      <c r="P13" s="117">
        <f>SUM(P7:P12)</f>
        <v>328080</v>
      </c>
    </row>
    <row r="14" spans="2:16" ht="17.25" thickTop="1" thickBot="1" x14ac:dyDescent="0.3">
      <c r="B14" s="108" t="s">
        <v>51</v>
      </c>
      <c r="C14" s="111"/>
      <c r="D14" s="114">
        <f>SUM(D12:D13)</f>
        <v>1484412</v>
      </c>
      <c r="E14" s="114">
        <f>SUM(E12:E13)</f>
        <v>613697</v>
      </c>
      <c r="F14" s="102"/>
      <c r="G14" s="43" t="s">
        <v>101</v>
      </c>
      <c r="H14" s="109">
        <v>9</v>
      </c>
      <c r="I14" s="116">
        <f>-'مخصص زكاة'!C17</f>
        <v>-42952</v>
      </c>
      <c r="J14" s="134"/>
      <c r="K14" s="134"/>
      <c r="L14" s="116">
        <f>-'مخصص زكاة'!D17</f>
        <v>-9977</v>
      </c>
      <c r="M14" s="102"/>
      <c r="N14" s="110" t="s">
        <v>34</v>
      </c>
      <c r="O14" s="44"/>
      <c r="P14" s="44"/>
    </row>
    <row r="15" spans="2:16" ht="17.25" thickTop="1" thickBot="1" x14ac:dyDescent="0.3">
      <c r="B15" s="118" t="s">
        <v>52</v>
      </c>
      <c r="C15" s="111"/>
      <c r="D15" s="118">
        <f>D9+D14</f>
        <v>2267912</v>
      </c>
      <c r="E15" s="118">
        <f>E9+E14</f>
        <v>1447447</v>
      </c>
      <c r="F15" s="102"/>
      <c r="G15" s="56" t="s">
        <v>102</v>
      </c>
      <c r="H15" s="109"/>
      <c r="I15" s="115">
        <f>SUM(I13:I14)</f>
        <v>1454878</v>
      </c>
      <c r="J15" s="133">
        <f t="shared" si="0"/>
        <v>0.44737945879458796</v>
      </c>
      <c r="K15" s="133">
        <f t="shared" si="1"/>
        <v>9.6869825708061005E-2</v>
      </c>
      <c r="L15" s="115">
        <f>SUM(L13:L14)</f>
        <v>177853</v>
      </c>
      <c r="M15" s="102"/>
      <c r="N15" s="43" t="s">
        <v>113</v>
      </c>
      <c r="O15" s="44">
        <f>النقدية!D20-النقدية!C20</f>
        <v>0</v>
      </c>
      <c r="P15" s="44">
        <f>-النقدية!D20</f>
        <v>-150000</v>
      </c>
    </row>
    <row r="16" spans="2:16" ht="17.25" thickTop="1" thickBot="1" x14ac:dyDescent="0.3">
      <c r="B16" s="108"/>
      <c r="C16" s="111"/>
      <c r="D16" s="120"/>
      <c r="E16" s="120"/>
      <c r="F16" s="102"/>
      <c r="G16" s="43" t="s">
        <v>104</v>
      </c>
      <c r="H16" s="109"/>
      <c r="I16" s="119">
        <v>0</v>
      </c>
      <c r="J16" s="132">
        <f t="shared" si="0"/>
        <v>0</v>
      </c>
      <c r="K16" s="132">
        <f t="shared" si="1"/>
        <v>0</v>
      </c>
      <c r="L16" s="119">
        <v>0</v>
      </c>
      <c r="M16" s="102"/>
      <c r="N16" s="43" t="s">
        <v>200</v>
      </c>
      <c r="O16" s="44">
        <f>'مصروفات مستحقة'!C13-'مصروفات مستحقة'!D13</f>
        <v>0</v>
      </c>
      <c r="P16" s="44">
        <f>'مصروفات مستحقة'!D13</f>
        <v>81616.666666666672</v>
      </c>
    </row>
    <row r="17" spans="2:16" ht="16.5" thickBot="1" x14ac:dyDescent="0.3">
      <c r="B17" s="108" t="s">
        <v>53</v>
      </c>
      <c r="F17" s="102"/>
      <c r="G17" s="56" t="s">
        <v>103</v>
      </c>
      <c r="H17" s="109"/>
      <c r="I17" s="115">
        <f>SUM(I15:I16)</f>
        <v>1454878</v>
      </c>
      <c r="J17" s="133">
        <f t="shared" si="0"/>
        <v>0.44737945879458796</v>
      </c>
      <c r="K17" s="133">
        <f t="shared" si="1"/>
        <v>9.6869825708061005E-2</v>
      </c>
      <c r="L17" s="115">
        <f>SUM(L15:L16)</f>
        <v>177853</v>
      </c>
      <c r="M17" s="102"/>
      <c r="N17" s="43" t="s">
        <v>116</v>
      </c>
      <c r="O17" s="121">
        <f>-'مخصص زكاة'!D17</f>
        <v>-9977</v>
      </c>
      <c r="P17" s="121">
        <v>0</v>
      </c>
    </row>
    <row r="18" spans="2:16" ht="17.25" thickTop="1" thickBot="1" x14ac:dyDescent="0.3">
      <c r="B18" s="103" t="s">
        <v>0</v>
      </c>
      <c r="C18" s="122">
        <v>7</v>
      </c>
      <c r="D18" s="112">
        <f>'رأس المال'!D11</f>
        <v>100000</v>
      </c>
      <c r="E18" s="112">
        <f>'رأس المال'!D11</f>
        <v>100000</v>
      </c>
      <c r="F18" s="102"/>
      <c r="G18" s="56"/>
      <c r="H18" s="109"/>
      <c r="I18" s="143"/>
      <c r="J18" s="144"/>
      <c r="K18" s="144"/>
      <c r="L18" s="143"/>
      <c r="M18" s="102"/>
      <c r="N18" s="56" t="s">
        <v>203</v>
      </c>
      <c r="O18" s="123">
        <f>SUM(O13:O17)</f>
        <v>1667103</v>
      </c>
      <c r="P18" s="123">
        <f>SUM(P13:P17)</f>
        <v>259696.66666666669</v>
      </c>
    </row>
    <row r="19" spans="2:16" ht="16.5" thickTop="1" x14ac:dyDescent="0.25">
      <c r="B19" s="103" t="s">
        <v>69</v>
      </c>
      <c r="C19" s="122"/>
      <c r="D19" s="112">
        <v>30000</v>
      </c>
      <c r="E19" s="112">
        <v>30000</v>
      </c>
      <c r="F19" s="102"/>
      <c r="G19" s="56"/>
      <c r="H19" s="109"/>
      <c r="I19" s="143"/>
      <c r="J19" s="144"/>
      <c r="K19" s="144"/>
      <c r="L19" s="143"/>
      <c r="M19" s="102"/>
      <c r="N19" s="43"/>
      <c r="O19" s="125"/>
      <c r="P19" s="125"/>
    </row>
    <row r="20" spans="2:16" x14ac:dyDescent="0.25">
      <c r="B20" s="103" t="s">
        <v>70</v>
      </c>
      <c r="C20" s="122" t="s">
        <v>134</v>
      </c>
      <c r="D20" s="112">
        <f>'B S'!I17+E20</f>
        <v>1602731</v>
      </c>
      <c r="E20" s="112">
        <f>'B S'!L17-30000</f>
        <v>147853</v>
      </c>
      <c r="F20" s="102"/>
      <c r="G20" s="56" t="s">
        <v>207</v>
      </c>
      <c r="H20" s="109"/>
      <c r="I20" s="143">
        <f>I28</f>
        <v>1149000</v>
      </c>
      <c r="J20" s="148">
        <f>I17/I20</f>
        <v>1.2662123585726719</v>
      </c>
      <c r="K20" s="144">
        <f>L17/L20</f>
        <v>0.15478938207136642</v>
      </c>
      <c r="L20" s="143">
        <f>I28</f>
        <v>1149000</v>
      </c>
      <c r="M20" s="102"/>
      <c r="N20" s="110" t="s">
        <v>35</v>
      </c>
      <c r="O20" s="126"/>
      <c r="P20" s="44"/>
    </row>
    <row r="21" spans="2:16" x14ac:dyDescent="0.25">
      <c r="B21" s="108" t="s">
        <v>71</v>
      </c>
      <c r="C21" s="111"/>
      <c r="D21" s="114">
        <f>SUM(D18:D20)</f>
        <v>1732731</v>
      </c>
      <c r="E21" s="114">
        <f>SUM(E18:E20)</f>
        <v>277853</v>
      </c>
      <c r="F21" s="102"/>
      <c r="G21" s="56"/>
      <c r="H21" s="109"/>
      <c r="I21" s="143"/>
      <c r="J21" s="144"/>
      <c r="K21" s="144"/>
      <c r="L21" s="143"/>
      <c r="M21" s="102"/>
      <c r="N21" s="43" t="s">
        <v>36</v>
      </c>
      <c r="O21" s="125">
        <f>-'أصول العام 2'!C15</f>
        <v>-100000</v>
      </c>
      <c r="P21" s="44">
        <f>-'أصول العام 1'!E14</f>
        <v>-945000</v>
      </c>
    </row>
    <row r="22" spans="2:16" x14ac:dyDescent="0.25">
      <c r="B22" s="108" t="s">
        <v>72</v>
      </c>
      <c r="F22" s="102"/>
      <c r="G22" s="102"/>
      <c r="H22" s="102"/>
      <c r="I22" s="102"/>
      <c r="J22" s="102"/>
      <c r="K22" s="102"/>
      <c r="L22" s="102"/>
      <c r="M22" s="102"/>
      <c r="N22" s="43" t="s">
        <v>37</v>
      </c>
      <c r="O22" s="125">
        <v>0</v>
      </c>
      <c r="P22" s="44">
        <v>0</v>
      </c>
    </row>
    <row r="23" spans="2:16" ht="16.5" thickBot="1" x14ac:dyDescent="0.3">
      <c r="B23" s="108" t="s">
        <v>73</v>
      </c>
      <c r="F23" s="102"/>
      <c r="G23" s="124"/>
      <c r="H23" s="124"/>
      <c r="I23" s="124"/>
      <c r="J23" s="124"/>
      <c r="K23" s="124"/>
      <c r="L23" s="124"/>
      <c r="M23" s="102"/>
      <c r="N23" s="56" t="s">
        <v>204</v>
      </c>
      <c r="O23" s="123">
        <f>SUM(O21:O22)</f>
        <v>-100000</v>
      </c>
      <c r="P23" s="123">
        <f>SUM(P21:P22)</f>
        <v>-945000</v>
      </c>
    </row>
    <row r="24" spans="2:16" ht="16.5" thickTop="1" x14ac:dyDescent="0.25">
      <c r="B24" s="103" t="s">
        <v>74</v>
      </c>
      <c r="C24" s="122">
        <v>13</v>
      </c>
      <c r="D24" s="112">
        <f>'م عمومية'!C11+'م عمومية'!D11</f>
        <v>58000</v>
      </c>
      <c r="E24" s="112">
        <f>'م عمومية'!D11</f>
        <v>29000</v>
      </c>
      <c r="F24" s="102"/>
      <c r="G24" s="124" t="s">
        <v>210</v>
      </c>
      <c r="H24" s="124"/>
      <c r="I24" s="145">
        <f>'أصول العام 1'!B14</f>
        <v>800000</v>
      </c>
      <c r="J24" s="124"/>
      <c r="K24" s="124"/>
      <c r="L24" s="124"/>
      <c r="M24" s="102"/>
      <c r="N24" s="43"/>
      <c r="O24" s="125"/>
      <c r="P24" s="125"/>
    </row>
    <row r="25" spans="2:16" x14ac:dyDescent="0.25">
      <c r="B25" s="103" t="s">
        <v>75</v>
      </c>
      <c r="C25" s="122">
        <v>8</v>
      </c>
      <c r="D25" s="112">
        <f>'مستحق أطراف ذات علاقة'!F14</f>
        <v>352612</v>
      </c>
      <c r="E25" s="112">
        <f>'مستحق أطراف ذات علاقة'!F9</f>
        <v>1049000</v>
      </c>
      <c r="F25" s="102"/>
      <c r="G25" s="124" t="s">
        <v>209</v>
      </c>
      <c r="H25" s="124"/>
      <c r="I25" s="145">
        <v>150000</v>
      </c>
      <c r="J25" s="124"/>
      <c r="K25" s="124"/>
      <c r="L25" s="124"/>
      <c r="M25" s="102"/>
      <c r="N25" s="110" t="s">
        <v>38</v>
      </c>
      <c r="O25" s="43"/>
      <c r="P25" s="43"/>
    </row>
    <row r="26" spans="2:16" x14ac:dyDescent="0.25">
      <c r="B26" s="108" t="s">
        <v>76</v>
      </c>
      <c r="C26" s="111"/>
      <c r="D26" s="114">
        <f>SUM(D24:D25)</f>
        <v>410612</v>
      </c>
      <c r="E26" s="114">
        <f>SUM(E24:E25)</f>
        <v>1078000</v>
      </c>
      <c r="F26" s="102"/>
      <c r="G26" s="124" t="s">
        <v>208</v>
      </c>
      <c r="H26" s="124"/>
      <c r="I26" s="145">
        <f>'تحليل الرواتب'!H15*3</f>
        <v>174000</v>
      </c>
      <c r="J26" s="124"/>
      <c r="K26" s="124"/>
      <c r="L26" s="124"/>
      <c r="M26" s="102"/>
      <c r="N26" s="43" t="s">
        <v>0</v>
      </c>
      <c r="O26" s="125">
        <v>0</v>
      </c>
      <c r="P26" s="119">
        <v>100000</v>
      </c>
    </row>
    <row r="27" spans="2:16" ht="16.5" thickBot="1" x14ac:dyDescent="0.3">
      <c r="B27" s="108" t="s">
        <v>77</v>
      </c>
      <c r="F27" s="102"/>
      <c r="G27" s="124" t="s">
        <v>96</v>
      </c>
      <c r="H27" s="124"/>
      <c r="I27" s="145">
        <f>'م عمومية'!C14</f>
        <v>25000</v>
      </c>
      <c r="J27" s="124"/>
      <c r="K27" s="124"/>
      <c r="L27" s="124"/>
      <c r="M27" s="102"/>
      <c r="N27" s="43" t="s">
        <v>75</v>
      </c>
      <c r="O27" s="127">
        <f>'مستحق أطراف ذات علاقة'!F14-'مستحق أطراف ذات علاقة'!F9</f>
        <v>-696388</v>
      </c>
      <c r="P27" s="127">
        <f>'مستحق أطراف ذات علاقة'!F9</f>
        <v>1049000</v>
      </c>
    </row>
    <row r="28" spans="2:16" ht="16.5" thickBot="1" x14ac:dyDescent="0.3">
      <c r="B28" s="103" t="s">
        <v>54</v>
      </c>
      <c r="C28" s="122"/>
      <c r="D28" s="112">
        <f>'مصروفات مستحقة'!C13</f>
        <v>81616.666666666672</v>
      </c>
      <c r="E28" s="112">
        <f>'مصروفات مستحقة'!D13</f>
        <v>81616.666666666672</v>
      </c>
      <c r="F28" s="102"/>
      <c r="G28" s="146" t="s">
        <v>211</v>
      </c>
      <c r="H28" s="146"/>
      <c r="I28" s="147">
        <f>SUM(I24:I27)</f>
        <v>1149000</v>
      </c>
      <c r="J28" s="124"/>
      <c r="K28" s="124"/>
      <c r="L28" s="124"/>
      <c r="M28" s="102"/>
      <c r="N28" s="56" t="s">
        <v>205</v>
      </c>
      <c r="O28" s="123">
        <f>SUM(O26:O27)</f>
        <v>-696388</v>
      </c>
      <c r="P28" s="123">
        <f>SUM(P26:P27)</f>
        <v>1149000</v>
      </c>
    </row>
    <row r="29" spans="2:16" ht="16.5" thickTop="1" x14ac:dyDescent="0.25">
      <c r="B29" s="103" t="s">
        <v>78</v>
      </c>
      <c r="C29" s="122">
        <v>9</v>
      </c>
      <c r="D29" s="112">
        <f>'مخصص زكاة'!C17</f>
        <v>42952</v>
      </c>
      <c r="E29" s="112">
        <f>'مخصص زكاة'!D17</f>
        <v>9977</v>
      </c>
      <c r="F29" s="102"/>
      <c r="G29" s="124"/>
      <c r="H29" s="124"/>
      <c r="I29" s="124"/>
      <c r="J29" s="124"/>
      <c r="K29" s="124"/>
      <c r="L29" s="124"/>
      <c r="M29" s="102"/>
      <c r="N29" s="43"/>
      <c r="O29" s="125"/>
      <c r="P29" s="125"/>
    </row>
    <row r="30" spans="2:16" x14ac:dyDescent="0.25">
      <c r="B30" s="108" t="s">
        <v>92</v>
      </c>
      <c r="C30" s="111"/>
      <c r="D30" s="114">
        <f>SUM(D28:D29)</f>
        <v>124568.66666666667</v>
      </c>
      <c r="E30" s="114">
        <f>SUM(E28:E29)</f>
        <v>91593.666666666672</v>
      </c>
      <c r="F30" s="102"/>
      <c r="G30" s="124"/>
      <c r="H30" s="124"/>
      <c r="I30" s="145"/>
      <c r="J30" s="124"/>
      <c r="K30" s="124"/>
      <c r="L30" s="124"/>
      <c r="M30" s="102"/>
      <c r="N30" s="43" t="s">
        <v>39</v>
      </c>
      <c r="O30" s="125">
        <f>O18+O23+O28</f>
        <v>870715</v>
      </c>
      <c r="P30" s="125">
        <f>P18+P23+P28</f>
        <v>463696.66666666674</v>
      </c>
    </row>
    <row r="31" spans="2:16" ht="16.5" thickBot="1" x14ac:dyDescent="0.3">
      <c r="B31" s="108" t="s">
        <v>93</v>
      </c>
      <c r="C31" s="111"/>
      <c r="D31" s="114">
        <f>D26+D30</f>
        <v>535180.66666666663</v>
      </c>
      <c r="E31" s="114">
        <f>E26+E30</f>
        <v>1169593.6666666667</v>
      </c>
      <c r="F31" s="102"/>
      <c r="G31" s="124"/>
      <c r="H31" s="124"/>
      <c r="I31" s="145"/>
      <c r="J31" s="124"/>
      <c r="K31" s="124"/>
      <c r="L31" s="124"/>
      <c r="M31" s="102"/>
      <c r="N31" s="43" t="s">
        <v>40</v>
      </c>
      <c r="O31" s="129">
        <f>P32</f>
        <v>463696.66666666674</v>
      </c>
      <c r="P31" s="130">
        <v>0</v>
      </c>
    </row>
    <row r="32" spans="2:16" ht="17.25" thickTop="1" thickBot="1" x14ac:dyDescent="0.3">
      <c r="B32" s="118" t="s">
        <v>94</v>
      </c>
      <c r="C32" s="111"/>
      <c r="D32" s="118">
        <f>D31+D21</f>
        <v>2267911.6666666665</v>
      </c>
      <c r="E32" s="118">
        <f>E31+E21</f>
        <v>1447446.6666666667</v>
      </c>
      <c r="F32" s="102"/>
      <c r="G32" s="124"/>
      <c r="H32" s="124"/>
      <c r="I32" s="145"/>
      <c r="J32" s="124"/>
      <c r="K32" s="124"/>
      <c r="L32" s="124"/>
      <c r="M32" s="102"/>
      <c r="N32" s="56" t="s">
        <v>41</v>
      </c>
      <c r="O32" s="131">
        <f>SUM(O30:O31)</f>
        <v>1334411.6666666667</v>
      </c>
      <c r="P32" s="131">
        <f>SUM(P30:P31)</f>
        <v>463696.66666666674</v>
      </c>
    </row>
    <row r="33" spans="4:17" ht="16.5" thickTop="1" x14ac:dyDescent="0.25">
      <c r="D33" s="128"/>
      <c r="E33" s="128"/>
      <c r="F33" s="102"/>
      <c r="G33" s="124"/>
      <c r="H33" s="124"/>
      <c r="I33" s="145"/>
      <c r="J33" s="124"/>
      <c r="K33" s="124"/>
      <c r="L33" s="124"/>
      <c r="M33" s="102"/>
      <c r="N33" s="43"/>
      <c r="O33" s="43"/>
      <c r="P33" s="43"/>
    </row>
    <row r="34" spans="4:17" x14ac:dyDescent="0.25">
      <c r="D34" s="112"/>
      <c r="E34" s="112"/>
      <c r="F34" s="102"/>
      <c r="G34" s="124"/>
      <c r="H34" s="124"/>
      <c r="I34" s="145"/>
      <c r="J34" s="124"/>
      <c r="K34" s="124"/>
      <c r="L34" s="124"/>
      <c r="M34" s="102"/>
      <c r="O34" s="112"/>
    </row>
    <row r="35" spans="4:17" x14ac:dyDescent="0.25">
      <c r="F35" s="102"/>
      <c r="G35" s="124"/>
      <c r="H35" s="124"/>
      <c r="I35" s="145"/>
      <c r="J35" s="124"/>
      <c r="K35" s="124"/>
      <c r="L35" s="124"/>
      <c r="M35" s="102"/>
      <c r="P35" s="112"/>
      <c r="Q35" s="112"/>
    </row>
    <row r="36" spans="4:17" x14ac:dyDescent="0.25">
      <c r="E36" s="103" t="s">
        <v>217</v>
      </c>
      <c r="G36" s="124"/>
      <c r="H36" s="124"/>
      <c r="I36" s="145"/>
      <c r="J36" s="124"/>
      <c r="K36" s="124"/>
      <c r="L36" s="124"/>
    </row>
    <row r="37" spans="4:17" x14ac:dyDescent="0.25">
      <c r="G37" s="124"/>
      <c r="H37" s="124"/>
      <c r="I37" s="124"/>
      <c r="J37" s="124"/>
      <c r="K37" s="124"/>
      <c r="L37" s="124"/>
    </row>
    <row r="38" spans="4:17" x14ac:dyDescent="0.25">
      <c r="G38" s="124"/>
      <c r="H38" s="124"/>
      <c r="I38" s="124"/>
      <c r="J38" s="124"/>
      <c r="K38" s="124"/>
      <c r="L38" s="124"/>
    </row>
    <row r="39" spans="4:17" x14ac:dyDescent="0.25">
      <c r="G39" s="124"/>
      <c r="H39" s="124"/>
      <c r="I39" s="124"/>
      <c r="J39" s="124"/>
      <c r="K39" s="124"/>
      <c r="L39" s="124"/>
    </row>
    <row r="40" spans="4:17" x14ac:dyDescent="0.25">
      <c r="G40" s="124"/>
      <c r="H40" s="124"/>
      <c r="I40" s="124"/>
      <c r="J40" s="124"/>
      <c r="K40" s="124"/>
    </row>
  </sheetData>
  <mergeCells count="9">
    <mergeCell ref="N1:P1"/>
    <mergeCell ref="N2:P2"/>
    <mergeCell ref="N3:P3"/>
    <mergeCell ref="B1:E1"/>
    <mergeCell ref="B2:E2"/>
    <mergeCell ref="B3:E3"/>
    <mergeCell ref="G1:L1"/>
    <mergeCell ref="G3:L3"/>
    <mergeCell ref="G2:L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rightToLeft="1" topLeftCell="A7" zoomScaleNormal="100" workbookViewId="0">
      <selection activeCell="C15" sqref="C15"/>
    </sheetView>
  </sheetViews>
  <sheetFormatPr defaultRowHeight="18.75" x14ac:dyDescent="0.3"/>
  <cols>
    <col min="1" max="1" width="2.42578125" style="2" bestFit="1" customWidth="1"/>
    <col min="2" max="2" width="28.28515625" style="2" bestFit="1" customWidth="1"/>
    <col min="3" max="4" width="14.5703125" style="2" bestFit="1" customWidth="1"/>
    <col min="5" max="5" width="72.42578125" bestFit="1" customWidth="1"/>
    <col min="7" max="7" width="13.85546875" customWidth="1"/>
    <col min="8" max="8" width="10.7109375" customWidth="1"/>
    <col min="9" max="9" width="30.28515625" bestFit="1" customWidth="1"/>
  </cols>
  <sheetData>
    <row r="4" spans="2:4" ht="23.25" x14ac:dyDescent="0.35">
      <c r="B4" s="156" t="s">
        <v>136</v>
      </c>
      <c r="C4" s="156"/>
      <c r="D4" s="156"/>
    </row>
    <row r="5" spans="2:4" s="3" customFormat="1" ht="23.25" x14ac:dyDescent="0.35">
      <c r="B5" s="157" t="s">
        <v>25</v>
      </c>
      <c r="C5" s="158"/>
      <c r="D5" s="158"/>
    </row>
    <row r="6" spans="2:4" ht="21" x14ac:dyDescent="0.35">
      <c r="B6" s="1"/>
      <c r="C6" s="5" t="s">
        <v>216</v>
      </c>
      <c r="D6" s="5" t="s">
        <v>215</v>
      </c>
    </row>
    <row r="7" spans="2:4" ht="21" x14ac:dyDescent="0.35">
      <c r="B7" s="1" t="s">
        <v>5</v>
      </c>
      <c r="C7" s="6" t="s">
        <v>6</v>
      </c>
      <c r="D7" s="6" t="s">
        <v>7</v>
      </c>
    </row>
    <row r="8" spans="2:4" ht="21" x14ac:dyDescent="0.35">
      <c r="B8" s="1" t="s">
        <v>28</v>
      </c>
      <c r="C8" s="14">
        <f>'تحليل الرواتب'!H15*12+50000</f>
        <v>746000</v>
      </c>
      <c r="D8" s="14">
        <f>'تحليل الرواتب'!H15*12</f>
        <v>696000</v>
      </c>
    </row>
    <row r="9" spans="2:4" s="2" customFormat="1" ht="21" x14ac:dyDescent="0.35">
      <c r="B9" s="1" t="s">
        <v>198</v>
      </c>
      <c r="C9" s="14">
        <f>D9</f>
        <v>74400</v>
      </c>
      <c r="D9" s="14">
        <f>'تحليل الرواتب'!R15*12-D11</f>
        <v>74400</v>
      </c>
    </row>
    <row r="10" spans="2:4" s="2" customFormat="1" ht="21" x14ac:dyDescent="0.35">
      <c r="B10" s="1" t="s">
        <v>197</v>
      </c>
      <c r="C10" s="14">
        <f>D10</f>
        <v>239519.99999999994</v>
      </c>
      <c r="D10" s="14">
        <f>'تحليل الرواتب'!M15*12</f>
        <v>239519.99999999994</v>
      </c>
    </row>
    <row r="11" spans="2:4" s="2" customFormat="1" ht="21" x14ac:dyDescent="0.35">
      <c r="B11" s="1" t="s">
        <v>199</v>
      </c>
      <c r="C11" s="14">
        <f>D11</f>
        <v>29000</v>
      </c>
      <c r="D11" s="14">
        <f>'تحليل الرواتب'!Q15*12</f>
        <v>29000</v>
      </c>
    </row>
    <row r="12" spans="2:4" s="2" customFormat="1" ht="21" x14ac:dyDescent="0.35">
      <c r="B12" s="1" t="s">
        <v>206</v>
      </c>
      <c r="C12" s="14">
        <v>40000</v>
      </c>
      <c r="D12" s="14">
        <v>30000</v>
      </c>
    </row>
    <row r="13" spans="2:4" s="2" customFormat="1" ht="21" x14ac:dyDescent="0.35">
      <c r="B13" s="1" t="s">
        <v>192</v>
      </c>
      <c r="C13" s="14">
        <v>300000</v>
      </c>
      <c r="D13" s="14">
        <v>300000</v>
      </c>
    </row>
    <row r="14" spans="2:4" s="2" customFormat="1" ht="21" x14ac:dyDescent="0.35">
      <c r="B14" s="1" t="s">
        <v>96</v>
      </c>
      <c r="C14" s="14">
        <v>25000</v>
      </c>
      <c r="D14" s="14">
        <v>25000</v>
      </c>
    </row>
    <row r="15" spans="2:4" s="2" customFormat="1" ht="21" x14ac:dyDescent="0.35">
      <c r="B15" s="1" t="s">
        <v>97</v>
      </c>
      <c r="C15" s="14">
        <v>20000</v>
      </c>
      <c r="D15" s="14">
        <v>14000</v>
      </c>
    </row>
    <row r="16" spans="2:4" s="2" customFormat="1" ht="21" x14ac:dyDescent="0.35">
      <c r="B16" s="1" t="s">
        <v>124</v>
      </c>
      <c r="C16" s="14">
        <v>85000</v>
      </c>
      <c r="D16" s="14">
        <v>80000</v>
      </c>
    </row>
    <row r="17" spans="2:4" s="2" customFormat="1" ht="21" x14ac:dyDescent="0.35">
      <c r="B17" s="1" t="s">
        <v>98</v>
      </c>
      <c r="C17" s="14">
        <v>15000</v>
      </c>
      <c r="D17" s="14">
        <f>1000*12</f>
        <v>12000</v>
      </c>
    </row>
    <row r="18" spans="2:4" s="2" customFormat="1" ht="21" x14ac:dyDescent="0.35">
      <c r="B18" s="1" t="s">
        <v>109</v>
      </c>
      <c r="C18" s="14">
        <v>15000</v>
      </c>
      <c r="D18" s="14">
        <f>1000*12</f>
        <v>12000</v>
      </c>
    </row>
    <row r="19" spans="2:4" s="2" customFormat="1" ht="21.75" thickBot="1" x14ac:dyDescent="0.4">
      <c r="B19" s="1" t="s">
        <v>27</v>
      </c>
      <c r="C19" s="14">
        <v>45000</v>
      </c>
      <c r="D19" s="14">
        <v>25000</v>
      </c>
    </row>
    <row r="20" spans="2:4" s="2" customFormat="1" ht="4.1500000000000004" customHeight="1" thickBot="1" x14ac:dyDescent="0.4">
      <c r="B20" s="1"/>
      <c r="C20" s="10"/>
      <c r="D20" s="10"/>
    </row>
    <row r="21" spans="2:4" s="2" customFormat="1" ht="21" x14ac:dyDescent="0.35">
      <c r="B21" s="3" t="s">
        <v>8</v>
      </c>
      <c r="C21" s="53">
        <f>SUM(C8:C19)</f>
        <v>1633920</v>
      </c>
      <c r="D21" s="53">
        <f>SUM(D8:D19)</f>
        <v>1536920</v>
      </c>
    </row>
    <row r="22" spans="2:4" s="2" customFormat="1" x14ac:dyDescent="0.3"/>
    <row r="23" spans="2:4" s="2" customFormat="1" x14ac:dyDescent="0.3">
      <c r="C23" s="4"/>
    </row>
    <row r="26" spans="2:4" x14ac:dyDescent="0.3">
      <c r="C26" s="4"/>
    </row>
  </sheetData>
  <mergeCells count="2">
    <mergeCell ref="B4:D4"/>
    <mergeCell ref="B5:D5"/>
  </mergeCells>
  <pageMargins left="0.25" right="0.25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V16"/>
  <sheetViews>
    <sheetView rightToLeft="1" topLeftCell="A3" zoomScaleNormal="100" workbookViewId="0">
      <selection activeCell="L14" sqref="L14"/>
    </sheetView>
  </sheetViews>
  <sheetFormatPr defaultRowHeight="18.75" x14ac:dyDescent="0.3"/>
  <cols>
    <col min="1" max="1" width="2.42578125" style="2" customWidth="1"/>
    <col min="2" max="2" width="15.5703125" bestFit="1" customWidth="1"/>
    <col min="3" max="3" width="8.42578125" bestFit="1" customWidth="1"/>
    <col min="4" max="4" width="6.85546875" bestFit="1" customWidth="1"/>
    <col min="5" max="5" width="11.140625" style="40" customWidth="1"/>
    <col min="6" max="6" width="8.42578125" style="40" customWidth="1"/>
    <col min="7" max="7" width="8" style="40" customWidth="1"/>
    <col min="8" max="8" width="12" style="40" customWidth="1"/>
    <col min="9" max="9" width="8.7109375" style="40" customWidth="1"/>
    <col min="10" max="10" width="8.85546875" style="40" customWidth="1"/>
    <col min="11" max="11" width="10.85546875" style="40" customWidth="1"/>
    <col min="12" max="12" width="9" style="40" customWidth="1"/>
    <col min="13" max="13" width="13" style="40" customWidth="1"/>
    <col min="14" max="14" width="9.7109375" style="40" customWidth="1"/>
    <col min="15" max="16" width="9.7109375" customWidth="1"/>
    <col min="17" max="17" width="9.140625" customWidth="1"/>
    <col min="18" max="18" width="11.140625" customWidth="1"/>
    <col min="19" max="20" width="11.85546875" customWidth="1"/>
    <col min="21" max="21" width="14.140625" customWidth="1"/>
    <col min="22" max="22" width="11.28515625" bestFit="1" customWidth="1"/>
  </cols>
  <sheetData>
    <row r="3" spans="2:22" s="2" customFormat="1" ht="19.5" thickBot="1" x14ac:dyDescent="0.35">
      <c r="B3" s="14"/>
      <c r="C3" s="14"/>
      <c r="D3" s="14"/>
      <c r="E3" s="14"/>
      <c r="F3" s="14"/>
      <c r="G3" s="40"/>
      <c r="H3" s="14"/>
      <c r="I3" s="14"/>
      <c r="J3" s="14"/>
      <c r="K3" s="14"/>
      <c r="L3" s="14"/>
      <c r="M3" s="14"/>
      <c r="N3" s="14"/>
    </row>
    <row r="4" spans="2:22" s="57" customFormat="1" ht="32.65" customHeight="1" thickBot="1" x14ac:dyDescent="0.35">
      <c r="B4" s="163" t="s">
        <v>142</v>
      </c>
      <c r="C4" s="81"/>
      <c r="D4" s="169" t="s">
        <v>123</v>
      </c>
      <c r="E4" s="171" t="s">
        <v>143</v>
      </c>
      <c r="F4" s="172"/>
      <c r="G4" s="173"/>
      <c r="H4" s="165" t="s">
        <v>144</v>
      </c>
      <c r="I4" s="177" t="s">
        <v>145</v>
      </c>
      <c r="J4" s="178"/>
      <c r="K4" s="178"/>
      <c r="L4" s="178"/>
      <c r="M4" s="58"/>
      <c r="N4" s="174" t="s">
        <v>146</v>
      </c>
      <c r="O4" s="175"/>
      <c r="P4" s="175"/>
      <c r="Q4" s="176"/>
      <c r="R4" s="165" t="s">
        <v>147</v>
      </c>
      <c r="S4" s="165" t="s">
        <v>148</v>
      </c>
      <c r="T4" s="165" t="s">
        <v>149</v>
      </c>
      <c r="U4" s="167" t="s">
        <v>150</v>
      </c>
      <c r="V4" s="59"/>
    </row>
    <row r="5" spans="2:22" s="60" customFormat="1" ht="48" thickBot="1" x14ac:dyDescent="0.3">
      <c r="B5" s="164"/>
      <c r="C5" s="80"/>
      <c r="D5" s="170"/>
      <c r="E5" s="61" t="s">
        <v>151</v>
      </c>
      <c r="F5" s="61" t="s">
        <v>152</v>
      </c>
      <c r="G5" s="61" t="s">
        <v>153</v>
      </c>
      <c r="H5" s="166"/>
      <c r="I5" s="61" t="s">
        <v>154</v>
      </c>
      <c r="J5" s="61" t="s">
        <v>155</v>
      </c>
      <c r="K5" s="61" t="s">
        <v>156</v>
      </c>
      <c r="L5" s="61" t="s">
        <v>157</v>
      </c>
      <c r="M5" s="62" t="s">
        <v>158</v>
      </c>
      <c r="N5" s="61" t="s">
        <v>159</v>
      </c>
      <c r="O5" s="61" t="s">
        <v>160</v>
      </c>
      <c r="P5" s="61" t="s">
        <v>161</v>
      </c>
      <c r="Q5" s="61" t="s">
        <v>162</v>
      </c>
      <c r="R5" s="166"/>
      <c r="S5" s="166"/>
      <c r="T5" s="166"/>
      <c r="U5" s="168"/>
      <c r="V5" s="63"/>
    </row>
    <row r="6" spans="2:22" s="57" customFormat="1" ht="19.5" thickBot="1" x14ac:dyDescent="0.35">
      <c r="B6" s="64"/>
      <c r="C6" s="65"/>
      <c r="D6" s="65"/>
      <c r="E6" s="65"/>
      <c r="F6" s="65"/>
      <c r="G6" s="65"/>
      <c r="H6" s="66"/>
      <c r="I6" s="67">
        <v>9600</v>
      </c>
      <c r="J6" s="68">
        <v>650</v>
      </c>
      <c r="K6" s="68">
        <v>850</v>
      </c>
      <c r="L6" s="82"/>
      <c r="M6" s="68">
        <f t="shared" ref="M6:M14" si="0">SUM(I6:L6)</f>
        <v>11100</v>
      </c>
      <c r="N6" s="68">
        <v>2000</v>
      </c>
      <c r="O6" s="68"/>
      <c r="P6" s="68">
        <v>200</v>
      </c>
      <c r="Q6" s="68"/>
      <c r="R6" s="71"/>
      <c r="S6" s="71"/>
      <c r="T6" s="71"/>
      <c r="U6" s="72"/>
      <c r="V6" s="73"/>
    </row>
    <row r="7" spans="2:22" s="57" customFormat="1" ht="19.5" thickBot="1" x14ac:dyDescent="0.35">
      <c r="B7" s="88" t="s">
        <v>137</v>
      </c>
      <c r="C7" s="88" t="s">
        <v>139</v>
      </c>
      <c r="D7" s="89">
        <v>1</v>
      </c>
      <c r="E7" s="89">
        <v>5000</v>
      </c>
      <c r="F7" s="85"/>
      <c r="G7" s="65"/>
      <c r="H7" s="70">
        <f>E7*D7</f>
        <v>5000</v>
      </c>
      <c r="I7" s="74">
        <f>($I$6*D7)/12</f>
        <v>800</v>
      </c>
      <c r="J7" s="74">
        <f>($J$6*D7)/12</f>
        <v>54.166666666666664</v>
      </c>
      <c r="K7" s="74">
        <f>($K$6/12)*D7</f>
        <v>70.833333333333329</v>
      </c>
      <c r="L7" s="69">
        <f>H7*2%</f>
        <v>100</v>
      </c>
      <c r="M7" s="70">
        <f>SUM(I7:L7)</f>
        <v>1025</v>
      </c>
      <c r="N7" s="74">
        <f>($N$6/12)*D7</f>
        <v>166.66666666666666</v>
      </c>
      <c r="O7" s="74">
        <f t="shared" ref="O7:O14" si="1">H7/12</f>
        <v>416.66666666666669</v>
      </c>
      <c r="P7" s="74">
        <f t="shared" ref="P7:P14" si="2">($P$6/12)*D7</f>
        <v>16.666666666666668</v>
      </c>
      <c r="Q7" s="74">
        <f t="shared" ref="Q7:Q14" si="3">(H7/2)/12</f>
        <v>208.33333333333334</v>
      </c>
      <c r="R7" s="70">
        <f>SUM(N7:Q7)</f>
        <v>808.33333333333337</v>
      </c>
      <c r="S7" s="70">
        <f>M7+R7</f>
        <v>1833.3333333333335</v>
      </c>
      <c r="T7" s="71">
        <f>H7+S7</f>
        <v>6833.3333333333339</v>
      </c>
      <c r="U7" s="72">
        <f>T7*12</f>
        <v>82000</v>
      </c>
      <c r="V7" s="59"/>
    </row>
    <row r="8" spans="2:22" s="57" customFormat="1" ht="19.5" thickBot="1" x14ac:dyDescent="0.35">
      <c r="B8" s="90" t="s">
        <v>138</v>
      </c>
      <c r="C8" s="90" t="s">
        <v>140</v>
      </c>
      <c r="D8" s="91">
        <v>3</v>
      </c>
      <c r="E8" s="91">
        <v>8000</v>
      </c>
      <c r="F8" s="86"/>
      <c r="G8" s="83"/>
      <c r="H8" s="70">
        <f t="shared" ref="H8:H14" si="4">E8*D8</f>
        <v>24000</v>
      </c>
      <c r="I8" s="84">
        <v>0</v>
      </c>
      <c r="J8" s="84">
        <v>0</v>
      </c>
      <c r="K8" s="84">
        <f t="shared" ref="K8:K14" si="5">$K$6*D8</f>
        <v>2550</v>
      </c>
      <c r="L8" s="69">
        <f>H8*12%</f>
        <v>2880</v>
      </c>
      <c r="M8" s="84">
        <f t="shared" si="0"/>
        <v>5430</v>
      </c>
      <c r="N8" s="84">
        <v>0</v>
      </c>
      <c r="O8" s="84">
        <f t="shared" si="1"/>
        <v>2000</v>
      </c>
      <c r="P8" s="84">
        <f t="shared" si="2"/>
        <v>50</v>
      </c>
      <c r="Q8" s="84">
        <f t="shared" si="3"/>
        <v>1000</v>
      </c>
      <c r="R8" s="70">
        <f t="shared" ref="R8:R14" si="6">SUM(N8:Q8)</f>
        <v>3050</v>
      </c>
      <c r="S8" s="70">
        <f t="shared" ref="S8:S14" si="7">M8+R8</f>
        <v>8480</v>
      </c>
      <c r="T8" s="71">
        <f t="shared" ref="T8:T14" si="8">H8+S8</f>
        <v>32480</v>
      </c>
      <c r="U8" s="72">
        <f t="shared" ref="U8:U14" si="9">T8*12</f>
        <v>389760</v>
      </c>
      <c r="V8" s="59"/>
    </row>
    <row r="9" spans="2:22" s="57" customFormat="1" ht="19.5" thickBot="1" x14ac:dyDescent="0.35">
      <c r="B9" s="88" t="s">
        <v>138</v>
      </c>
      <c r="C9" s="88" t="s">
        <v>139</v>
      </c>
      <c r="D9" s="89">
        <v>1</v>
      </c>
      <c r="E9" s="89">
        <v>8000</v>
      </c>
      <c r="F9" s="87"/>
      <c r="G9" s="75"/>
      <c r="H9" s="70">
        <f t="shared" si="4"/>
        <v>8000</v>
      </c>
      <c r="I9" s="74">
        <f>($I$6*D9)/12</f>
        <v>800</v>
      </c>
      <c r="J9" s="74">
        <f>($J$6*D9)/12</f>
        <v>54.166666666666664</v>
      </c>
      <c r="K9" s="74">
        <f t="shared" si="5"/>
        <v>850</v>
      </c>
      <c r="L9" s="69">
        <f t="shared" ref="L9:L14" si="10">H9*2%</f>
        <v>160</v>
      </c>
      <c r="M9" s="70">
        <f t="shared" si="0"/>
        <v>1864.1666666666665</v>
      </c>
      <c r="N9" s="74">
        <f>($N$6/12)*D9</f>
        <v>166.66666666666666</v>
      </c>
      <c r="O9" s="74">
        <f t="shared" si="1"/>
        <v>666.66666666666663</v>
      </c>
      <c r="P9" s="74">
        <f t="shared" si="2"/>
        <v>16.666666666666668</v>
      </c>
      <c r="Q9" s="74">
        <f t="shared" si="3"/>
        <v>333.33333333333331</v>
      </c>
      <c r="R9" s="70">
        <f t="shared" si="6"/>
        <v>1183.3333333333333</v>
      </c>
      <c r="S9" s="70">
        <f t="shared" si="7"/>
        <v>3047.5</v>
      </c>
      <c r="T9" s="71">
        <f t="shared" si="8"/>
        <v>11047.5</v>
      </c>
      <c r="U9" s="72">
        <f t="shared" si="9"/>
        <v>132570</v>
      </c>
      <c r="V9" s="59"/>
    </row>
    <row r="10" spans="2:22" s="57" customFormat="1" ht="19.5" thickBot="1" x14ac:dyDescent="0.35">
      <c r="B10" s="88" t="s">
        <v>214</v>
      </c>
      <c r="C10" s="88" t="s">
        <v>139</v>
      </c>
      <c r="D10" s="89">
        <v>1</v>
      </c>
      <c r="E10" s="89">
        <v>3000</v>
      </c>
      <c r="F10" s="87"/>
      <c r="G10" s="75"/>
      <c r="H10" s="70">
        <f t="shared" si="4"/>
        <v>3000</v>
      </c>
      <c r="I10" s="74">
        <f>($I$6*D10)/12</f>
        <v>800</v>
      </c>
      <c r="J10" s="74">
        <f>($J$6*D10)/12</f>
        <v>54.166666666666664</v>
      </c>
      <c r="K10" s="74">
        <f t="shared" si="5"/>
        <v>850</v>
      </c>
      <c r="L10" s="69">
        <f t="shared" si="10"/>
        <v>60</v>
      </c>
      <c r="M10" s="70">
        <f t="shared" si="0"/>
        <v>1764.1666666666665</v>
      </c>
      <c r="N10" s="74">
        <f>($N$6/12)*D10</f>
        <v>166.66666666666666</v>
      </c>
      <c r="O10" s="74">
        <f t="shared" si="1"/>
        <v>250</v>
      </c>
      <c r="P10" s="74">
        <f t="shared" si="2"/>
        <v>16.666666666666668</v>
      </c>
      <c r="Q10" s="74">
        <f t="shared" si="3"/>
        <v>125</v>
      </c>
      <c r="R10" s="70">
        <f t="shared" si="6"/>
        <v>558.33333333333326</v>
      </c>
      <c r="S10" s="70">
        <f t="shared" si="7"/>
        <v>2322.5</v>
      </c>
      <c r="T10" s="71">
        <f t="shared" si="8"/>
        <v>5322.5</v>
      </c>
      <c r="U10" s="72">
        <f t="shared" si="9"/>
        <v>63870</v>
      </c>
      <c r="V10" s="59"/>
    </row>
    <row r="11" spans="2:22" s="57" customFormat="1" ht="19.5" thickBot="1" x14ac:dyDescent="0.35">
      <c r="B11" s="88" t="s">
        <v>141</v>
      </c>
      <c r="C11" s="88" t="s">
        <v>139</v>
      </c>
      <c r="D11" s="89">
        <v>1</v>
      </c>
      <c r="E11" s="89">
        <v>3000</v>
      </c>
      <c r="F11" s="87"/>
      <c r="G11" s="75"/>
      <c r="H11" s="70">
        <f t="shared" si="4"/>
        <v>3000</v>
      </c>
      <c r="I11" s="74">
        <f>($I$6*D11)/12</f>
        <v>800</v>
      </c>
      <c r="J11" s="74">
        <f>($J$6*D11)/12</f>
        <v>54.166666666666664</v>
      </c>
      <c r="K11" s="74">
        <f t="shared" si="5"/>
        <v>850</v>
      </c>
      <c r="L11" s="69">
        <f t="shared" si="10"/>
        <v>60</v>
      </c>
      <c r="M11" s="70">
        <f t="shared" si="0"/>
        <v>1764.1666666666665</v>
      </c>
      <c r="N11" s="74">
        <f>($N$6/12)*D11</f>
        <v>166.66666666666666</v>
      </c>
      <c r="O11" s="74">
        <f t="shared" si="1"/>
        <v>250</v>
      </c>
      <c r="P11" s="74">
        <f t="shared" si="2"/>
        <v>16.666666666666668</v>
      </c>
      <c r="Q11" s="74">
        <f t="shared" si="3"/>
        <v>125</v>
      </c>
      <c r="R11" s="70">
        <f t="shared" si="6"/>
        <v>558.33333333333326</v>
      </c>
      <c r="S11" s="70">
        <f t="shared" si="7"/>
        <v>2322.5</v>
      </c>
      <c r="T11" s="71">
        <f t="shared" si="8"/>
        <v>5322.5</v>
      </c>
      <c r="U11" s="72">
        <f t="shared" si="9"/>
        <v>63870</v>
      </c>
      <c r="V11" s="59"/>
    </row>
    <row r="12" spans="2:22" s="57" customFormat="1" ht="19.5" thickBot="1" x14ac:dyDescent="0.35">
      <c r="B12" s="90" t="s">
        <v>121</v>
      </c>
      <c r="C12" s="90" t="s">
        <v>140</v>
      </c>
      <c r="D12" s="91">
        <v>2</v>
      </c>
      <c r="E12" s="91">
        <v>5000</v>
      </c>
      <c r="F12" s="86"/>
      <c r="G12" s="83"/>
      <c r="H12" s="70">
        <f t="shared" si="4"/>
        <v>10000</v>
      </c>
      <c r="I12" s="84">
        <v>0</v>
      </c>
      <c r="J12" s="84">
        <v>0</v>
      </c>
      <c r="K12" s="84">
        <f t="shared" si="5"/>
        <v>1700</v>
      </c>
      <c r="L12" s="69">
        <f>H12*12%</f>
        <v>1200</v>
      </c>
      <c r="M12" s="84">
        <f t="shared" si="0"/>
        <v>2900</v>
      </c>
      <c r="N12" s="84">
        <v>0</v>
      </c>
      <c r="O12" s="84">
        <f t="shared" si="1"/>
        <v>833.33333333333337</v>
      </c>
      <c r="P12" s="84">
        <f t="shared" si="2"/>
        <v>33.333333333333336</v>
      </c>
      <c r="Q12" s="84">
        <f t="shared" si="3"/>
        <v>416.66666666666669</v>
      </c>
      <c r="R12" s="70">
        <f t="shared" si="6"/>
        <v>1283.3333333333335</v>
      </c>
      <c r="S12" s="70">
        <f t="shared" si="7"/>
        <v>4183.3333333333339</v>
      </c>
      <c r="T12" s="71">
        <f t="shared" si="8"/>
        <v>14183.333333333334</v>
      </c>
      <c r="U12" s="72">
        <f t="shared" si="9"/>
        <v>170200</v>
      </c>
      <c r="V12" s="59"/>
    </row>
    <row r="13" spans="2:22" s="57" customFormat="1" ht="19.5" thickBot="1" x14ac:dyDescent="0.35">
      <c r="B13" s="88" t="s">
        <v>129</v>
      </c>
      <c r="C13" s="88" t="s">
        <v>139</v>
      </c>
      <c r="D13" s="89">
        <v>1</v>
      </c>
      <c r="E13" s="89">
        <v>2000</v>
      </c>
      <c r="F13" s="87"/>
      <c r="G13" s="75"/>
      <c r="H13" s="70">
        <f t="shared" si="4"/>
        <v>2000</v>
      </c>
      <c r="I13" s="74">
        <f>($I$6*D13)/12</f>
        <v>800</v>
      </c>
      <c r="J13" s="74">
        <f>($J$6*D13)/12</f>
        <v>54.166666666666664</v>
      </c>
      <c r="K13" s="74">
        <f t="shared" si="5"/>
        <v>850</v>
      </c>
      <c r="L13" s="69">
        <f t="shared" si="10"/>
        <v>40</v>
      </c>
      <c r="M13" s="70">
        <f t="shared" si="0"/>
        <v>1744.1666666666665</v>
      </c>
      <c r="N13" s="74">
        <f>($N$6/12)*D13</f>
        <v>166.66666666666666</v>
      </c>
      <c r="O13" s="74">
        <f t="shared" si="1"/>
        <v>166.66666666666666</v>
      </c>
      <c r="P13" s="74">
        <f t="shared" si="2"/>
        <v>16.666666666666668</v>
      </c>
      <c r="Q13" s="74">
        <f t="shared" si="3"/>
        <v>83.333333333333329</v>
      </c>
      <c r="R13" s="70">
        <f t="shared" si="6"/>
        <v>433.33333333333331</v>
      </c>
      <c r="S13" s="70">
        <f t="shared" si="7"/>
        <v>2177.5</v>
      </c>
      <c r="T13" s="71">
        <f t="shared" si="8"/>
        <v>4177.5</v>
      </c>
      <c r="U13" s="72">
        <f t="shared" si="9"/>
        <v>50130</v>
      </c>
      <c r="V13" s="59"/>
    </row>
    <row r="14" spans="2:22" s="57" customFormat="1" ht="19.5" thickBot="1" x14ac:dyDescent="0.35">
      <c r="B14" s="88" t="s">
        <v>122</v>
      </c>
      <c r="C14" s="88" t="s">
        <v>139</v>
      </c>
      <c r="D14" s="89">
        <v>2</v>
      </c>
      <c r="E14" s="89">
        <v>1500</v>
      </c>
      <c r="F14" s="87"/>
      <c r="G14" s="75"/>
      <c r="H14" s="70">
        <f t="shared" si="4"/>
        <v>3000</v>
      </c>
      <c r="I14" s="74">
        <f>($I$6*D14)/12</f>
        <v>1600</v>
      </c>
      <c r="J14" s="74">
        <f>($J$6*D14)/12</f>
        <v>108.33333333333333</v>
      </c>
      <c r="K14" s="74">
        <f t="shared" si="5"/>
        <v>1700</v>
      </c>
      <c r="L14" s="69">
        <f t="shared" si="10"/>
        <v>60</v>
      </c>
      <c r="M14" s="70">
        <f t="shared" si="0"/>
        <v>3468.333333333333</v>
      </c>
      <c r="N14" s="74">
        <f>($N$6/12)*D14</f>
        <v>333.33333333333331</v>
      </c>
      <c r="O14" s="74">
        <f t="shared" si="1"/>
        <v>250</v>
      </c>
      <c r="P14" s="74">
        <f t="shared" si="2"/>
        <v>33.333333333333336</v>
      </c>
      <c r="Q14" s="74">
        <f t="shared" si="3"/>
        <v>125</v>
      </c>
      <c r="R14" s="70">
        <f t="shared" si="6"/>
        <v>741.66666666666663</v>
      </c>
      <c r="S14" s="70">
        <f t="shared" si="7"/>
        <v>4210</v>
      </c>
      <c r="T14" s="71">
        <f t="shared" si="8"/>
        <v>7210</v>
      </c>
      <c r="U14" s="72">
        <f t="shared" si="9"/>
        <v>86520</v>
      </c>
      <c r="V14" s="59"/>
    </row>
    <row r="15" spans="2:22" s="57" customFormat="1" ht="24" customHeight="1" thickBot="1" x14ac:dyDescent="0.35">
      <c r="B15" s="64" t="s">
        <v>163</v>
      </c>
      <c r="C15" s="76"/>
      <c r="D15" s="76">
        <f t="shared" ref="D15:U15" si="11">SUM(D7:D14)</f>
        <v>12</v>
      </c>
      <c r="E15" s="76">
        <f t="shared" si="11"/>
        <v>35500</v>
      </c>
      <c r="F15" s="76">
        <f t="shared" si="11"/>
        <v>0</v>
      </c>
      <c r="G15" s="76">
        <f t="shared" si="11"/>
        <v>0</v>
      </c>
      <c r="H15" s="77">
        <f>SUM(H7:H14)</f>
        <v>58000</v>
      </c>
      <c r="I15" s="76">
        <f t="shared" si="11"/>
        <v>5600</v>
      </c>
      <c r="J15" s="76">
        <f t="shared" si="11"/>
        <v>379.16666666666663</v>
      </c>
      <c r="K15" s="76">
        <f t="shared" si="11"/>
        <v>9420.8333333333339</v>
      </c>
      <c r="L15" s="76">
        <f t="shared" si="11"/>
        <v>4560</v>
      </c>
      <c r="M15" s="77">
        <f>SUM(M7:M14)</f>
        <v>19959.999999999996</v>
      </c>
      <c r="N15" s="78">
        <f t="shared" si="11"/>
        <v>1166.6666666666665</v>
      </c>
      <c r="O15" s="78">
        <f t="shared" si="11"/>
        <v>4833.333333333333</v>
      </c>
      <c r="P15" s="78">
        <f t="shared" si="11"/>
        <v>200.00000000000003</v>
      </c>
      <c r="Q15" s="78">
        <f t="shared" si="11"/>
        <v>2416.6666666666665</v>
      </c>
      <c r="R15" s="77">
        <f>SUM(R7:R14)</f>
        <v>8616.6666666666661</v>
      </c>
      <c r="S15" s="77">
        <f t="shared" si="11"/>
        <v>28576.666666666672</v>
      </c>
      <c r="T15" s="79">
        <f t="shared" si="11"/>
        <v>86576.666666666672</v>
      </c>
      <c r="U15" s="78">
        <f t="shared" si="11"/>
        <v>1038920</v>
      </c>
      <c r="V15" s="59"/>
    </row>
    <row r="16" spans="2:22" x14ac:dyDescent="0.3">
      <c r="E16"/>
      <c r="F16"/>
      <c r="G16"/>
      <c r="H16"/>
      <c r="I16"/>
      <c r="J16"/>
      <c r="K16"/>
      <c r="L16"/>
      <c r="M16"/>
      <c r="N16"/>
    </row>
  </sheetData>
  <mergeCells count="10">
    <mergeCell ref="B4:B5"/>
    <mergeCell ref="S4:S5"/>
    <mergeCell ref="T4:T5"/>
    <mergeCell ref="U4:U5"/>
    <mergeCell ref="D4:D5"/>
    <mergeCell ref="E4:G4"/>
    <mergeCell ref="H4:H5"/>
    <mergeCell ref="N4:Q4"/>
    <mergeCell ref="R4:R5"/>
    <mergeCell ref="I4:L4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rightToLeft="1" topLeftCell="A4" workbookViewId="0">
      <selection activeCell="G6" sqref="G6:G13"/>
    </sheetView>
  </sheetViews>
  <sheetFormatPr defaultRowHeight="18.75" x14ac:dyDescent="0.3"/>
  <cols>
    <col min="1" max="1" width="28.7109375" style="2" bestFit="1" customWidth="1"/>
    <col min="2" max="2" width="12.28515625" style="2" bestFit="1" customWidth="1"/>
    <col min="3" max="3" width="9.5703125" style="2" bestFit="1" customWidth="1"/>
    <col min="4" max="4" width="10" style="2" bestFit="1" customWidth="1"/>
    <col min="5" max="5" width="12.28515625" style="2" bestFit="1" customWidth="1"/>
    <col min="6" max="6" width="12.140625" style="2" bestFit="1" customWidth="1"/>
    <col min="7" max="7" width="9.85546875" style="2" bestFit="1" customWidth="1"/>
    <col min="8" max="8" width="12.140625" style="2" bestFit="1" customWidth="1"/>
    <col min="9" max="9" width="12.28515625" style="2" bestFit="1" customWidth="1"/>
    <col min="10" max="10" width="47.7109375" bestFit="1" customWidth="1"/>
    <col min="11" max="11" width="9.85546875" bestFit="1" customWidth="1"/>
  </cols>
  <sheetData>
    <row r="3" spans="1:11" ht="23.25" x14ac:dyDescent="0.35">
      <c r="A3" s="154" t="s">
        <v>201</v>
      </c>
      <c r="B3" s="154"/>
      <c r="C3" s="154"/>
      <c r="D3" s="154"/>
      <c r="E3" s="154"/>
      <c r="F3" s="154"/>
      <c r="G3" s="154"/>
      <c r="H3" s="154"/>
      <c r="I3" s="154"/>
    </row>
    <row r="4" spans="1:11" ht="24.95" customHeight="1" x14ac:dyDescent="0.25">
      <c r="A4" s="153" t="s">
        <v>12</v>
      </c>
      <c r="B4" s="139" t="s">
        <v>15</v>
      </c>
      <c r="C4" s="139" t="s">
        <v>13</v>
      </c>
      <c r="D4" s="139" t="s">
        <v>16</v>
      </c>
      <c r="E4" s="139" t="s">
        <v>15</v>
      </c>
      <c r="F4" s="139" t="s">
        <v>18</v>
      </c>
      <c r="G4" s="139" t="s">
        <v>21</v>
      </c>
      <c r="H4" s="139" t="s">
        <v>18</v>
      </c>
      <c r="I4" s="139" t="s">
        <v>19</v>
      </c>
    </row>
    <row r="5" spans="1:11" ht="24.95" customHeight="1" x14ac:dyDescent="0.25">
      <c r="A5" s="153"/>
      <c r="B5" s="140">
        <v>45292</v>
      </c>
      <c r="C5" s="139" t="s">
        <v>14</v>
      </c>
      <c r="D5" s="139" t="s">
        <v>17</v>
      </c>
      <c r="E5" s="140">
        <v>45657</v>
      </c>
      <c r="F5" s="140">
        <v>45292</v>
      </c>
      <c r="G5" s="139" t="s">
        <v>20</v>
      </c>
      <c r="H5" s="140">
        <v>45657</v>
      </c>
      <c r="I5" s="140">
        <v>45657</v>
      </c>
    </row>
    <row r="6" spans="1:11" ht="30" customHeight="1" x14ac:dyDescent="0.25">
      <c r="A6" s="141" t="s">
        <v>190</v>
      </c>
      <c r="B6" s="142">
        <v>450000</v>
      </c>
      <c r="C6" s="142">
        <v>70000</v>
      </c>
      <c r="D6" s="142"/>
      <c r="E6" s="142">
        <f t="shared" ref="E6:E13" si="0">B6+C6-D6</f>
        <v>520000</v>
      </c>
      <c r="F6" s="142">
        <v>0</v>
      </c>
      <c r="G6" s="142">
        <f>(E6*10%)</f>
        <v>52000</v>
      </c>
      <c r="H6" s="142">
        <f t="shared" ref="H6:H9" si="1">G6+F6</f>
        <v>52000</v>
      </c>
      <c r="I6" s="142">
        <f t="shared" ref="I6:I9" si="2">E6-H6</f>
        <v>468000</v>
      </c>
    </row>
    <row r="7" spans="1:11" ht="30" customHeight="1" x14ac:dyDescent="0.25">
      <c r="A7" s="141" t="s">
        <v>191</v>
      </c>
      <c r="B7" s="142">
        <v>50000</v>
      </c>
      <c r="C7" s="142"/>
      <c r="D7" s="142"/>
      <c r="E7" s="142">
        <f t="shared" si="0"/>
        <v>50000</v>
      </c>
      <c r="F7" s="142">
        <v>0</v>
      </c>
      <c r="G7" s="142">
        <f>(E7*10%)</f>
        <v>5000</v>
      </c>
      <c r="H7" s="142">
        <f t="shared" ref="H7" si="3">G7+F7</f>
        <v>5000</v>
      </c>
      <c r="I7" s="142">
        <f t="shared" ref="I7" si="4">E7-H7</f>
        <v>45000</v>
      </c>
    </row>
    <row r="8" spans="1:11" ht="30" customHeight="1" x14ac:dyDescent="0.25">
      <c r="A8" s="141" t="s">
        <v>194</v>
      </c>
      <c r="B8" s="142">
        <v>40000</v>
      </c>
      <c r="C8" s="142"/>
      <c r="D8" s="142"/>
      <c r="E8" s="142">
        <f t="shared" ref="E8" si="5">B8+C8-D8</f>
        <v>40000</v>
      </c>
      <c r="F8" s="142">
        <v>0</v>
      </c>
      <c r="G8" s="142">
        <f>(E8*10%)</f>
        <v>4000</v>
      </c>
      <c r="H8" s="142">
        <f t="shared" ref="H8" si="6">G8+F8</f>
        <v>4000</v>
      </c>
      <c r="I8" s="142">
        <f t="shared" ref="I8" si="7">E8-H8</f>
        <v>36000</v>
      </c>
    </row>
    <row r="9" spans="1:11" ht="30" customHeight="1" x14ac:dyDescent="0.25">
      <c r="A9" s="141" t="s">
        <v>107</v>
      </c>
      <c r="B9" s="142">
        <v>20000</v>
      </c>
      <c r="C9" s="142"/>
      <c r="D9" s="142"/>
      <c r="E9" s="142">
        <f t="shared" si="0"/>
        <v>20000</v>
      </c>
      <c r="F9" s="142">
        <v>0</v>
      </c>
      <c r="G9" s="142">
        <f>(E9*15%)</f>
        <v>3000</v>
      </c>
      <c r="H9" s="142">
        <f t="shared" si="1"/>
        <v>3000</v>
      </c>
      <c r="I9" s="142">
        <f t="shared" si="2"/>
        <v>17000</v>
      </c>
    </row>
    <row r="10" spans="1:11" ht="30" customHeight="1" x14ac:dyDescent="0.25">
      <c r="A10" s="141" t="s">
        <v>108</v>
      </c>
      <c r="B10" s="142"/>
      <c r="C10" s="142">
        <v>75000</v>
      </c>
      <c r="D10" s="142"/>
      <c r="E10" s="142">
        <f t="shared" si="0"/>
        <v>75000</v>
      </c>
      <c r="F10" s="142">
        <v>0</v>
      </c>
      <c r="G10" s="142">
        <f>(E10*15%)</f>
        <v>11250</v>
      </c>
      <c r="H10" s="142">
        <f t="shared" ref="H10:H13" si="8">G10+F10</f>
        <v>11250</v>
      </c>
      <c r="I10" s="142">
        <f t="shared" ref="I10:I13" si="9">E10-H10</f>
        <v>63750</v>
      </c>
    </row>
    <row r="11" spans="1:11" ht="30" customHeight="1" x14ac:dyDescent="0.25">
      <c r="A11" s="141" t="s">
        <v>193</v>
      </c>
      <c r="B11" s="142">
        <v>215000</v>
      </c>
      <c r="C11" s="142"/>
      <c r="D11" s="142"/>
      <c r="E11" s="142">
        <f t="shared" ref="E11" si="10">B11+C11-D11</f>
        <v>215000</v>
      </c>
      <c r="F11" s="142">
        <v>0</v>
      </c>
      <c r="G11" s="142">
        <f>(E11*15%)</f>
        <v>32250</v>
      </c>
      <c r="H11" s="142">
        <f t="shared" ref="H11" si="11">G11+F11</f>
        <v>32250</v>
      </c>
      <c r="I11" s="142">
        <f t="shared" ref="I11" si="12">E11-H11</f>
        <v>182750</v>
      </c>
    </row>
    <row r="12" spans="1:11" ht="30" customHeight="1" x14ac:dyDescent="0.25">
      <c r="A12" s="141" t="s">
        <v>130</v>
      </c>
      <c r="B12" s="142">
        <v>15000</v>
      </c>
      <c r="C12" s="142"/>
      <c r="D12" s="142"/>
      <c r="E12" s="142">
        <f t="shared" si="0"/>
        <v>15000</v>
      </c>
      <c r="F12" s="142">
        <v>0</v>
      </c>
      <c r="G12" s="142">
        <f>(E12*15%)</f>
        <v>2250</v>
      </c>
      <c r="H12" s="142">
        <f t="shared" ref="H12" si="13">G12+F12</f>
        <v>2250</v>
      </c>
      <c r="I12" s="142">
        <f t="shared" ref="I12" si="14">E12-H12</f>
        <v>12750</v>
      </c>
    </row>
    <row r="13" spans="1:11" ht="30" customHeight="1" x14ac:dyDescent="0.25">
      <c r="A13" s="141" t="s">
        <v>117</v>
      </c>
      <c r="B13" s="142">
        <v>10000</v>
      </c>
      <c r="C13" s="142"/>
      <c r="D13" s="142"/>
      <c r="E13" s="142">
        <f t="shared" si="0"/>
        <v>10000</v>
      </c>
      <c r="F13" s="142">
        <v>0</v>
      </c>
      <c r="G13" s="142">
        <f>(E13*15%)</f>
        <v>1500</v>
      </c>
      <c r="H13" s="142">
        <f t="shared" si="8"/>
        <v>1500</v>
      </c>
      <c r="I13" s="142">
        <f t="shared" si="9"/>
        <v>8500</v>
      </c>
    </row>
    <row r="14" spans="1:11" ht="30" customHeight="1" x14ac:dyDescent="0.25">
      <c r="A14" s="141" t="s">
        <v>22</v>
      </c>
      <c r="B14" s="142">
        <f t="shared" ref="B14:H14" si="15">SUM(B6:B13)</f>
        <v>800000</v>
      </c>
      <c r="C14" s="142">
        <f t="shared" si="15"/>
        <v>145000</v>
      </c>
      <c r="D14" s="142">
        <f t="shared" si="15"/>
        <v>0</v>
      </c>
      <c r="E14" s="142">
        <f t="shared" si="15"/>
        <v>945000</v>
      </c>
      <c r="F14" s="142">
        <f t="shared" si="15"/>
        <v>0</v>
      </c>
      <c r="G14" s="142">
        <f t="shared" si="15"/>
        <v>111250</v>
      </c>
      <c r="H14" s="142">
        <f t="shared" si="15"/>
        <v>111250</v>
      </c>
      <c r="I14" s="142">
        <f>SUM(I6:I13)</f>
        <v>833750</v>
      </c>
    </row>
    <row r="15" spans="1:11" ht="24.6" customHeight="1" x14ac:dyDescent="0.3">
      <c r="G15" s="100"/>
    </row>
    <row r="16" spans="1:11" x14ac:dyDescent="0.3">
      <c r="B16" s="15"/>
      <c r="D16" s="15"/>
      <c r="E16" s="15"/>
      <c r="F16" s="13"/>
      <c r="G16" s="13"/>
      <c r="H16" s="4"/>
      <c r="J16" s="2"/>
      <c r="K16" s="2"/>
    </row>
  </sheetData>
  <mergeCells count="2">
    <mergeCell ref="A4:A5"/>
    <mergeCell ref="A3:I3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rightToLeft="1" topLeftCell="A4" workbookViewId="0">
      <selection activeCell="G17" sqref="G17"/>
    </sheetView>
  </sheetViews>
  <sheetFormatPr defaultRowHeight="18.75" x14ac:dyDescent="0.3"/>
  <cols>
    <col min="1" max="1" width="26.140625" style="2" bestFit="1" customWidth="1"/>
    <col min="2" max="2" width="12.140625" style="2" bestFit="1" customWidth="1"/>
    <col min="3" max="3" width="9.85546875" style="2" bestFit="1" customWidth="1"/>
    <col min="4" max="4" width="10.28515625" style="2" bestFit="1" customWidth="1"/>
    <col min="5" max="5" width="12.140625" style="2" bestFit="1" customWidth="1"/>
    <col min="6" max="6" width="13.42578125" style="2" bestFit="1" customWidth="1"/>
    <col min="7" max="7" width="9.85546875" style="2" bestFit="1" customWidth="1"/>
    <col min="8" max="9" width="12.140625" style="2" bestFit="1" customWidth="1"/>
    <col min="10" max="10" width="9.28515625" bestFit="1" customWidth="1"/>
    <col min="11" max="11" width="9.85546875" bestFit="1" customWidth="1"/>
  </cols>
  <sheetData>
    <row r="3" spans="1:9" ht="23.25" x14ac:dyDescent="0.35">
      <c r="A3" s="154" t="s">
        <v>201</v>
      </c>
      <c r="B3" s="154"/>
      <c r="C3" s="154"/>
      <c r="D3" s="154"/>
      <c r="E3" s="154"/>
      <c r="F3" s="154"/>
      <c r="G3" s="154"/>
      <c r="H3" s="154"/>
      <c r="I3" s="154"/>
    </row>
    <row r="4" spans="1:9" ht="19.5" thickBot="1" x14ac:dyDescent="0.35"/>
    <row r="5" spans="1:9" ht="24.95" customHeight="1" thickBot="1" x14ac:dyDescent="0.3">
      <c r="A5" s="155" t="s">
        <v>12</v>
      </c>
      <c r="B5" s="135" t="s">
        <v>15</v>
      </c>
      <c r="C5" s="135" t="s">
        <v>13</v>
      </c>
      <c r="D5" s="135" t="s">
        <v>16</v>
      </c>
      <c r="E5" s="135" t="s">
        <v>15</v>
      </c>
      <c r="F5" s="135" t="s">
        <v>18</v>
      </c>
      <c r="G5" s="135" t="s">
        <v>21</v>
      </c>
      <c r="H5" s="135" t="s">
        <v>18</v>
      </c>
      <c r="I5" s="135" t="s">
        <v>19</v>
      </c>
    </row>
    <row r="6" spans="1:9" ht="24.95" customHeight="1" thickBot="1" x14ac:dyDescent="0.3">
      <c r="A6" s="155"/>
      <c r="B6" s="136">
        <v>45658</v>
      </c>
      <c r="C6" s="135" t="s">
        <v>14</v>
      </c>
      <c r="D6" s="135" t="s">
        <v>17</v>
      </c>
      <c r="E6" s="136">
        <v>46022</v>
      </c>
      <c r="F6" s="136" t="s">
        <v>212</v>
      </c>
      <c r="G6" s="135" t="s">
        <v>20</v>
      </c>
      <c r="H6" s="136">
        <v>46022</v>
      </c>
      <c r="I6" s="136">
        <v>46022</v>
      </c>
    </row>
    <row r="7" spans="1:9" ht="30" customHeight="1" thickBot="1" x14ac:dyDescent="0.3">
      <c r="A7" s="137" t="s">
        <v>190</v>
      </c>
      <c r="B7" s="142">
        <v>520000</v>
      </c>
      <c r="C7" s="138">
        <v>50000</v>
      </c>
      <c r="D7" s="138"/>
      <c r="E7" s="138">
        <f t="shared" ref="E7:E14" si="0">B7+C7-D7</f>
        <v>570000</v>
      </c>
      <c r="F7" s="138">
        <v>52000</v>
      </c>
      <c r="G7" s="138">
        <f>(E7*10%)</f>
        <v>57000</v>
      </c>
      <c r="H7" s="138">
        <f>G7+F7</f>
        <v>109000</v>
      </c>
      <c r="I7" s="138">
        <f>E7-H7</f>
        <v>461000</v>
      </c>
    </row>
    <row r="8" spans="1:9" ht="30" customHeight="1" thickBot="1" x14ac:dyDescent="0.3">
      <c r="A8" s="137" t="s">
        <v>191</v>
      </c>
      <c r="B8" s="142">
        <v>50000</v>
      </c>
      <c r="C8" s="138"/>
      <c r="D8" s="138"/>
      <c r="E8" s="138">
        <f t="shared" si="0"/>
        <v>50000</v>
      </c>
      <c r="F8" s="138">
        <v>5000</v>
      </c>
      <c r="G8" s="138">
        <f>(E8*10%)</f>
        <v>5000</v>
      </c>
      <c r="H8" s="138">
        <f t="shared" ref="H8:H14" si="1">G8+F8</f>
        <v>10000</v>
      </c>
      <c r="I8" s="138">
        <f t="shared" ref="I8:I14" si="2">E8-H8</f>
        <v>40000</v>
      </c>
    </row>
    <row r="9" spans="1:9" ht="30" customHeight="1" thickBot="1" x14ac:dyDescent="0.3">
      <c r="A9" s="137" t="s">
        <v>194</v>
      </c>
      <c r="B9" s="142">
        <v>20000</v>
      </c>
      <c r="C9" s="138"/>
      <c r="D9" s="138"/>
      <c r="E9" s="138">
        <f t="shared" si="0"/>
        <v>20000</v>
      </c>
      <c r="F9" s="138">
        <v>4000</v>
      </c>
      <c r="G9" s="138">
        <f>(E9*10%)</f>
        <v>2000</v>
      </c>
      <c r="H9" s="138">
        <f t="shared" si="1"/>
        <v>6000</v>
      </c>
      <c r="I9" s="138">
        <f t="shared" si="2"/>
        <v>14000</v>
      </c>
    </row>
    <row r="10" spans="1:9" ht="30" customHeight="1" thickBot="1" x14ac:dyDescent="0.3">
      <c r="A10" s="137" t="s">
        <v>107</v>
      </c>
      <c r="B10" s="142">
        <v>75000</v>
      </c>
      <c r="C10" s="138">
        <v>50000</v>
      </c>
      <c r="D10" s="138"/>
      <c r="E10" s="138">
        <f t="shared" si="0"/>
        <v>125000</v>
      </c>
      <c r="F10" s="138">
        <v>3000</v>
      </c>
      <c r="G10" s="138">
        <f>(E10*15%)</f>
        <v>18750</v>
      </c>
      <c r="H10" s="138">
        <f t="shared" si="1"/>
        <v>21750</v>
      </c>
      <c r="I10" s="138">
        <f t="shared" si="2"/>
        <v>103250</v>
      </c>
    </row>
    <row r="11" spans="1:9" ht="30" customHeight="1" thickBot="1" x14ac:dyDescent="0.3">
      <c r="A11" s="137" t="s">
        <v>108</v>
      </c>
      <c r="B11" s="142">
        <v>215000</v>
      </c>
      <c r="C11" s="138"/>
      <c r="D11" s="138"/>
      <c r="E11" s="138">
        <f t="shared" si="0"/>
        <v>215000</v>
      </c>
      <c r="F11" s="138">
        <v>11250</v>
      </c>
      <c r="G11" s="138">
        <f>(E11*15%)</f>
        <v>32250</v>
      </c>
      <c r="H11" s="138">
        <f t="shared" si="1"/>
        <v>43500</v>
      </c>
      <c r="I11" s="138">
        <f t="shared" si="2"/>
        <v>171500</v>
      </c>
    </row>
    <row r="12" spans="1:9" ht="30" customHeight="1" thickBot="1" x14ac:dyDescent="0.3">
      <c r="A12" s="137" t="s">
        <v>193</v>
      </c>
      <c r="B12" s="142">
        <v>15000</v>
      </c>
      <c r="C12" s="138"/>
      <c r="D12" s="138"/>
      <c r="E12" s="138">
        <f t="shared" si="0"/>
        <v>15000</v>
      </c>
      <c r="F12" s="138">
        <v>32250</v>
      </c>
      <c r="G12" s="138">
        <f>(E12*15%)</f>
        <v>2250</v>
      </c>
      <c r="H12" s="138">
        <f t="shared" si="1"/>
        <v>34500</v>
      </c>
      <c r="I12" s="138">
        <f t="shared" si="2"/>
        <v>-19500</v>
      </c>
    </row>
    <row r="13" spans="1:9" ht="30" customHeight="1" thickBot="1" x14ac:dyDescent="0.3">
      <c r="A13" s="137" t="s">
        <v>130</v>
      </c>
      <c r="B13" s="142">
        <v>10000</v>
      </c>
      <c r="C13" s="138"/>
      <c r="D13" s="138"/>
      <c r="E13" s="138">
        <f t="shared" si="0"/>
        <v>10000</v>
      </c>
      <c r="F13" s="138">
        <v>2250</v>
      </c>
      <c r="G13" s="138">
        <f>(E13*15%)</f>
        <v>1500</v>
      </c>
      <c r="H13" s="138">
        <f t="shared" si="1"/>
        <v>3750</v>
      </c>
      <c r="I13" s="138">
        <f t="shared" si="2"/>
        <v>6250</v>
      </c>
    </row>
    <row r="14" spans="1:9" ht="30" customHeight="1" thickBot="1" x14ac:dyDescent="0.3">
      <c r="A14" s="137" t="s">
        <v>117</v>
      </c>
      <c r="B14" s="142">
        <v>10000</v>
      </c>
      <c r="C14" s="138"/>
      <c r="D14" s="138"/>
      <c r="E14" s="138">
        <f t="shared" si="0"/>
        <v>10000</v>
      </c>
      <c r="F14" s="138">
        <v>1500</v>
      </c>
      <c r="G14" s="138">
        <f>(E14*15%)</f>
        <v>1500</v>
      </c>
      <c r="H14" s="138">
        <f t="shared" si="1"/>
        <v>3000</v>
      </c>
      <c r="I14" s="138">
        <f t="shared" si="2"/>
        <v>7000</v>
      </c>
    </row>
    <row r="15" spans="1:9" ht="23.45" customHeight="1" thickBot="1" x14ac:dyDescent="0.3">
      <c r="A15" s="137" t="s">
        <v>22</v>
      </c>
      <c r="B15" s="138">
        <f t="shared" ref="B15:I15" si="3">SUM(B7:B14)</f>
        <v>915000</v>
      </c>
      <c r="C15" s="138">
        <f t="shared" si="3"/>
        <v>100000</v>
      </c>
      <c r="D15" s="138">
        <f t="shared" si="3"/>
        <v>0</v>
      </c>
      <c r="E15" s="138">
        <f t="shared" si="3"/>
        <v>1015000</v>
      </c>
      <c r="F15" s="138">
        <f t="shared" si="3"/>
        <v>111250</v>
      </c>
      <c r="G15" s="138">
        <f t="shared" si="3"/>
        <v>120250</v>
      </c>
      <c r="H15" s="138">
        <f t="shared" si="3"/>
        <v>231500</v>
      </c>
      <c r="I15" s="138">
        <f t="shared" si="3"/>
        <v>783500</v>
      </c>
    </row>
  </sheetData>
  <mergeCells count="2">
    <mergeCell ref="A3:I3"/>
    <mergeCell ref="A5:A6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rightToLeft="1" topLeftCell="A6" zoomScale="110" zoomScaleNormal="110" workbookViewId="0">
      <selection activeCell="B12" sqref="B12:D12"/>
    </sheetView>
  </sheetViews>
  <sheetFormatPr defaultRowHeight="18.75" x14ac:dyDescent="0.3"/>
  <cols>
    <col min="1" max="1" width="2.7109375" style="2" customWidth="1"/>
    <col min="2" max="2" width="26.140625" style="2" bestFit="1" customWidth="1"/>
    <col min="3" max="3" width="15.5703125" style="2" bestFit="1" customWidth="1"/>
    <col min="4" max="4" width="15.140625" style="2" bestFit="1" customWidth="1"/>
    <col min="5" max="5" width="5.7109375" style="2" customWidth="1"/>
    <col min="6" max="6" width="14.5703125" style="2" bestFit="1" customWidth="1"/>
    <col min="7" max="7" width="9.140625" style="2"/>
    <col min="8" max="8" width="1.85546875" bestFit="1" customWidth="1"/>
    <col min="9" max="9" width="10.28515625" bestFit="1" customWidth="1"/>
  </cols>
  <sheetData>
    <row r="3" spans="2:10" ht="23.25" x14ac:dyDescent="0.35">
      <c r="B3" s="156" t="s">
        <v>202</v>
      </c>
      <c r="C3" s="156"/>
      <c r="D3" s="156"/>
    </row>
    <row r="4" spans="2:10" ht="21" x14ac:dyDescent="0.35">
      <c r="B4" s="1"/>
      <c r="C4" s="5" t="s">
        <v>216</v>
      </c>
      <c r="D4" s="5" t="s">
        <v>215</v>
      </c>
    </row>
    <row r="5" spans="2:10" ht="21" x14ac:dyDescent="0.35">
      <c r="B5" s="1" t="s">
        <v>5</v>
      </c>
      <c r="C5" s="6" t="s">
        <v>6</v>
      </c>
      <c r="D5" s="6" t="s">
        <v>7</v>
      </c>
    </row>
    <row r="6" spans="2:10" ht="21" x14ac:dyDescent="0.35">
      <c r="B6" s="1" t="s">
        <v>47</v>
      </c>
      <c r="C6" s="7">
        <v>93137</v>
      </c>
      <c r="D6" s="7">
        <v>23625</v>
      </c>
    </row>
    <row r="7" spans="2:10" ht="21.75" thickBot="1" x14ac:dyDescent="0.4">
      <c r="B7" s="1" t="s">
        <v>48</v>
      </c>
      <c r="C7" s="7">
        <v>1241275</v>
      </c>
      <c r="D7" s="7">
        <v>440072</v>
      </c>
      <c r="F7" s="4"/>
      <c r="J7" s="38"/>
    </row>
    <row r="8" spans="2:10" ht="4.9000000000000004" customHeight="1" thickBot="1" x14ac:dyDescent="0.4">
      <c r="B8" s="1"/>
      <c r="C8" s="10"/>
      <c r="D8" s="10"/>
    </row>
    <row r="9" spans="2:10" s="2" customFormat="1" ht="21" x14ac:dyDescent="0.35">
      <c r="B9" s="3" t="s">
        <v>8</v>
      </c>
      <c r="C9" s="8">
        <f>SUM(C6:C8)</f>
        <v>1334412</v>
      </c>
      <c r="D9" s="8">
        <f>SUM(D6:D8)</f>
        <v>463697</v>
      </c>
      <c r="F9" s="4"/>
    </row>
    <row r="10" spans="2:10" x14ac:dyDescent="0.3">
      <c r="C10" s="2">
        <v>1304411.6666666667</v>
      </c>
      <c r="F10" s="4"/>
      <c r="I10" s="38"/>
    </row>
    <row r="11" spans="2:10" x14ac:dyDescent="0.3">
      <c r="C11" s="4">
        <f>C9-C10</f>
        <v>30000.333333333256</v>
      </c>
      <c r="D11" s="4"/>
    </row>
    <row r="12" spans="2:10" ht="23.25" x14ac:dyDescent="0.35">
      <c r="B12" s="156" t="s">
        <v>9</v>
      </c>
      <c r="C12" s="156"/>
      <c r="D12" s="156"/>
    </row>
    <row r="13" spans="2:10" ht="23.25" x14ac:dyDescent="0.3">
      <c r="B13" s="157" t="s">
        <v>49</v>
      </c>
      <c r="C13" s="158"/>
      <c r="D13" s="158"/>
    </row>
    <row r="14" spans="2:10" ht="23.25" x14ac:dyDescent="0.3">
      <c r="B14" s="37"/>
      <c r="C14" s="37"/>
      <c r="D14" s="37"/>
    </row>
    <row r="15" spans="2:10" ht="21" x14ac:dyDescent="0.35">
      <c r="B15" s="1"/>
      <c r="C15" s="6">
        <v>2025</v>
      </c>
      <c r="D15" s="6">
        <v>2024</v>
      </c>
    </row>
    <row r="16" spans="2:10" ht="21" x14ac:dyDescent="0.35">
      <c r="B16" s="1" t="s">
        <v>5</v>
      </c>
      <c r="C16" s="6" t="s">
        <v>6</v>
      </c>
      <c r="D16" s="6" t="s">
        <v>7</v>
      </c>
    </row>
    <row r="17" spans="2:4" ht="21" x14ac:dyDescent="0.35">
      <c r="B17" s="1" t="s">
        <v>213</v>
      </c>
      <c r="C17" s="18">
        <v>150000</v>
      </c>
      <c r="D17" s="7">
        <v>150000</v>
      </c>
    </row>
    <row r="18" spans="2:4" ht="12.75" customHeight="1" x14ac:dyDescent="0.35">
      <c r="B18" s="1"/>
      <c r="C18" s="18"/>
      <c r="D18" s="7"/>
    </row>
    <row r="19" spans="2:4" ht="21.75" thickBot="1" x14ac:dyDescent="0.4">
      <c r="B19" s="1" t="s">
        <v>105</v>
      </c>
      <c r="C19" s="18">
        <v>0</v>
      </c>
      <c r="D19" s="7">
        <v>0</v>
      </c>
    </row>
    <row r="20" spans="2:4" ht="21.75" thickBot="1" x14ac:dyDescent="0.4">
      <c r="B20" s="3" t="s">
        <v>8</v>
      </c>
      <c r="C20" s="39">
        <f>SUM(C17:C19)</f>
        <v>150000</v>
      </c>
      <c r="D20" s="39">
        <f>SUM(D17:D19)</f>
        <v>150000</v>
      </c>
    </row>
  </sheetData>
  <mergeCells count="3">
    <mergeCell ref="B3:D3"/>
    <mergeCell ref="B12:D12"/>
    <mergeCell ref="B13:D13"/>
  </mergeCells>
  <pageMargins left="0.25" right="0.2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rightToLeft="1" workbookViewId="0">
      <selection activeCell="B6" sqref="B6:E6"/>
    </sheetView>
  </sheetViews>
  <sheetFormatPr defaultColWidth="18.7109375" defaultRowHeight="18.75" x14ac:dyDescent="0.3"/>
  <cols>
    <col min="1" max="1" width="3.140625" style="2" customWidth="1"/>
    <col min="2" max="2" width="23.140625" style="2" customWidth="1"/>
    <col min="3" max="8" width="18.7109375" style="2"/>
  </cols>
  <sheetData>
    <row r="3" spans="2:5" ht="23.25" x14ac:dyDescent="0.35">
      <c r="B3" s="156" t="s">
        <v>50</v>
      </c>
      <c r="C3" s="156"/>
      <c r="D3" s="156"/>
      <c r="E3" s="156"/>
    </row>
    <row r="4" spans="2:5" s="3" customFormat="1" ht="23.25" x14ac:dyDescent="0.35">
      <c r="B4" s="157" t="s">
        <v>0</v>
      </c>
      <c r="C4" s="158"/>
      <c r="D4" s="158"/>
      <c r="E4" s="158"/>
    </row>
    <row r="5" spans="2:5" s="3" customFormat="1" ht="10.15" customHeight="1" x14ac:dyDescent="0.35">
      <c r="B5" s="9"/>
      <c r="C5" s="9"/>
      <c r="D5" s="9"/>
      <c r="E5" s="9"/>
    </row>
    <row r="6" spans="2:5" ht="21" x14ac:dyDescent="0.35">
      <c r="B6" s="159" t="s">
        <v>120</v>
      </c>
      <c r="C6" s="159"/>
      <c r="D6" s="159"/>
      <c r="E6" s="159"/>
    </row>
    <row r="7" spans="2:5" ht="21" x14ac:dyDescent="0.35">
      <c r="B7" s="159" t="s">
        <v>119</v>
      </c>
      <c r="C7" s="159"/>
      <c r="D7" s="159"/>
      <c r="E7" s="159"/>
    </row>
    <row r="8" spans="2:5" ht="9" customHeight="1" x14ac:dyDescent="0.35">
      <c r="B8" s="42"/>
      <c r="C8" s="42"/>
      <c r="D8" s="42"/>
      <c r="E8" s="42"/>
    </row>
    <row r="9" spans="2:5" ht="21" x14ac:dyDescent="0.35">
      <c r="B9" s="20" t="s">
        <v>57</v>
      </c>
      <c r="C9" s="21" t="s">
        <v>58</v>
      </c>
      <c r="D9" s="21" t="s">
        <v>22</v>
      </c>
      <c r="E9" s="21" t="s">
        <v>59</v>
      </c>
    </row>
    <row r="10" spans="2:5" s="2" customFormat="1" ht="21.75" thickBot="1" x14ac:dyDescent="0.4">
      <c r="B10" s="22"/>
      <c r="C10" s="23">
        <v>1000</v>
      </c>
      <c r="D10" s="23">
        <v>100000</v>
      </c>
      <c r="E10" s="25">
        <v>1</v>
      </c>
    </row>
    <row r="11" spans="2:5" s="2" customFormat="1" ht="22.5" thickTop="1" thickBot="1" x14ac:dyDescent="0.4">
      <c r="B11" s="26" t="s">
        <v>60</v>
      </c>
      <c r="C11" s="24" t="s">
        <v>68</v>
      </c>
      <c r="D11" s="24">
        <v>100000</v>
      </c>
      <c r="E11" s="27">
        <v>1</v>
      </c>
    </row>
    <row r="12" spans="2:5" s="2" customFormat="1" ht="21.75" thickTop="1" x14ac:dyDescent="0.35">
      <c r="B12" s="1"/>
      <c r="C12" s="7"/>
      <c r="D12" s="7"/>
      <c r="E12" s="7"/>
    </row>
    <row r="13" spans="2:5" s="2" customFormat="1" ht="21" x14ac:dyDescent="0.35">
      <c r="B13" s="1"/>
      <c r="C13" s="7"/>
      <c r="D13" s="7"/>
      <c r="E13" s="7"/>
    </row>
  </sheetData>
  <mergeCells count="4">
    <mergeCell ref="B3:E3"/>
    <mergeCell ref="B4:E4"/>
    <mergeCell ref="B6:E6"/>
    <mergeCell ref="B7:E7"/>
  </mergeCells>
  <pageMargins left="0.25" right="0.2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rightToLeft="1" zoomScale="87" zoomScaleNormal="87" workbookViewId="0">
      <selection activeCell="E17" sqref="E17"/>
    </sheetView>
  </sheetViews>
  <sheetFormatPr defaultRowHeight="18.75" x14ac:dyDescent="0.3"/>
  <cols>
    <col min="1" max="1" width="5.7109375" style="2" customWidth="1"/>
    <col min="2" max="2" width="12.7109375" style="2" bestFit="1" customWidth="1"/>
    <col min="3" max="3" width="9.28515625" style="2" bestFit="1" customWidth="1"/>
    <col min="4" max="4" width="26.7109375" style="2" bestFit="1" customWidth="1"/>
    <col min="5" max="5" width="26" style="2" bestFit="1" customWidth="1"/>
    <col min="6" max="6" width="19.140625" style="2" bestFit="1" customWidth="1"/>
    <col min="7" max="8" width="9.140625" style="2"/>
    <col min="9" max="9" width="12.28515625" bestFit="1" customWidth="1"/>
  </cols>
  <sheetData>
    <row r="3" spans="2:6" ht="23.25" x14ac:dyDescent="0.35">
      <c r="B3" s="156" t="s">
        <v>10</v>
      </c>
      <c r="C3" s="156"/>
      <c r="D3" s="156"/>
      <c r="E3" s="156"/>
    </row>
    <row r="4" spans="2:6" s="3" customFormat="1" ht="23.25" x14ac:dyDescent="0.35">
      <c r="B4" s="157" t="s">
        <v>56</v>
      </c>
      <c r="C4" s="158"/>
      <c r="D4" s="158"/>
      <c r="E4" s="158"/>
    </row>
    <row r="5" spans="2:6" s="3" customFormat="1" ht="9" customHeight="1" x14ac:dyDescent="0.35">
      <c r="B5" s="9"/>
      <c r="C5" s="9"/>
      <c r="D5" s="9"/>
      <c r="E5" s="9"/>
    </row>
    <row r="6" spans="2:6" s="3" customFormat="1" ht="23.25" x14ac:dyDescent="0.35">
      <c r="B6" s="19">
        <v>2024</v>
      </c>
      <c r="C6" s="19"/>
      <c r="D6" s="11" t="s">
        <v>61</v>
      </c>
      <c r="E6" s="11" t="s">
        <v>62</v>
      </c>
      <c r="F6" s="11" t="s">
        <v>63</v>
      </c>
    </row>
    <row r="7" spans="2:6" s="3" customFormat="1" ht="21" x14ac:dyDescent="0.35">
      <c r="B7" s="11"/>
      <c r="C7" s="29" t="s">
        <v>64</v>
      </c>
      <c r="D7" s="28" t="s">
        <v>67</v>
      </c>
      <c r="E7" s="28" t="s">
        <v>67</v>
      </c>
      <c r="F7" s="28" t="s">
        <v>67</v>
      </c>
    </row>
    <row r="8" spans="2:6" s="3" customFormat="1" ht="21" x14ac:dyDescent="0.35">
      <c r="B8" s="11"/>
      <c r="C8" s="11" t="s">
        <v>65</v>
      </c>
      <c r="D8" s="31">
        <v>0</v>
      </c>
      <c r="E8" s="31">
        <f>'B S'!I28-100000</f>
        <v>1049000</v>
      </c>
      <c r="F8" s="31">
        <f>E8-D8</f>
        <v>1049000</v>
      </c>
    </row>
    <row r="9" spans="2:6" s="3" customFormat="1" ht="21.75" thickBot="1" x14ac:dyDescent="0.4">
      <c r="B9" s="11" t="s">
        <v>66</v>
      </c>
      <c r="C9" s="11"/>
      <c r="D9" s="30">
        <f>SUM(D8)</f>
        <v>0</v>
      </c>
      <c r="E9" s="30">
        <f t="shared" ref="E9:F9" si="0">SUM(E8)</f>
        <v>1049000</v>
      </c>
      <c r="F9" s="30">
        <f t="shared" si="0"/>
        <v>1049000</v>
      </c>
    </row>
    <row r="10" spans="2:6" ht="19.5" thickTop="1" x14ac:dyDescent="0.3">
      <c r="B10" s="32"/>
      <c r="C10" s="32"/>
      <c r="D10" s="32"/>
      <c r="E10" s="32"/>
      <c r="F10" s="32"/>
    </row>
    <row r="11" spans="2:6" s="3" customFormat="1" ht="23.25" x14ac:dyDescent="0.35">
      <c r="B11" s="19">
        <v>2025</v>
      </c>
      <c r="C11" s="19"/>
      <c r="D11" s="11" t="s">
        <v>61</v>
      </c>
      <c r="E11" s="11" t="s">
        <v>62</v>
      </c>
      <c r="F11" s="11" t="s">
        <v>63</v>
      </c>
    </row>
    <row r="12" spans="2:6" s="3" customFormat="1" ht="21" x14ac:dyDescent="0.35">
      <c r="B12" s="11"/>
      <c r="C12" s="29" t="s">
        <v>64</v>
      </c>
      <c r="D12" s="28" t="s">
        <v>67</v>
      </c>
      <c r="E12" s="28" t="s">
        <v>67</v>
      </c>
      <c r="F12" s="28" t="s">
        <v>67</v>
      </c>
    </row>
    <row r="13" spans="2:6" s="3" customFormat="1" ht="21" x14ac:dyDescent="0.35">
      <c r="B13" s="11"/>
      <c r="C13" s="11" t="s">
        <v>65</v>
      </c>
      <c r="D13" s="31">
        <v>992588</v>
      </c>
      <c r="E13" s="31">
        <v>1345200</v>
      </c>
      <c r="F13" s="31">
        <f>E13-D13</f>
        <v>352612</v>
      </c>
    </row>
    <row r="14" spans="2:6" s="3" customFormat="1" ht="21.75" thickBot="1" x14ac:dyDescent="0.4">
      <c r="B14" s="11" t="s">
        <v>66</v>
      </c>
      <c r="C14" s="11"/>
      <c r="D14" s="30">
        <f>SUM(D13)</f>
        <v>992588</v>
      </c>
      <c r="E14" s="30">
        <f t="shared" ref="E14" si="1">SUM(E13)</f>
        <v>1345200</v>
      </c>
      <c r="F14" s="30">
        <f t="shared" ref="F14" si="2">SUM(F13)</f>
        <v>352612</v>
      </c>
    </row>
    <row r="15" spans="2:6" ht="19.5" thickTop="1" x14ac:dyDescent="0.3"/>
  </sheetData>
  <mergeCells count="2">
    <mergeCell ref="B3:E3"/>
    <mergeCell ref="B4:E4"/>
  </mergeCells>
  <pageMargins left="0.25" right="0.25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4"/>
  <sheetViews>
    <sheetView rightToLeft="1" topLeftCell="A7" workbookViewId="0">
      <selection activeCell="D5" sqref="D5"/>
    </sheetView>
  </sheetViews>
  <sheetFormatPr defaultRowHeight="18.75" x14ac:dyDescent="0.3"/>
  <cols>
    <col min="1" max="1" width="5.7109375" style="2" customWidth="1"/>
    <col min="2" max="2" width="37" style="2" bestFit="1" customWidth="1"/>
    <col min="3" max="4" width="14.42578125" style="2" bestFit="1" customWidth="1"/>
    <col min="5" max="5" width="5.7109375" style="2" customWidth="1"/>
    <col min="6" max="7" width="9.140625" style="2"/>
  </cols>
  <sheetData>
    <row r="2" spans="2:4" ht="23.25" x14ac:dyDescent="0.35">
      <c r="B2" s="156" t="s">
        <v>55</v>
      </c>
      <c r="C2" s="156"/>
      <c r="D2" s="156"/>
    </row>
    <row r="3" spans="2:4" s="3" customFormat="1" ht="23.25" x14ac:dyDescent="0.35">
      <c r="B3" s="157" t="s">
        <v>78</v>
      </c>
      <c r="C3" s="158"/>
      <c r="D3" s="158"/>
    </row>
    <row r="4" spans="2:4" ht="21" x14ac:dyDescent="0.35">
      <c r="B4" s="1"/>
      <c r="C4" s="5">
        <v>2025</v>
      </c>
      <c r="D4" s="5">
        <v>2024</v>
      </c>
    </row>
    <row r="5" spans="2:4" ht="21" x14ac:dyDescent="0.35">
      <c r="B5" s="1" t="s">
        <v>5</v>
      </c>
      <c r="C5" s="6" t="s">
        <v>6</v>
      </c>
      <c r="D5" s="6" t="s">
        <v>7</v>
      </c>
    </row>
    <row r="6" spans="2:4" s="2" customFormat="1" x14ac:dyDescent="0.3">
      <c r="B6" s="2" t="s">
        <v>79</v>
      </c>
      <c r="C6" s="13">
        <f>'B S'!I13</f>
        <v>1497830</v>
      </c>
      <c r="D6" s="13">
        <f>'B S'!L13</f>
        <v>187830</v>
      </c>
    </row>
    <row r="7" spans="2:4" s="2" customFormat="1" x14ac:dyDescent="0.3">
      <c r="B7" s="17" t="s">
        <v>82</v>
      </c>
      <c r="C7" s="13"/>
      <c r="D7" s="13"/>
    </row>
    <row r="8" spans="2:4" s="2" customFormat="1" ht="19.5" thickBot="1" x14ac:dyDescent="0.35">
      <c r="B8" s="35" t="s">
        <v>110</v>
      </c>
      <c r="C8" s="13">
        <f>'B S'!I9</f>
        <v>120250</v>
      </c>
      <c r="D8" s="13">
        <f>'B S'!L9</f>
        <v>111250</v>
      </c>
    </row>
    <row r="9" spans="2:4" s="16" customFormat="1" ht="19.5" thickBot="1" x14ac:dyDescent="0.35">
      <c r="B9" s="36" t="s">
        <v>80</v>
      </c>
      <c r="C9" s="33">
        <f t="shared" ref="C9" si="0">SUM(C6:C8)</f>
        <v>1618080</v>
      </c>
      <c r="D9" s="33">
        <f>SUM(D6:D8)</f>
        <v>299080</v>
      </c>
    </row>
    <row r="10" spans="2:4" s="2" customFormat="1" x14ac:dyDescent="0.3">
      <c r="B10" s="35" t="s">
        <v>0</v>
      </c>
      <c r="C10" s="34">
        <v>100000</v>
      </c>
      <c r="D10" s="13">
        <v>100000</v>
      </c>
    </row>
    <row r="11" spans="2:4" s="2" customFormat="1" ht="19.5" thickBot="1" x14ac:dyDescent="0.35">
      <c r="B11" s="35" t="s">
        <v>75</v>
      </c>
      <c r="C11" s="34">
        <f>'مستحق أطراف ذات علاقة'!F14</f>
        <v>352612</v>
      </c>
      <c r="D11" s="13">
        <f>'مستحق أطراف ذات علاقة'!F9</f>
        <v>1049000</v>
      </c>
    </row>
    <row r="12" spans="2:4" s="16" customFormat="1" ht="19.5" thickBot="1" x14ac:dyDescent="0.35">
      <c r="B12" s="36" t="s">
        <v>81</v>
      </c>
      <c r="C12" s="33">
        <f>SUM(C9:C10)</f>
        <v>1718080</v>
      </c>
      <c r="D12" s="33">
        <f>SUM(D9:D10)</f>
        <v>399080</v>
      </c>
    </row>
    <row r="13" spans="2:4" s="2" customFormat="1" x14ac:dyDescent="0.3">
      <c r="B13" s="17" t="s">
        <v>83</v>
      </c>
      <c r="C13" s="13"/>
      <c r="D13" s="13"/>
    </row>
    <row r="14" spans="2:4" s="2" customFormat="1" ht="19.5" thickBot="1" x14ac:dyDescent="0.35">
      <c r="B14" s="2" t="s">
        <v>111</v>
      </c>
      <c r="C14" s="34">
        <v>0</v>
      </c>
      <c r="D14" s="13">
        <v>0</v>
      </c>
    </row>
    <row r="15" spans="2:4" s="16" customFormat="1" ht="19.5" thickBot="1" x14ac:dyDescent="0.35">
      <c r="B15" s="36" t="s">
        <v>84</v>
      </c>
      <c r="C15" s="33">
        <f>SUM(C14:C14)</f>
        <v>0</v>
      </c>
      <c r="D15" s="33">
        <f>SUM(D14:D14)</f>
        <v>0</v>
      </c>
    </row>
    <row r="16" spans="2:4" s="16" customFormat="1" ht="19.5" thickBot="1" x14ac:dyDescent="0.35">
      <c r="B16" s="36" t="s">
        <v>85</v>
      </c>
      <c r="C16" s="33">
        <f>C12+C15</f>
        <v>1718080</v>
      </c>
      <c r="D16" s="33">
        <f>D12+D15</f>
        <v>399080</v>
      </c>
    </row>
    <row r="17" spans="2:4" s="16" customFormat="1" ht="19.5" thickBot="1" x14ac:dyDescent="0.35">
      <c r="B17" s="36" t="s">
        <v>86</v>
      </c>
      <c r="C17" s="33">
        <f>C16*2.5%</f>
        <v>42952</v>
      </c>
      <c r="D17" s="33">
        <f>D16*2.5%</f>
        <v>9977</v>
      </c>
    </row>
    <row r="18" spans="2:4" s="2" customFormat="1" x14ac:dyDescent="0.3">
      <c r="C18" s="34"/>
      <c r="D18" s="13"/>
    </row>
    <row r="19" spans="2:4" s="2" customFormat="1" ht="21" x14ac:dyDescent="0.3">
      <c r="B19" s="2" t="s">
        <v>87</v>
      </c>
      <c r="C19" s="5">
        <v>2022</v>
      </c>
      <c r="D19" s="5">
        <v>2021</v>
      </c>
    </row>
    <row r="20" spans="2:4" s="2" customFormat="1" ht="21" x14ac:dyDescent="0.3">
      <c r="C20" s="6" t="s">
        <v>6</v>
      </c>
      <c r="D20" s="6" t="s">
        <v>7</v>
      </c>
    </row>
    <row r="21" spans="2:4" s="2" customFormat="1" x14ac:dyDescent="0.3">
      <c r="B21" s="2" t="s">
        <v>88</v>
      </c>
      <c r="C21" s="34">
        <f>D24</f>
        <v>-9977</v>
      </c>
      <c r="D21" s="13">
        <v>0</v>
      </c>
    </row>
    <row r="22" spans="2:4" s="2" customFormat="1" x14ac:dyDescent="0.3">
      <c r="B22" s="2" t="s">
        <v>89</v>
      </c>
      <c r="C22" s="34">
        <f>-C17</f>
        <v>-42952</v>
      </c>
      <c r="D22" s="13">
        <f>-D17</f>
        <v>-9977</v>
      </c>
    </row>
    <row r="23" spans="2:4" s="2" customFormat="1" ht="19.5" thickBot="1" x14ac:dyDescent="0.35">
      <c r="B23" s="2" t="s">
        <v>90</v>
      </c>
      <c r="C23" s="34">
        <f>-C21</f>
        <v>9977</v>
      </c>
      <c r="D23" s="13">
        <v>0</v>
      </c>
    </row>
    <row r="24" spans="2:4" s="16" customFormat="1" ht="19.5" thickBot="1" x14ac:dyDescent="0.35">
      <c r="B24" s="36" t="s">
        <v>91</v>
      </c>
      <c r="C24" s="33">
        <f t="shared" ref="C24" si="1">SUM(C21:C23)</f>
        <v>-42952</v>
      </c>
      <c r="D24" s="33">
        <f>SUM(D21:D23)</f>
        <v>-9977</v>
      </c>
    </row>
    <row r="25" spans="2:4" s="2" customFormat="1" x14ac:dyDescent="0.3">
      <c r="C25" s="34"/>
      <c r="D25" s="13"/>
    </row>
    <row r="26" spans="2:4" s="2" customFormat="1" x14ac:dyDescent="0.3">
      <c r="C26" s="34"/>
      <c r="D26" s="13"/>
    </row>
    <row r="27" spans="2:4" s="2" customFormat="1" x14ac:dyDescent="0.3"/>
    <row r="28" spans="2:4" s="2" customFormat="1" x14ac:dyDescent="0.3"/>
    <row r="29" spans="2:4" s="2" customFormat="1" x14ac:dyDescent="0.3"/>
    <row r="30" spans="2:4" s="2" customFormat="1" x14ac:dyDescent="0.3"/>
    <row r="31" spans="2:4" s="2" customFormat="1" x14ac:dyDescent="0.3"/>
    <row r="32" spans="2:4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</sheetData>
  <mergeCells count="2">
    <mergeCell ref="B2:D2"/>
    <mergeCell ref="B3:D3"/>
  </mergeCells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5"/>
  <sheetViews>
    <sheetView rightToLeft="1" topLeftCell="A3" workbookViewId="0">
      <selection activeCell="D11" sqref="D11"/>
    </sheetView>
  </sheetViews>
  <sheetFormatPr defaultRowHeight="18.75" x14ac:dyDescent="0.3"/>
  <cols>
    <col min="1" max="1" width="5.7109375" style="2" customWidth="1"/>
    <col min="2" max="2" width="47.7109375" style="2" customWidth="1"/>
    <col min="3" max="3" width="17.7109375" style="2" customWidth="1"/>
    <col min="4" max="4" width="17.5703125" style="2" bestFit="1" customWidth="1"/>
    <col min="5" max="5" width="5.7109375" style="2" customWidth="1"/>
    <col min="6" max="7" width="8.7109375" style="2"/>
    <col min="12" max="12" width="17.5703125" bestFit="1" customWidth="1"/>
  </cols>
  <sheetData>
    <row r="4" spans="2:12" ht="23.25" x14ac:dyDescent="0.35">
      <c r="B4" s="156" t="s">
        <v>135</v>
      </c>
      <c r="C4" s="156"/>
      <c r="D4" s="156"/>
    </row>
    <row r="6" spans="2:12" s="3" customFormat="1" ht="30" customHeight="1" x14ac:dyDescent="0.35">
      <c r="B6" s="157" t="s">
        <v>54</v>
      </c>
      <c r="C6" s="158"/>
      <c r="D6" s="158"/>
    </row>
    <row r="7" spans="2:12" s="3" customFormat="1" ht="6.75" customHeight="1" x14ac:dyDescent="0.35">
      <c r="B7" s="45"/>
      <c r="C7" s="45"/>
      <c r="D7" s="45"/>
    </row>
    <row r="8" spans="2:12" s="2" customFormat="1" ht="30" customHeight="1" x14ac:dyDescent="0.35">
      <c r="B8" s="1"/>
      <c r="C8" s="5">
        <v>2025</v>
      </c>
      <c r="D8" s="5">
        <v>2024</v>
      </c>
    </row>
    <row r="9" spans="2:12" s="2" customFormat="1" ht="21" x14ac:dyDescent="0.35">
      <c r="B9" s="1" t="s">
        <v>5</v>
      </c>
      <c r="C9" s="6" t="s">
        <v>6</v>
      </c>
      <c r="D9" s="6" t="s">
        <v>7</v>
      </c>
    </row>
    <row r="10" spans="2:12" s="2" customFormat="1" ht="30" customHeight="1" x14ac:dyDescent="0.35">
      <c r="B10" s="1" t="s">
        <v>132</v>
      </c>
      <c r="C10" s="7">
        <v>15000</v>
      </c>
      <c r="D10" s="7">
        <v>15000</v>
      </c>
      <c r="L10" s="7"/>
    </row>
    <row r="11" spans="2:12" s="2" customFormat="1" ht="30" customHeight="1" thickBot="1" x14ac:dyDescent="0.4">
      <c r="B11" s="1" t="s">
        <v>133</v>
      </c>
      <c r="C11" s="7">
        <f>'تحليل الرواتب'!H15+'تحليل الرواتب'!R15</f>
        <v>66616.666666666672</v>
      </c>
      <c r="D11" s="7">
        <f>C11</f>
        <v>66616.666666666672</v>
      </c>
      <c r="L11" s="7"/>
    </row>
    <row r="12" spans="2:12" s="2" customFormat="1" ht="3.6" customHeight="1" thickBot="1" x14ac:dyDescent="0.4">
      <c r="B12" s="1"/>
      <c r="C12" s="10"/>
      <c r="D12" s="10"/>
      <c r="L12" s="7"/>
    </row>
    <row r="13" spans="2:12" s="2" customFormat="1" ht="30" customHeight="1" x14ac:dyDescent="0.35">
      <c r="B13" s="3" t="s">
        <v>8</v>
      </c>
      <c r="C13" s="8">
        <f>SUM(C10:C12)</f>
        <v>81616.666666666672</v>
      </c>
      <c r="D13" s="8">
        <f>SUM(D10:D12)</f>
        <v>81616.666666666672</v>
      </c>
      <c r="L13" s="7"/>
    </row>
    <row r="14" spans="2:12" s="2" customFormat="1" ht="32.25" customHeight="1" x14ac:dyDescent="0.35">
      <c r="B14" s="1"/>
      <c r="C14" s="8"/>
    </row>
    <row r="15" spans="2:12" s="2" customFormat="1" ht="30" customHeight="1" x14ac:dyDescent="0.35">
      <c r="C15" s="8"/>
    </row>
  </sheetData>
  <mergeCells count="2">
    <mergeCell ref="B4:D4"/>
    <mergeCell ref="B6:D6"/>
  </mergeCells>
  <pageMargins left="0.25" right="0.25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rightToLeft="1" topLeftCell="A11" workbookViewId="0">
      <selection activeCell="C23" sqref="C23"/>
    </sheetView>
  </sheetViews>
  <sheetFormatPr defaultRowHeight="18.75" x14ac:dyDescent="0.3"/>
  <cols>
    <col min="1" max="1" width="3.140625" style="2" customWidth="1"/>
    <col min="2" max="2" width="31.5703125" style="2" bestFit="1" customWidth="1"/>
    <col min="3" max="4" width="15.28515625" style="2" customWidth="1"/>
    <col min="5" max="5" width="9" style="2" bestFit="1" customWidth="1"/>
    <col min="6" max="6" width="10.140625" style="2" bestFit="1" customWidth="1"/>
    <col min="7" max="7" width="9.85546875" style="2" bestFit="1" customWidth="1"/>
    <col min="8" max="10" width="10.28515625" style="2" customWidth="1"/>
    <col min="11" max="11" width="9.85546875" style="2" bestFit="1" customWidth="1"/>
    <col min="12" max="12" width="9" style="2" bestFit="1" customWidth="1"/>
    <col min="13" max="15" width="10.42578125" style="2" bestFit="1" customWidth="1"/>
    <col min="16" max="16" width="10.5703125" style="2" bestFit="1" customWidth="1"/>
    <col min="17" max="17" width="10" style="2" bestFit="1" customWidth="1"/>
    <col min="18" max="19" width="10.7109375" style="2" customWidth="1"/>
    <col min="20" max="20" width="12.140625" style="40" bestFit="1" customWidth="1"/>
    <col min="21" max="21" width="4.7109375" style="40" bestFit="1" customWidth="1"/>
    <col min="22" max="23" width="12.140625" bestFit="1" customWidth="1"/>
  </cols>
  <sheetData>
    <row r="2" spans="2:21" x14ac:dyDescent="0.3">
      <c r="B2" s="160" t="s">
        <v>11</v>
      </c>
      <c r="C2" s="160"/>
      <c r="D2" s="160"/>
    </row>
    <row r="3" spans="2:21" s="3" customFormat="1" ht="21" x14ac:dyDescent="0.35">
      <c r="B3" s="161" t="s">
        <v>23</v>
      </c>
      <c r="C3" s="162"/>
      <c r="D3" s="16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41"/>
      <c r="U3" s="41"/>
    </row>
    <row r="4" spans="2:21" x14ac:dyDescent="0.3">
      <c r="C4" s="95" t="s">
        <v>216</v>
      </c>
      <c r="D4" s="95" t="s">
        <v>215</v>
      </c>
    </row>
    <row r="5" spans="2:21" x14ac:dyDescent="0.3">
      <c r="B5" s="2" t="s">
        <v>5</v>
      </c>
      <c r="C5" s="96" t="s">
        <v>6</v>
      </c>
      <c r="D5" s="96" t="s">
        <v>7</v>
      </c>
    </row>
    <row r="6" spans="2:21" x14ac:dyDescent="0.3">
      <c r="B6" s="2" t="s">
        <v>125</v>
      </c>
      <c r="C6" s="12">
        <f>P25</f>
        <v>3252000</v>
      </c>
      <c r="D6" s="12">
        <f>S14</f>
        <v>1836000</v>
      </c>
    </row>
    <row r="7" spans="2:21" s="2" customFormat="1" ht="19.5" thickBot="1" x14ac:dyDescent="0.35">
      <c r="B7" s="2" t="s">
        <v>127</v>
      </c>
      <c r="C7" s="12">
        <v>0</v>
      </c>
      <c r="D7" s="55">
        <v>0</v>
      </c>
      <c r="T7" s="14"/>
      <c r="U7" s="14"/>
    </row>
    <row r="8" spans="2:21" s="2" customFormat="1" ht="19.5" thickBot="1" x14ac:dyDescent="0.35">
      <c r="B8" s="97" t="s">
        <v>8</v>
      </c>
      <c r="C8" s="99">
        <f>SUM(C6:C7)</f>
        <v>3252000</v>
      </c>
      <c r="D8" s="98">
        <f>SUM(D6:D7)</f>
        <v>1836000</v>
      </c>
    </row>
    <row r="9" spans="2:21" s="2" customFormat="1" ht="21" x14ac:dyDescent="0.35">
      <c r="B9" s="3"/>
      <c r="C9" s="53"/>
      <c r="D9" s="53"/>
    </row>
    <row r="10" spans="2:21" x14ac:dyDescent="0.3">
      <c r="B10" s="49" t="s">
        <v>180</v>
      </c>
      <c r="C10" s="49"/>
      <c r="D10" s="92" t="s">
        <v>168</v>
      </c>
      <c r="E10" s="92" t="s">
        <v>169</v>
      </c>
      <c r="F10" s="92" t="s">
        <v>170</v>
      </c>
      <c r="G10" s="93" t="s">
        <v>131</v>
      </c>
      <c r="H10" s="92" t="s">
        <v>171</v>
      </c>
      <c r="I10" s="92" t="s">
        <v>172</v>
      </c>
      <c r="J10" s="92" t="s">
        <v>173</v>
      </c>
      <c r="K10" s="93" t="s">
        <v>131</v>
      </c>
      <c r="L10" s="92" t="s">
        <v>174</v>
      </c>
      <c r="M10" s="92" t="s">
        <v>175</v>
      </c>
      <c r="N10" s="92" t="s">
        <v>176</v>
      </c>
      <c r="O10" s="93" t="s">
        <v>131</v>
      </c>
      <c r="P10" s="92" t="s">
        <v>177</v>
      </c>
      <c r="Q10" s="92" t="s">
        <v>178</v>
      </c>
      <c r="R10" s="92" t="s">
        <v>179</v>
      </c>
      <c r="S10" s="46" t="s">
        <v>128</v>
      </c>
      <c r="U10"/>
    </row>
    <row r="11" spans="2:21" x14ac:dyDescent="0.3">
      <c r="B11" s="52" t="s">
        <v>126</v>
      </c>
      <c r="C11" s="47" t="s">
        <v>167</v>
      </c>
      <c r="D11" s="54"/>
      <c r="E11" s="54"/>
      <c r="F11" s="54"/>
      <c r="G11" s="47" t="s">
        <v>187</v>
      </c>
      <c r="H11" s="54"/>
      <c r="I11" s="54"/>
      <c r="J11" s="54"/>
      <c r="K11" s="47" t="s">
        <v>187</v>
      </c>
      <c r="L11" s="54"/>
      <c r="M11" s="54"/>
      <c r="N11" s="54"/>
      <c r="O11" s="47" t="s">
        <v>187</v>
      </c>
      <c r="P11" s="54"/>
      <c r="Q11" s="54"/>
      <c r="R11" s="54"/>
      <c r="S11" s="48" t="s">
        <v>166</v>
      </c>
      <c r="U11"/>
    </row>
    <row r="12" spans="2:21" x14ac:dyDescent="0.3">
      <c r="B12" s="56" t="s">
        <v>165</v>
      </c>
      <c r="C12" s="2">
        <v>3</v>
      </c>
      <c r="D12" s="54">
        <f>(1360*25)*$C$12</f>
        <v>102000</v>
      </c>
      <c r="E12" s="54">
        <f t="shared" ref="E12:F12" si="0">(1360*25)*$C$12</f>
        <v>102000</v>
      </c>
      <c r="F12" s="54">
        <f t="shared" si="0"/>
        <v>102000</v>
      </c>
      <c r="G12" s="2">
        <v>4</v>
      </c>
      <c r="H12" s="54">
        <f>(1360*25)*$G$12</f>
        <v>136000</v>
      </c>
      <c r="I12" s="54">
        <f>(1360*25)*$G$12</f>
        <v>136000</v>
      </c>
      <c r="J12" s="54">
        <f>(1360*25)*$G$12</f>
        <v>136000</v>
      </c>
      <c r="K12" s="2">
        <v>5</v>
      </c>
      <c r="L12" s="54">
        <f>(1360*25)*$K$12</f>
        <v>170000</v>
      </c>
      <c r="M12" s="54">
        <f t="shared" ref="M12:N12" si="1">(1360*25)*$K$12</f>
        <v>170000</v>
      </c>
      <c r="N12" s="54">
        <f t="shared" si="1"/>
        <v>170000</v>
      </c>
      <c r="O12" s="2">
        <v>6</v>
      </c>
      <c r="P12" s="54">
        <f>(1360*25)*$O$12</f>
        <v>204000</v>
      </c>
      <c r="Q12" s="54">
        <f t="shared" ref="Q12:R12" si="2">(1360*25)*$O$12</f>
        <v>204000</v>
      </c>
      <c r="R12" s="54">
        <f t="shared" si="2"/>
        <v>204000</v>
      </c>
      <c r="S12" s="40">
        <f>D12+E12+F12+H12+I12+J12+L12+M12+N12+P12+Q12+R12</f>
        <v>1836000</v>
      </c>
      <c r="U12"/>
    </row>
    <row r="13" spans="2:21" x14ac:dyDescent="0.3">
      <c r="B13" s="56" t="s">
        <v>164</v>
      </c>
      <c r="C13" s="2">
        <v>0</v>
      </c>
      <c r="D13" s="54">
        <f>(600*25)*$C$13</f>
        <v>0</v>
      </c>
      <c r="E13" s="54">
        <f t="shared" ref="E13:F13" si="3">(600*25)*$C$13</f>
        <v>0</v>
      </c>
      <c r="F13" s="54">
        <f t="shared" si="3"/>
        <v>0</v>
      </c>
      <c r="G13" s="2">
        <v>0</v>
      </c>
      <c r="H13" s="54">
        <f>(600*25)*$G$13</f>
        <v>0</v>
      </c>
      <c r="I13" s="54">
        <f t="shared" ref="I13:R13" si="4">(600*25)*$G$13</f>
        <v>0</v>
      </c>
      <c r="J13" s="54">
        <f t="shared" si="4"/>
        <v>0</v>
      </c>
      <c r="K13" s="2">
        <v>0</v>
      </c>
      <c r="L13" s="54">
        <f t="shared" si="4"/>
        <v>0</v>
      </c>
      <c r="M13" s="54">
        <f t="shared" si="4"/>
        <v>0</v>
      </c>
      <c r="N13" s="54">
        <f t="shared" si="4"/>
        <v>0</v>
      </c>
      <c r="O13" s="2">
        <v>0</v>
      </c>
      <c r="P13" s="54">
        <f t="shared" si="4"/>
        <v>0</v>
      </c>
      <c r="Q13" s="54">
        <f t="shared" si="4"/>
        <v>0</v>
      </c>
      <c r="R13" s="54">
        <f t="shared" si="4"/>
        <v>0</v>
      </c>
      <c r="S13" s="40">
        <f>D13+E13+F13+H13+I13+J13+L13+M13+N13+P13+Q13+R13</f>
        <v>0</v>
      </c>
      <c r="U13"/>
    </row>
    <row r="14" spans="2:21" x14ac:dyDescent="0.3">
      <c r="B14" s="49" t="s">
        <v>22</v>
      </c>
      <c r="C14" s="50"/>
      <c r="D14" s="51">
        <f>SUM(D12:D13)</f>
        <v>102000</v>
      </c>
      <c r="E14" s="51">
        <f t="shared" ref="E14:R14" si="5">SUM(E12:E13)</f>
        <v>102000</v>
      </c>
      <c r="F14" s="51">
        <f t="shared" si="5"/>
        <v>102000</v>
      </c>
      <c r="G14" s="94"/>
      <c r="H14" s="51">
        <f t="shared" si="5"/>
        <v>136000</v>
      </c>
      <c r="I14" s="51">
        <f t="shared" si="5"/>
        <v>136000</v>
      </c>
      <c r="J14" s="51">
        <f t="shared" si="5"/>
        <v>136000</v>
      </c>
      <c r="K14" s="94"/>
      <c r="L14" s="51">
        <f t="shared" si="5"/>
        <v>170000</v>
      </c>
      <c r="M14" s="51">
        <f t="shared" si="5"/>
        <v>170000</v>
      </c>
      <c r="N14" s="51">
        <f t="shared" si="5"/>
        <v>170000</v>
      </c>
      <c r="O14" s="94"/>
      <c r="P14" s="51">
        <f t="shared" si="5"/>
        <v>204000</v>
      </c>
      <c r="Q14" s="51">
        <f t="shared" si="5"/>
        <v>204000</v>
      </c>
      <c r="R14" s="51">
        <f t="shared" si="5"/>
        <v>204000</v>
      </c>
      <c r="S14" s="51">
        <f>SUM(S12:S13)</f>
        <v>1836000</v>
      </c>
      <c r="U14"/>
    </row>
    <row r="15" spans="2:21" x14ac:dyDescent="0.3">
      <c r="B15" s="43" t="s">
        <v>181</v>
      </c>
      <c r="C15" s="43"/>
      <c r="D15" s="43"/>
      <c r="E15" s="43"/>
      <c r="F15" s="43"/>
      <c r="G15" s="43"/>
      <c r="U15"/>
    </row>
    <row r="16" spans="2:21" x14ac:dyDescent="0.3">
      <c r="B16" s="43"/>
      <c r="C16" s="43" t="s">
        <v>182</v>
      </c>
      <c r="D16" s="43">
        <v>100</v>
      </c>
      <c r="E16" s="43" t="s">
        <v>183</v>
      </c>
      <c r="F16" s="43"/>
      <c r="G16" s="43"/>
      <c r="U16"/>
    </row>
    <row r="17" spans="2:21" x14ac:dyDescent="0.3">
      <c r="B17" s="43"/>
      <c r="C17" s="43" t="s">
        <v>184</v>
      </c>
      <c r="D17" s="43">
        <v>1260</v>
      </c>
      <c r="E17" s="43" t="s">
        <v>183</v>
      </c>
      <c r="F17" s="43" t="s">
        <v>185</v>
      </c>
      <c r="G17" s="43"/>
      <c r="U17"/>
    </row>
    <row r="18" spans="2:21" x14ac:dyDescent="0.3">
      <c r="B18" s="43" t="s">
        <v>186</v>
      </c>
      <c r="C18" s="43"/>
      <c r="D18" s="43"/>
      <c r="E18" s="43"/>
      <c r="F18" s="43"/>
      <c r="G18" s="43"/>
      <c r="U18"/>
    </row>
    <row r="19" spans="2:21" x14ac:dyDescent="0.3">
      <c r="B19" s="43"/>
      <c r="C19" s="43" t="s">
        <v>184</v>
      </c>
      <c r="D19" s="43">
        <v>600</v>
      </c>
      <c r="E19" s="43" t="s">
        <v>183</v>
      </c>
      <c r="F19" s="43" t="s">
        <v>185</v>
      </c>
      <c r="G19" s="43"/>
      <c r="U19"/>
    </row>
    <row r="20" spans="2:21" x14ac:dyDescent="0.3">
      <c r="B20" s="43"/>
      <c r="C20" s="43"/>
      <c r="D20" s="43"/>
      <c r="E20" s="43"/>
      <c r="F20" s="43"/>
      <c r="G20" s="43"/>
      <c r="U20"/>
    </row>
    <row r="21" spans="2:21" x14ac:dyDescent="0.3">
      <c r="B21" s="49" t="s">
        <v>180</v>
      </c>
      <c r="C21" s="49"/>
      <c r="D21" s="92" t="s">
        <v>168</v>
      </c>
      <c r="E21" s="92" t="s">
        <v>169</v>
      </c>
      <c r="F21" s="92" t="s">
        <v>170</v>
      </c>
      <c r="G21" s="92" t="s">
        <v>171</v>
      </c>
      <c r="H21" s="92" t="s">
        <v>172</v>
      </c>
      <c r="I21" s="92" t="s">
        <v>173</v>
      </c>
      <c r="J21" s="92" t="s">
        <v>174</v>
      </c>
      <c r="K21" s="92" t="s">
        <v>175</v>
      </c>
      <c r="L21" s="92" t="s">
        <v>176</v>
      </c>
      <c r="M21" s="92" t="s">
        <v>177</v>
      </c>
      <c r="N21" s="92" t="s">
        <v>178</v>
      </c>
      <c r="O21" s="92" t="s">
        <v>179</v>
      </c>
      <c r="P21" s="46" t="s">
        <v>128</v>
      </c>
      <c r="Q21" s="40"/>
      <c r="R21"/>
      <c r="S21"/>
      <c r="T21"/>
      <c r="U21"/>
    </row>
    <row r="22" spans="2:21" x14ac:dyDescent="0.3">
      <c r="B22" s="52" t="s">
        <v>126</v>
      </c>
      <c r="C22" s="47" t="s">
        <v>167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48" t="s">
        <v>166</v>
      </c>
      <c r="Q22" s="40"/>
      <c r="R22"/>
      <c r="S22"/>
      <c r="T22"/>
      <c r="U22"/>
    </row>
    <row r="23" spans="2:21" x14ac:dyDescent="0.3">
      <c r="B23" s="56" t="s">
        <v>165</v>
      </c>
      <c r="C23" s="2">
        <v>4</v>
      </c>
      <c r="D23" s="54">
        <f>(1360*25)*$C$23</f>
        <v>136000</v>
      </c>
      <c r="E23" s="54">
        <f t="shared" ref="E23:O23" si="6">(1360*25)*$C$23</f>
        <v>136000</v>
      </c>
      <c r="F23" s="54">
        <f t="shared" si="6"/>
        <v>136000</v>
      </c>
      <c r="G23" s="54">
        <f t="shared" si="6"/>
        <v>136000</v>
      </c>
      <c r="H23" s="54">
        <f t="shared" si="6"/>
        <v>136000</v>
      </c>
      <c r="I23" s="54">
        <f t="shared" si="6"/>
        <v>136000</v>
      </c>
      <c r="J23" s="54">
        <f t="shared" si="6"/>
        <v>136000</v>
      </c>
      <c r="K23" s="54">
        <f t="shared" si="6"/>
        <v>136000</v>
      </c>
      <c r="L23" s="54">
        <f t="shared" si="6"/>
        <v>136000</v>
      </c>
      <c r="M23" s="54">
        <f t="shared" si="6"/>
        <v>136000</v>
      </c>
      <c r="N23" s="54">
        <f t="shared" si="6"/>
        <v>136000</v>
      </c>
      <c r="O23" s="54">
        <f t="shared" si="6"/>
        <v>136000</v>
      </c>
      <c r="P23" s="40">
        <f>D23+E23+F23+G23+H23+I23+J23+K23+L23+M23+N23+O23</f>
        <v>1632000</v>
      </c>
      <c r="Q23" s="40"/>
      <c r="R23"/>
      <c r="S23"/>
      <c r="T23"/>
      <c r="U23"/>
    </row>
    <row r="24" spans="2:21" x14ac:dyDescent="0.3">
      <c r="B24" s="56" t="s">
        <v>164</v>
      </c>
      <c r="C24" s="2">
        <v>9</v>
      </c>
      <c r="D24" s="54">
        <f>(600*25)*$C$24</f>
        <v>135000</v>
      </c>
      <c r="E24" s="54">
        <f t="shared" ref="E24:O24" si="7">(600*25)*$C$24</f>
        <v>135000</v>
      </c>
      <c r="F24" s="54">
        <f t="shared" si="7"/>
        <v>135000</v>
      </c>
      <c r="G24" s="54">
        <f t="shared" si="7"/>
        <v>135000</v>
      </c>
      <c r="H24" s="54">
        <f t="shared" si="7"/>
        <v>135000</v>
      </c>
      <c r="I24" s="54">
        <f t="shared" si="7"/>
        <v>135000</v>
      </c>
      <c r="J24" s="54">
        <f t="shared" si="7"/>
        <v>135000</v>
      </c>
      <c r="K24" s="54">
        <f t="shared" si="7"/>
        <v>135000</v>
      </c>
      <c r="L24" s="54">
        <f t="shared" si="7"/>
        <v>135000</v>
      </c>
      <c r="M24" s="54">
        <f t="shared" si="7"/>
        <v>135000</v>
      </c>
      <c r="N24" s="54">
        <f t="shared" si="7"/>
        <v>135000</v>
      </c>
      <c r="O24" s="54">
        <f t="shared" si="7"/>
        <v>135000</v>
      </c>
      <c r="P24" s="40">
        <f>D24+E24+F24+G24+H24+I24+J24+K24+L24+M24+N24+O24</f>
        <v>1620000</v>
      </c>
      <c r="Q24" s="40"/>
      <c r="R24"/>
      <c r="S24"/>
      <c r="T24"/>
      <c r="U24"/>
    </row>
    <row r="25" spans="2:21" x14ac:dyDescent="0.3">
      <c r="B25" s="49" t="s">
        <v>22</v>
      </c>
      <c r="C25" s="50"/>
      <c r="D25" s="51">
        <f>SUM(D23:D24)</f>
        <v>271000</v>
      </c>
      <c r="E25" s="51">
        <f t="shared" ref="E25:O25" si="8">SUM(E23:E24)</f>
        <v>271000</v>
      </c>
      <c r="F25" s="51">
        <f t="shared" si="8"/>
        <v>271000</v>
      </c>
      <c r="G25" s="51">
        <f t="shared" si="8"/>
        <v>271000</v>
      </c>
      <c r="H25" s="51">
        <f t="shared" si="8"/>
        <v>271000</v>
      </c>
      <c r="I25" s="51">
        <f t="shared" si="8"/>
        <v>271000</v>
      </c>
      <c r="J25" s="51">
        <f t="shared" si="8"/>
        <v>271000</v>
      </c>
      <c r="K25" s="51">
        <f t="shared" si="8"/>
        <v>271000</v>
      </c>
      <c r="L25" s="51">
        <f t="shared" si="8"/>
        <v>271000</v>
      </c>
      <c r="M25" s="51">
        <f t="shared" si="8"/>
        <v>271000</v>
      </c>
      <c r="N25" s="51">
        <f t="shared" si="8"/>
        <v>271000</v>
      </c>
      <c r="O25" s="51">
        <f t="shared" si="8"/>
        <v>271000</v>
      </c>
      <c r="P25" s="51">
        <f>SUM(P23:P24)</f>
        <v>3252000</v>
      </c>
      <c r="Q25" s="40"/>
      <c r="R25"/>
      <c r="S25"/>
      <c r="T25"/>
      <c r="U25"/>
    </row>
    <row r="26" spans="2:21" x14ac:dyDescent="0.3">
      <c r="B26" t="s">
        <v>188</v>
      </c>
      <c r="D26"/>
      <c r="E26"/>
      <c r="F26"/>
      <c r="G26"/>
      <c r="H26"/>
      <c r="I26"/>
      <c r="J26"/>
      <c r="K26"/>
      <c r="L26"/>
      <c r="M26"/>
      <c r="N26"/>
      <c r="O26"/>
      <c r="P26"/>
      <c r="Q26" s="40"/>
      <c r="R26"/>
      <c r="S26"/>
      <c r="T26"/>
      <c r="U26"/>
    </row>
    <row r="27" spans="2:21" x14ac:dyDescent="0.3">
      <c r="B27" t="s">
        <v>189</v>
      </c>
      <c r="D27"/>
      <c r="E27"/>
      <c r="F27"/>
      <c r="G27"/>
      <c r="H27"/>
      <c r="I27"/>
      <c r="J27"/>
      <c r="K27"/>
      <c r="L27"/>
      <c r="M27"/>
      <c r="N27"/>
      <c r="O27"/>
      <c r="P27"/>
      <c r="Q27" s="40"/>
      <c r="R27"/>
      <c r="S27"/>
      <c r="T27"/>
      <c r="U27"/>
    </row>
    <row r="28" spans="2:21" x14ac:dyDescent="0.3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 s="40"/>
      <c r="T28"/>
      <c r="U28"/>
    </row>
  </sheetData>
  <mergeCells count="2">
    <mergeCell ref="B2:D2"/>
    <mergeCell ref="B3:D3"/>
  </mergeCells>
  <phoneticPr fontId="23" type="noConversion"/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B S</vt:lpstr>
      <vt:lpstr>أصول العام 1</vt:lpstr>
      <vt:lpstr>أصول العام 2</vt:lpstr>
      <vt:lpstr>النقدية</vt:lpstr>
      <vt:lpstr>رأس المال</vt:lpstr>
      <vt:lpstr>مستحق أطراف ذات علاقة</vt:lpstr>
      <vt:lpstr>مخصص زكاة</vt:lpstr>
      <vt:lpstr>مصروفات مستحقة</vt:lpstr>
      <vt:lpstr>ايرادات</vt:lpstr>
      <vt:lpstr>م عمومية</vt:lpstr>
      <vt:lpstr>تحليل الرواتب</vt:lpstr>
      <vt:lpstr>'تحليل الرواتب'!Print_Area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2023-10-04T10:00:05Z</cp:lastPrinted>
  <dcterms:created xsi:type="dcterms:W3CDTF">2011-12-26T12:35:46Z</dcterms:created>
  <dcterms:modified xsi:type="dcterms:W3CDTF">2024-05-31T23:40:54Z</dcterms:modified>
</cp:coreProperties>
</file>